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GGF\Excel\2\"/>
    </mc:Choice>
  </mc:AlternateContent>
  <xr:revisionPtr revIDLastSave="0" documentId="13_ncr:1_{3B8FB288-DF22-4793-8E87-5898E9DC352D}" xr6:coauthVersionLast="47" xr6:coauthVersionMax="47" xr10:uidLastSave="{00000000-0000-0000-0000-000000000000}"/>
  <bookViews>
    <workbookView xWindow="-108" yWindow="-108" windowWidth="23256" windowHeight="12456" tabRatio="592" firstSheet="1" activeTab="5" xr2:uid="{00000000-000D-0000-FFFF-FFFF00000000}"/>
  </bookViews>
  <sheets>
    <sheet name="Summary" sheetId="1" state="hidden" r:id="rId1"/>
    <sheet name="Data Lokasi" sheetId="2" r:id="rId2"/>
    <sheet name="Prioritas" sheetId="3" state="hidden" r:id="rId3"/>
    <sheet name="Singkong" sheetId="4" state="hidden" r:id="rId4"/>
    <sheet name="Resume" sheetId="8" r:id="rId5"/>
    <sheet name="Input Real Tanam&amp;Petik Nanas" sheetId="7" r:id="rId6"/>
    <sheet name="Input Drop Bibit" sheetId="15" r:id="rId7"/>
    <sheet name="Kroscek" sheetId="14" r:id="rId8"/>
    <sheet name="Input Petik Bibit" sheetId="17" r:id="rId9"/>
    <sheet name="Reason" sheetId="12" r:id="rId10"/>
    <sheet name="Jenis Bibit" sheetId="11" r:id="rId11"/>
    <sheet name="Sts Ags'22" sheetId="5" r:id="rId12"/>
    <sheet name="Sheet1" sheetId="6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1" hidden="1">'Data Lokasi'!$A$14:$AT$1344</definedName>
    <definedName name="_xlnm._FilterDatabase" localSheetId="6" hidden="1">'Input Drop Bibit'!$A$5:$F$249</definedName>
    <definedName name="_xlnm._FilterDatabase" localSheetId="5" hidden="1">'Input Real Tanam&amp;Petik Nanas'!$B$7:$AA$2109</definedName>
    <definedName name="_xlnm._FilterDatabase" localSheetId="11" hidden="1">'Sts Ags''22'!$A$1:$AD$1956</definedName>
    <definedName name="_xlnm.Print_Area" localSheetId="0">Summary!$AB$1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56" i="7" l="1"/>
  <c r="H2053" i="7"/>
  <c r="E247" i="15" l="1"/>
  <c r="I2045" i="7" l="1"/>
  <c r="H2040" i="7"/>
  <c r="AG29" i="2"/>
  <c r="AF29" i="2"/>
  <c r="AG28" i="2"/>
  <c r="AF28" i="2"/>
  <c r="AG27" i="2"/>
  <c r="AF27" i="2"/>
  <c r="AG21" i="2"/>
  <c r="AF21" i="2"/>
  <c r="AG20" i="2"/>
  <c r="AF20" i="2"/>
  <c r="AG26" i="2"/>
  <c r="AF26" i="2"/>
  <c r="AG25" i="2"/>
  <c r="AF25" i="2"/>
  <c r="AG24" i="2"/>
  <c r="AF24" i="2"/>
  <c r="AG23" i="2"/>
  <c r="AF23" i="2"/>
  <c r="AG22" i="2"/>
  <c r="AF22" i="2"/>
  <c r="AG19" i="2"/>
  <c r="AF19" i="2"/>
  <c r="AG18" i="2"/>
  <c r="AF18" i="2"/>
  <c r="AG17" i="2"/>
  <c r="AF17" i="2"/>
  <c r="AG16" i="2"/>
  <c r="AF16" i="2"/>
  <c r="AF15" i="2"/>
  <c r="AG15" i="2"/>
  <c r="AR24" i="2"/>
  <c r="AR23" i="2" l="1"/>
  <c r="AR29" i="2"/>
  <c r="AR28" i="2"/>
  <c r="AR27" i="2"/>
  <c r="AR21" i="2"/>
  <c r="AR20" i="2"/>
  <c r="AR26" i="2"/>
  <c r="AR25" i="2"/>
  <c r="AR22" i="2"/>
  <c r="AR19" i="2"/>
  <c r="AR18" i="2"/>
  <c r="AR17" i="2"/>
  <c r="AR16" i="2"/>
  <c r="AR15" i="2"/>
  <c r="AR30" i="2" s="1"/>
  <c r="I2021" i="7" l="1"/>
  <c r="H2030" i="7" l="1"/>
  <c r="I2028" i="7"/>
  <c r="H2028" i="7"/>
  <c r="Q23" i="2" l="1"/>
  <c r="I23" i="2"/>
  <c r="I2011" i="7" l="1"/>
  <c r="H2011" i="7"/>
  <c r="H2006" i="7"/>
  <c r="AN30" i="2"/>
  <c r="Q28" i="2"/>
  <c r="I28" i="2"/>
  <c r="I2005" i="7"/>
  <c r="I1999" i="7"/>
  <c r="AG30" i="2" l="1"/>
  <c r="AF30" i="2"/>
  <c r="X63" i="2"/>
  <c r="Z63" i="2" s="1"/>
  <c r="J1451" i="7" l="1"/>
  <c r="I1996" i="7"/>
  <c r="H1996" i="7"/>
  <c r="H1992" i="7"/>
  <c r="H1991" i="7"/>
  <c r="D2108" i="7"/>
  <c r="D2107" i="7"/>
  <c r="D2106" i="7"/>
  <c r="D2105" i="7"/>
  <c r="D2104" i="7"/>
  <c r="D2103" i="7"/>
  <c r="D2102" i="7"/>
  <c r="D2101" i="7"/>
  <c r="D2100" i="7"/>
  <c r="D2099" i="7"/>
  <c r="D2098" i="7"/>
  <c r="D2097" i="7"/>
  <c r="D2096" i="7"/>
  <c r="D2095" i="7"/>
  <c r="D2094" i="7"/>
  <c r="D2093" i="7"/>
  <c r="D2092" i="7"/>
  <c r="D2091" i="7"/>
  <c r="D2090" i="7"/>
  <c r="D2089" i="7"/>
  <c r="D2088" i="7"/>
  <c r="D2087" i="7"/>
  <c r="D2086" i="7"/>
  <c r="D2085" i="7"/>
  <c r="D2084" i="7"/>
  <c r="D2083" i="7"/>
  <c r="D2082" i="7"/>
  <c r="D2081" i="7"/>
  <c r="D2080" i="7"/>
  <c r="D2079" i="7"/>
  <c r="D2078" i="7"/>
  <c r="D2077" i="7"/>
  <c r="D2076" i="7"/>
  <c r="D2075" i="7"/>
  <c r="D2074" i="7"/>
  <c r="D2073" i="7"/>
  <c r="D2072" i="7"/>
  <c r="D2071" i="7"/>
  <c r="D2070" i="7"/>
  <c r="D2069" i="7"/>
  <c r="D2068" i="7"/>
  <c r="D2067" i="7"/>
  <c r="D2066" i="7"/>
  <c r="D2065" i="7"/>
  <c r="D2064" i="7"/>
  <c r="D2063" i="7"/>
  <c r="D2062" i="7"/>
  <c r="D2061" i="7"/>
  <c r="D2060" i="7"/>
  <c r="D2059" i="7"/>
  <c r="D2058" i="7"/>
  <c r="D2057" i="7"/>
  <c r="D2056" i="7"/>
  <c r="D2055" i="7"/>
  <c r="D2054" i="7"/>
  <c r="D2053" i="7"/>
  <c r="D2052" i="7"/>
  <c r="D2051" i="7"/>
  <c r="D2050" i="7"/>
  <c r="D2049" i="7"/>
  <c r="D2048" i="7"/>
  <c r="D2047" i="7"/>
  <c r="D2046" i="7"/>
  <c r="D2045" i="7"/>
  <c r="D2044" i="7"/>
  <c r="D2043" i="7"/>
  <c r="D2042" i="7"/>
  <c r="D2041" i="7"/>
  <c r="D2040" i="7"/>
  <c r="D2039" i="7"/>
  <c r="D2038" i="7"/>
  <c r="D2037" i="7"/>
  <c r="D2036" i="7"/>
  <c r="D2035" i="7"/>
  <c r="D2034" i="7"/>
  <c r="D2033" i="7"/>
  <c r="D2032" i="7"/>
  <c r="D2031" i="7"/>
  <c r="D2030" i="7"/>
  <c r="D2029" i="7"/>
  <c r="D2028" i="7"/>
  <c r="D2027" i="7"/>
  <c r="D2026" i="7"/>
  <c r="D2025" i="7"/>
  <c r="D2024" i="7"/>
  <c r="D2023" i="7"/>
  <c r="D2022" i="7"/>
  <c r="D2021" i="7"/>
  <c r="D2020" i="7"/>
  <c r="D2019" i="7"/>
  <c r="D2018" i="7"/>
  <c r="D2017" i="7"/>
  <c r="D2016" i="7"/>
  <c r="D2015" i="7"/>
  <c r="D2014" i="7"/>
  <c r="D2013" i="7"/>
  <c r="D2012" i="7"/>
  <c r="D2011" i="7"/>
  <c r="D2010" i="7"/>
  <c r="D2009" i="7"/>
  <c r="D2008" i="7"/>
  <c r="D2007" i="7"/>
  <c r="D2006" i="7"/>
  <c r="D2005" i="7"/>
  <c r="D2004" i="7"/>
  <c r="D2003" i="7"/>
  <c r="D2002" i="7"/>
  <c r="D2001" i="7"/>
  <c r="D2000" i="7"/>
  <c r="D1999" i="7"/>
  <c r="D1998" i="7"/>
  <c r="D1997" i="7"/>
  <c r="D1996" i="7"/>
  <c r="D1995" i="7"/>
  <c r="D1994" i="7"/>
  <c r="D1993" i="7"/>
  <c r="D1992" i="7"/>
  <c r="D1991" i="7"/>
  <c r="D1990" i="7"/>
  <c r="D1989" i="7"/>
  <c r="D1988" i="7"/>
  <c r="D1987" i="7"/>
  <c r="D1986" i="7"/>
  <c r="D1985" i="7"/>
  <c r="D1984" i="7"/>
  <c r="D70" i="2" l="1"/>
  <c r="H1983" i="7" l="1"/>
  <c r="I1982" i="7"/>
  <c r="H1982" i="7"/>
  <c r="H1979" i="7"/>
  <c r="H1978" i="7"/>
  <c r="Q25" i="2" l="1"/>
  <c r="I25" i="2"/>
  <c r="X53" i="2"/>
  <c r="Z53" i="2" s="1"/>
  <c r="X61" i="2"/>
  <c r="Z61" i="2" s="1"/>
  <c r="X69" i="2"/>
  <c r="R69" i="2"/>
  <c r="O69" i="2"/>
  <c r="P69" i="2" s="1"/>
  <c r="J69" i="2"/>
  <c r="M69" i="2" s="1"/>
  <c r="Q24" i="2" l="1"/>
  <c r="I24" i="2"/>
  <c r="H1968" i="7"/>
  <c r="X60" i="2" l="1"/>
  <c r="Z60" i="2" s="1"/>
  <c r="X59" i="2"/>
  <c r="Z59" i="2" s="1"/>
  <c r="H1956" i="7" l="1"/>
  <c r="I1949" i="7" l="1"/>
  <c r="H1946" i="7" l="1"/>
  <c r="H1945" i="7"/>
  <c r="Q20" i="2"/>
  <c r="I20" i="2"/>
  <c r="I1939" i="7" l="1"/>
  <c r="I1938" i="7"/>
  <c r="C19" i="8"/>
  <c r="I1936" i="7"/>
  <c r="H1935" i="7"/>
  <c r="I1929" i="7"/>
  <c r="X57" i="2" l="1"/>
  <c r="Z57" i="2" s="1"/>
  <c r="X58" i="2"/>
  <c r="Z58" i="2" s="1"/>
  <c r="X56" i="2"/>
  <c r="Z56" i="2" s="1"/>
  <c r="X62" i="2" l="1"/>
  <c r="Z62" i="2" s="1"/>
  <c r="R62" i="2"/>
  <c r="O62" i="2"/>
  <c r="P62" i="2" s="1"/>
  <c r="J62" i="2"/>
  <c r="M62" i="2" s="1"/>
  <c r="I1924" i="7" l="1"/>
  <c r="I1923" i="7"/>
  <c r="H1920" i="7"/>
  <c r="H1918" i="7"/>
  <c r="G1914" i="7" l="1"/>
  <c r="X67" i="2" l="1"/>
  <c r="R67" i="2"/>
  <c r="O67" i="2"/>
  <c r="P67" i="2" s="1"/>
  <c r="J67" i="2"/>
  <c r="M67" i="2" s="1"/>
  <c r="R58" i="2"/>
  <c r="O58" i="2"/>
  <c r="P58" i="2" s="1"/>
  <c r="J58" i="2"/>
  <c r="M58" i="2" s="1"/>
  <c r="X55" i="2" l="1"/>
  <c r="Z55" i="2" s="1"/>
  <c r="X54" i="2"/>
  <c r="Z54" i="2" s="1"/>
  <c r="X52" i="2"/>
  <c r="Z52" i="2" s="1"/>
  <c r="V1398" i="2" l="1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Z1374" i="2"/>
  <c r="G1903" i="7" l="1"/>
  <c r="I1900" i="7"/>
  <c r="H1899" i="7"/>
  <c r="H1897" i="7"/>
  <c r="I1896" i="7"/>
  <c r="H1896" i="7"/>
  <c r="R61" i="2" l="1"/>
  <c r="O61" i="2"/>
  <c r="P61" i="2" s="1"/>
  <c r="J61" i="2"/>
  <c r="M61" i="2" s="1"/>
  <c r="R57" i="2"/>
  <c r="O57" i="2"/>
  <c r="P57" i="2" s="1"/>
  <c r="J57" i="2"/>
  <c r="M57" i="2" s="1"/>
  <c r="I1895" i="7" l="1"/>
  <c r="H1895" i="7"/>
  <c r="H1894" i="7"/>
  <c r="H1893" i="7"/>
  <c r="G1893" i="7"/>
  <c r="E101" i="11"/>
  <c r="D101" i="11"/>
  <c r="E100" i="11"/>
  <c r="D100" i="11"/>
  <c r="E99" i="11"/>
  <c r="D99" i="11"/>
  <c r="E98" i="11"/>
  <c r="D98" i="11"/>
  <c r="E97" i="11"/>
  <c r="D97" i="11"/>
  <c r="I8" i="15"/>
  <c r="Q21" i="2"/>
  <c r="I21" i="2"/>
  <c r="I1881" i="7"/>
  <c r="P2108" i="7"/>
  <c r="P2107" i="7"/>
  <c r="P2106" i="7"/>
  <c r="P2105" i="7"/>
  <c r="P2104" i="7"/>
  <c r="P2103" i="7"/>
  <c r="P2102" i="7"/>
  <c r="P2101" i="7"/>
  <c r="P2100" i="7"/>
  <c r="P2099" i="7"/>
  <c r="P2098" i="7"/>
  <c r="P2097" i="7"/>
  <c r="P2096" i="7"/>
  <c r="P2095" i="7"/>
  <c r="P2094" i="7"/>
  <c r="P2093" i="7"/>
  <c r="P2092" i="7"/>
  <c r="P2091" i="7"/>
  <c r="P2090" i="7"/>
  <c r="P2089" i="7"/>
  <c r="P2088" i="7"/>
  <c r="P2087" i="7"/>
  <c r="P2086" i="7"/>
  <c r="P2085" i="7"/>
  <c r="P2084" i="7"/>
  <c r="P2083" i="7"/>
  <c r="P2082" i="7"/>
  <c r="P2081" i="7"/>
  <c r="P2080" i="7"/>
  <c r="P2079" i="7"/>
  <c r="P2078" i="7"/>
  <c r="P2077" i="7"/>
  <c r="P2076" i="7"/>
  <c r="P2075" i="7"/>
  <c r="P2074" i="7"/>
  <c r="P2073" i="7"/>
  <c r="P2072" i="7"/>
  <c r="P2071" i="7"/>
  <c r="P2070" i="7"/>
  <c r="P2069" i="7"/>
  <c r="P2068" i="7"/>
  <c r="P2067" i="7"/>
  <c r="P2066" i="7"/>
  <c r="P2065" i="7"/>
  <c r="P2064" i="7"/>
  <c r="P2063" i="7"/>
  <c r="P2062" i="7"/>
  <c r="P2061" i="7"/>
  <c r="P2060" i="7"/>
  <c r="P2059" i="7"/>
  <c r="P2058" i="7"/>
  <c r="P2057" i="7"/>
  <c r="P2056" i="7"/>
  <c r="P2055" i="7"/>
  <c r="P2054" i="7"/>
  <c r="P2053" i="7"/>
  <c r="P2045" i="7"/>
  <c r="P2044" i="7"/>
  <c r="P2043" i="7"/>
  <c r="P2042" i="7"/>
  <c r="P2041" i="7"/>
  <c r="P2040" i="7"/>
  <c r="P2032" i="7"/>
  <c r="P2031" i="7"/>
  <c r="P2030" i="7"/>
  <c r="P2029" i="7"/>
  <c r="P2028" i="7"/>
  <c r="P2011" i="7"/>
  <c r="P2010" i="7"/>
  <c r="P2009" i="7"/>
  <c r="P2008" i="7"/>
  <c r="P2007" i="7"/>
  <c r="P2006" i="7"/>
  <c r="P1997" i="7"/>
  <c r="P1996" i="7"/>
  <c r="P1995" i="7"/>
  <c r="P1994" i="7"/>
  <c r="P1993" i="7"/>
  <c r="P1992" i="7"/>
  <c r="P1991" i="7"/>
  <c r="P1983" i="7"/>
  <c r="P1982" i="7"/>
  <c r="P1981" i="7"/>
  <c r="P1980" i="7"/>
  <c r="P1979" i="7"/>
  <c r="P1978" i="7"/>
  <c r="P1969" i="7"/>
  <c r="P1968" i="7"/>
  <c r="P1967" i="7"/>
  <c r="P1966" i="7"/>
  <c r="P1965" i="7"/>
  <c r="P1957" i="7"/>
  <c r="P1956" i="7"/>
  <c r="P1955" i="7"/>
  <c r="P1946" i="7"/>
  <c r="P1945" i="7"/>
  <c r="P1944" i="7"/>
  <c r="P1943" i="7"/>
  <c r="P1942" i="7"/>
  <c r="P1936" i="7"/>
  <c r="P1935" i="7"/>
  <c r="P1934" i="7"/>
  <c r="P1933" i="7"/>
  <c r="P1932" i="7"/>
  <c r="P1931" i="7"/>
  <c r="P1930" i="7"/>
  <c r="P1924" i="7"/>
  <c r="P1923" i="7"/>
  <c r="P1922" i="7"/>
  <c r="P1921" i="7"/>
  <c r="P1920" i="7"/>
  <c r="P1919" i="7"/>
  <c r="P1918" i="7"/>
  <c r="P1901" i="7"/>
  <c r="P1900" i="7"/>
  <c r="P1899" i="7"/>
  <c r="P1898" i="7"/>
  <c r="P1897" i="7"/>
  <c r="P1896" i="7"/>
  <c r="P1895" i="7"/>
  <c r="P1894" i="7"/>
  <c r="P1893" i="7"/>
  <c r="P1880" i="7"/>
  <c r="N2108" i="7"/>
  <c r="N2107" i="7"/>
  <c r="N2106" i="7"/>
  <c r="N2105" i="7"/>
  <c r="N2104" i="7"/>
  <c r="N2103" i="7"/>
  <c r="N2102" i="7"/>
  <c r="N2101" i="7"/>
  <c r="N2100" i="7"/>
  <c r="N2099" i="7"/>
  <c r="N2098" i="7"/>
  <c r="N2097" i="7"/>
  <c r="N2096" i="7"/>
  <c r="N2095" i="7"/>
  <c r="N2094" i="7"/>
  <c r="N2093" i="7"/>
  <c r="N2092" i="7"/>
  <c r="N2091" i="7"/>
  <c r="N2090" i="7"/>
  <c r="N2089" i="7"/>
  <c r="N2088" i="7"/>
  <c r="N2087" i="7"/>
  <c r="N2086" i="7"/>
  <c r="N2085" i="7"/>
  <c r="N2084" i="7"/>
  <c r="N2083" i="7"/>
  <c r="N2082" i="7"/>
  <c r="N2081" i="7"/>
  <c r="N2080" i="7"/>
  <c r="N2079" i="7"/>
  <c r="N2078" i="7"/>
  <c r="N2077" i="7"/>
  <c r="N2076" i="7"/>
  <c r="N2075" i="7"/>
  <c r="N2074" i="7"/>
  <c r="N2073" i="7"/>
  <c r="N2072" i="7"/>
  <c r="N2071" i="7"/>
  <c r="N2070" i="7"/>
  <c r="N2069" i="7"/>
  <c r="N2068" i="7"/>
  <c r="N2067" i="7"/>
  <c r="N2066" i="7"/>
  <c r="N2065" i="7"/>
  <c r="N2064" i="7"/>
  <c r="N2063" i="7"/>
  <c r="N2062" i="7"/>
  <c r="N2061" i="7"/>
  <c r="N2060" i="7"/>
  <c r="N2059" i="7"/>
  <c r="N2058" i="7"/>
  <c r="N2057" i="7"/>
  <c r="N2056" i="7"/>
  <c r="N2055" i="7"/>
  <c r="N2054" i="7"/>
  <c r="N2053" i="7"/>
  <c r="N2052" i="7"/>
  <c r="N2051" i="7"/>
  <c r="N2050" i="7"/>
  <c r="N2049" i="7"/>
  <c r="N2048" i="7"/>
  <c r="N2047" i="7"/>
  <c r="N2046" i="7"/>
  <c r="N2045" i="7"/>
  <c r="N2044" i="7"/>
  <c r="N2043" i="7"/>
  <c r="N2042" i="7"/>
  <c r="N2041" i="7"/>
  <c r="N2040" i="7"/>
  <c r="N2039" i="7"/>
  <c r="N2038" i="7"/>
  <c r="N2037" i="7"/>
  <c r="N2036" i="7"/>
  <c r="N2035" i="7"/>
  <c r="N2034" i="7"/>
  <c r="N2033" i="7"/>
  <c r="N2032" i="7"/>
  <c r="N2031" i="7"/>
  <c r="N2030" i="7"/>
  <c r="N2029" i="7"/>
  <c r="N2028" i="7"/>
  <c r="N2027" i="7"/>
  <c r="N2026" i="7"/>
  <c r="N2025" i="7"/>
  <c r="N2024" i="7"/>
  <c r="N2023" i="7"/>
  <c r="N2022" i="7"/>
  <c r="N2021" i="7"/>
  <c r="N2020" i="7"/>
  <c r="N2019" i="7"/>
  <c r="N2018" i="7"/>
  <c r="N2017" i="7"/>
  <c r="N2016" i="7"/>
  <c r="N2015" i="7"/>
  <c r="N2014" i="7"/>
  <c r="N2013" i="7"/>
  <c r="N2012" i="7"/>
  <c r="N2011" i="7"/>
  <c r="N2010" i="7"/>
  <c r="N2009" i="7"/>
  <c r="N2008" i="7"/>
  <c r="N2007" i="7"/>
  <c r="N2006" i="7"/>
  <c r="N2005" i="7"/>
  <c r="N2004" i="7"/>
  <c r="N2003" i="7"/>
  <c r="N2002" i="7"/>
  <c r="N2001" i="7"/>
  <c r="N2000" i="7"/>
  <c r="N1999" i="7"/>
  <c r="N1998" i="7"/>
  <c r="N1997" i="7"/>
  <c r="N1996" i="7"/>
  <c r="N1995" i="7"/>
  <c r="N1994" i="7"/>
  <c r="N1993" i="7"/>
  <c r="N1992" i="7"/>
  <c r="N1991" i="7"/>
  <c r="N1990" i="7"/>
  <c r="N1989" i="7"/>
  <c r="N1988" i="7"/>
  <c r="N1987" i="7"/>
  <c r="N1986" i="7"/>
  <c r="N1985" i="7"/>
  <c r="N1984" i="7"/>
  <c r="N1983" i="7"/>
  <c r="N1982" i="7"/>
  <c r="N1981" i="7"/>
  <c r="N1980" i="7"/>
  <c r="N1979" i="7"/>
  <c r="N1978" i="7"/>
  <c r="N1977" i="7"/>
  <c r="N1976" i="7"/>
  <c r="N1975" i="7"/>
  <c r="N1974" i="7"/>
  <c r="N1973" i="7"/>
  <c r="N1972" i="7"/>
  <c r="N1971" i="7"/>
  <c r="N1970" i="7"/>
  <c r="N1969" i="7"/>
  <c r="N1968" i="7"/>
  <c r="N1967" i="7"/>
  <c r="N1966" i="7"/>
  <c r="N1965" i="7"/>
  <c r="N1964" i="7"/>
  <c r="N1963" i="7"/>
  <c r="N1962" i="7"/>
  <c r="N1961" i="7"/>
  <c r="N1960" i="7"/>
  <c r="N1959" i="7"/>
  <c r="N1958" i="7"/>
  <c r="N1957" i="7"/>
  <c r="N1956" i="7"/>
  <c r="N1955" i="7"/>
  <c r="N1954" i="7"/>
  <c r="N1953" i="7"/>
  <c r="N1952" i="7"/>
  <c r="N1951" i="7"/>
  <c r="N1950" i="7"/>
  <c r="N1949" i="7"/>
  <c r="N1948" i="7"/>
  <c r="N1947" i="7"/>
  <c r="N1946" i="7"/>
  <c r="N1945" i="7"/>
  <c r="N1944" i="7"/>
  <c r="N1943" i="7"/>
  <c r="N1942" i="7"/>
  <c r="N1941" i="7"/>
  <c r="N1940" i="7"/>
  <c r="N1939" i="7"/>
  <c r="N1938" i="7"/>
  <c r="N1937" i="7"/>
  <c r="N1935" i="7"/>
  <c r="N1934" i="7"/>
  <c r="N1933" i="7"/>
  <c r="N1932" i="7"/>
  <c r="N1931" i="7"/>
  <c r="N1930" i="7"/>
  <c r="N1929" i="7"/>
  <c r="N1928" i="7"/>
  <c r="N1927" i="7"/>
  <c r="N1926" i="7"/>
  <c r="N1925" i="7"/>
  <c r="N1923" i="7"/>
  <c r="N1922" i="7"/>
  <c r="N1921" i="7"/>
  <c r="N1920" i="7"/>
  <c r="N1919" i="7"/>
  <c r="N1918" i="7"/>
  <c r="N1917" i="7"/>
  <c r="N1916" i="7"/>
  <c r="N1915" i="7"/>
  <c r="N1914" i="7"/>
  <c r="N1913" i="7"/>
  <c r="N1912" i="7"/>
  <c r="N1911" i="7"/>
  <c r="N1910" i="7"/>
  <c r="N1909" i="7"/>
  <c r="N1908" i="7"/>
  <c r="N1907" i="7"/>
  <c r="N1906" i="7"/>
  <c r="N1905" i="7"/>
  <c r="N1904" i="7"/>
  <c r="N1903" i="7"/>
  <c r="N1902" i="7"/>
  <c r="N1901" i="7"/>
  <c r="N1900" i="7"/>
  <c r="N1899" i="7"/>
  <c r="N1898" i="7"/>
  <c r="N1897" i="7"/>
  <c r="N1896" i="7"/>
  <c r="N1895" i="7"/>
  <c r="N1894" i="7"/>
  <c r="N1893" i="7"/>
  <c r="N1892" i="7"/>
  <c r="N1891" i="7"/>
  <c r="N1890" i="7"/>
  <c r="N1889" i="7"/>
  <c r="N1888" i="7"/>
  <c r="N1887" i="7"/>
  <c r="N1886" i="7"/>
  <c r="N1885" i="7"/>
  <c r="N1884" i="7"/>
  <c r="N1883" i="7"/>
  <c r="N1882" i="7"/>
  <c r="N1881" i="7"/>
  <c r="N1880" i="7"/>
  <c r="J2108" i="7"/>
  <c r="J2107" i="7"/>
  <c r="J2106" i="7"/>
  <c r="J2105" i="7"/>
  <c r="J2104" i="7"/>
  <c r="J2103" i="7"/>
  <c r="J2102" i="7"/>
  <c r="J2101" i="7"/>
  <c r="J2100" i="7"/>
  <c r="J2099" i="7"/>
  <c r="J2098" i="7"/>
  <c r="J2097" i="7"/>
  <c r="J2096" i="7"/>
  <c r="J2095" i="7"/>
  <c r="J2094" i="7"/>
  <c r="J2093" i="7"/>
  <c r="J2092" i="7"/>
  <c r="J2091" i="7"/>
  <c r="J2090" i="7"/>
  <c r="J2089" i="7"/>
  <c r="J2088" i="7"/>
  <c r="J2087" i="7"/>
  <c r="J2086" i="7"/>
  <c r="J2085" i="7"/>
  <c r="J2084" i="7"/>
  <c r="J2083" i="7"/>
  <c r="J2082" i="7"/>
  <c r="J2081" i="7"/>
  <c r="J2080" i="7"/>
  <c r="J2079" i="7"/>
  <c r="J2078" i="7"/>
  <c r="J2077" i="7"/>
  <c r="J2076" i="7"/>
  <c r="J2075" i="7"/>
  <c r="J2074" i="7"/>
  <c r="J2073" i="7"/>
  <c r="J2072" i="7"/>
  <c r="J2071" i="7"/>
  <c r="J2070" i="7"/>
  <c r="J2069" i="7"/>
  <c r="J2068" i="7"/>
  <c r="J2067" i="7"/>
  <c r="J2066" i="7"/>
  <c r="J2065" i="7"/>
  <c r="J2064" i="7"/>
  <c r="J2063" i="7"/>
  <c r="J2062" i="7"/>
  <c r="J2061" i="7"/>
  <c r="J2060" i="7"/>
  <c r="J2059" i="7"/>
  <c r="J2058" i="7"/>
  <c r="J2057" i="7"/>
  <c r="J2056" i="7"/>
  <c r="J2055" i="7"/>
  <c r="J2054" i="7"/>
  <c r="J2053" i="7"/>
  <c r="J2052" i="7"/>
  <c r="J2051" i="7"/>
  <c r="J2050" i="7"/>
  <c r="J2049" i="7"/>
  <c r="J2048" i="7"/>
  <c r="J2047" i="7"/>
  <c r="J2046" i="7"/>
  <c r="J2045" i="7"/>
  <c r="J2044" i="7"/>
  <c r="J2043" i="7"/>
  <c r="J2042" i="7"/>
  <c r="J2041" i="7"/>
  <c r="J2040" i="7"/>
  <c r="J2039" i="7"/>
  <c r="J2038" i="7"/>
  <c r="J2037" i="7"/>
  <c r="J2036" i="7"/>
  <c r="J2035" i="7"/>
  <c r="J2034" i="7"/>
  <c r="J2033" i="7"/>
  <c r="J2032" i="7"/>
  <c r="J2031" i="7"/>
  <c r="J2030" i="7"/>
  <c r="J2029" i="7"/>
  <c r="J2028" i="7"/>
  <c r="J2027" i="7"/>
  <c r="J2026" i="7"/>
  <c r="J2025" i="7"/>
  <c r="J2024" i="7"/>
  <c r="J2023" i="7"/>
  <c r="J2022" i="7"/>
  <c r="J2021" i="7"/>
  <c r="J2020" i="7"/>
  <c r="J2019" i="7"/>
  <c r="J2018" i="7"/>
  <c r="J2017" i="7"/>
  <c r="J2016" i="7"/>
  <c r="J2015" i="7"/>
  <c r="J2014" i="7"/>
  <c r="J2013" i="7"/>
  <c r="J2012" i="7"/>
  <c r="J2011" i="7"/>
  <c r="J2010" i="7"/>
  <c r="J2009" i="7"/>
  <c r="J2008" i="7"/>
  <c r="J2007" i="7"/>
  <c r="J2006" i="7"/>
  <c r="J2005" i="7"/>
  <c r="J2004" i="7"/>
  <c r="J2003" i="7"/>
  <c r="J2002" i="7"/>
  <c r="J2001" i="7"/>
  <c r="J2000" i="7"/>
  <c r="J1999" i="7"/>
  <c r="J1998" i="7"/>
  <c r="J1997" i="7"/>
  <c r="J1996" i="7"/>
  <c r="J1995" i="7"/>
  <c r="J1994" i="7"/>
  <c r="J1993" i="7"/>
  <c r="J1992" i="7"/>
  <c r="J1991" i="7"/>
  <c r="J1990" i="7"/>
  <c r="J1989" i="7"/>
  <c r="J1988" i="7"/>
  <c r="J1987" i="7"/>
  <c r="J1986" i="7"/>
  <c r="J1985" i="7"/>
  <c r="J1984" i="7"/>
  <c r="J1983" i="7"/>
  <c r="J1982" i="7"/>
  <c r="J1981" i="7"/>
  <c r="J1980" i="7"/>
  <c r="J1979" i="7"/>
  <c r="J1978" i="7"/>
  <c r="J1977" i="7"/>
  <c r="J1976" i="7"/>
  <c r="J1975" i="7"/>
  <c r="J1974" i="7"/>
  <c r="J1973" i="7"/>
  <c r="J1972" i="7"/>
  <c r="J1971" i="7"/>
  <c r="AH25" i="2" s="1"/>
  <c r="J1970" i="7"/>
  <c r="J1969" i="7"/>
  <c r="J1968" i="7"/>
  <c r="J1967" i="7"/>
  <c r="J1966" i="7"/>
  <c r="J1965" i="7"/>
  <c r="J1964" i="7"/>
  <c r="J1963" i="7"/>
  <c r="J1962" i="7"/>
  <c r="J1961" i="7"/>
  <c r="J1960" i="7"/>
  <c r="J1959" i="7"/>
  <c r="J1958" i="7"/>
  <c r="J1957" i="7"/>
  <c r="J1956" i="7"/>
  <c r="J1955" i="7"/>
  <c r="J1954" i="7"/>
  <c r="J1953" i="7"/>
  <c r="J1952" i="7"/>
  <c r="J1951" i="7"/>
  <c r="J1950" i="7"/>
  <c r="J1949" i="7"/>
  <c r="J1948" i="7"/>
  <c r="J1947" i="7"/>
  <c r="J1946" i="7"/>
  <c r="J1945" i="7"/>
  <c r="J1944" i="7"/>
  <c r="J1943" i="7"/>
  <c r="J1942" i="7"/>
  <c r="J1941" i="7"/>
  <c r="J1940" i="7"/>
  <c r="J1939" i="7"/>
  <c r="J1938" i="7"/>
  <c r="J1937" i="7"/>
  <c r="J1936" i="7"/>
  <c r="J1935" i="7"/>
  <c r="J1934" i="7"/>
  <c r="J1933" i="7"/>
  <c r="J1932" i="7"/>
  <c r="J1931" i="7"/>
  <c r="J1930" i="7"/>
  <c r="J1929" i="7"/>
  <c r="J1928" i="7"/>
  <c r="J1927" i="7"/>
  <c r="J1926" i="7"/>
  <c r="J1925" i="7"/>
  <c r="J1924" i="7"/>
  <c r="J1923" i="7"/>
  <c r="J1922" i="7"/>
  <c r="J1921" i="7"/>
  <c r="J1920" i="7"/>
  <c r="J1919" i="7"/>
  <c r="J1918" i="7"/>
  <c r="J1917" i="7"/>
  <c r="J1916" i="7"/>
  <c r="J1915" i="7"/>
  <c r="J1914" i="7"/>
  <c r="J1913" i="7"/>
  <c r="J1912" i="7"/>
  <c r="J1911" i="7"/>
  <c r="J1910" i="7"/>
  <c r="J1909" i="7"/>
  <c r="J1908" i="7"/>
  <c r="J1907" i="7"/>
  <c r="J1906" i="7"/>
  <c r="J1905" i="7"/>
  <c r="J1904" i="7"/>
  <c r="J1903" i="7"/>
  <c r="J1902" i="7"/>
  <c r="J1901" i="7"/>
  <c r="J1900" i="7"/>
  <c r="J1899" i="7"/>
  <c r="J1898" i="7"/>
  <c r="J1897" i="7"/>
  <c r="J1896" i="7"/>
  <c r="J1895" i="7"/>
  <c r="J1894" i="7"/>
  <c r="J1893" i="7"/>
  <c r="J1892" i="7"/>
  <c r="J1891" i="7"/>
  <c r="J1890" i="7"/>
  <c r="J1889" i="7"/>
  <c r="J1888" i="7"/>
  <c r="J1887" i="7"/>
  <c r="J1886" i="7"/>
  <c r="J1885" i="7"/>
  <c r="J1884" i="7"/>
  <c r="J1883" i="7"/>
  <c r="J1882" i="7"/>
  <c r="J1881" i="7"/>
  <c r="J1880" i="7"/>
  <c r="H1879" i="7"/>
  <c r="G1876" i="7"/>
  <c r="I1875" i="7"/>
  <c r="H1875" i="7"/>
  <c r="AH23" i="2" l="1"/>
  <c r="AH28" i="2"/>
  <c r="AH24" i="2"/>
  <c r="AH20" i="2"/>
  <c r="AH21" i="2"/>
  <c r="X51" i="2"/>
  <c r="Z51" i="2" s="1"/>
  <c r="X50" i="2"/>
  <c r="Z50" i="2" s="1"/>
  <c r="I14" i="15" l="1"/>
  <c r="I13" i="15"/>
  <c r="I9" i="15"/>
  <c r="I10" i="15" s="1"/>
  <c r="I15" i="15" l="1"/>
  <c r="Q2108" i="7"/>
  <c r="Q2107" i="7"/>
  <c r="Q2106" i="7"/>
  <c r="Q2105" i="7"/>
  <c r="Q2104" i="7"/>
  <c r="Q2103" i="7"/>
  <c r="Q2102" i="7"/>
  <c r="Q2101" i="7"/>
  <c r="Q2100" i="7"/>
  <c r="Q2099" i="7"/>
  <c r="Q2098" i="7"/>
  <c r="Q2097" i="7"/>
  <c r="Q2096" i="7"/>
  <c r="Q2095" i="7"/>
  <c r="Q2094" i="7"/>
  <c r="Q2093" i="7"/>
  <c r="Q2092" i="7"/>
  <c r="Q2091" i="7"/>
  <c r="Q2090" i="7"/>
  <c r="Q2089" i="7"/>
  <c r="Q2088" i="7"/>
  <c r="Q2087" i="7"/>
  <c r="Q2086" i="7"/>
  <c r="Q2085" i="7"/>
  <c r="Q2084" i="7"/>
  <c r="Q2083" i="7"/>
  <c r="Q2082" i="7"/>
  <c r="Q2081" i="7"/>
  <c r="Q2080" i="7"/>
  <c r="Q2079" i="7"/>
  <c r="Q2078" i="7"/>
  <c r="Q2077" i="7"/>
  <c r="Q2076" i="7"/>
  <c r="Q2075" i="7"/>
  <c r="Q2074" i="7"/>
  <c r="Q2073" i="7"/>
  <c r="Q2072" i="7"/>
  <c r="Q2071" i="7"/>
  <c r="Q2070" i="7"/>
  <c r="Q2069" i="7"/>
  <c r="Q2068" i="7"/>
  <c r="Q2067" i="7"/>
  <c r="Q2066" i="7"/>
  <c r="Q2065" i="7"/>
  <c r="Q2064" i="7"/>
  <c r="Q2063" i="7"/>
  <c r="Q2062" i="7"/>
  <c r="Q2061" i="7"/>
  <c r="Q2060" i="7"/>
  <c r="Q2059" i="7"/>
  <c r="Q2058" i="7"/>
  <c r="Q2057" i="7"/>
  <c r="Q2056" i="7"/>
  <c r="Q2055" i="7"/>
  <c r="Q2054" i="7"/>
  <c r="Q2053" i="7"/>
  <c r="Q2045" i="7"/>
  <c r="Q2044" i="7"/>
  <c r="Q2043" i="7"/>
  <c r="Q2042" i="7"/>
  <c r="Q2041" i="7"/>
  <c r="Q2040" i="7"/>
  <c r="Q2032" i="7"/>
  <c r="Q2031" i="7"/>
  <c r="Q2030" i="7"/>
  <c r="Q2029" i="7"/>
  <c r="Q2028" i="7"/>
  <c r="Q2011" i="7"/>
  <c r="Q2010" i="7"/>
  <c r="Q2009" i="7"/>
  <c r="Q2008" i="7"/>
  <c r="Q2007" i="7"/>
  <c r="Q2006" i="7"/>
  <c r="Q1997" i="7"/>
  <c r="Q1996" i="7"/>
  <c r="Q1995" i="7"/>
  <c r="Q1994" i="7"/>
  <c r="Q1993" i="7"/>
  <c r="Q1992" i="7"/>
  <c r="Q1991" i="7"/>
  <c r="D1983" i="7"/>
  <c r="Q1983" i="7" s="1"/>
  <c r="D1982" i="7"/>
  <c r="Q1982" i="7" s="1"/>
  <c r="D1981" i="7"/>
  <c r="Q1981" i="7" s="1"/>
  <c r="D1980" i="7"/>
  <c r="Q1980" i="7" s="1"/>
  <c r="D1979" i="7"/>
  <c r="Q1979" i="7" s="1"/>
  <c r="D1978" i="7"/>
  <c r="Q1978" i="7" s="1"/>
  <c r="D1977" i="7"/>
  <c r="D1976" i="7"/>
  <c r="D1975" i="7"/>
  <c r="D1974" i="7"/>
  <c r="D1973" i="7"/>
  <c r="D1972" i="7"/>
  <c r="D1971" i="7"/>
  <c r="D1970" i="7"/>
  <c r="D1969" i="7"/>
  <c r="Q1969" i="7" s="1"/>
  <c r="D1968" i="7"/>
  <c r="Q1968" i="7" s="1"/>
  <c r="D1967" i="7"/>
  <c r="Q1967" i="7" s="1"/>
  <c r="D1966" i="7"/>
  <c r="Q1966" i="7" s="1"/>
  <c r="D1965" i="7"/>
  <c r="Q1965" i="7" s="1"/>
  <c r="D1964" i="7"/>
  <c r="D1963" i="7"/>
  <c r="D1962" i="7"/>
  <c r="D1961" i="7"/>
  <c r="D1960" i="7"/>
  <c r="D1959" i="7"/>
  <c r="D1958" i="7"/>
  <c r="D1957" i="7"/>
  <c r="Q1957" i="7" s="1"/>
  <c r="D1956" i="7"/>
  <c r="Q1956" i="7" s="1"/>
  <c r="D1955" i="7"/>
  <c r="Q1955" i="7" s="1"/>
  <c r="D1954" i="7"/>
  <c r="D1953" i="7"/>
  <c r="D1952" i="7"/>
  <c r="D1951" i="7"/>
  <c r="D1950" i="7"/>
  <c r="D1949" i="7"/>
  <c r="D1948" i="7"/>
  <c r="D1947" i="7"/>
  <c r="D1946" i="7"/>
  <c r="Q1946" i="7" s="1"/>
  <c r="D1945" i="7"/>
  <c r="Q1945" i="7" s="1"/>
  <c r="D1944" i="7"/>
  <c r="Q1944" i="7" s="1"/>
  <c r="D1943" i="7"/>
  <c r="Q1943" i="7" s="1"/>
  <c r="D1941" i="7"/>
  <c r="D1940" i="7"/>
  <c r="D1939" i="7"/>
  <c r="D1938" i="7"/>
  <c r="D1937" i="7"/>
  <c r="D1936" i="7"/>
  <c r="Q1936" i="7" s="1"/>
  <c r="D1935" i="7"/>
  <c r="Q1935" i="7" s="1"/>
  <c r="D1934" i="7"/>
  <c r="Q1934" i="7" s="1"/>
  <c r="D1933" i="7"/>
  <c r="Q1933" i="7" s="1"/>
  <c r="D1931" i="7"/>
  <c r="Q1931" i="7" s="1"/>
  <c r="D1930" i="7"/>
  <c r="Q1930" i="7" s="1"/>
  <c r="D1929" i="7"/>
  <c r="D1928" i="7"/>
  <c r="D1927" i="7"/>
  <c r="D1926" i="7"/>
  <c r="D1925" i="7"/>
  <c r="D1924" i="7"/>
  <c r="Q1924" i="7" s="1"/>
  <c r="D1923" i="7"/>
  <c r="Q1923" i="7" s="1"/>
  <c r="D1922" i="7"/>
  <c r="Q1922" i="7" s="1"/>
  <c r="D1921" i="7"/>
  <c r="Q1921" i="7" s="1"/>
  <c r="D1920" i="7"/>
  <c r="Q1920" i="7" s="1"/>
  <c r="D1919" i="7"/>
  <c r="Q1919" i="7" s="1"/>
  <c r="D1918" i="7"/>
  <c r="Q1918" i="7" s="1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Q1901" i="7" s="1"/>
  <c r="D1900" i="7"/>
  <c r="Q1900" i="7" s="1"/>
  <c r="D1899" i="7"/>
  <c r="Q1899" i="7" s="1"/>
  <c r="D1898" i="7"/>
  <c r="Q1898" i="7" s="1"/>
  <c r="D1897" i="7"/>
  <c r="Q1897" i="7" s="1"/>
  <c r="D1896" i="7"/>
  <c r="Q1896" i="7" s="1"/>
  <c r="D1895" i="7"/>
  <c r="Q1895" i="7" s="1"/>
  <c r="D1894" i="7"/>
  <c r="Q1894" i="7" s="1"/>
  <c r="D1893" i="7"/>
  <c r="Q1893" i="7" s="1"/>
  <c r="D1892" i="7"/>
  <c r="D1891" i="7"/>
  <c r="D1890" i="7"/>
  <c r="D1889" i="7"/>
  <c r="D1888" i="7"/>
  <c r="D1887" i="7"/>
  <c r="D1886" i="7"/>
  <c r="D1885" i="7"/>
  <c r="D1884" i="7"/>
  <c r="D1883" i="7"/>
  <c r="D1881" i="7"/>
  <c r="D1880" i="7"/>
  <c r="Q1880" i="7" s="1"/>
  <c r="D1879" i="7"/>
  <c r="D1878" i="7"/>
  <c r="D1877" i="7"/>
  <c r="D1876" i="7"/>
  <c r="D1875" i="7"/>
  <c r="H1874" i="7"/>
  <c r="I1873" i="7"/>
  <c r="I1870" i="7"/>
  <c r="H1870" i="7"/>
  <c r="I1869" i="7"/>
  <c r="H1869" i="7"/>
  <c r="H1867" i="7"/>
  <c r="G1856" i="7"/>
  <c r="R66" i="2" l="1"/>
  <c r="O66" i="2"/>
  <c r="P66" i="2" s="1"/>
  <c r="J66" i="2"/>
  <c r="M66" i="2" s="1"/>
  <c r="R60" i="2"/>
  <c r="O60" i="2"/>
  <c r="P60" i="2" s="1"/>
  <c r="J60" i="2"/>
  <c r="M60" i="2" s="1"/>
  <c r="X49" i="2" l="1"/>
  <c r="Z49" i="2" s="1"/>
  <c r="X48" i="2"/>
  <c r="Z48" i="2" s="1"/>
  <c r="X47" i="2"/>
  <c r="Z47" i="2" s="1"/>
  <c r="H1854" i="7" l="1"/>
  <c r="I1851" i="7"/>
  <c r="H1851" i="7"/>
  <c r="I1850" i="7"/>
  <c r="H1850" i="7"/>
  <c r="I1847" i="7"/>
  <c r="G1839" i="7" l="1"/>
  <c r="R59" i="2"/>
  <c r="O59" i="2"/>
  <c r="P59" i="2" s="1"/>
  <c r="J59" i="2"/>
  <c r="M59" i="2" s="1"/>
  <c r="R53" i="2"/>
  <c r="O53" i="2"/>
  <c r="P53" i="2" s="1"/>
  <c r="J53" i="2"/>
  <c r="M53" i="2" s="1"/>
  <c r="R52" i="2"/>
  <c r="O52" i="2"/>
  <c r="P52" i="2" s="1"/>
  <c r="J52" i="2"/>
  <c r="M52" i="2" s="1"/>
  <c r="X46" i="2"/>
  <c r="Z46" i="2" s="1"/>
  <c r="X45" i="2"/>
  <c r="Z45" i="2" s="1"/>
  <c r="H1837" i="7"/>
  <c r="I1834" i="7"/>
  <c r="H1834" i="7"/>
  <c r="I1832" i="7"/>
  <c r="H1832" i="7"/>
  <c r="I1830" i="7"/>
  <c r="H1830" i="7"/>
  <c r="Q26" i="2" l="1"/>
  <c r="I26" i="2"/>
  <c r="G1826" i="7"/>
  <c r="Q19" i="2" l="1"/>
  <c r="I19" i="2"/>
  <c r="H1818" i="7"/>
  <c r="H1817" i="7"/>
  <c r="I1813" i="7"/>
  <c r="H1813" i="7"/>
  <c r="G1811" i="7"/>
  <c r="R56" i="2" l="1"/>
  <c r="O56" i="2"/>
  <c r="P56" i="2" s="1"/>
  <c r="J56" i="2"/>
  <c r="M56" i="2" s="1"/>
  <c r="R46" i="2"/>
  <c r="O46" i="2"/>
  <c r="P46" i="2" s="1"/>
  <c r="J46" i="2"/>
  <c r="M46" i="2" s="1"/>
  <c r="R65" i="2" l="1"/>
  <c r="O65" i="2"/>
  <c r="P65" i="2" s="1"/>
  <c r="R49" i="2"/>
  <c r="O49" i="2"/>
  <c r="P49" i="2" s="1"/>
  <c r="R48" i="2"/>
  <c r="O48" i="2"/>
  <c r="P48" i="2" s="1"/>
  <c r="R47" i="2"/>
  <c r="O47" i="2"/>
  <c r="P47" i="2" s="1"/>
  <c r="R45" i="2"/>
  <c r="O45" i="2"/>
  <c r="P45" i="2" s="1"/>
  <c r="R51" i="2"/>
  <c r="O51" i="2"/>
  <c r="P51" i="2" s="1"/>
  <c r="R63" i="2"/>
  <c r="O63" i="2"/>
  <c r="P63" i="2" s="1"/>
  <c r="R50" i="2"/>
  <c r="O50" i="2"/>
  <c r="P50" i="2" s="1"/>
  <c r="R55" i="2"/>
  <c r="O55" i="2"/>
  <c r="P55" i="2" s="1"/>
  <c r="R54" i="2"/>
  <c r="O54" i="2"/>
  <c r="P54" i="2" s="1"/>
  <c r="R44" i="2"/>
  <c r="O44" i="2"/>
  <c r="P44" i="2" s="1"/>
  <c r="R43" i="2"/>
  <c r="O43" i="2"/>
  <c r="P43" i="2" s="1"/>
  <c r="R23" i="2"/>
  <c r="R28" i="2"/>
  <c r="R20" i="2"/>
  <c r="R21" i="2"/>
  <c r="R26" i="2"/>
  <c r="R19" i="2"/>
  <c r="I1804" i="7" l="1"/>
  <c r="I1802" i="7"/>
  <c r="H1802" i="7"/>
  <c r="I1799" i="7"/>
  <c r="H1799" i="7"/>
  <c r="H1798" i="7"/>
  <c r="G1796" i="7"/>
  <c r="Q27" i="2"/>
  <c r="R27" i="2" s="1"/>
  <c r="Q29" i="2"/>
  <c r="I27" i="2"/>
  <c r="I29" i="2"/>
  <c r="H1784" i="7" l="1"/>
  <c r="H1783" i="7"/>
  <c r="H1782" i="7"/>
  <c r="G1782" i="7"/>
  <c r="I1781" i="7"/>
  <c r="H1781" i="7"/>
  <c r="I1779" i="7"/>
  <c r="I1778" i="7"/>
  <c r="H1778" i="7"/>
  <c r="J65" i="2" l="1"/>
  <c r="M65" i="2" s="1"/>
  <c r="J49" i="2"/>
  <c r="M49" i="2" s="1"/>
  <c r="J48" i="2"/>
  <c r="M48" i="2" s="1"/>
  <c r="J47" i="2"/>
  <c r="M47" i="2" s="1"/>
  <c r="I1769" i="7" l="1"/>
  <c r="I1768" i="7"/>
  <c r="I1767" i="7"/>
  <c r="H1767" i="7"/>
  <c r="H1766" i="7"/>
  <c r="G1766" i="7"/>
  <c r="H1765" i="7"/>
  <c r="G1765" i="7"/>
  <c r="Q18" i="2" l="1"/>
  <c r="R18" i="2" s="1"/>
  <c r="I18" i="2"/>
  <c r="J45" i="2" l="1"/>
  <c r="M45" i="2" s="1"/>
  <c r="Q1395" i="2" l="1"/>
  <c r="I1395" i="2"/>
  <c r="I1752" i="7"/>
  <c r="I1751" i="7"/>
  <c r="H1750" i="7"/>
  <c r="G1750" i="7"/>
  <c r="H1749" i="7"/>
  <c r="G1749" i="7"/>
  <c r="I1744" i="7"/>
  <c r="H1744" i="7"/>
  <c r="G1744" i="7"/>
  <c r="H1743" i="7"/>
  <c r="H1742" i="7"/>
  <c r="G1742" i="7"/>
  <c r="I1741" i="7"/>
  <c r="I1735" i="7" l="1"/>
  <c r="J1717" i="7" l="1"/>
  <c r="H1732" i="7" l="1"/>
  <c r="G1732" i="7"/>
  <c r="H1731" i="7"/>
  <c r="G1731" i="7"/>
  <c r="I1730" i="7"/>
  <c r="H1730" i="7"/>
  <c r="H1727" i="7"/>
  <c r="G1727" i="7"/>
  <c r="Q1397" i="2" l="1"/>
  <c r="R1397" i="2" s="1"/>
  <c r="I1397" i="2"/>
  <c r="I1725" i="7"/>
  <c r="I1722" i="7"/>
  <c r="I1721" i="7"/>
  <c r="H1715" i="7"/>
  <c r="G1715" i="7"/>
  <c r="H1714" i="7"/>
  <c r="G1714" i="7"/>
  <c r="Q1396" i="2"/>
  <c r="Q22" i="2"/>
  <c r="I1396" i="2"/>
  <c r="I22" i="2"/>
  <c r="J51" i="2" l="1"/>
  <c r="M51" i="2" s="1"/>
  <c r="J63" i="2"/>
  <c r="M63" i="2" s="1"/>
  <c r="J50" i="2"/>
  <c r="M50" i="2" s="1"/>
  <c r="J55" i="2"/>
  <c r="M55" i="2" s="1"/>
  <c r="J54" i="2"/>
  <c r="M54" i="2" s="1"/>
  <c r="X43" i="2"/>
  <c r="Z43" i="2" s="1"/>
  <c r="J43" i="2"/>
  <c r="M43" i="2" s="1"/>
  <c r="X44" i="2"/>
  <c r="Z44" i="2" s="1"/>
  <c r="J44" i="2"/>
  <c r="M44" i="2" s="1"/>
  <c r="J23" i="2" l="1"/>
  <c r="J27" i="2"/>
  <c r="M23" i="2" l="1"/>
  <c r="N23" i="2"/>
  <c r="O23" i="2" s="1"/>
  <c r="P23" i="2" s="1"/>
  <c r="M27" i="2"/>
  <c r="N27" i="2"/>
  <c r="O27" i="2" s="1"/>
  <c r="P27" i="2" s="1"/>
  <c r="E6" i="8"/>
  <c r="H1707" i="7" l="1"/>
  <c r="H1706" i="7"/>
  <c r="G1706" i="7"/>
  <c r="I1705" i="7"/>
  <c r="I1698" i="7"/>
  <c r="I1695" i="7"/>
  <c r="H1694" i="7"/>
  <c r="H1684" i="7" l="1"/>
  <c r="H1683" i="7"/>
  <c r="H1682" i="7"/>
  <c r="Q16" i="2"/>
  <c r="I16" i="2"/>
  <c r="N1678" i="7"/>
  <c r="I1605" i="7"/>
  <c r="I1662" i="7"/>
  <c r="G1661" i="7"/>
  <c r="J21" i="2" l="1"/>
  <c r="J20" i="2"/>
  <c r="N1663" i="7"/>
  <c r="J1663" i="7"/>
  <c r="D1663" i="7"/>
  <c r="M20" i="2" l="1"/>
  <c r="N20" i="2"/>
  <c r="O20" i="2" s="1"/>
  <c r="P20" i="2" s="1"/>
  <c r="M21" i="2"/>
  <c r="N21" i="2"/>
  <c r="O21" i="2" s="1"/>
  <c r="P21" i="2" s="1"/>
  <c r="AA23" i="2"/>
  <c r="AA63" i="2"/>
  <c r="AA50" i="2"/>
  <c r="AA55" i="2"/>
  <c r="AA54" i="2"/>
  <c r="AA21" i="2"/>
  <c r="AA20" i="2"/>
  <c r="AA28" i="2"/>
  <c r="AA1397" i="2"/>
  <c r="AB1397" i="2" s="1"/>
  <c r="AA19" i="2"/>
  <c r="AA18" i="2"/>
  <c r="AA1396" i="2"/>
  <c r="AB1396" i="2" s="1"/>
  <c r="AA1395" i="2"/>
  <c r="AA42" i="2"/>
  <c r="AA34" i="2"/>
  <c r="AA41" i="2"/>
  <c r="AA40" i="2"/>
  <c r="AA39" i="2"/>
  <c r="AA38" i="2"/>
  <c r="AA37" i="2"/>
  <c r="AA16" i="2"/>
  <c r="AB16" i="2" s="1"/>
  <c r="AA25" i="2"/>
  <c r="AA24" i="2"/>
  <c r="AA1389" i="2"/>
  <c r="AB1389" i="2" s="1"/>
  <c r="AA1394" i="2"/>
  <c r="AB1394" i="2" s="1"/>
  <c r="AA17" i="2"/>
  <c r="AB17" i="2" s="1"/>
  <c r="AA1390" i="2"/>
  <c r="AB1390" i="2" s="1"/>
  <c r="AA1393" i="2"/>
  <c r="AB1393" i="2" s="1"/>
  <c r="AA1385" i="2"/>
  <c r="AB1385" i="2" s="1"/>
  <c r="AA1382" i="2"/>
  <c r="AB1382" i="2" s="1"/>
  <c r="AA1379" i="2"/>
  <c r="AB1379" i="2" s="1"/>
  <c r="AA1378" i="2"/>
  <c r="AB1378" i="2" s="1"/>
  <c r="AA1377" i="2"/>
  <c r="AB1377" i="2" s="1"/>
  <c r="AA1376" i="2"/>
  <c r="AB1376" i="2" s="1"/>
  <c r="AA1375" i="2"/>
  <c r="AB1375" i="2" s="1"/>
  <c r="AA1374" i="2"/>
  <c r="AB1374" i="2" s="1"/>
  <c r="H1671" i="7" l="1"/>
  <c r="H1670" i="7"/>
  <c r="J26" i="2" l="1"/>
  <c r="M26" i="2" l="1"/>
  <c r="N26" i="2"/>
  <c r="O26" i="2" s="1"/>
  <c r="P26" i="2" s="1"/>
  <c r="G8" i="8"/>
  <c r="J10" i="8" s="1" a="1"/>
  <c r="H1657" i="7"/>
  <c r="H1656" i="7"/>
  <c r="G1646" i="7"/>
  <c r="O18" i="8" l="1"/>
  <c r="O10" i="8"/>
  <c r="O17" i="8"/>
  <c r="O16" i="8"/>
  <c r="O15" i="8"/>
  <c r="O14" i="8"/>
  <c r="O13" i="8"/>
  <c r="O19" i="8"/>
  <c r="O12" i="8"/>
  <c r="O20" i="8"/>
  <c r="O11" i="8"/>
  <c r="W20" i="8"/>
  <c r="X20" i="8"/>
  <c r="V20" i="8"/>
  <c r="L20" i="8"/>
  <c r="J10" i="8"/>
  <c r="Y20" i="8" l="1"/>
  <c r="Q20" i="8" s="1"/>
  <c r="R20" i="8" l="1"/>
  <c r="P20" i="8"/>
  <c r="I1643" i="7"/>
  <c r="H1641" i="7"/>
  <c r="G1641" i="7"/>
  <c r="H1640" i="7"/>
  <c r="H1639" i="7"/>
  <c r="I1637" i="7"/>
  <c r="Q1394" i="2" l="1"/>
  <c r="I1394" i="2"/>
  <c r="Q17" i="2" l="1"/>
  <c r="I17" i="2"/>
  <c r="I1619" i="7" l="1"/>
  <c r="I1618" i="7"/>
  <c r="H1617" i="7"/>
  <c r="Z1373" i="2"/>
  <c r="Z1372" i="2"/>
  <c r="Z1371" i="2"/>
  <c r="Z1370" i="2"/>
  <c r="Z1369" i="2"/>
  <c r="Z1368" i="2"/>
  <c r="Z1367" i="2"/>
  <c r="Z1366" i="2"/>
  <c r="Z1365" i="2"/>
  <c r="Z1364" i="2"/>
  <c r="Z1363" i="2"/>
  <c r="Z1362" i="2"/>
  <c r="Z1361" i="2"/>
  <c r="Z1360" i="2"/>
  <c r="Z1359" i="2"/>
  <c r="Z1358" i="2"/>
  <c r="Z1357" i="2"/>
  <c r="Z1356" i="2"/>
  <c r="Z1355" i="2"/>
  <c r="Z1354" i="2"/>
  <c r="Z1353" i="2"/>
  <c r="Z1352" i="2"/>
  <c r="Z1351" i="2"/>
  <c r="Z1350" i="2"/>
  <c r="Z1349" i="2"/>
  <c r="Z1348" i="2"/>
  <c r="Z1347" i="2"/>
  <c r="Z1346" i="2"/>
  <c r="Z1345" i="2"/>
  <c r="Z1344" i="2"/>
  <c r="Z1343" i="2"/>
  <c r="Z1342" i="2"/>
  <c r="Z1341" i="2"/>
  <c r="Z1340" i="2"/>
  <c r="Z1339" i="2"/>
  <c r="Z1338" i="2"/>
  <c r="Z1337" i="2"/>
  <c r="Z1336" i="2"/>
  <c r="Z1335" i="2"/>
  <c r="Z1334" i="2"/>
  <c r="Z1333" i="2"/>
  <c r="Z1332" i="2"/>
  <c r="Z1331" i="2"/>
  <c r="Z1330" i="2"/>
  <c r="Z1329" i="2"/>
  <c r="Z1328" i="2"/>
  <c r="Z1327" i="2"/>
  <c r="Z1326" i="2"/>
  <c r="Z1325" i="2"/>
  <c r="Z1324" i="2"/>
  <c r="Z1323" i="2"/>
  <c r="Z1322" i="2"/>
  <c r="Z1321" i="2"/>
  <c r="Z1320" i="2"/>
  <c r="Z1319" i="2"/>
  <c r="Z1318" i="2"/>
  <c r="Z1317" i="2"/>
  <c r="Z1316" i="2"/>
  <c r="Z1315" i="2"/>
  <c r="Z1314" i="2"/>
  <c r="Z1313" i="2"/>
  <c r="Z1312" i="2"/>
  <c r="Z1311" i="2"/>
  <c r="Z1310" i="2"/>
  <c r="Z1309" i="2"/>
  <c r="Z1308" i="2"/>
  <c r="Z1307" i="2"/>
  <c r="Z1306" i="2"/>
  <c r="Z1305" i="2"/>
  <c r="Z1304" i="2"/>
  <c r="Z1303" i="2"/>
  <c r="Z1302" i="2"/>
  <c r="Z1301" i="2"/>
  <c r="Z1300" i="2"/>
  <c r="Z1299" i="2"/>
  <c r="Z1298" i="2"/>
  <c r="Z1297" i="2"/>
  <c r="Z1296" i="2"/>
  <c r="Z1295" i="2"/>
  <c r="Z1294" i="2"/>
  <c r="Z1293" i="2"/>
  <c r="Z1292" i="2"/>
  <c r="Z1291" i="2"/>
  <c r="Z1290" i="2"/>
  <c r="Z1289" i="2"/>
  <c r="Z1288" i="2"/>
  <c r="Z1287" i="2"/>
  <c r="Z1286" i="2"/>
  <c r="Z1285" i="2"/>
  <c r="Z1284" i="2"/>
  <c r="Z1283" i="2"/>
  <c r="Z1282" i="2"/>
  <c r="Z1281" i="2"/>
  <c r="Z1280" i="2"/>
  <c r="Z1279" i="2"/>
  <c r="Z1278" i="2"/>
  <c r="Z1277" i="2"/>
  <c r="Z1276" i="2"/>
  <c r="Z1275" i="2"/>
  <c r="Z1274" i="2"/>
  <c r="Z1273" i="2"/>
  <c r="Z1272" i="2"/>
  <c r="Z1271" i="2"/>
  <c r="Z1270" i="2"/>
  <c r="Z1269" i="2"/>
  <c r="Z1268" i="2"/>
  <c r="Z1267" i="2"/>
  <c r="Z1266" i="2"/>
  <c r="Z1265" i="2"/>
  <c r="Z1264" i="2"/>
  <c r="Z1263" i="2"/>
  <c r="Z1262" i="2"/>
  <c r="Z1261" i="2"/>
  <c r="Z1260" i="2"/>
  <c r="Z1239" i="2"/>
  <c r="Z1238" i="2"/>
  <c r="Z1237" i="2"/>
  <c r="Z1236" i="2"/>
  <c r="Z1235" i="2"/>
  <c r="Z1234" i="2"/>
  <c r="Z1233" i="2"/>
  <c r="Z1232" i="2"/>
  <c r="Z1231" i="2"/>
  <c r="Z1230" i="2"/>
  <c r="Z1229" i="2"/>
  <c r="Z1228" i="2"/>
  <c r="Z1227" i="2"/>
  <c r="Z1226" i="2"/>
  <c r="Z1225" i="2"/>
  <c r="Z1224" i="2"/>
  <c r="Z1223" i="2"/>
  <c r="Z1222" i="2"/>
  <c r="Z1221" i="2"/>
  <c r="Z1220" i="2"/>
  <c r="Z1219" i="2"/>
  <c r="Z1218" i="2"/>
  <c r="Z1217" i="2"/>
  <c r="Z1216" i="2"/>
  <c r="Z1215" i="2"/>
  <c r="Z1214" i="2"/>
  <c r="Z1213" i="2"/>
  <c r="Z1212" i="2"/>
  <c r="Z1211" i="2"/>
  <c r="Z1210" i="2"/>
  <c r="Z1209" i="2"/>
  <c r="Z1208" i="2"/>
  <c r="Z1207" i="2"/>
  <c r="Z1206" i="2"/>
  <c r="Z1205" i="2"/>
  <c r="Z1204" i="2"/>
  <c r="Z1203" i="2"/>
  <c r="Z1202" i="2"/>
  <c r="Z1201" i="2"/>
  <c r="Z1200" i="2"/>
  <c r="Z1199" i="2"/>
  <c r="Z1198" i="2"/>
  <c r="Z1197" i="2"/>
  <c r="Z1196" i="2"/>
  <c r="Z1195" i="2"/>
  <c r="Z1194" i="2"/>
  <c r="Z1193" i="2"/>
  <c r="Z1192" i="2"/>
  <c r="Z1191" i="2"/>
  <c r="Z1190" i="2"/>
  <c r="Z1189" i="2"/>
  <c r="Z1188" i="2"/>
  <c r="Z1187" i="2"/>
  <c r="Z1186" i="2"/>
  <c r="Z1185" i="2"/>
  <c r="Z1184" i="2"/>
  <c r="Z1183" i="2"/>
  <c r="Z1182" i="2"/>
  <c r="Z1181" i="2"/>
  <c r="Z1180" i="2"/>
  <c r="Z1179" i="2"/>
  <c r="Z1178" i="2"/>
  <c r="Z1177" i="2"/>
  <c r="Z1176" i="2"/>
  <c r="Z1175" i="2"/>
  <c r="Z1174" i="2"/>
  <c r="Z1173" i="2"/>
  <c r="Z1172" i="2"/>
  <c r="Z1171" i="2"/>
  <c r="Z1170" i="2"/>
  <c r="Z1169" i="2"/>
  <c r="Z1168" i="2"/>
  <c r="Z1167" i="2"/>
  <c r="Z1166" i="2"/>
  <c r="Z1165" i="2"/>
  <c r="Z1164" i="2"/>
  <c r="Z1163" i="2"/>
  <c r="Z1162" i="2"/>
  <c r="Z1161" i="2"/>
  <c r="Z1160" i="2"/>
  <c r="Z1159" i="2"/>
  <c r="Z1158" i="2"/>
  <c r="Z1157" i="2"/>
  <c r="Z1156" i="2"/>
  <c r="Z1155" i="2"/>
  <c r="Z1154" i="2"/>
  <c r="Z1153" i="2"/>
  <c r="Z1152" i="2"/>
  <c r="Z1151" i="2"/>
  <c r="Z1150" i="2"/>
  <c r="Z1149" i="2"/>
  <c r="Z1148" i="2"/>
  <c r="Z1147" i="2"/>
  <c r="Z1146" i="2"/>
  <c r="Z1145" i="2"/>
  <c r="Z1144" i="2"/>
  <c r="Z1143" i="2"/>
  <c r="Z1142" i="2"/>
  <c r="Z1141" i="2"/>
  <c r="Z1140" i="2"/>
  <c r="Z1139" i="2"/>
  <c r="Z1138" i="2"/>
  <c r="Z1137" i="2"/>
  <c r="Z1136" i="2"/>
  <c r="Z1135" i="2"/>
  <c r="Z1134" i="2"/>
  <c r="Z1133" i="2"/>
  <c r="Z1132" i="2"/>
  <c r="Z1131" i="2"/>
  <c r="Z1130" i="2"/>
  <c r="Z1129" i="2"/>
  <c r="Z1128" i="2"/>
  <c r="Z1127" i="2"/>
  <c r="Z1126" i="2"/>
  <c r="Z1125" i="2"/>
  <c r="Z1124" i="2"/>
  <c r="Z1123" i="2"/>
  <c r="Z1122" i="2"/>
  <c r="Z1121" i="2"/>
  <c r="Z1120" i="2"/>
  <c r="Z1119" i="2"/>
  <c r="Z1118" i="2"/>
  <c r="Z1117" i="2"/>
  <c r="Z1116" i="2"/>
  <c r="Z1115" i="2"/>
  <c r="Z1114" i="2"/>
  <c r="Z1113" i="2"/>
  <c r="Z1112" i="2"/>
  <c r="Z1111" i="2"/>
  <c r="Z1110" i="2"/>
  <c r="Z1109" i="2"/>
  <c r="Z1108" i="2"/>
  <c r="Z1107" i="2"/>
  <c r="Z1106" i="2"/>
  <c r="Z1105" i="2"/>
  <c r="Z1104" i="2"/>
  <c r="Z1103" i="2"/>
  <c r="Z1102" i="2"/>
  <c r="Z1101" i="2"/>
  <c r="Z1100" i="2"/>
  <c r="Z1099" i="2"/>
  <c r="Z1098" i="2"/>
  <c r="Z1097" i="2"/>
  <c r="Z1096" i="2"/>
  <c r="Z1095" i="2"/>
  <c r="Z1094" i="2"/>
  <c r="Z1093" i="2"/>
  <c r="Z1092" i="2"/>
  <c r="Z1091" i="2"/>
  <c r="Z1090" i="2"/>
  <c r="Z1089" i="2"/>
  <c r="Z1088" i="2"/>
  <c r="Z1087" i="2"/>
  <c r="Z1086" i="2"/>
  <c r="Z1085" i="2"/>
  <c r="Z1084" i="2"/>
  <c r="Z1083" i="2"/>
  <c r="Z1082" i="2"/>
  <c r="Z1081" i="2"/>
  <c r="Z1080" i="2"/>
  <c r="Z1079" i="2"/>
  <c r="Z1078" i="2"/>
  <c r="Z1077" i="2"/>
  <c r="Z1076" i="2"/>
  <c r="Z1075" i="2"/>
  <c r="Z1074" i="2"/>
  <c r="Z1073" i="2"/>
  <c r="Z1072" i="2"/>
  <c r="Z1071" i="2"/>
  <c r="Z1070" i="2"/>
  <c r="Z1069" i="2"/>
  <c r="Z1068" i="2"/>
  <c r="Z1067" i="2"/>
  <c r="Z1066" i="2"/>
  <c r="Z1065" i="2"/>
  <c r="Z1064" i="2"/>
  <c r="Z1063" i="2"/>
  <c r="Z1062" i="2"/>
  <c r="Z1061" i="2"/>
  <c r="Z1060" i="2"/>
  <c r="Z1059" i="2"/>
  <c r="Z1058" i="2"/>
  <c r="Z1057" i="2"/>
  <c r="Z1056" i="2"/>
  <c r="Z1055" i="2"/>
  <c r="Z1054" i="2"/>
  <c r="Z1053" i="2"/>
  <c r="Z1052" i="2"/>
  <c r="Z1051" i="2"/>
  <c r="Z1050" i="2"/>
  <c r="Z1049" i="2"/>
  <c r="Z1048" i="2"/>
  <c r="Z1047" i="2"/>
  <c r="Z1046" i="2"/>
  <c r="Z1045" i="2"/>
  <c r="Z1044" i="2"/>
  <c r="Z1043" i="2"/>
  <c r="Z1042" i="2"/>
  <c r="Z1041" i="2"/>
  <c r="Z1040" i="2"/>
  <c r="Z1039" i="2"/>
  <c r="Z1038" i="2"/>
  <c r="Z1037" i="2"/>
  <c r="Z1036" i="2"/>
  <c r="Z1018" i="2"/>
  <c r="Z1017" i="2"/>
  <c r="Z1016" i="2"/>
  <c r="Z1015" i="2"/>
  <c r="Z1014" i="2"/>
  <c r="Z1013" i="2"/>
  <c r="Z1012" i="2"/>
  <c r="Z1011" i="2"/>
  <c r="Z1010" i="2"/>
  <c r="Z1009" i="2"/>
  <c r="Z1008" i="2"/>
  <c r="Z1007" i="2"/>
  <c r="Z1006" i="2"/>
  <c r="Z1005" i="2"/>
  <c r="Z1004" i="2"/>
  <c r="Z1003" i="2"/>
  <c r="Z1002" i="2"/>
  <c r="Z1001" i="2"/>
  <c r="Z1000" i="2"/>
  <c r="Z999" i="2"/>
  <c r="Z998" i="2"/>
  <c r="Z997" i="2"/>
  <c r="Z996" i="2"/>
  <c r="Z995" i="2"/>
  <c r="Z994" i="2"/>
  <c r="Z993" i="2"/>
  <c r="Z992" i="2"/>
  <c r="Z991" i="2"/>
  <c r="Z990" i="2"/>
  <c r="Z989" i="2"/>
  <c r="Z988" i="2"/>
  <c r="Z987" i="2"/>
  <c r="Z986" i="2"/>
  <c r="Z985" i="2"/>
  <c r="Z984" i="2"/>
  <c r="Z983" i="2"/>
  <c r="Z982" i="2"/>
  <c r="Z981" i="2"/>
  <c r="Z980" i="2"/>
  <c r="Z979" i="2"/>
  <c r="Z978" i="2"/>
  <c r="Z977" i="2"/>
  <c r="Z976" i="2"/>
  <c r="Z975" i="2"/>
  <c r="Z974" i="2"/>
  <c r="Z973" i="2"/>
  <c r="Z972" i="2"/>
  <c r="Z971" i="2"/>
  <c r="Z970" i="2"/>
  <c r="Z969" i="2"/>
  <c r="Z968" i="2"/>
  <c r="Z967" i="2"/>
  <c r="Z966" i="2"/>
  <c r="Z965" i="2"/>
  <c r="Z964" i="2"/>
  <c r="Z963" i="2"/>
  <c r="Z962" i="2"/>
  <c r="Z961" i="2"/>
  <c r="Z960" i="2"/>
  <c r="Z959" i="2"/>
  <c r="Z958" i="2"/>
  <c r="Z957" i="2"/>
  <c r="Z956" i="2"/>
  <c r="Z955" i="2"/>
  <c r="Z954" i="2"/>
  <c r="Z953" i="2"/>
  <c r="Z952" i="2"/>
  <c r="Z951" i="2"/>
  <c r="Z950" i="2"/>
  <c r="Z949" i="2"/>
  <c r="Z948" i="2"/>
  <c r="Z947" i="2"/>
  <c r="Z946" i="2"/>
  <c r="Z945" i="2"/>
  <c r="Z944" i="2"/>
  <c r="Z943" i="2"/>
  <c r="Z942" i="2"/>
  <c r="Z941" i="2"/>
  <c r="Z940" i="2"/>
  <c r="Z939" i="2"/>
  <c r="Z938" i="2"/>
  <c r="Z937" i="2"/>
  <c r="Z936" i="2"/>
  <c r="Z935" i="2"/>
  <c r="Z934" i="2"/>
  <c r="Z933" i="2"/>
  <c r="Z932" i="2"/>
  <c r="Z931" i="2"/>
  <c r="Z930" i="2"/>
  <c r="Z929" i="2"/>
  <c r="Z928" i="2"/>
  <c r="Z927" i="2"/>
  <c r="Z926" i="2"/>
  <c r="Z925" i="2"/>
  <c r="Z924" i="2"/>
  <c r="Z923" i="2"/>
  <c r="Z922" i="2"/>
  <c r="Z921" i="2"/>
  <c r="Z920" i="2"/>
  <c r="Z919" i="2"/>
  <c r="Z918" i="2"/>
  <c r="Z917" i="2"/>
  <c r="Z916" i="2"/>
  <c r="Z915" i="2"/>
  <c r="Z914" i="2"/>
  <c r="Z913" i="2"/>
  <c r="Z912" i="2"/>
  <c r="Z911" i="2"/>
  <c r="Z910" i="2"/>
  <c r="Z909" i="2"/>
  <c r="Z908" i="2"/>
  <c r="Z907" i="2"/>
  <c r="Z906" i="2"/>
  <c r="Z905" i="2"/>
  <c r="Z904" i="2"/>
  <c r="Z903" i="2"/>
  <c r="Z902" i="2"/>
  <c r="Z901" i="2"/>
  <c r="Z900" i="2"/>
  <c r="Z899" i="2"/>
  <c r="Z898" i="2"/>
  <c r="Z897" i="2"/>
  <c r="Z896" i="2"/>
  <c r="Z895" i="2"/>
  <c r="Z894" i="2"/>
  <c r="Z893" i="2"/>
  <c r="Z892" i="2"/>
  <c r="Z891" i="2"/>
  <c r="Z890" i="2"/>
  <c r="Z889" i="2"/>
  <c r="Z888" i="2"/>
  <c r="Z887" i="2"/>
  <c r="Z886" i="2"/>
  <c r="Z885" i="2"/>
  <c r="Z884" i="2"/>
  <c r="Z883" i="2"/>
  <c r="Z882" i="2"/>
  <c r="Z881" i="2"/>
  <c r="Z880" i="2"/>
  <c r="Z879" i="2"/>
  <c r="Z878" i="2"/>
  <c r="Z877" i="2"/>
  <c r="Z876" i="2"/>
  <c r="Z875" i="2"/>
  <c r="Z874" i="2"/>
  <c r="Z873" i="2"/>
  <c r="Z872" i="2"/>
  <c r="Z871" i="2"/>
  <c r="Z870" i="2"/>
  <c r="Z869" i="2"/>
  <c r="Z868" i="2"/>
  <c r="Z867" i="2"/>
  <c r="Z866" i="2"/>
  <c r="Z865" i="2"/>
  <c r="Z864" i="2"/>
  <c r="Z863" i="2"/>
  <c r="Z862" i="2"/>
  <c r="Z861" i="2"/>
  <c r="Z860" i="2"/>
  <c r="Z859" i="2"/>
  <c r="Z858" i="2"/>
  <c r="Z857" i="2"/>
  <c r="Z856" i="2"/>
  <c r="Z855" i="2"/>
  <c r="Z854" i="2"/>
  <c r="Z853" i="2"/>
  <c r="Z852" i="2"/>
  <c r="Z851" i="2"/>
  <c r="Z850" i="2"/>
  <c r="Z849" i="2"/>
  <c r="Z848" i="2"/>
  <c r="Z847" i="2"/>
  <c r="Z846" i="2"/>
  <c r="Z845" i="2"/>
  <c r="Z844" i="2"/>
  <c r="Z843" i="2"/>
  <c r="Z842" i="2"/>
  <c r="Z841" i="2"/>
  <c r="Z840" i="2"/>
  <c r="Z839" i="2"/>
  <c r="Z838" i="2"/>
  <c r="Z837" i="2"/>
  <c r="Z836" i="2"/>
  <c r="Z835" i="2"/>
  <c r="Z834" i="2"/>
  <c r="Z833" i="2"/>
  <c r="Z832" i="2"/>
  <c r="Z831" i="2"/>
  <c r="Z830" i="2"/>
  <c r="Z829" i="2"/>
  <c r="Z828" i="2"/>
  <c r="Z827" i="2"/>
  <c r="Z826" i="2"/>
  <c r="Z825" i="2"/>
  <c r="Z824" i="2"/>
  <c r="Z823" i="2"/>
  <c r="Z822" i="2"/>
  <c r="Z821" i="2"/>
  <c r="Z820" i="2"/>
  <c r="Z819" i="2"/>
  <c r="Z818" i="2"/>
  <c r="Z817" i="2"/>
  <c r="Z816" i="2"/>
  <c r="Z815" i="2"/>
  <c r="Z814" i="2"/>
  <c r="Z813" i="2"/>
  <c r="Z812" i="2"/>
  <c r="Z811" i="2"/>
  <c r="Z810" i="2"/>
  <c r="Z809" i="2"/>
  <c r="Z808" i="2"/>
  <c r="Z807" i="2"/>
  <c r="Z806" i="2"/>
  <c r="Z805" i="2"/>
  <c r="Z804" i="2"/>
  <c r="Z803" i="2"/>
  <c r="Z802" i="2"/>
  <c r="Z801" i="2"/>
  <c r="Z800" i="2"/>
  <c r="Z799" i="2"/>
  <c r="Z798" i="2"/>
  <c r="Z797" i="2"/>
  <c r="Z796" i="2"/>
  <c r="Z795" i="2"/>
  <c r="Z794" i="2"/>
  <c r="Z793" i="2"/>
  <c r="Z792" i="2"/>
  <c r="Z791" i="2"/>
  <c r="Z790" i="2"/>
  <c r="Z789" i="2"/>
  <c r="Z788" i="2"/>
  <c r="Z787" i="2"/>
  <c r="Z786" i="2"/>
  <c r="Z785" i="2"/>
  <c r="Z784" i="2"/>
  <c r="Z783" i="2"/>
  <c r="Z782" i="2"/>
  <c r="Z781" i="2"/>
  <c r="Z780" i="2"/>
  <c r="Z779" i="2"/>
  <c r="Z778" i="2"/>
  <c r="Z777" i="2"/>
  <c r="Z776" i="2"/>
  <c r="Z775" i="2"/>
  <c r="Z774" i="2"/>
  <c r="Z773" i="2"/>
  <c r="Z772" i="2"/>
  <c r="Z771" i="2"/>
  <c r="Z770" i="2"/>
  <c r="Z769" i="2"/>
  <c r="Z768" i="2"/>
  <c r="Z767" i="2"/>
  <c r="Z766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Z732" i="2"/>
  <c r="Z731" i="2"/>
  <c r="Z730" i="2"/>
  <c r="Z729" i="2"/>
  <c r="Z728" i="2"/>
  <c r="Z727" i="2"/>
  <c r="Z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G1597" i="7" l="1"/>
  <c r="I1594" i="7"/>
  <c r="I1591" i="7"/>
  <c r="J28" i="2"/>
  <c r="M28" i="2" l="1"/>
  <c r="N28" i="2"/>
  <c r="O28" i="2" s="1"/>
  <c r="P28" i="2" s="1"/>
  <c r="J1397" i="2"/>
  <c r="J19" i="2"/>
  <c r="J18" i="2"/>
  <c r="M19" i="2" l="1"/>
  <c r="N19" i="2"/>
  <c r="O19" i="2" s="1"/>
  <c r="P19" i="2" s="1"/>
  <c r="M18" i="2"/>
  <c r="N18" i="2"/>
  <c r="O18" i="2" s="1"/>
  <c r="P18" i="2" s="1"/>
  <c r="M1397" i="2"/>
  <c r="N1397" i="2"/>
  <c r="O1397" i="2" s="1"/>
  <c r="P1397" i="2" s="1"/>
  <c r="O42" i="2"/>
  <c r="P42" i="2" s="1"/>
  <c r="O34" i="2"/>
  <c r="P34" i="2" s="1"/>
  <c r="O41" i="2"/>
  <c r="P41" i="2" s="1"/>
  <c r="R1396" i="2"/>
  <c r="R1395" i="2"/>
  <c r="R42" i="2"/>
  <c r="Q1398" i="2" l="1"/>
  <c r="I1398" i="2"/>
  <c r="I1575" i="7"/>
  <c r="H1575" i="7"/>
  <c r="I1574" i="7"/>
  <c r="H1573" i="7"/>
  <c r="D1574" i="7"/>
  <c r="D1573" i="7"/>
  <c r="J1396" i="2" l="1"/>
  <c r="J1395" i="2"/>
  <c r="M1395" i="2" l="1"/>
  <c r="N1395" i="2"/>
  <c r="O1395" i="2" s="1"/>
  <c r="P1395" i="2" s="1"/>
  <c r="M1396" i="2"/>
  <c r="N1396" i="2"/>
  <c r="O1396" i="2" s="1"/>
  <c r="P1396" i="2" s="1"/>
  <c r="N1558" i="7"/>
  <c r="J1558" i="7"/>
  <c r="D1558" i="7"/>
  <c r="G1563" i="7"/>
  <c r="H1559" i="7"/>
  <c r="Y50" i="2" l="1"/>
  <c r="Y55" i="2"/>
  <c r="Y54" i="2"/>
  <c r="Y1397" i="2"/>
  <c r="Y19" i="2"/>
  <c r="Y18" i="2"/>
  <c r="Y28" i="2"/>
  <c r="J42" i="2" l="1"/>
  <c r="M42" i="2" s="1"/>
  <c r="X42" i="2"/>
  <c r="Z42" i="2" s="1"/>
  <c r="D26" i="14" l="1"/>
  <c r="I1535" i="7"/>
  <c r="Q15" i="2" l="1"/>
  <c r="I15" i="2"/>
  <c r="Q1389" i="2"/>
  <c r="I1389" i="2" l="1"/>
  <c r="Q1386" i="2" l="1"/>
  <c r="Q1392" i="2"/>
  <c r="I1386" i="2" l="1"/>
  <c r="I1392" i="2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Q1391" i="2" l="1"/>
  <c r="I1391" i="2"/>
  <c r="N1503" i="7"/>
  <c r="J1503" i="7"/>
  <c r="D1503" i="7"/>
  <c r="X34" i="2" l="1"/>
  <c r="Z34" i="2" s="1"/>
  <c r="X41" i="2"/>
  <c r="Z41" i="2" s="1"/>
  <c r="R34" i="2"/>
  <c r="J34" i="2"/>
  <c r="M34" i="2" s="1"/>
  <c r="R41" i="2"/>
  <c r="J41" i="2"/>
  <c r="M41" i="2" s="1"/>
  <c r="J1394" i="2" l="1"/>
  <c r="J17" i="2"/>
  <c r="R1394" i="2"/>
  <c r="R17" i="2"/>
  <c r="M1394" i="2" l="1"/>
  <c r="N1394" i="2"/>
  <c r="O1394" i="2" s="1"/>
  <c r="P1394" i="2" s="1"/>
  <c r="M17" i="2"/>
  <c r="N17" i="2"/>
  <c r="O17" i="2" s="1"/>
  <c r="P17" i="2" s="1"/>
  <c r="D1508" i="7"/>
  <c r="D1509" i="7"/>
  <c r="D1510" i="7"/>
  <c r="D1511" i="7"/>
  <c r="D1512" i="7"/>
  <c r="D1514" i="7"/>
  <c r="D1515" i="7"/>
  <c r="D1516" i="7"/>
  <c r="I1489" i="7"/>
  <c r="H1489" i="7"/>
  <c r="H1488" i="7"/>
  <c r="G1488" i="7"/>
  <c r="I1485" i="7"/>
  <c r="H1484" i="7"/>
  <c r="G1484" i="7"/>
  <c r="I1483" i="7"/>
  <c r="H1483" i="7"/>
  <c r="H1481" i="7"/>
  <c r="H1480" i="7"/>
  <c r="G1480" i="7"/>
  <c r="I1479" i="7"/>
  <c r="H1479" i="7"/>
  <c r="H1478" i="7"/>
  <c r="H1475" i="7"/>
  <c r="I1470" i="7"/>
  <c r="H1470" i="7"/>
  <c r="H1467" i="7"/>
  <c r="H1463" i="7"/>
  <c r="I1463" i="7"/>
  <c r="I1462" i="7"/>
  <c r="H1460" i="7"/>
  <c r="H1457" i="7"/>
  <c r="H1454" i="7"/>
  <c r="H1452" i="7"/>
  <c r="H1451" i="7"/>
  <c r="H1413" i="7" l="1"/>
  <c r="Q1388" i="2" l="1"/>
  <c r="I1388" i="2"/>
  <c r="H1437" i="7" l="1"/>
  <c r="H1432" i="7"/>
  <c r="I1431" i="7"/>
  <c r="H1428" i="7"/>
  <c r="J1427" i="7"/>
  <c r="H1424" i="7"/>
  <c r="H1422" i="7"/>
  <c r="H1417" i="7"/>
  <c r="H1416" i="7"/>
  <c r="R1389" i="2" l="1"/>
  <c r="R1398" i="2"/>
  <c r="H1415" i="7" l="1"/>
  <c r="H1414" i="7"/>
  <c r="Q1393" i="2"/>
  <c r="I1393" i="2"/>
  <c r="J1398" i="2" l="1"/>
  <c r="M1398" i="2" l="1"/>
  <c r="N1398" i="2"/>
  <c r="O1398" i="2" s="1"/>
  <c r="P1398" i="2" s="1"/>
  <c r="H1399" i="7"/>
  <c r="H1398" i="7"/>
  <c r="I1397" i="7"/>
  <c r="I1395" i="7"/>
  <c r="I1394" i="7"/>
  <c r="Q1387" i="2" l="1"/>
  <c r="Q1390" i="2"/>
  <c r="I1387" i="2"/>
  <c r="I1390" i="2"/>
  <c r="I1380" i="7"/>
  <c r="H1380" i="7"/>
  <c r="H1379" i="7"/>
  <c r="G1379" i="7"/>
  <c r="H1376" i="7"/>
  <c r="I1373" i="7"/>
  <c r="I1372" i="7"/>
  <c r="H1372" i="7"/>
  <c r="P1879" i="7"/>
  <c r="N1879" i="7"/>
  <c r="J1879" i="7"/>
  <c r="P1878" i="7"/>
  <c r="N1878" i="7"/>
  <c r="J1878" i="7"/>
  <c r="P1877" i="7"/>
  <c r="N1877" i="7"/>
  <c r="J1877" i="7"/>
  <c r="P1876" i="7"/>
  <c r="N1876" i="7"/>
  <c r="J1876" i="7"/>
  <c r="P1875" i="7"/>
  <c r="N1875" i="7"/>
  <c r="J1875" i="7"/>
  <c r="P1874" i="7"/>
  <c r="N1874" i="7"/>
  <c r="J1874" i="7"/>
  <c r="D1874" i="7"/>
  <c r="P1873" i="7"/>
  <c r="N1873" i="7"/>
  <c r="J1873" i="7"/>
  <c r="D1873" i="7"/>
  <c r="P1872" i="7"/>
  <c r="N1872" i="7"/>
  <c r="J1872" i="7"/>
  <c r="D1872" i="7"/>
  <c r="P1871" i="7"/>
  <c r="N1871" i="7"/>
  <c r="J1871" i="7"/>
  <c r="D1871" i="7"/>
  <c r="P1870" i="7"/>
  <c r="N1870" i="7"/>
  <c r="J1870" i="7"/>
  <c r="D1870" i="7"/>
  <c r="P1869" i="7"/>
  <c r="N1869" i="7"/>
  <c r="J1869" i="7"/>
  <c r="D1869" i="7"/>
  <c r="P1868" i="7"/>
  <c r="N1868" i="7"/>
  <c r="J1868" i="7"/>
  <c r="D1868" i="7"/>
  <c r="P1867" i="7"/>
  <c r="N1867" i="7"/>
  <c r="J1867" i="7"/>
  <c r="D1867" i="7"/>
  <c r="N1866" i="7"/>
  <c r="J1866" i="7"/>
  <c r="D1866" i="7"/>
  <c r="N1865" i="7"/>
  <c r="J1865" i="7"/>
  <c r="D1865" i="7"/>
  <c r="N1864" i="7"/>
  <c r="J1864" i="7"/>
  <c r="D1864" i="7"/>
  <c r="N1863" i="7"/>
  <c r="J1863" i="7"/>
  <c r="D1863" i="7"/>
  <c r="N1862" i="7"/>
  <c r="J1862" i="7"/>
  <c r="D1862" i="7"/>
  <c r="N1861" i="7"/>
  <c r="J1861" i="7"/>
  <c r="D1861" i="7"/>
  <c r="N1860" i="7"/>
  <c r="J1860" i="7"/>
  <c r="N1859" i="7"/>
  <c r="J1859" i="7"/>
  <c r="D1859" i="7"/>
  <c r="N1858" i="7"/>
  <c r="J1858" i="7"/>
  <c r="D1858" i="7"/>
  <c r="N1857" i="7"/>
  <c r="J1857" i="7"/>
  <c r="D1857" i="7"/>
  <c r="N1856" i="7"/>
  <c r="J1856" i="7"/>
  <c r="D1856" i="7"/>
  <c r="P1855" i="7"/>
  <c r="N1855" i="7"/>
  <c r="J1855" i="7"/>
  <c r="D1855" i="7"/>
  <c r="P1854" i="7"/>
  <c r="N1854" i="7"/>
  <c r="J1854" i="7"/>
  <c r="D1854" i="7"/>
  <c r="P1853" i="7"/>
  <c r="N1853" i="7"/>
  <c r="J1853" i="7"/>
  <c r="D1853" i="7"/>
  <c r="P1852" i="7"/>
  <c r="N1852" i="7"/>
  <c r="J1852" i="7"/>
  <c r="D1852" i="7"/>
  <c r="P1851" i="7"/>
  <c r="N1851" i="7"/>
  <c r="J1851" i="7"/>
  <c r="D1851" i="7"/>
  <c r="P1850" i="7"/>
  <c r="N1850" i="7"/>
  <c r="J1850" i="7"/>
  <c r="D1850" i="7"/>
  <c r="P1849" i="7"/>
  <c r="N1849" i="7"/>
  <c r="J1849" i="7"/>
  <c r="D1849" i="7"/>
  <c r="P1848" i="7"/>
  <c r="N1848" i="7"/>
  <c r="J1848" i="7"/>
  <c r="D1848" i="7"/>
  <c r="P1847" i="7"/>
  <c r="N1847" i="7"/>
  <c r="J1847" i="7"/>
  <c r="D1847" i="7"/>
  <c r="N1846" i="7"/>
  <c r="J1846" i="7"/>
  <c r="D1846" i="7"/>
  <c r="N1845" i="7"/>
  <c r="J1845" i="7"/>
  <c r="D1845" i="7"/>
  <c r="N1844" i="7"/>
  <c r="J1844" i="7"/>
  <c r="D1844" i="7"/>
  <c r="N1843" i="7"/>
  <c r="J1843" i="7"/>
  <c r="D1843" i="7"/>
  <c r="N1842" i="7"/>
  <c r="J1842" i="7"/>
  <c r="D1842" i="7"/>
  <c r="N1841" i="7"/>
  <c r="J1841" i="7"/>
  <c r="D1841" i="7"/>
  <c r="N1840" i="7"/>
  <c r="J1840" i="7"/>
  <c r="D1840" i="7"/>
  <c r="N1839" i="7"/>
  <c r="J1839" i="7"/>
  <c r="D1839" i="7"/>
  <c r="N1838" i="7"/>
  <c r="J1838" i="7"/>
  <c r="D1838" i="7"/>
  <c r="P1837" i="7"/>
  <c r="N1837" i="7"/>
  <c r="J1837" i="7"/>
  <c r="D1837" i="7"/>
  <c r="P1836" i="7"/>
  <c r="N1836" i="7"/>
  <c r="J1836" i="7"/>
  <c r="D1836" i="7"/>
  <c r="P1835" i="7"/>
  <c r="N1835" i="7"/>
  <c r="J1835" i="7"/>
  <c r="D1835" i="7"/>
  <c r="P1834" i="7"/>
  <c r="N1834" i="7"/>
  <c r="J1834" i="7"/>
  <c r="D1834" i="7"/>
  <c r="P1833" i="7"/>
  <c r="N1833" i="7"/>
  <c r="J1833" i="7"/>
  <c r="D1833" i="7"/>
  <c r="P1832" i="7"/>
  <c r="N1832" i="7"/>
  <c r="J1832" i="7"/>
  <c r="D1832" i="7"/>
  <c r="P1831" i="7"/>
  <c r="N1831" i="7"/>
  <c r="J1831" i="7"/>
  <c r="D1831" i="7"/>
  <c r="P1830" i="7"/>
  <c r="N1830" i="7"/>
  <c r="J1830" i="7"/>
  <c r="D1830" i="7"/>
  <c r="N1829" i="7"/>
  <c r="J1829" i="7"/>
  <c r="D1829" i="7"/>
  <c r="N1828" i="7"/>
  <c r="J1828" i="7"/>
  <c r="D1828" i="7"/>
  <c r="N1827" i="7"/>
  <c r="J1827" i="7"/>
  <c r="D1827" i="7"/>
  <c r="N1826" i="7"/>
  <c r="J1826" i="7"/>
  <c r="D1826" i="7"/>
  <c r="N1825" i="7"/>
  <c r="J1825" i="7"/>
  <c r="D1825" i="7"/>
  <c r="N1824" i="7"/>
  <c r="J1824" i="7"/>
  <c r="D1824" i="7"/>
  <c r="N1823" i="7"/>
  <c r="J1823" i="7"/>
  <c r="D1823" i="7"/>
  <c r="N1822" i="7"/>
  <c r="J1822" i="7"/>
  <c r="D1822" i="7"/>
  <c r="N1821" i="7"/>
  <c r="J1821" i="7"/>
  <c r="D1821" i="7"/>
  <c r="N1820" i="7"/>
  <c r="J1820" i="7"/>
  <c r="D1820" i="7"/>
  <c r="N1819" i="7"/>
  <c r="J1819" i="7"/>
  <c r="D1819" i="7"/>
  <c r="P1818" i="7"/>
  <c r="N1818" i="7"/>
  <c r="J1818" i="7"/>
  <c r="D1818" i="7"/>
  <c r="P1817" i="7"/>
  <c r="N1817" i="7"/>
  <c r="J1817" i="7"/>
  <c r="D1817" i="7"/>
  <c r="P1816" i="7"/>
  <c r="N1816" i="7"/>
  <c r="J1816" i="7"/>
  <c r="D1816" i="7"/>
  <c r="P1815" i="7"/>
  <c r="N1815" i="7"/>
  <c r="J1815" i="7"/>
  <c r="D1815" i="7"/>
  <c r="P1814" i="7"/>
  <c r="N1814" i="7"/>
  <c r="J1814" i="7"/>
  <c r="D1814" i="7"/>
  <c r="P1813" i="7"/>
  <c r="N1813" i="7"/>
  <c r="J1813" i="7"/>
  <c r="D1813" i="7"/>
  <c r="N1812" i="7"/>
  <c r="J1812" i="7"/>
  <c r="D1812" i="7"/>
  <c r="N1811" i="7"/>
  <c r="J1811" i="7"/>
  <c r="D1811" i="7"/>
  <c r="N1810" i="7"/>
  <c r="J1810" i="7"/>
  <c r="D1810" i="7"/>
  <c r="N1809" i="7"/>
  <c r="J1809" i="7"/>
  <c r="D1809" i="7"/>
  <c r="N1808" i="7"/>
  <c r="J1808" i="7"/>
  <c r="D1808" i="7"/>
  <c r="N1807" i="7"/>
  <c r="J1807" i="7"/>
  <c r="D1807" i="7"/>
  <c r="N1806" i="7"/>
  <c r="J1806" i="7"/>
  <c r="D1806" i="7"/>
  <c r="N1805" i="7"/>
  <c r="J1805" i="7"/>
  <c r="D1805" i="7"/>
  <c r="P1804" i="7"/>
  <c r="N1804" i="7"/>
  <c r="J1804" i="7"/>
  <c r="D1804" i="7"/>
  <c r="P1803" i="7"/>
  <c r="J1803" i="7"/>
  <c r="D1803" i="7"/>
  <c r="P1802" i="7"/>
  <c r="N1802" i="7"/>
  <c r="J1802" i="7"/>
  <c r="D1802" i="7"/>
  <c r="P1801" i="7"/>
  <c r="N1801" i="7"/>
  <c r="J1801" i="7"/>
  <c r="D1801" i="7"/>
  <c r="P1800" i="7"/>
  <c r="N1800" i="7"/>
  <c r="J1800" i="7"/>
  <c r="D1800" i="7"/>
  <c r="P1799" i="7"/>
  <c r="N1799" i="7"/>
  <c r="J1799" i="7"/>
  <c r="D1799" i="7"/>
  <c r="P1798" i="7"/>
  <c r="N1798" i="7"/>
  <c r="J1798" i="7"/>
  <c r="D1798" i="7"/>
  <c r="P1797" i="7"/>
  <c r="N1797" i="7"/>
  <c r="J1797" i="7"/>
  <c r="D1797" i="7"/>
  <c r="P1796" i="7"/>
  <c r="N1796" i="7"/>
  <c r="J1796" i="7"/>
  <c r="D1796" i="7"/>
  <c r="P1795" i="7"/>
  <c r="N1795" i="7"/>
  <c r="J1795" i="7"/>
  <c r="D1795" i="7"/>
  <c r="N1794" i="7"/>
  <c r="J1794" i="7"/>
  <c r="D1794" i="7"/>
  <c r="N1793" i="7"/>
  <c r="J1793" i="7"/>
  <c r="D1793" i="7"/>
  <c r="N1792" i="7"/>
  <c r="J1792" i="7"/>
  <c r="N1791" i="7"/>
  <c r="J1791" i="7"/>
  <c r="D1791" i="7"/>
  <c r="N1790" i="7"/>
  <c r="J1790" i="7"/>
  <c r="D1790" i="7"/>
  <c r="N1789" i="7"/>
  <c r="J1789" i="7"/>
  <c r="D1789" i="7"/>
  <c r="N1788" i="7"/>
  <c r="J1788" i="7"/>
  <c r="D1788" i="7"/>
  <c r="N1787" i="7"/>
  <c r="J1787" i="7"/>
  <c r="D1787" i="7"/>
  <c r="N1786" i="7"/>
  <c r="J1786" i="7"/>
  <c r="D1786" i="7"/>
  <c r="N1785" i="7"/>
  <c r="J1785" i="7"/>
  <c r="D1785" i="7"/>
  <c r="P1784" i="7"/>
  <c r="N1784" i="7"/>
  <c r="J1784" i="7"/>
  <c r="D1784" i="7"/>
  <c r="P1783" i="7"/>
  <c r="N1783" i="7"/>
  <c r="J1783" i="7"/>
  <c r="D1783" i="7"/>
  <c r="P1782" i="7"/>
  <c r="N1782" i="7"/>
  <c r="J1782" i="7"/>
  <c r="D1782" i="7"/>
  <c r="P1781" i="7"/>
  <c r="N1781" i="7"/>
  <c r="J1781" i="7"/>
  <c r="D1781" i="7"/>
  <c r="P1780" i="7"/>
  <c r="N1780" i="7"/>
  <c r="J1780" i="7"/>
  <c r="D1780" i="7"/>
  <c r="P1779" i="7"/>
  <c r="J1779" i="7"/>
  <c r="D1779" i="7"/>
  <c r="N1778" i="7"/>
  <c r="J1778" i="7"/>
  <c r="D1778" i="7"/>
  <c r="N1777" i="7"/>
  <c r="J1777" i="7"/>
  <c r="D1777" i="7"/>
  <c r="N1776" i="7"/>
  <c r="J1776" i="7"/>
  <c r="D1776" i="7"/>
  <c r="N1775" i="7"/>
  <c r="J1775" i="7"/>
  <c r="D1775" i="7"/>
  <c r="N1774" i="7"/>
  <c r="J1774" i="7"/>
  <c r="N1773" i="7"/>
  <c r="J1773" i="7"/>
  <c r="D1773" i="7"/>
  <c r="N1772" i="7"/>
  <c r="J1772" i="7"/>
  <c r="D1772" i="7"/>
  <c r="N1771" i="7"/>
  <c r="J1771" i="7"/>
  <c r="D1771" i="7"/>
  <c r="P1770" i="7"/>
  <c r="N1770" i="7"/>
  <c r="J1770" i="7"/>
  <c r="D1770" i="7"/>
  <c r="P1769" i="7"/>
  <c r="J1769" i="7"/>
  <c r="D1769" i="7"/>
  <c r="P1768" i="7"/>
  <c r="N1768" i="7"/>
  <c r="J1768" i="7"/>
  <c r="D1768" i="7"/>
  <c r="P1767" i="7"/>
  <c r="N1767" i="7"/>
  <c r="J1767" i="7"/>
  <c r="D1767" i="7"/>
  <c r="P1766" i="7"/>
  <c r="N1766" i="7"/>
  <c r="J1766" i="7"/>
  <c r="D1766" i="7"/>
  <c r="P1765" i="7"/>
  <c r="N1765" i="7"/>
  <c r="J1765" i="7"/>
  <c r="D1765" i="7"/>
  <c r="N1764" i="7"/>
  <c r="J1764" i="7"/>
  <c r="D1764" i="7"/>
  <c r="N1763" i="7"/>
  <c r="J1763" i="7"/>
  <c r="D1763" i="7"/>
  <c r="N1762" i="7"/>
  <c r="J1762" i="7"/>
  <c r="N1761" i="7"/>
  <c r="J1761" i="7"/>
  <c r="D1761" i="7"/>
  <c r="N1760" i="7"/>
  <c r="J1760" i="7"/>
  <c r="D1760" i="7"/>
  <c r="N1759" i="7"/>
  <c r="J1759" i="7"/>
  <c r="D1759" i="7"/>
  <c r="N1758" i="7"/>
  <c r="J1758" i="7"/>
  <c r="D1758" i="7"/>
  <c r="N1757" i="7"/>
  <c r="J1757" i="7"/>
  <c r="D1757" i="7"/>
  <c r="N1756" i="7"/>
  <c r="J1756" i="7"/>
  <c r="D1756" i="7"/>
  <c r="N1755" i="7"/>
  <c r="J1755" i="7"/>
  <c r="D1755" i="7"/>
  <c r="N1754" i="7"/>
  <c r="J1754" i="7"/>
  <c r="P1753" i="7"/>
  <c r="N1753" i="7"/>
  <c r="J1753" i="7"/>
  <c r="D1753" i="7"/>
  <c r="P1752" i="7"/>
  <c r="N1752" i="7"/>
  <c r="J1752" i="7"/>
  <c r="D1752" i="7"/>
  <c r="P1751" i="7"/>
  <c r="J1751" i="7"/>
  <c r="D1751" i="7"/>
  <c r="P1750" i="7"/>
  <c r="N1750" i="7"/>
  <c r="J1750" i="7"/>
  <c r="D1750" i="7"/>
  <c r="P1749" i="7"/>
  <c r="N1749" i="7"/>
  <c r="J1749" i="7"/>
  <c r="D1749" i="7"/>
  <c r="N1748" i="7"/>
  <c r="J1748" i="7"/>
  <c r="D1748" i="7"/>
  <c r="N1747" i="7"/>
  <c r="J1747" i="7"/>
  <c r="D1747" i="7"/>
  <c r="N1746" i="7"/>
  <c r="J1746" i="7"/>
  <c r="D1746" i="7"/>
  <c r="N1745" i="7"/>
  <c r="J1745" i="7"/>
  <c r="P1744" i="7"/>
  <c r="J1744" i="7"/>
  <c r="D1744" i="7"/>
  <c r="P1743" i="7"/>
  <c r="N1743" i="7"/>
  <c r="J1743" i="7"/>
  <c r="D1743" i="7"/>
  <c r="P1742" i="7"/>
  <c r="N1742" i="7"/>
  <c r="J1742" i="7"/>
  <c r="D1742" i="7"/>
  <c r="P1741" i="7"/>
  <c r="N1741" i="7"/>
  <c r="J1741" i="7"/>
  <c r="D1741" i="7"/>
  <c r="P1740" i="7"/>
  <c r="N1740" i="7"/>
  <c r="J1740" i="7"/>
  <c r="D1740" i="7"/>
  <c r="P1739" i="7"/>
  <c r="N1739" i="7"/>
  <c r="J1739" i="7"/>
  <c r="D1739" i="7"/>
  <c r="N1738" i="7"/>
  <c r="J1738" i="7"/>
  <c r="D1738" i="7"/>
  <c r="N1737" i="7"/>
  <c r="J1737" i="7"/>
  <c r="N1736" i="7"/>
  <c r="J1736" i="7"/>
  <c r="D1736" i="7"/>
  <c r="N1735" i="7"/>
  <c r="J1735" i="7"/>
  <c r="N1734" i="7"/>
  <c r="J1734" i="7"/>
  <c r="D1734" i="7"/>
  <c r="N1733" i="7"/>
  <c r="J1733" i="7"/>
  <c r="D1733" i="7"/>
  <c r="P1732" i="7"/>
  <c r="N1732" i="7"/>
  <c r="J1732" i="7"/>
  <c r="D1732" i="7"/>
  <c r="P1731" i="7"/>
  <c r="N1731" i="7"/>
  <c r="J1731" i="7"/>
  <c r="D1731" i="7"/>
  <c r="P1730" i="7"/>
  <c r="N1730" i="7"/>
  <c r="J1730" i="7"/>
  <c r="D1730" i="7"/>
  <c r="P1729" i="7"/>
  <c r="N1729" i="7"/>
  <c r="J1729" i="7"/>
  <c r="D1729" i="7"/>
  <c r="P1728" i="7"/>
  <c r="N1728" i="7"/>
  <c r="J1728" i="7"/>
  <c r="D1728" i="7"/>
  <c r="P1727" i="7"/>
  <c r="N1727" i="7"/>
  <c r="J1727" i="7"/>
  <c r="D1727" i="7"/>
  <c r="N1726" i="7"/>
  <c r="J1726" i="7"/>
  <c r="D1726" i="7"/>
  <c r="N1725" i="7"/>
  <c r="J1725" i="7"/>
  <c r="AH16" i="2" s="1"/>
  <c r="D1725" i="7"/>
  <c r="N1724" i="7"/>
  <c r="J1724" i="7"/>
  <c r="D1724" i="7"/>
  <c r="N1723" i="7"/>
  <c r="J1723" i="7"/>
  <c r="D1723" i="7"/>
  <c r="N1722" i="7"/>
  <c r="J1722" i="7"/>
  <c r="P1721" i="7"/>
  <c r="N1721" i="7"/>
  <c r="J1721" i="7"/>
  <c r="D1721" i="7"/>
  <c r="P1720" i="7"/>
  <c r="N1720" i="7"/>
  <c r="J1720" i="7"/>
  <c r="D1720" i="7"/>
  <c r="P1719" i="7"/>
  <c r="N1719" i="7"/>
  <c r="J1719" i="7"/>
  <c r="D1719" i="7"/>
  <c r="P1718" i="7"/>
  <c r="N1718" i="7"/>
  <c r="J1718" i="7"/>
  <c r="D1718" i="7"/>
  <c r="P1717" i="7"/>
  <c r="N1717" i="7"/>
  <c r="D1717" i="7"/>
  <c r="P1716" i="7"/>
  <c r="N1716" i="7"/>
  <c r="J1716" i="7"/>
  <c r="D1716" i="7"/>
  <c r="P1715" i="7"/>
  <c r="N1715" i="7"/>
  <c r="J1715" i="7"/>
  <c r="D1715" i="7"/>
  <c r="P1714" i="7"/>
  <c r="N1714" i="7"/>
  <c r="J1714" i="7"/>
  <c r="D1714" i="7"/>
  <c r="N1713" i="7"/>
  <c r="J1713" i="7"/>
  <c r="D1713" i="7"/>
  <c r="N1712" i="7"/>
  <c r="J1712" i="7"/>
  <c r="N1711" i="7"/>
  <c r="J1711" i="7"/>
  <c r="D1711" i="7"/>
  <c r="N1710" i="7"/>
  <c r="J1710" i="7"/>
  <c r="N1709" i="7"/>
  <c r="J1709" i="7"/>
  <c r="D1709" i="7"/>
  <c r="P1708" i="7"/>
  <c r="N1708" i="7"/>
  <c r="J1708" i="7"/>
  <c r="D1708" i="7"/>
  <c r="P1707" i="7"/>
  <c r="N1707" i="7"/>
  <c r="J1707" i="7"/>
  <c r="D1707" i="7"/>
  <c r="P1706" i="7"/>
  <c r="N1706" i="7"/>
  <c r="J1706" i="7"/>
  <c r="D1706" i="7"/>
  <c r="P1705" i="7"/>
  <c r="N1705" i="7"/>
  <c r="J1705" i="7"/>
  <c r="D1705" i="7"/>
  <c r="P1704" i="7"/>
  <c r="N1704" i="7"/>
  <c r="J1704" i="7"/>
  <c r="D1704" i="7"/>
  <c r="P1703" i="7"/>
  <c r="N1703" i="7"/>
  <c r="J1703" i="7"/>
  <c r="D1703" i="7"/>
  <c r="N1702" i="7"/>
  <c r="J1702" i="7"/>
  <c r="D1702" i="7"/>
  <c r="N1701" i="7"/>
  <c r="J1701" i="7"/>
  <c r="D1701" i="7"/>
  <c r="N1700" i="7"/>
  <c r="J1700" i="7"/>
  <c r="D1700" i="7"/>
  <c r="N1699" i="7"/>
  <c r="J1699" i="7"/>
  <c r="D1699" i="7"/>
  <c r="P1698" i="7"/>
  <c r="N1698" i="7"/>
  <c r="J1698" i="7"/>
  <c r="D1698" i="7"/>
  <c r="P1697" i="7"/>
  <c r="N1697" i="7"/>
  <c r="J1697" i="7"/>
  <c r="D1697" i="7"/>
  <c r="P1696" i="7"/>
  <c r="N1696" i="7"/>
  <c r="J1696" i="7"/>
  <c r="D1696" i="7"/>
  <c r="P1695" i="7"/>
  <c r="N1695" i="7"/>
  <c r="J1695" i="7"/>
  <c r="D1695" i="7"/>
  <c r="P1694" i="7"/>
  <c r="N1694" i="7"/>
  <c r="J1694" i="7"/>
  <c r="D1694" i="7"/>
  <c r="P1693" i="7"/>
  <c r="J1693" i="7"/>
  <c r="D1693" i="7"/>
  <c r="N1692" i="7"/>
  <c r="J1692" i="7"/>
  <c r="D1692" i="7"/>
  <c r="N1691" i="7"/>
  <c r="J1691" i="7"/>
  <c r="D1691" i="7"/>
  <c r="N1690" i="7"/>
  <c r="J1690" i="7"/>
  <c r="D1690" i="7"/>
  <c r="N1689" i="7"/>
  <c r="J1689" i="7"/>
  <c r="D1689" i="7"/>
  <c r="N1688" i="7"/>
  <c r="J1688" i="7"/>
  <c r="D1688" i="7"/>
  <c r="N1687" i="7"/>
  <c r="J1687" i="7"/>
  <c r="D1687" i="7"/>
  <c r="N1686" i="7"/>
  <c r="J1686" i="7"/>
  <c r="D1686" i="7"/>
  <c r="P1685" i="7"/>
  <c r="J1685" i="7"/>
  <c r="D1685" i="7"/>
  <c r="P1684" i="7"/>
  <c r="N1684" i="7"/>
  <c r="J1684" i="7"/>
  <c r="D1684" i="7"/>
  <c r="P1683" i="7"/>
  <c r="J1683" i="7"/>
  <c r="D1683" i="7"/>
  <c r="P1682" i="7"/>
  <c r="N1682" i="7"/>
  <c r="J1682" i="7"/>
  <c r="D1682" i="7"/>
  <c r="P1681" i="7"/>
  <c r="N1681" i="7"/>
  <c r="J1681" i="7"/>
  <c r="D1681" i="7"/>
  <c r="P1680" i="7"/>
  <c r="N1680" i="7"/>
  <c r="J1680" i="7"/>
  <c r="D1680" i="7"/>
  <c r="N1679" i="7"/>
  <c r="J1679" i="7"/>
  <c r="D1679" i="7"/>
  <c r="J1678" i="7"/>
  <c r="D1678" i="7"/>
  <c r="N1677" i="7"/>
  <c r="J1677" i="7"/>
  <c r="D1677" i="7"/>
  <c r="N1676" i="7"/>
  <c r="J1676" i="7"/>
  <c r="D1676" i="7"/>
  <c r="N1675" i="7"/>
  <c r="J1675" i="7"/>
  <c r="D1675" i="7"/>
  <c r="N1674" i="7"/>
  <c r="J1674" i="7"/>
  <c r="D1674" i="7"/>
  <c r="P1673" i="7"/>
  <c r="N1673" i="7"/>
  <c r="J1673" i="7"/>
  <c r="D1673" i="7"/>
  <c r="P1672" i="7"/>
  <c r="N1672" i="7"/>
  <c r="J1672" i="7"/>
  <c r="D1672" i="7"/>
  <c r="P1671" i="7"/>
  <c r="N1671" i="7"/>
  <c r="J1671" i="7"/>
  <c r="D1671" i="7"/>
  <c r="P1670" i="7"/>
  <c r="J1670" i="7"/>
  <c r="D1670" i="7"/>
  <c r="P1669" i="7"/>
  <c r="J1669" i="7"/>
  <c r="D1669" i="7"/>
  <c r="N1668" i="7"/>
  <c r="J1668" i="7"/>
  <c r="D1668" i="7"/>
  <c r="N1667" i="7"/>
  <c r="J1667" i="7"/>
  <c r="D1667" i="7"/>
  <c r="N1666" i="7"/>
  <c r="J1666" i="7"/>
  <c r="D1666" i="7"/>
  <c r="N1665" i="7"/>
  <c r="J1665" i="7"/>
  <c r="D1665" i="7"/>
  <c r="N1664" i="7"/>
  <c r="J1664" i="7"/>
  <c r="D1664" i="7"/>
  <c r="N1662" i="7"/>
  <c r="J1662" i="7"/>
  <c r="D1662" i="7"/>
  <c r="N1661" i="7"/>
  <c r="J1661" i="7"/>
  <c r="D1661" i="7"/>
  <c r="N1660" i="7"/>
  <c r="J1660" i="7"/>
  <c r="D1660" i="7"/>
  <c r="J1659" i="7"/>
  <c r="D1659" i="7"/>
  <c r="P1658" i="7"/>
  <c r="N1658" i="7"/>
  <c r="J1658" i="7"/>
  <c r="D1658" i="7"/>
  <c r="P1657" i="7"/>
  <c r="N1657" i="7"/>
  <c r="J1657" i="7"/>
  <c r="D1657" i="7"/>
  <c r="P1656" i="7"/>
  <c r="N1656" i="7"/>
  <c r="J1656" i="7"/>
  <c r="D1656" i="7"/>
  <c r="P1655" i="7"/>
  <c r="N1655" i="7"/>
  <c r="J1655" i="7"/>
  <c r="D1655" i="7"/>
  <c r="N1654" i="7"/>
  <c r="J1654" i="7"/>
  <c r="D1654" i="7"/>
  <c r="N1653" i="7"/>
  <c r="J1653" i="7"/>
  <c r="D1653" i="7"/>
  <c r="N1652" i="7"/>
  <c r="J1652" i="7"/>
  <c r="D1652" i="7"/>
  <c r="N1651" i="7"/>
  <c r="J1651" i="7"/>
  <c r="D1651" i="7"/>
  <c r="N1650" i="7"/>
  <c r="J1650" i="7"/>
  <c r="D1650" i="7"/>
  <c r="N1649" i="7"/>
  <c r="J1649" i="7"/>
  <c r="D1649" i="7"/>
  <c r="N1648" i="7"/>
  <c r="J1648" i="7"/>
  <c r="D1648" i="7"/>
  <c r="N1647" i="7"/>
  <c r="J1647" i="7"/>
  <c r="D1647" i="7"/>
  <c r="N1646" i="7"/>
  <c r="J1646" i="7"/>
  <c r="D1646" i="7"/>
  <c r="P1645" i="7"/>
  <c r="N1645" i="7"/>
  <c r="J1645" i="7"/>
  <c r="D1645" i="7"/>
  <c r="P1644" i="7"/>
  <c r="N1644" i="7"/>
  <c r="J1644" i="7"/>
  <c r="D1644" i="7"/>
  <c r="P1643" i="7"/>
  <c r="N1643" i="7"/>
  <c r="J1643" i="7"/>
  <c r="D1643" i="7"/>
  <c r="P1642" i="7"/>
  <c r="N1642" i="7"/>
  <c r="J1642" i="7"/>
  <c r="D1642" i="7"/>
  <c r="P1641" i="7"/>
  <c r="N1641" i="7"/>
  <c r="J1641" i="7"/>
  <c r="D1641" i="7"/>
  <c r="P1640" i="7"/>
  <c r="N1640" i="7"/>
  <c r="J1640" i="7"/>
  <c r="D1640" i="7"/>
  <c r="P1639" i="7"/>
  <c r="N1639" i="7"/>
  <c r="J1639" i="7"/>
  <c r="D1639" i="7"/>
  <c r="P1638" i="7"/>
  <c r="N1638" i="7"/>
  <c r="J1638" i="7"/>
  <c r="D1638" i="7"/>
  <c r="P1637" i="7"/>
  <c r="N1637" i="7"/>
  <c r="J1637" i="7"/>
  <c r="D1637" i="7"/>
  <c r="N1636" i="7"/>
  <c r="J1636" i="7"/>
  <c r="D1636" i="7"/>
  <c r="N1635" i="7"/>
  <c r="J1635" i="7"/>
  <c r="D1635" i="7"/>
  <c r="N1634" i="7"/>
  <c r="J1634" i="7"/>
  <c r="D1634" i="7"/>
  <c r="N1633" i="7"/>
  <c r="J1633" i="7"/>
  <c r="AH15" i="2" s="1"/>
  <c r="D1633" i="7"/>
  <c r="N1632" i="7"/>
  <c r="J1632" i="7"/>
  <c r="D1632" i="7"/>
  <c r="N1631" i="7"/>
  <c r="J1631" i="7"/>
  <c r="D1631" i="7"/>
  <c r="N1630" i="7"/>
  <c r="J1630" i="7"/>
  <c r="D1630" i="7"/>
  <c r="N1629" i="7"/>
  <c r="J1629" i="7"/>
  <c r="D1629" i="7"/>
  <c r="N1628" i="7"/>
  <c r="J1628" i="7"/>
  <c r="D1628" i="7"/>
  <c r="N1627" i="7"/>
  <c r="J1627" i="7"/>
  <c r="D1627" i="7"/>
  <c r="N1626" i="7"/>
  <c r="J1626" i="7"/>
  <c r="D1626" i="7"/>
  <c r="N1625" i="7"/>
  <c r="J1625" i="7"/>
  <c r="D1625" i="7"/>
  <c r="N1624" i="7"/>
  <c r="J1624" i="7"/>
  <c r="D1624" i="7"/>
  <c r="N1623" i="7"/>
  <c r="J1623" i="7"/>
  <c r="D1623" i="7"/>
  <c r="N1622" i="7"/>
  <c r="J1622" i="7"/>
  <c r="D1622" i="7"/>
  <c r="N1621" i="7"/>
  <c r="J1621" i="7"/>
  <c r="D1621" i="7"/>
  <c r="P1620" i="7"/>
  <c r="N1620" i="7"/>
  <c r="J1620" i="7"/>
  <c r="D1620" i="7"/>
  <c r="P1619" i="7"/>
  <c r="N1619" i="7"/>
  <c r="J1619" i="7"/>
  <c r="D1619" i="7"/>
  <c r="P1618" i="7"/>
  <c r="N1618" i="7"/>
  <c r="J1618" i="7"/>
  <c r="D1618" i="7"/>
  <c r="P1617" i="7"/>
  <c r="N1617" i="7"/>
  <c r="J1617" i="7"/>
  <c r="D1617" i="7"/>
  <c r="P1616" i="7"/>
  <c r="N1616" i="7"/>
  <c r="J1616" i="7"/>
  <c r="D1616" i="7"/>
  <c r="N1615" i="7"/>
  <c r="J1615" i="7"/>
  <c r="D1615" i="7"/>
  <c r="N1614" i="7"/>
  <c r="J1614" i="7"/>
  <c r="D1614" i="7"/>
  <c r="N1613" i="7"/>
  <c r="J1613" i="7"/>
  <c r="D1613" i="7"/>
  <c r="N1612" i="7"/>
  <c r="J1612" i="7"/>
  <c r="D1612" i="7"/>
  <c r="N1611" i="7"/>
  <c r="J1611" i="7"/>
  <c r="D1611" i="7"/>
  <c r="N1610" i="7"/>
  <c r="J1610" i="7"/>
  <c r="D1610" i="7"/>
  <c r="N1609" i="7"/>
  <c r="J1609" i="7"/>
  <c r="D1609" i="7"/>
  <c r="N1608" i="7"/>
  <c r="J1608" i="7"/>
  <c r="D1608" i="7"/>
  <c r="N1607" i="7"/>
  <c r="J1607" i="7"/>
  <c r="N1606" i="7"/>
  <c r="J1606" i="7"/>
  <c r="D1606" i="7"/>
  <c r="N1605" i="7"/>
  <c r="J1605" i="7"/>
  <c r="D1605" i="7"/>
  <c r="N1604" i="7"/>
  <c r="J1604" i="7"/>
  <c r="D1604" i="7"/>
  <c r="N1603" i="7"/>
  <c r="J1603" i="7"/>
  <c r="D1603" i="7"/>
  <c r="N1602" i="7"/>
  <c r="J1602" i="7"/>
  <c r="D1602" i="7"/>
  <c r="N1601" i="7"/>
  <c r="J1601" i="7"/>
  <c r="D1601" i="7"/>
  <c r="N1600" i="7"/>
  <c r="J1600" i="7"/>
  <c r="D1600" i="7"/>
  <c r="N1599" i="7"/>
  <c r="J1599" i="7"/>
  <c r="D1599" i="7"/>
  <c r="N1598" i="7"/>
  <c r="J1598" i="7"/>
  <c r="D1598" i="7"/>
  <c r="N1597" i="7"/>
  <c r="J1597" i="7"/>
  <c r="D1597" i="7"/>
  <c r="P1596" i="7"/>
  <c r="N1596" i="7"/>
  <c r="J1596" i="7"/>
  <c r="D1596" i="7"/>
  <c r="P1595" i="7"/>
  <c r="N1595" i="7"/>
  <c r="J1595" i="7"/>
  <c r="D1595" i="7"/>
  <c r="P1594" i="7"/>
  <c r="N1594" i="7"/>
  <c r="J1594" i="7"/>
  <c r="D1594" i="7"/>
  <c r="P1593" i="7"/>
  <c r="N1593" i="7"/>
  <c r="J1593" i="7"/>
  <c r="D1593" i="7"/>
  <c r="P1592" i="7"/>
  <c r="N1592" i="7"/>
  <c r="J1592" i="7"/>
  <c r="D1592" i="7"/>
  <c r="P1591" i="7"/>
  <c r="N1591" i="7"/>
  <c r="J1591" i="7"/>
  <c r="D1591" i="7"/>
  <c r="N1590" i="7"/>
  <c r="J1590" i="7"/>
  <c r="D1590" i="7"/>
  <c r="N1589" i="7"/>
  <c r="J1589" i="7"/>
  <c r="D1589" i="7"/>
  <c r="N1588" i="7"/>
  <c r="J1588" i="7"/>
  <c r="D1588" i="7"/>
  <c r="N1587" i="7"/>
  <c r="J1587" i="7"/>
  <c r="D1587" i="7"/>
  <c r="N1586" i="7"/>
  <c r="J1586" i="7"/>
  <c r="D1586" i="7"/>
  <c r="N1585" i="7"/>
  <c r="J1585" i="7"/>
  <c r="D1585" i="7"/>
  <c r="N1584" i="7"/>
  <c r="J1584" i="7"/>
  <c r="D1584" i="7"/>
  <c r="N1583" i="7"/>
  <c r="J1583" i="7"/>
  <c r="D1583" i="7"/>
  <c r="N1582" i="7"/>
  <c r="J1582" i="7"/>
  <c r="N1581" i="7"/>
  <c r="J1581" i="7"/>
  <c r="D1581" i="7"/>
  <c r="N1580" i="7"/>
  <c r="J1580" i="7"/>
  <c r="D1580" i="7"/>
  <c r="P1579" i="7"/>
  <c r="N1579" i="7"/>
  <c r="J1579" i="7"/>
  <c r="D1579" i="7"/>
  <c r="P1578" i="7"/>
  <c r="N1578" i="7"/>
  <c r="J1578" i="7"/>
  <c r="D1578" i="7"/>
  <c r="P1577" i="7"/>
  <c r="N1577" i="7"/>
  <c r="J1577" i="7"/>
  <c r="D1577" i="7"/>
  <c r="P1576" i="7"/>
  <c r="N1576" i="7"/>
  <c r="J1576" i="7"/>
  <c r="D1576" i="7"/>
  <c r="P1575" i="7"/>
  <c r="N1575" i="7"/>
  <c r="J1575" i="7"/>
  <c r="D1575" i="7"/>
  <c r="P1574" i="7"/>
  <c r="N1574" i="7"/>
  <c r="J1574" i="7"/>
  <c r="P1573" i="7"/>
  <c r="N1573" i="7"/>
  <c r="J1573" i="7"/>
  <c r="N1572" i="7"/>
  <c r="J1572" i="7"/>
  <c r="D1572" i="7"/>
  <c r="N1571" i="7"/>
  <c r="J1571" i="7"/>
  <c r="D1571" i="7"/>
  <c r="N1570" i="7"/>
  <c r="J1570" i="7"/>
  <c r="D1570" i="7"/>
  <c r="N1569" i="7"/>
  <c r="J1569" i="7"/>
  <c r="D1569" i="7"/>
  <c r="N1568" i="7"/>
  <c r="J1568" i="7"/>
  <c r="D1568" i="7"/>
  <c r="N1567" i="7"/>
  <c r="J1567" i="7"/>
  <c r="D1567" i="7"/>
  <c r="N1566" i="7"/>
  <c r="J1566" i="7"/>
  <c r="D1566" i="7"/>
  <c r="P1565" i="7"/>
  <c r="N1565" i="7"/>
  <c r="J1565" i="7"/>
  <c r="D1565" i="7"/>
  <c r="P1564" i="7"/>
  <c r="N1564" i="7"/>
  <c r="J1564" i="7"/>
  <c r="D1564" i="7"/>
  <c r="P1563" i="7"/>
  <c r="N1563" i="7"/>
  <c r="J1563" i="7"/>
  <c r="D1563" i="7"/>
  <c r="P1562" i="7"/>
  <c r="N1562" i="7"/>
  <c r="J1562" i="7"/>
  <c r="D1562" i="7"/>
  <c r="P1561" i="7"/>
  <c r="N1561" i="7"/>
  <c r="J1561" i="7"/>
  <c r="D1561" i="7"/>
  <c r="P1560" i="7"/>
  <c r="N1560" i="7"/>
  <c r="J1560" i="7"/>
  <c r="D1560" i="7"/>
  <c r="N1559" i="7"/>
  <c r="J1559" i="7"/>
  <c r="D1559" i="7"/>
  <c r="N1557" i="7"/>
  <c r="J1557" i="7"/>
  <c r="D1557" i="7"/>
  <c r="N1556" i="7"/>
  <c r="J1556" i="7"/>
  <c r="N1555" i="7"/>
  <c r="J1555" i="7"/>
  <c r="N1554" i="7"/>
  <c r="J1554" i="7"/>
  <c r="N1553" i="7"/>
  <c r="J1553" i="7"/>
  <c r="N1552" i="7"/>
  <c r="J1552" i="7"/>
  <c r="N1551" i="7"/>
  <c r="J1551" i="7"/>
  <c r="N1550" i="7"/>
  <c r="J1550" i="7"/>
  <c r="N1549" i="7"/>
  <c r="J1549" i="7"/>
  <c r="N1548" i="7"/>
  <c r="J1548" i="7"/>
  <c r="N1547" i="7"/>
  <c r="J1547" i="7"/>
  <c r="N1546" i="7"/>
  <c r="J1546" i="7"/>
  <c r="N1545" i="7"/>
  <c r="J1545" i="7"/>
  <c r="N1544" i="7"/>
  <c r="J1544" i="7"/>
  <c r="N1543" i="7"/>
  <c r="J1543" i="7"/>
  <c r="N1542" i="7"/>
  <c r="J1542" i="7"/>
  <c r="N1541" i="7"/>
  <c r="J1541" i="7"/>
  <c r="N1540" i="7"/>
  <c r="J1540" i="7"/>
  <c r="N1539" i="7"/>
  <c r="J1539" i="7"/>
  <c r="N1538" i="7"/>
  <c r="J1538" i="7"/>
  <c r="N1537" i="7"/>
  <c r="J1537" i="7"/>
  <c r="N1536" i="7"/>
  <c r="J1536" i="7"/>
  <c r="N1535" i="7"/>
  <c r="J1535" i="7"/>
  <c r="N1534" i="7"/>
  <c r="J1534" i="7"/>
  <c r="N1533" i="7"/>
  <c r="J1533" i="7"/>
  <c r="N1532" i="7"/>
  <c r="J1532" i="7"/>
  <c r="N1531" i="7"/>
  <c r="J1531" i="7"/>
  <c r="N1530" i="7"/>
  <c r="J1530" i="7"/>
  <c r="N1529" i="7"/>
  <c r="J1529" i="7"/>
  <c r="N1528" i="7"/>
  <c r="J1528" i="7"/>
  <c r="N1527" i="7"/>
  <c r="J1527" i="7"/>
  <c r="N1526" i="7"/>
  <c r="J1526" i="7"/>
  <c r="N1525" i="7"/>
  <c r="J1525" i="7"/>
  <c r="N1524" i="7"/>
  <c r="J1524" i="7"/>
  <c r="N1523" i="7"/>
  <c r="J1523" i="7"/>
  <c r="N1522" i="7"/>
  <c r="J1522" i="7"/>
  <c r="D1522" i="7"/>
  <c r="N1521" i="7"/>
  <c r="J1521" i="7"/>
  <c r="D1521" i="7"/>
  <c r="N1520" i="7"/>
  <c r="J1520" i="7"/>
  <c r="D1520" i="7"/>
  <c r="N1519" i="7"/>
  <c r="J1519" i="7"/>
  <c r="N1518" i="7"/>
  <c r="J1518" i="7"/>
  <c r="D1518" i="7"/>
  <c r="N1517" i="7"/>
  <c r="J1517" i="7"/>
  <c r="D1517" i="7"/>
  <c r="N1516" i="7"/>
  <c r="J1516" i="7"/>
  <c r="N1515" i="7"/>
  <c r="J1515" i="7"/>
  <c r="N1514" i="7"/>
  <c r="J1514" i="7"/>
  <c r="N1513" i="7"/>
  <c r="J1513" i="7"/>
  <c r="N1512" i="7"/>
  <c r="J1512" i="7"/>
  <c r="N1511" i="7"/>
  <c r="J1511" i="7"/>
  <c r="N1510" i="7"/>
  <c r="J1510" i="7"/>
  <c r="N1509" i="7"/>
  <c r="J1509" i="7"/>
  <c r="N1508" i="7"/>
  <c r="J1508" i="7"/>
  <c r="N1507" i="7"/>
  <c r="J1507" i="7"/>
  <c r="D1507" i="7"/>
  <c r="N1506" i="7"/>
  <c r="J1506" i="7"/>
  <c r="D1506" i="7"/>
  <c r="N1505" i="7"/>
  <c r="J1505" i="7"/>
  <c r="D1505" i="7"/>
  <c r="N1504" i="7"/>
  <c r="J1504" i="7"/>
  <c r="D1504" i="7"/>
  <c r="N1502" i="7"/>
  <c r="J1502" i="7"/>
  <c r="N1501" i="7"/>
  <c r="J1501" i="7"/>
  <c r="D1501" i="7"/>
  <c r="N1500" i="7"/>
  <c r="J1500" i="7"/>
  <c r="D1500" i="7"/>
  <c r="N1499" i="7"/>
  <c r="J1499" i="7"/>
  <c r="D1499" i="7"/>
  <c r="N1498" i="7"/>
  <c r="J1498" i="7"/>
  <c r="D1498" i="7"/>
  <c r="N1497" i="7"/>
  <c r="J1497" i="7"/>
  <c r="D1497" i="7"/>
  <c r="N1496" i="7"/>
  <c r="J1496" i="7"/>
  <c r="D1496" i="7"/>
  <c r="N1495" i="7"/>
  <c r="J1495" i="7"/>
  <c r="D1495" i="7"/>
  <c r="N1494" i="7"/>
  <c r="J1494" i="7"/>
  <c r="D1494" i="7"/>
  <c r="N1493" i="7"/>
  <c r="J1493" i="7"/>
  <c r="D1493" i="7"/>
  <c r="N1492" i="7"/>
  <c r="J1492" i="7"/>
  <c r="D1492" i="7"/>
  <c r="N1491" i="7"/>
  <c r="J1491" i="7"/>
  <c r="D1491" i="7"/>
  <c r="N1490" i="7"/>
  <c r="J1490" i="7"/>
  <c r="D1490" i="7"/>
  <c r="P1489" i="7"/>
  <c r="N1489" i="7"/>
  <c r="J1489" i="7"/>
  <c r="D1489" i="7"/>
  <c r="P1488" i="7"/>
  <c r="N1488" i="7"/>
  <c r="J1488" i="7"/>
  <c r="D1488" i="7"/>
  <c r="P1487" i="7"/>
  <c r="N1487" i="7"/>
  <c r="J1487" i="7"/>
  <c r="D1487" i="7"/>
  <c r="P1486" i="7"/>
  <c r="N1486" i="7"/>
  <c r="J1486" i="7"/>
  <c r="D1486" i="7"/>
  <c r="P1485" i="7"/>
  <c r="N1485" i="7"/>
  <c r="J1485" i="7"/>
  <c r="D1485" i="7"/>
  <c r="P1484" i="7"/>
  <c r="N1484" i="7"/>
  <c r="J1484" i="7"/>
  <c r="D1484" i="7"/>
  <c r="P1483" i="7"/>
  <c r="N1483" i="7"/>
  <c r="J1483" i="7"/>
  <c r="D1483" i="7"/>
  <c r="P1482" i="7"/>
  <c r="N1482" i="7"/>
  <c r="J1482" i="7"/>
  <c r="D1482" i="7"/>
  <c r="P1481" i="7"/>
  <c r="N1481" i="7"/>
  <c r="J1481" i="7"/>
  <c r="D1481" i="7"/>
  <c r="P1480" i="7"/>
  <c r="N1480" i="7"/>
  <c r="J1480" i="7"/>
  <c r="D1480" i="7"/>
  <c r="P1479" i="7"/>
  <c r="N1479" i="7"/>
  <c r="J1479" i="7"/>
  <c r="D1479" i="7"/>
  <c r="P1478" i="7"/>
  <c r="N1478" i="7"/>
  <c r="J1478" i="7"/>
  <c r="D1478" i="7"/>
  <c r="P1477" i="7"/>
  <c r="N1477" i="7"/>
  <c r="J1477" i="7"/>
  <c r="D1477" i="7"/>
  <c r="P1476" i="7"/>
  <c r="N1476" i="7"/>
  <c r="J1476" i="7"/>
  <c r="D1476" i="7"/>
  <c r="P1475" i="7"/>
  <c r="N1475" i="7"/>
  <c r="J1475" i="7"/>
  <c r="D1475" i="7"/>
  <c r="P1474" i="7"/>
  <c r="N1474" i="7"/>
  <c r="J1474" i="7"/>
  <c r="D1474" i="7"/>
  <c r="P1473" i="7"/>
  <c r="N1473" i="7"/>
  <c r="J1473" i="7"/>
  <c r="D1473" i="7"/>
  <c r="P1472" i="7"/>
  <c r="N1472" i="7"/>
  <c r="J1472" i="7"/>
  <c r="D1472" i="7"/>
  <c r="P1471" i="7"/>
  <c r="N1471" i="7"/>
  <c r="J1471" i="7"/>
  <c r="D1471" i="7"/>
  <c r="P1470" i="7"/>
  <c r="N1470" i="7"/>
  <c r="J1470" i="7"/>
  <c r="D1470" i="7"/>
  <c r="P1469" i="7"/>
  <c r="N1469" i="7"/>
  <c r="J1469" i="7"/>
  <c r="D1469" i="7"/>
  <c r="P1468" i="7"/>
  <c r="N1468" i="7"/>
  <c r="J1468" i="7"/>
  <c r="D1468" i="7"/>
  <c r="P1467" i="7"/>
  <c r="N1467" i="7"/>
  <c r="J1467" i="7"/>
  <c r="D1467" i="7"/>
  <c r="P1466" i="7"/>
  <c r="N1466" i="7"/>
  <c r="J1466" i="7"/>
  <c r="D1466" i="7"/>
  <c r="P1465" i="7"/>
  <c r="N1465" i="7"/>
  <c r="J1465" i="7"/>
  <c r="D1465" i="7"/>
  <c r="P1464" i="7"/>
  <c r="N1464" i="7"/>
  <c r="J1464" i="7"/>
  <c r="D1464" i="7"/>
  <c r="P1463" i="7"/>
  <c r="J1463" i="7"/>
  <c r="D1463" i="7"/>
  <c r="P1462" i="7"/>
  <c r="J1462" i="7"/>
  <c r="D1462" i="7"/>
  <c r="P1461" i="7"/>
  <c r="N1461" i="7"/>
  <c r="J1461" i="7"/>
  <c r="D1461" i="7"/>
  <c r="P1460" i="7"/>
  <c r="N1460" i="7"/>
  <c r="J1460" i="7"/>
  <c r="D1460" i="7"/>
  <c r="P1459" i="7"/>
  <c r="N1459" i="7"/>
  <c r="J1459" i="7"/>
  <c r="D1459" i="7"/>
  <c r="P1458" i="7"/>
  <c r="N1458" i="7"/>
  <c r="J1458" i="7"/>
  <c r="D1458" i="7"/>
  <c r="P1457" i="7"/>
  <c r="N1457" i="7"/>
  <c r="J1457" i="7"/>
  <c r="D1457" i="7"/>
  <c r="P1456" i="7"/>
  <c r="N1456" i="7"/>
  <c r="J1456" i="7"/>
  <c r="D1456" i="7"/>
  <c r="P1455" i="7"/>
  <c r="N1455" i="7"/>
  <c r="J1455" i="7"/>
  <c r="D1455" i="7"/>
  <c r="P1454" i="7"/>
  <c r="N1454" i="7"/>
  <c r="J1454" i="7"/>
  <c r="D1454" i="7"/>
  <c r="P1453" i="7"/>
  <c r="N1453" i="7"/>
  <c r="J1453" i="7"/>
  <c r="D1453" i="7"/>
  <c r="P1452" i="7"/>
  <c r="N1452" i="7"/>
  <c r="J1452" i="7"/>
  <c r="D1452" i="7"/>
  <c r="P1451" i="7"/>
  <c r="N1451" i="7"/>
  <c r="D1451" i="7"/>
  <c r="N1450" i="7"/>
  <c r="J1450" i="7"/>
  <c r="D1450" i="7"/>
  <c r="N1449" i="7"/>
  <c r="J1449" i="7"/>
  <c r="D1449" i="7"/>
  <c r="N1448" i="7"/>
  <c r="J1448" i="7"/>
  <c r="D1448" i="7"/>
  <c r="N1447" i="7"/>
  <c r="J1447" i="7"/>
  <c r="D1447" i="7"/>
  <c r="N1446" i="7"/>
  <c r="J1446" i="7"/>
  <c r="D1446" i="7"/>
  <c r="N1445" i="7"/>
  <c r="J1445" i="7"/>
  <c r="D1445" i="7"/>
  <c r="N1444" i="7"/>
  <c r="J1444" i="7"/>
  <c r="N1443" i="7"/>
  <c r="J1443" i="7"/>
  <c r="D1443" i="7"/>
  <c r="N1442" i="7"/>
  <c r="J1442" i="7"/>
  <c r="D1442" i="7"/>
  <c r="N1441" i="7"/>
  <c r="J1441" i="7"/>
  <c r="D1441" i="7"/>
  <c r="N1440" i="7"/>
  <c r="J1440" i="7"/>
  <c r="D1440" i="7"/>
  <c r="N1439" i="7"/>
  <c r="J1439" i="7"/>
  <c r="D1439" i="7"/>
  <c r="N1438" i="7"/>
  <c r="J1438" i="7"/>
  <c r="D1438" i="7"/>
  <c r="P1437" i="7"/>
  <c r="N1437" i="7"/>
  <c r="J1437" i="7"/>
  <c r="D1437" i="7"/>
  <c r="P1436" i="7"/>
  <c r="N1436" i="7"/>
  <c r="J1436" i="7"/>
  <c r="D1436" i="7"/>
  <c r="P1435" i="7"/>
  <c r="N1435" i="7"/>
  <c r="J1435" i="7"/>
  <c r="D1435" i="7"/>
  <c r="P1434" i="7"/>
  <c r="N1434" i="7"/>
  <c r="J1434" i="7"/>
  <c r="D1434" i="7"/>
  <c r="P1433" i="7"/>
  <c r="N1433" i="7"/>
  <c r="J1433" i="7"/>
  <c r="D1433" i="7"/>
  <c r="P1432" i="7"/>
  <c r="N1432" i="7"/>
  <c r="J1432" i="7"/>
  <c r="D1432" i="7"/>
  <c r="P1431" i="7"/>
  <c r="N1431" i="7"/>
  <c r="J1431" i="7"/>
  <c r="D1431" i="7"/>
  <c r="P1430" i="7"/>
  <c r="N1430" i="7"/>
  <c r="J1430" i="7"/>
  <c r="D1430" i="7"/>
  <c r="P1429" i="7"/>
  <c r="N1429" i="7"/>
  <c r="J1429" i="7"/>
  <c r="D1429" i="7"/>
  <c r="P1428" i="7"/>
  <c r="N1428" i="7"/>
  <c r="J1428" i="7"/>
  <c r="D1428" i="7"/>
  <c r="P1427" i="7"/>
  <c r="N1427" i="7"/>
  <c r="D1427" i="7"/>
  <c r="P1426" i="7"/>
  <c r="N1426" i="7"/>
  <c r="J1426" i="7"/>
  <c r="D1426" i="7"/>
  <c r="P1425" i="7"/>
  <c r="N1425" i="7"/>
  <c r="J1425" i="7"/>
  <c r="D1425" i="7"/>
  <c r="P1424" i="7"/>
  <c r="N1424" i="7"/>
  <c r="J1424" i="7"/>
  <c r="D1424" i="7"/>
  <c r="P1423" i="7"/>
  <c r="N1423" i="7"/>
  <c r="J1423" i="7"/>
  <c r="D1423" i="7"/>
  <c r="P1422" i="7"/>
  <c r="N1422" i="7"/>
  <c r="J1422" i="7"/>
  <c r="D1422" i="7"/>
  <c r="P1421" i="7"/>
  <c r="N1421" i="7"/>
  <c r="J1421" i="7"/>
  <c r="D1421" i="7"/>
  <c r="P1420" i="7"/>
  <c r="N1420" i="7"/>
  <c r="J1420" i="7"/>
  <c r="D1420" i="7"/>
  <c r="P1419" i="7"/>
  <c r="N1419" i="7"/>
  <c r="J1419" i="7"/>
  <c r="D1419" i="7"/>
  <c r="N1418" i="7"/>
  <c r="J1418" i="7"/>
  <c r="D1418" i="7"/>
  <c r="P1417" i="7"/>
  <c r="N1417" i="7"/>
  <c r="J1417" i="7"/>
  <c r="D1417" i="7"/>
  <c r="P1416" i="7"/>
  <c r="N1416" i="7"/>
  <c r="J1416" i="7"/>
  <c r="D1416" i="7"/>
  <c r="P1415" i="7"/>
  <c r="N1415" i="7"/>
  <c r="J1415" i="7"/>
  <c r="D1415" i="7"/>
  <c r="P1414" i="7"/>
  <c r="J1414" i="7"/>
  <c r="D1414" i="7"/>
  <c r="P1413" i="7"/>
  <c r="N1413" i="7"/>
  <c r="J1413" i="7"/>
  <c r="D1413" i="7"/>
  <c r="P1412" i="7"/>
  <c r="N1412" i="7"/>
  <c r="J1412" i="7"/>
  <c r="D1412" i="7"/>
  <c r="P1411" i="7"/>
  <c r="N1411" i="7"/>
  <c r="J1411" i="7"/>
  <c r="D1411" i="7"/>
  <c r="N1410" i="7"/>
  <c r="J1410" i="7"/>
  <c r="D1410" i="7"/>
  <c r="N1409" i="7"/>
  <c r="J1409" i="7"/>
  <c r="D1409" i="7"/>
  <c r="N1408" i="7"/>
  <c r="J1408" i="7"/>
  <c r="D1408" i="7"/>
  <c r="N1407" i="7"/>
  <c r="J1407" i="7"/>
  <c r="D1407" i="7"/>
  <c r="N1406" i="7"/>
  <c r="J1406" i="7"/>
  <c r="D1406" i="7"/>
  <c r="N1405" i="7"/>
  <c r="J1405" i="7"/>
  <c r="D1405" i="7"/>
  <c r="N1404" i="7"/>
  <c r="J1404" i="7"/>
  <c r="D1404" i="7"/>
  <c r="N1403" i="7"/>
  <c r="J1403" i="7"/>
  <c r="D1403" i="7"/>
  <c r="N1402" i="7"/>
  <c r="J1402" i="7"/>
  <c r="D1402" i="7"/>
  <c r="P1401" i="7"/>
  <c r="N1401" i="7"/>
  <c r="J1401" i="7"/>
  <c r="D1401" i="7"/>
  <c r="P1400" i="7"/>
  <c r="N1400" i="7"/>
  <c r="J1400" i="7"/>
  <c r="D1400" i="7"/>
  <c r="P1399" i="7"/>
  <c r="N1399" i="7"/>
  <c r="J1399" i="7"/>
  <c r="D1399" i="7"/>
  <c r="P1398" i="7"/>
  <c r="J1398" i="7"/>
  <c r="D1398" i="7"/>
  <c r="P1397" i="7"/>
  <c r="J1397" i="7"/>
  <c r="D1397" i="7"/>
  <c r="P1396" i="7"/>
  <c r="J1396" i="7"/>
  <c r="D1396" i="7"/>
  <c r="P1395" i="7"/>
  <c r="N1395" i="7"/>
  <c r="J1395" i="7"/>
  <c r="D1395" i="7"/>
  <c r="P1394" i="7"/>
  <c r="N1394" i="7"/>
  <c r="J1394" i="7"/>
  <c r="D1394" i="7"/>
  <c r="N1393" i="7"/>
  <c r="J1393" i="7"/>
  <c r="D1393" i="7"/>
  <c r="N1392" i="7"/>
  <c r="J1392" i="7"/>
  <c r="D1392" i="7"/>
  <c r="N1391" i="7"/>
  <c r="J1391" i="7"/>
  <c r="D1391" i="7"/>
  <c r="N1390" i="7"/>
  <c r="J1390" i="7"/>
  <c r="N1389" i="7"/>
  <c r="J1389" i="7"/>
  <c r="D1389" i="7"/>
  <c r="N1388" i="7"/>
  <c r="J1388" i="7"/>
  <c r="D1388" i="7"/>
  <c r="N1387" i="7"/>
  <c r="J1387" i="7"/>
  <c r="D1387" i="7"/>
  <c r="N1386" i="7"/>
  <c r="J1386" i="7"/>
  <c r="D1386" i="7"/>
  <c r="N1385" i="7"/>
  <c r="J1385" i="7"/>
  <c r="D1385" i="7"/>
  <c r="N1384" i="7"/>
  <c r="J1384" i="7"/>
  <c r="D1384" i="7"/>
  <c r="N1383" i="7"/>
  <c r="J1383" i="7"/>
  <c r="D1383" i="7"/>
  <c r="N1382" i="7"/>
  <c r="J1382" i="7"/>
  <c r="D1382" i="7"/>
  <c r="N1381" i="7"/>
  <c r="J1381" i="7"/>
  <c r="D1381" i="7"/>
  <c r="P1380" i="7"/>
  <c r="N1380" i="7"/>
  <c r="D1380" i="7"/>
  <c r="P1379" i="7"/>
  <c r="N1379" i="7"/>
  <c r="D1379" i="7"/>
  <c r="P1378" i="7"/>
  <c r="N1378" i="7"/>
  <c r="J1378" i="7"/>
  <c r="D1378" i="7"/>
  <c r="P1377" i="7"/>
  <c r="N1377" i="7"/>
  <c r="J1377" i="7"/>
  <c r="D1377" i="7"/>
  <c r="P1376" i="7"/>
  <c r="N1376" i="7"/>
  <c r="J1376" i="7"/>
  <c r="D1376" i="7"/>
  <c r="I1360" i="7"/>
  <c r="I1356" i="7"/>
  <c r="I1355" i="7"/>
  <c r="H1353" i="7"/>
  <c r="I1352" i="7"/>
  <c r="H1352" i="7"/>
  <c r="AH29" i="2" l="1"/>
  <c r="J1380" i="7"/>
  <c r="AH27" i="2"/>
  <c r="AH26" i="2"/>
  <c r="AH18" i="2"/>
  <c r="AH19" i="2"/>
  <c r="AH22" i="2"/>
  <c r="J1379" i="7"/>
  <c r="AH17" i="2"/>
  <c r="Q1836" i="7"/>
  <c r="Q1848" i="7"/>
  <c r="Q1850" i="7"/>
  <c r="Q1852" i="7"/>
  <c r="Q1832" i="7"/>
  <c r="Q1834" i="7"/>
  <c r="Q1574" i="7"/>
  <c r="Q1576" i="7"/>
  <c r="Q1578" i="7"/>
  <c r="Q1638" i="7"/>
  <c r="Q1640" i="7"/>
  <c r="Q1642" i="7"/>
  <c r="Q1644" i="7"/>
  <c r="Q1658" i="7"/>
  <c r="Q1669" i="7"/>
  <c r="Q1682" i="7"/>
  <c r="Q1684" i="7"/>
  <c r="Q1698" i="7"/>
  <c r="Q1704" i="7"/>
  <c r="Q1706" i="7"/>
  <c r="Q1708" i="7"/>
  <c r="Q1714" i="7"/>
  <c r="Q1716" i="7"/>
  <c r="Q1728" i="7"/>
  <c r="Q1730" i="7"/>
  <c r="Q1732" i="7"/>
  <c r="Q1740" i="7"/>
  <c r="Q1742" i="7"/>
  <c r="Q1752" i="7"/>
  <c r="Q1766" i="7"/>
  <c r="Q1768" i="7"/>
  <c r="Q1770" i="7"/>
  <c r="Q1780" i="7"/>
  <c r="Q1796" i="7"/>
  <c r="Q1802" i="7"/>
  <c r="Q1804" i="7"/>
  <c r="Q1816" i="7"/>
  <c r="Q1818" i="7"/>
  <c r="Q1831" i="7"/>
  <c r="Q1837" i="7"/>
  <c r="Q1847" i="7"/>
  <c r="Q1868" i="7"/>
  <c r="Q1872" i="7"/>
  <c r="Q1874" i="7"/>
  <c r="Q1876" i="7"/>
  <c r="Q1414" i="7"/>
  <c r="Q1416" i="7"/>
  <c r="Q1422" i="7"/>
  <c r="Q1424" i="7"/>
  <c r="Q1430" i="7"/>
  <c r="Q1432" i="7"/>
  <c r="Q1436" i="7"/>
  <c r="Q1452" i="7"/>
  <c r="Q1464" i="7"/>
  <c r="Q1472" i="7"/>
  <c r="Q1478" i="7"/>
  <c r="Q1480" i="7"/>
  <c r="Q1482" i="7"/>
  <c r="Q1488" i="7"/>
  <c r="Q1573" i="7"/>
  <c r="Q1575" i="7"/>
  <c r="Q1639" i="7"/>
  <c r="Q1643" i="7"/>
  <c r="Q1645" i="7"/>
  <c r="Q1655" i="7"/>
  <c r="Q1657" i="7"/>
  <c r="Q1670" i="7"/>
  <c r="Q1672" i="7"/>
  <c r="Q1681" i="7"/>
  <c r="Q1683" i="7"/>
  <c r="Q1685" i="7"/>
  <c r="Q1693" i="7"/>
  <c r="Q1695" i="7"/>
  <c r="Q1697" i="7"/>
  <c r="Q1703" i="7"/>
  <c r="Q1707" i="7"/>
  <c r="Q1719" i="7"/>
  <c r="Q1721" i="7"/>
  <c r="Q1727" i="7"/>
  <c r="Q1729" i="7"/>
  <c r="Q1743" i="7"/>
  <c r="Q1749" i="7"/>
  <c r="Q1751" i="7"/>
  <c r="Q1753" i="7"/>
  <c r="Q1767" i="7"/>
  <c r="Q1783" i="7"/>
  <c r="Q1797" i="7"/>
  <c r="Q1799" i="7"/>
  <c r="Q1801" i="7"/>
  <c r="Q1813" i="7"/>
  <c r="Q1815" i="7"/>
  <c r="Q1851" i="7"/>
  <c r="Q1853" i="7"/>
  <c r="Q1855" i="7"/>
  <c r="Q1867" i="7"/>
  <c r="Q1869" i="7"/>
  <c r="Q1871" i="7"/>
  <c r="Q1877" i="7"/>
  <c r="Q1879" i="7"/>
  <c r="Q1593" i="7"/>
  <c r="Q1741" i="7"/>
  <c r="Q1769" i="7"/>
  <c r="Q1854" i="7"/>
  <c r="Q1637" i="7"/>
  <c r="Q1641" i="7"/>
  <c r="Q1399" i="7"/>
  <c r="Q1415" i="7"/>
  <c r="Q1417" i="7"/>
  <c r="Q1433" i="7"/>
  <c r="Q1705" i="7"/>
  <c r="Q1873" i="7"/>
  <c r="Q1875" i="7"/>
  <c r="Q1765" i="7"/>
  <c r="Q1717" i="7"/>
  <c r="Q1781" i="7"/>
  <c r="Q1849" i="7"/>
  <c r="Q1870" i="7"/>
  <c r="Q1680" i="7"/>
  <c r="Q1718" i="7"/>
  <c r="Q1744" i="7"/>
  <c r="Q1782" i="7"/>
  <c r="Q1591" i="7"/>
  <c r="Q1694" i="7"/>
  <c r="Q1720" i="7"/>
  <c r="Q1739" i="7"/>
  <c r="Q1784" i="7"/>
  <c r="Q1803" i="7"/>
  <c r="Q1817" i="7"/>
  <c r="Q1833" i="7"/>
  <c r="Q1656" i="7"/>
  <c r="Q1671" i="7"/>
  <c r="Q1696" i="7"/>
  <c r="Q1715" i="7"/>
  <c r="Q1779" i="7"/>
  <c r="Q1798" i="7"/>
  <c r="Q1835" i="7"/>
  <c r="Q1595" i="7"/>
  <c r="Q1673" i="7"/>
  <c r="Q1800" i="7"/>
  <c r="Q1460" i="7"/>
  <c r="Q1468" i="7"/>
  <c r="Q1561" i="7"/>
  <c r="Q1563" i="7"/>
  <c r="Q1565" i="7"/>
  <c r="Q1731" i="7"/>
  <c r="Q1750" i="7"/>
  <c r="Q1795" i="7"/>
  <c r="Q1814" i="7"/>
  <c r="Q1830" i="7"/>
  <c r="Q1878" i="7"/>
  <c r="Q1616" i="7"/>
  <c r="Q1618" i="7"/>
  <c r="Q1620" i="7"/>
  <c r="Q1577" i="7"/>
  <c r="Q1453" i="7"/>
  <c r="Q1455" i="7"/>
  <c r="Q1457" i="7"/>
  <c r="Q1459" i="7"/>
  <c r="Q1461" i="7"/>
  <c r="Q1463" i="7"/>
  <c r="Q1465" i="7"/>
  <c r="Q1467" i="7"/>
  <c r="Q1469" i="7"/>
  <c r="Q1471" i="7"/>
  <c r="Q1560" i="7"/>
  <c r="Q1562" i="7"/>
  <c r="Q1564" i="7"/>
  <c r="Q1592" i="7"/>
  <c r="Q1596" i="7"/>
  <c r="Q1617" i="7"/>
  <c r="Q1619" i="7"/>
  <c r="Q1579" i="7"/>
  <c r="Q1475" i="7"/>
  <c r="Q1594" i="7"/>
  <c r="Q1454" i="7"/>
  <c r="Q1458" i="7"/>
  <c r="Q1462" i="7"/>
  <c r="Q1479" i="7"/>
  <c r="Q1425" i="7"/>
  <c r="Q1429" i="7"/>
  <c r="Q1483" i="7"/>
  <c r="Q1487" i="7"/>
  <c r="Q1473" i="7"/>
  <c r="Q1456" i="7"/>
  <c r="Q1477" i="7"/>
  <c r="Q1427" i="7"/>
  <c r="Q1466" i="7"/>
  <c r="Q1476" i="7"/>
  <c r="Q1481" i="7"/>
  <c r="Q1485" i="7"/>
  <c r="Q1437" i="7"/>
  <c r="Q1470" i="7"/>
  <c r="Q1484" i="7"/>
  <c r="Q1486" i="7"/>
  <c r="Q1489" i="7"/>
  <c r="Q1451" i="7"/>
  <c r="Q1474" i="7"/>
  <c r="Q1420" i="7"/>
  <c r="Q1435" i="7"/>
  <c r="Q1411" i="7"/>
  <c r="Q1413" i="7"/>
  <c r="Q1423" i="7"/>
  <c r="Q1426" i="7"/>
  <c r="Q1428" i="7"/>
  <c r="Q1412" i="7"/>
  <c r="Q1394" i="7"/>
  <c r="Q1400" i="7"/>
  <c r="Q1419" i="7"/>
  <c r="Q1421" i="7"/>
  <c r="Q1431" i="7"/>
  <c r="Q1434" i="7"/>
  <c r="Q1396" i="7"/>
  <c r="Q1398" i="7"/>
  <c r="Q1401" i="7"/>
  <c r="Q1395" i="7"/>
  <c r="Q1397" i="7"/>
  <c r="Q1380" i="7"/>
  <c r="Q1377" i="7"/>
  <c r="Q1376" i="7"/>
  <c r="Q1378" i="7"/>
  <c r="Q1379" i="7"/>
  <c r="AH30" i="2" l="1"/>
  <c r="J1389" i="2"/>
  <c r="Y1389" i="2"/>
  <c r="I1328" i="7"/>
  <c r="H1328" i="7"/>
  <c r="I1323" i="7"/>
  <c r="H1323" i="7"/>
  <c r="I1321" i="7"/>
  <c r="M1389" i="2" l="1"/>
  <c r="N1389" i="2"/>
  <c r="O1389" i="2" s="1"/>
  <c r="P1389" i="2" s="1"/>
  <c r="I1301" i="7"/>
  <c r="I1297" i="7"/>
  <c r="Y15" i="2" l="1"/>
  <c r="Y40" i="2"/>
  <c r="G1281" i="7" l="1"/>
  <c r="I1277" i="7"/>
  <c r="H1277" i="7"/>
  <c r="E3" i="12"/>
  <c r="G1269" i="7" l="1"/>
  <c r="G1268" i="7"/>
  <c r="I1267" i="7"/>
  <c r="H1267" i="7"/>
  <c r="I1266" i="7"/>
  <c r="I1263" i="7"/>
  <c r="R15" i="2"/>
  <c r="J15" i="2"/>
  <c r="J40" i="2"/>
  <c r="M40" i="2" s="1"/>
  <c r="J39" i="2"/>
  <c r="M39" i="2" s="1"/>
  <c r="J22" i="2"/>
  <c r="J1386" i="2"/>
  <c r="J1392" i="2"/>
  <c r="Y39" i="2"/>
  <c r="Y22" i="2"/>
  <c r="Y1386" i="2"/>
  <c r="Y1392" i="2"/>
  <c r="Y33" i="2"/>
  <c r="Y38" i="2"/>
  <c r="Y16" i="2"/>
  <c r="Y1390" i="2"/>
  <c r="Y29" i="2"/>
  <c r="Y1391" i="2"/>
  <c r="Y1387" i="2"/>
  <c r="Y37" i="2"/>
  <c r="Y1388" i="2"/>
  <c r="Y1393" i="2"/>
  <c r="Y25" i="2"/>
  <c r="Y24" i="2"/>
  <c r="Y1379" i="2"/>
  <c r="Y1377" i="2"/>
  <c r="Y1383" i="2"/>
  <c r="Y1384" i="2"/>
  <c r="Y1385" i="2"/>
  <c r="Y1378" i="2"/>
  <c r="Y1374" i="2"/>
  <c r="Y1382" i="2"/>
  <c r="Y1380" i="2"/>
  <c r="Y1381" i="2"/>
  <c r="Y1376" i="2"/>
  <c r="Y1375" i="2"/>
  <c r="X40" i="2"/>
  <c r="X39" i="2"/>
  <c r="Z39" i="2" s="1"/>
  <c r="X33" i="2"/>
  <c r="AF32" i="2" s="1"/>
  <c r="X38" i="2"/>
  <c r="Z38" i="2" s="1"/>
  <c r="R40" i="2"/>
  <c r="O40" i="2"/>
  <c r="P40" i="2" s="1"/>
  <c r="R39" i="2"/>
  <c r="R22" i="2"/>
  <c r="R1386" i="2"/>
  <c r="R1392" i="2"/>
  <c r="R33" i="2"/>
  <c r="R38" i="2"/>
  <c r="R16" i="2"/>
  <c r="R1390" i="2"/>
  <c r="R29" i="2"/>
  <c r="R1391" i="2"/>
  <c r="R1387" i="2"/>
  <c r="R37" i="2"/>
  <c r="R1388" i="2"/>
  <c r="O68" i="2"/>
  <c r="O39" i="2"/>
  <c r="P39" i="2" s="1"/>
  <c r="O33" i="2"/>
  <c r="P33" i="2" s="1"/>
  <c r="O38" i="2"/>
  <c r="P38" i="2" s="1"/>
  <c r="O64" i="2"/>
  <c r="O37" i="2"/>
  <c r="P37" i="2" s="1"/>
  <c r="O35" i="2"/>
  <c r="Z40" i="2" l="1"/>
  <c r="Z33" i="2"/>
  <c r="M22" i="2"/>
  <c r="N22" i="2"/>
  <c r="O22" i="2" s="1"/>
  <c r="P22" i="2" s="1"/>
  <c r="M15" i="2"/>
  <c r="N15" i="2"/>
  <c r="O15" i="2" s="1"/>
  <c r="P15" i="2" s="1"/>
  <c r="M1392" i="2"/>
  <c r="N1392" i="2"/>
  <c r="O1392" i="2" s="1"/>
  <c r="P1392" i="2" s="1"/>
  <c r="M1386" i="2"/>
  <c r="N1386" i="2"/>
  <c r="O1386" i="2" s="1"/>
  <c r="P1386" i="2" s="1"/>
  <c r="D1375" i="7"/>
  <c r="D1374" i="7"/>
  <c r="D1373" i="7"/>
  <c r="D1372" i="7"/>
  <c r="D1371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5" i="7"/>
  <c r="D1344" i="7"/>
  <c r="D1343" i="7"/>
  <c r="D1342" i="7"/>
  <c r="D1341" i="7"/>
  <c r="D1340" i="7"/>
  <c r="D1339" i="7"/>
  <c r="D1338" i="7"/>
  <c r="D1337" i="7"/>
  <c r="D1336" i="7"/>
  <c r="D1335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7" i="7"/>
  <c r="D1266" i="7"/>
  <c r="D1265" i="7"/>
  <c r="D1264" i="7"/>
  <c r="D1263" i="7"/>
  <c r="D1262" i="7"/>
  <c r="D1261" i="7"/>
  <c r="D1260" i="7"/>
  <c r="D1259" i="7"/>
  <c r="D1258" i="7"/>
  <c r="D1257" i="7"/>
  <c r="D1256" i="7"/>
  <c r="D1254" i="7"/>
  <c r="D1253" i="7"/>
  <c r="D1252" i="7"/>
  <c r="D1250" i="7"/>
  <c r="D1249" i="7"/>
  <c r="D1248" i="7"/>
  <c r="D1247" i="7"/>
  <c r="D1246" i="7"/>
  <c r="H1243" i="7" l="1"/>
  <c r="H1242" i="7"/>
  <c r="H1241" i="7"/>
  <c r="G1241" i="7"/>
  <c r="Q1379" i="2" l="1"/>
  <c r="R1379" i="2" s="1"/>
  <c r="I1379" i="2"/>
  <c r="D1215" i="7" l="1"/>
  <c r="D1216" i="7"/>
  <c r="D1217" i="7"/>
  <c r="D1219" i="7"/>
  <c r="D1220" i="7"/>
  <c r="D1221" i="7"/>
  <c r="D1222" i="7"/>
  <c r="D1223" i="7"/>
  <c r="D1224" i="7"/>
  <c r="D1225" i="7"/>
  <c r="G1225" i="7"/>
  <c r="H1225" i="7"/>
  <c r="D1226" i="7"/>
  <c r="D1227" i="7"/>
  <c r="H1227" i="7"/>
  <c r="D1228" i="7"/>
  <c r="I939" i="7"/>
  <c r="H1211" i="7" l="1"/>
  <c r="G1211" i="7"/>
  <c r="H1212" i="7"/>
  <c r="H1210" i="7"/>
  <c r="Q1381" i="2" l="1"/>
  <c r="I1381" i="2"/>
  <c r="G1197" i="7"/>
  <c r="H1196" i="7"/>
  <c r="G1196" i="7"/>
  <c r="P1375" i="7"/>
  <c r="N1375" i="7"/>
  <c r="J1375" i="7"/>
  <c r="P1374" i="7"/>
  <c r="N1374" i="7"/>
  <c r="J1374" i="7"/>
  <c r="P1373" i="7"/>
  <c r="J1373" i="7"/>
  <c r="P1372" i="7"/>
  <c r="J1372" i="7"/>
  <c r="N1371" i="7"/>
  <c r="J1371" i="7"/>
  <c r="N1370" i="7"/>
  <c r="J1370" i="7"/>
  <c r="N1369" i="7"/>
  <c r="J1369" i="7"/>
  <c r="N1368" i="7"/>
  <c r="J1368" i="7"/>
  <c r="N1367" i="7"/>
  <c r="J1367" i="7"/>
  <c r="N1366" i="7"/>
  <c r="J1366" i="7"/>
  <c r="N1365" i="7"/>
  <c r="J1365" i="7"/>
  <c r="N1364" i="7"/>
  <c r="J1364" i="7"/>
  <c r="N1363" i="7"/>
  <c r="J1363" i="7"/>
  <c r="N1362" i="7"/>
  <c r="J1362" i="7"/>
  <c r="N1361" i="7"/>
  <c r="J1361" i="7"/>
  <c r="P1360" i="7"/>
  <c r="N1360" i="7"/>
  <c r="J1360" i="7"/>
  <c r="P1359" i="7"/>
  <c r="N1359" i="7"/>
  <c r="J1359" i="7"/>
  <c r="P1358" i="7"/>
  <c r="N1358" i="7"/>
  <c r="J1358" i="7"/>
  <c r="P1357" i="7"/>
  <c r="J1357" i="7"/>
  <c r="P1356" i="7"/>
  <c r="N1356" i="7"/>
  <c r="J1356" i="7"/>
  <c r="P1355" i="7"/>
  <c r="N1355" i="7"/>
  <c r="J1355" i="7"/>
  <c r="P1354" i="7"/>
  <c r="N1354" i="7"/>
  <c r="J1354" i="7"/>
  <c r="P1353" i="7"/>
  <c r="N1353" i="7"/>
  <c r="J1353" i="7"/>
  <c r="P1352" i="7"/>
  <c r="N1352" i="7"/>
  <c r="J1352" i="7"/>
  <c r="N1351" i="7"/>
  <c r="J1351" i="7"/>
  <c r="N1350" i="7"/>
  <c r="J1350" i="7"/>
  <c r="N1349" i="7"/>
  <c r="J1349" i="7"/>
  <c r="N1348" i="7"/>
  <c r="J1348" i="7"/>
  <c r="N1347" i="7"/>
  <c r="J1347" i="7"/>
  <c r="N1346" i="7"/>
  <c r="J1346" i="7"/>
  <c r="N1345" i="7"/>
  <c r="J1345" i="7"/>
  <c r="N1344" i="7"/>
  <c r="J1344" i="7"/>
  <c r="N1343" i="7"/>
  <c r="J1343" i="7"/>
  <c r="N1342" i="7"/>
  <c r="J1342" i="7"/>
  <c r="N1341" i="7"/>
  <c r="J1341" i="7"/>
  <c r="N1340" i="7"/>
  <c r="J1340" i="7"/>
  <c r="N1339" i="7"/>
  <c r="J1339" i="7"/>
  <c r="N1338" i="7"/>
  <c r="J1338" i="7"/>
  <c r="N1337" i="7"/>
  <c r="J1337" i="7"/>
  <c r="N1336" i="7"/>
  <c r="J1336" i="7"/>
  <c r="N1335" i="7"/>
  <c r="J1335" i="7"/>
  <c r="N1334" i="7"/>
  <c r="J1334" i="7"/>
  <c r="N1333" i="7"/>
  <c r="J1333" i="7"/>
  <c r="N1332" i="7"/>
  <c r="J1332" i="7"/>
  <c r="N1331" i="7"/>
  <c r="J1331" i="7"/>
  <c r="N1330" i="7"/>
  <c r="J1330" i="7"/>
  <c r="N1329" i="7"/>
  <c r="J1329" i="7"/>
  <c r="P1328" i="7"/>
  <c r="N1328" i="7"/>
  <c r="J1328" i="7"/>
  <c r="P1327" i="7"/>
  <c r="N1327" i="7"/>
  <c r="J1327" i="7"/>
  <c r="P1326" i="7"/>
  <c r="N1326" i="7"/>
  <c r="J1326" i="7"/>
  <c r="P1325" i="7"/>
  <c r="N1325" i="7"/>
  <c r="J1325" i="7"/>
  <c r="P1324" i="7"/>
  <c r="J1324" i="7"/>
  <c r="P1323" i="7"/>
  <c r="N1323" i="7"/>
  <c r="J1323" i="7"/>
  <c r="P1322" i="7"/>
  <c r="N1322" i="7"/>
  <c r="J1322" i="7"/>
  <c r="P1321" i="7"/>
  <c r="N1321" i="7"/>
  <c r="J1321" i="7"/>
  <c r="N1320" i="7"/>
  <c r="J1320" i="7"/>
  <c r="N1319" i="7"/>
  <c r="J1319" i="7"/>
  <c r="N1318" i="7"/>
  <c r="J1318" i="7"/>
  <c r="N1317" i="7"/>
  <c r="J1317" i="7"/>
  <c r="N1316" i="7"/>
  <c r="J1316" i="7"/>
  <c r="N1315" i="7"/>
  <c r="J1315" i="7"/>
  <c r="N1314" i="7"/>
  <c r="J1314" i="7"/>
  <c r="N1313" i="7"/>
  <c r="J1313" i="7"/>
  <c r="N1312" i="7"/>
  <c r="J1312" i="7"/>
  <c r="N1311" i="7"/>
  <c r="J1311" i="7"/>
  <c r="N1310" i="7"/>
  <c r="J1310" i="7"/>
  <c r="N1309" i="7"/>
  <c r="J1309" i="7"/>
  <c r="N1308" i="7"/>
  <c r="J1308" i="7"/>
  <c r="N1307" i="7"/>
  <c r="J1307" i="7"/>
  <c r="P1306" i="7"/>
  <c r="N1306" i="7"/>
  <c r="J1306" i="7"/>
  <c r="P1305" i="7"/>
  <c r="N1305" i="7"/>
  <c r="J1305" i="7"/>
  <c r="P1304" i="7"/>
  <c r="N1304" i="7"/>
  <c r="J1304" i="7"/>
  <c r="P1303" i="7"/>
  <c r="N1303" i="7"/>
  <c r="J1303" i="7"/>
  <c r="P1302" i="7"/>
  <c r="N1302" i="7"/>
  <c r="J1302" i="7"/>
  <c r="P1301" i="7"/>
  <c r="N1301" i="7"/>
  <c r="J1301" i="7"/>
  <c r="P1300" i="7"/>
  <c r="J1300" i="7"/>
  <c r="P1299" i="7"/>
  <c r="N1299" i="7"/>
  <c r="J1299" i="7"/>
  <c r="P1298" i="7"/>
  <c r="N1298" i="7"/>
  <c r="J1298" i="7"/>
  <c r="P1297" i="7"/>
  <c r="N1297" i="7"/>
  <c r="J1297" i="7"/>
  <c r="P1296" i="7"/>
  <c r="J1296" i="7"/>
  <c r="P1295" i="7"/>
  <c r="N1295" i="7"/>
  <c r="J1295" i="7"/>
  <c r="P1294" i="7"/>
  <c r="N1294" i="7"/>
  <c r="J1294" i="7"/>
  <c r="P1293" i="7"/>
  <c r="N1293" i="7"/>
  <c r="J1293" i="7"/>
  <c r="N1292" i="7"/>
  <c r="J1292" i="7"/>
  <c r="N1291" i="7"/>
  <c r="J1291" i="7"/>
  <c r="N1290" i="7"/>
  <c r="J1290" i="7"/>
  <c r="N1289" i="7"/>
  <c r="J1289" i="7"/>
  <c r="N1288" i="7"/>
  <c r="J1288" i="7"/>
  <c r="N1287" i="7"/>
  <c r="J1287" i="7"/>
  <c r="N1286" i="7"/>
  <c r="J1286" i="7"/>
  <c r="N1285" i="7"/>
  <c r="J1285" i="7"/>
  <c r="N1284" i="7"/>
  <c r="J1284" i="7"/>
  <c r="N1283" i="7"/>
  <c r="J1283" i="7"/>
  <c r="P1282" i="7"/>
  <c r="N1282" i="7"/>
  <c r="J1282" i="7"/>
  <c r="P1281" i="7"/>
  <c r="N1281" i="7"/>
  <c r="J1281" i="7"/>
  <c r="P1280" i="7"/>
  <c r="J1280" i="7"/>
  <c r="P1279" i="7"/>
  <c r="N1279" i="7"/>
  <c r="J1279" i="7"/>
  <c r="P1278" i="7"/>
  <c r="N1278" i="7"/>
  <c r="J1278" i="7"/>
  <c r="P1277" i="7"/>
  <c r="N1277" i="7"/>
  <c r="J1277" i="7"/>
  <c r="N1276" i="7"/>
  <c r="J1276" i="7"/>
  <c r="N1275" i="7"/>
  <c r="J1275" i="7"/>
  <c r="N1274" i="7"/>
  <c r="J1274" i="7"/>
  <c r="N1273" i="7"/>
  <c r="J1273" i="7"/>
  <c r="N1272" i="7"/>
  <c r="J1272" i="7"/>
  <c r="N1271" i="7"/>
  <c r="J1271" i="7"/>
  <c r="N1270" i="7"/>
  <c r="J1270" i="7"/>
  <c r="P1269" i="7"/>
  <c r="N1269" i="7"/>
  <c r="J1269" i="7"/>
  <c r="P1268" i="7"/>
  <c r="N1268" i="7"/>
  <c r="J1268" i="7"/>
  <c r="P1267" i="7"/>
  <c r="N1267" i="7"/>
  <c r="J1267" i="7"/>
  <c r="P1266" i="7"/>
  <c r="N1266" i="7"/>
  <c r="J1266" i="7"/>
  <c r="P1265" i="7"/>
  <c r="J1265" i="7"/>
  <c r="P1264" i="7"/>
  <c r="N1264" i="7"/>
  <c r="J1264" i="7"/>
  <c r="P1263" i="7"/>
  <c r="N1263" i="7"/>
  <c r="J1263" i="7"/>
  <c r="N1262" i="7"/>
  <c r="J1262" i="7"/>
  <c r="N1261" i="7"/>
  <c r="J1261" i="7"/>
  <c r="N1260" i="7"/>
  <c r="J1260" i="7"/>
  <c r="N1259" i="7"/>
  <c r="J1259" i="7"/>
  <c r="N1258" i="7"/>
  <c r="J1258" i="7"/>
  <c r="N1257" i="7"/>
  <c r="J1257" i="7"/>
  <c r="N1256" i="7"/>
  <c r="J1256" i="7"/>
  <c r="N1255" i="7"/>
  <c r="J1255" i="7"/>
  <c r="N1254" i="7"/>
  <c r="J1254" i="7"/>
  <c r="N1253" i="7"/>
  <c r="J1253" i="7"/>
  <c r="N1252" i="7"/>
  <c r="J1252" i="7"/>
  <c r="N1251" i="7"/>
  <c r="J1251" i="7"/>
  <c r="N1250" i="7"/>
  <c r="J1250" i="7"/>
  <c r="N1249" i="7"/>
  <c r="J1249" i="7"/>
  <c r="N1248" i="7"/>
  <c r="J1248" i="7"/>
  <c r="N1247" i="7"/>
  <c r="J1247" i="7"/>
  <c r="N1246" i="7"/>
  <c r="J1246" i="7"/>
  <c r="P1245" i="7"/>
  <c r="N1245" i="7"/>
  <c r="J1245" i="7"/>
  <c r="D1245" i="7"/>
  <c r="P1244" i="7"/>
  <c r="N1244" i="7"/>
  <c r="J1244" i="7"/>
  <c r="D1244" i="7"/>
  <c r="P1243" i="7"/>
  <c r="N1243" i="7"/>
  <c r="J1243" i="7"/>
  <c r="D1243" i="7"/>
  <c r="P1242" i="7"/>
  <c r="J1242" i="7"/>
  <c r="D1242" i="7"/>
  <c r="P1241" i="7"/>
  <c r="N1241" i="7"/>
  <c r="J1241" i="7"/>
  <c r="D1241" i="7"/>
  <c r="N1240" i="7"/>
  <c r="J1240" i="7"/>
  <c r="D1240" i="7"/>
  <c r="N1239" i="7"/>
  <c r="J1239" i="7"/>
  <c r="D1239" i="7"/>
  <c r="N1238" i="7"/>
  <c r="J1238" i="7"/>
  <c r="D1238" i="7"/>
  <c r="N1237" i="7"/>
  <c r="J1237" i="7"/>
  <c r="D1237" i="7"/>
  <c r="N1236" i="7"/>
  <c r="J1236" i="7"/>
  <c r="D1236" i="7"/>
  <c r="N1235" i="7"/>
  <c r="J1235" i="7"/>
  <c r="D1235" i="7"/>
  <c r="N1234" i="7"/>
  <c r="J1234" i="7"/>
  <c r="D1234" i="7"/>
  <c r="N1233" i="7"/>
  <c r="J1233" i="7"/>
  <c r="D1233" i="7"/>
  <c r="N1232" i="7"/>
  <c r="J1232" i="7"/>
  <c r="D1232" i="7"/>
  <c r="N1231" i="7"/>
  <c r="J1231" i="7"/>
  <c r="D1231" i="7"/>
  <c r="N1230" i="7"/>
  <c r="J1230" i="7"/>
  <c r="D1230" i="7"/>
  <c r="N1229" i="7"/>
  <c r="J1229" i="7"/>
  <c r="D1229" i="7"/>
  <c r="P1228" i="7"/>
  <c r="N1228" i="7"/>
  <c r="J1228" i="7"/>
  <c r="P1227" i="7"/>
  <c r="N1227" i="7"/>
  <c r="J1227" i="7"/>
  <c r="P1226" i="7"/>
  <c r="N1226" i="7"/>
  <c r="J1226" i="7"/>
  <c r="P1225" i="7"/>
  <c r="N1225" i="7"/>
  <c r="J1225" i="7"/>
  <c r="N1224" i="7"/>
  <c r="J1224" i="7"/>
  <c r="N1223" i="7"/>
  <c r="J1223" i="7"/>
  <c r="N1222" i="7"/>
  <c r="J1222" i="7"/>
  <c r="N1221" i="7"/>
  <c r="J1221" i="7"/>
  <c r="N1220" i="7"/>
  <c r="J1220" i="7"/>
  <c r="N1219" i="7"/>
  <c r="J1219" i="7"/>
  <c r="N1218" i="7"/>
  <c r="J1218" i="7"/>
  <c r="N1217" i="7"/>
  <c r="J1217" i="7"/>
  <c r="N1216" i="7"/>
  <c r="J1216" i="7"/>
  <c r="N1215" i="7"/>
  <c r="J1215" i="7"/>
  <c r="P1214" i="7"/>
  <c r="N1214" i="7"/>
  <c r="J1214" i="7"/>
  <c r="D1214" i="7"/>
  <c r="P1213" i="7"/>
  <c r="N1213" i="7"/>
  <c r="J1213" i="7"/>
  <c r="D1213" i="7"/>
  <c r="P1212" i="7"/>
  <c r="N1212" i="7"/>
  <c r="J1212" i="7"/>
  <c r="D1212" i="7"/>
  <c r="P1211" i="7"/>
  <c r="N1211" i="7"/>
  <c r="J1211" i="7"/>
  <c r="D1211" i="7"/>
  <c r="P1210" i="7"/>
  <c r="J1210" i="7"/>
  <c r="D1210" i="7"/>
  <c r="N1209" i="7"/>
  <c r="J1209" i="7"/>
  <c r="D1209" i="7"/>
  <c r="N1208" i="7"/>
  <c r="J1208" i="7"/>
  <c r="D1208" i="7"/>
  <c r="H1181" i="7"/>
  <c r="G1181" i="7"/>
  <c r="H1180" i="7"/>
  <c r="H1179" i="7"/>
  <c r="Q1266" i="7" l="1"/>
  <c r="Q1354" i="7"/>
  <c r="Q1356" i="7"/>
  <c r="Q1372" i="7"/>
  <c r="Q1269" i="7"/>
  <c r="Q1277" i="7"/>
  <c r="Q1373" i="7"/>
  <c r="Q1353" i="7"/>
  <c r="Q1300" i="7"/>
  <c r="Q1324" i="7"/>
  <c r="Q1242" i="7"/>
  <c r="Q1268" i="7"/>
  <c r="Q1302" i="7"/>
  <c r="Q1304" i="7"/>
  <c r="Q1306" i="7"/>
  <c r="Q1263" i="7"/>
  <c r="Q1265" i="7"/>
  <c r="Q1267" i="7"/>
  <c r="Q1301" i="7"/>
  <c r="Q1303" i="7"/>
  <c r="Q1305" i="7"/>
  <c r="Q1225" i="7"/>
  <c r="Q1227" i="7"/>
  <c r="Q1294" i="7"/>
  <c r="Q1296" i="7"/>
  <c r="Q1298" i="7"/>
  <c r="Q1325" i="7"/>
  <c r="Q1327" i="7"/>
  <c r="Q1358" i="7"/>
  <c r="Q1360" i="7"/>
  <c r="Q1375" i="7"/>
  <c r="Q1281" i="7"/>
  <c r="Q1322" i="7"/>
  <c r="Q1293" i="7"/>
  <c r="Q1295" i="7"/>
  <c r="Q1297" i="7"/>
  <c r="Q1299" i="7"/>
  <c r="Q1326" i="7"/>
  <c r="Q1328" i="7"/>
  <c r="Q1355" i="7"/>
  <c r="Q1357" i="7"/>
  <c r="Q1359" i="7"/>
  <c r="Q1374" i="7"/>
  <c r="Q1244" i="7"/>
  <c r="Q1280" i="7"/>
  <c r="Q1282" i="7"/>
  <c r="Q1321" i="7"/>
  <c r="Q1323" i="7"/>
  <c r="Q1352" i="7"/>
  <c r="Q1241" i="7"/>
  <c r="Q1278" i="7"/>
  <c r="Q1243" i="7"/>
  <c r="Q1245" i="7"/>
  <c r="Q1264" i="7"/>
  <c r="Q1210" i="7"/>
  <c r="Q1212" i="7"/>
  <c r="Q1214" i="7"/>
  <c r="Q1228" i="7"/>
  <c r="Q1279" i="7"/>
  <c r="Q1226" i="7"/>
  <c r="Q1211" i="7"/>
  <c r="Q1213" i="7"/>
  <c r="H1163" i="7" l="1"/>
  <c r="H1162" i="7"/>
  <c r="I1161" i="7"/>
  <c r="J16" i="2" l="1"/>
  <c r="M16" i="2" l="1"/>
  <c r="N16" i="2"/>
  <c r="O16" i="2" s="1"/>
  <c r="P16" i="2" s="1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Q1382" i="2" l="1"/>
  <c r="I1382" i="2"/>
  <c r="H1122" i="7" l="1"/>
  <c r="G1122" i="7"/>
  <c r="I1120" i="7"/>
  <c r="H1120" i="7"/>
  <c r="H1119" i="7"/>
  <c r="J1390" i="2" l="1"/>
  <c r="J29" i="2"/>
  <c r="M29" i="2" l="1"/>
  <c r="N29" i="2"/>
  <c r="O29" i="2" s="1"/>
  <c r="P29" i="2" s="1"/>
  <c r="M1390" i="2"/>
  <c r="N1390" i="2"/>
  <c r="O1390" i="2" s="1"/>
  <c r="P1390" i="2" s="1"/>
  <c r="H1116" i="7"/>
  <c r="H1115" i="7"/>
  <c r="G1115" i="7"/>
  <c r="H1112" i="7"/>
  <c r="G1112" i="7"/>
  <c r="H1111" i="7"/>
  <c r="G1111" i="7"/>
  <c r="D1207" i="7" l="1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7" i="7"/>
  <c r="D1156" i="7"/>
  <c r="D1155" i="7"/>
  <c r="D1154" i="7"/>
  <c r="D1153" i="7"/>
  <c r="D1152" i="7"/>
  <c r="D1150" i="7"/>
  <c r="D1149" i="7"/>
  <c r="D1148" i="7"/>
  <c r="D1147" i="7"/>
  <c r="D1146" i="7"/>
  <c r="D1144" i="7"/>
  <c r="D1143" i="7"/>
  <c r="D1142" i="7"/>
  <c r="D1141" i="7"/>
  <c r="D1140" i="7"/>
  <c r="D1139" i="7"/>
  <c r="D1138" i="7"/>
  <c r="D1136" i="7"/>
  <c r="D1135" i="7"/>
  <c r="D1134" i="7"/>
  <c r="D1133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5" i="7"/>
  <c r="D1103" i="7"/>
  <c r="D1102" i="7"/>
  <c r="J1098" i="7" l="1"/>
  <c r="E22" i="8"/>
  <c r="E27" i="8"/>
  <c r="H1097" i="7" l="1"/>
  <c r="J1097" i="7" s="1"/>
  <c r="H1096" i="7"/>
  <c r="P1198" i="7"/>
  <c r="P1197" i="7"/>
  <c r="P1196" i="7"/>
  <c r="P1195" i="7"/>
  <c r="P1183" i="7"/>
  <c r="P1182" i="7"/>
  <c r="P1181" i="7"/>
  <c r="P1180" i="7"/>
  <c r="P1179" i="7"/>
  <c r="P1163" i="7"/>
  <c r="P1162" i="7"/>
  <c r="P1161" i="7"/>
  <c r="P1160" i="7"/>
  <c r="P1124" i="7"/>
  <c r="P1123" i="7"/>
  <c r="P1122" i="7"/>
  <c r="P1121" i="7"/>
  <c r="P1120" i="7"/>
  <c r="P1119" i="7"/>
  <c r="P1118" i="7"/>
  <c r="P1117" i="7"/>
  <c r="P1116" i="7"/>
  <c r="P1115" i="7"/>
  <c r="P1114" i="7"/>
  <c r="P1113" i="7"/>
  <c r="P1112" i="7"/>
  <c r="P1111" i="7"/>
  <c r="P1101" i="7"/>
  <c r="P1100" i="7"/>
  <c r="P1099" i="7"/>
  <c r="P1098" i="7"/>
  <c r="P1097" i="7"/>
  <c r="P1096" i="7"/>
  <c r="N1207" i="7"/>
  <c r="N1206" i="7"/>
  <c r="N1205" i="7"/>
  <c r="N1204" i="7"/>
  <c r="N1203" i="7"/>
  <c r="N1202" i="7"/>
  <c r="N1201" i="7"/>
  <c r="N1200" i="7"/>
  <c r="N1199" i="7"/>
  <c r="N1198" i="7"/>
  <c r="N1197" i="7"/>
  <c r="N1195" i="7"/>
  <c r="N1194" i="7"/>
  <c r="N1193" i="7"/>
  <c r="N1192" i="7"/>
  <c r="N1191" i="7"/>
  <c r="N1190" i="7"/>
  <c r="N1189" i="7"/>
  <c r="N1188" i="7"/>
  <c r="N1187" i="7"/>
  <c r="N1186" i="7"/>
  <c r="N1185" i="7"/>
  <c r="N1184" i="7"/>
  <c r="N1183" i="7"/>
  <c r="N1182" i="7"/>
  <c r="N1180" i="7"/>
  <c r="N1179" i="7"/>
  <c r="N1178" i="7"/>
  <c r="N1177" i="7"/>
  <c r="N1176" i="7"/>
  <c r="N1175" i="7"/>
  <c r="N1174" i="7"/>
  <c r="N1173" i="7"/>
  <c r="N1172" i="7"/>
  <c r="N1171" i="7"/>
  <c r="N1170" i="7"/>
  <c r="N1169" i="7"/>
  <c r="N1168" i="7"/>
  <c r="N1166" i="7"/>
  <c r="N1165" i="7"/>
  <c r="N1164" i="7"/>
  <c r="N1163" i="7"/>
  <c r="N1162" i="7"/>
  <c r="N1161" i="7"/>
  <c r="N1160" i="7"/>
  <c r="N1159" i="7"/>
  <c r="N1158" i="7"/>
  <c r="N1157" i="7"/>
  <c r="N1156" i="7"/>
  <c r="N1155" i="7"/>
  <c r="N1154" i="7"/>
  <c r="N1153" i="7"/>
  <c r="N1152" i="7"/>
  <c r="N1151" i="7"/>
  <c r="N1150" i="7"/>
  <c r="N1149" i="7"/>
  <c r="N1148" i="7"/>
  <c r="N1147" i="7"/>
  <c r="N1146" i="7"/>
  <c r="N1145" i="7"/>
  <c r="N1144" i="7"/>
  <c r="N1143" i="7"/>
  <c r="N1142" i="7"/>
  <c r="N1141" i="7"/>
  <c r="N1140" i="7"/>
  <c r="N1139" i="7"/>
  <c r="N1138" i="7"/>
  <c r="N1137" i="7"/>
  <c r="N1136" i="7"/>
  <c r="N1135" i="7"/>
  <c r="N1134" i="7"/>
  <c r="N1133" i="7"/>
  <c r="N1132" i="7"/>
  <c r="N1131" i="7"/>
  <c r="N1130" i="7"/>
  <c r="N1129" i="7"/>
  <c r="N1128" i="7"/>
  <c r="N1127" i="7"/>
  <c r="N1126" i="7"/>
  <c r="N1125" i="7"/>
  <c r="N1124" i="7"/>
  <c r="N1123" i="7"/>
  <c r="N1122" i="7"/>
  <c r="N1121" i="7"/>
  <c r="N1120" i="7"/>
  <c r="N1119" i="7"/>
  <c r="N1118" i="7"/>
  <c r="N1117" i="7"/>
  <c r="N1116" i="7"/>
  <c r="N1115" i="7"/>
  <c r="N1114" i="7"/>
  <c r="N1113" i="7"/>
  <c r="N1112" i="7"/>
  <c r="N1111" i="7"/>
  <c r="N1110" i="7"/>
  <c r="N1109" i="7"/>
  <c r="N1108" i="7"/>
  <c r="N1107" i="7"/>
  <c r="N1106" i="7"/>
  <c r="N1105" i="7"/>
  <c r="N1104" i="7"/>
  <c r="N1103" i="7"/>
  <c r="N1102" i="7"/>
  <c r="N1101" i="7"/>
  <c r="N1100" i="7"/>
  <c r="N1099" i="7"/>
  <c r="N1098" i="7"/>
  <c r="N1097" i="7"/>
  <c r="N1096" i="7"/>
  <c r="J1207" i="7"/>
  <c r="J1206" i="7"/>
  <c r="J1205" i="7"/>
  <c r="J1204" i="7"/>
  <c r="J1203" i="7"/>
  <c r="J1202" i="7"/>
  <c r="J1201" i="7"/>
  <c r="J1200" i="7"/>
  <c r="J1199" i="7"/>
  <c r="J1198" i="7"/>
  <c r="J1197" i="7"/>
  <c r="J1196" i="7"/>
  <c r="J1195" i="7"/>
  <c r="J1194" i="7"/>
  <c r="J1193" i="7"/>
  <c r="J1192" i="7"/>
  <c r="J1191" i="7"/>
  <c r="J1190" i="7"/>
  <c r="J1189" i="7"/>
  <c r="J1188" i="7"/>
  <c r="J1187" i="7"/>
  <c r="J1186" i="7"/>
  <c r="J1185" i="7"/>
  <c r="J1184" i="7"/>
  <c r="J1183" i="7"/>
  <c r="J1182" i="7"/>
  <c r="J1181" i="7"/>
  <c r="J1180" i="7"/>
  <c r="J1179" i="7"/>
  <c r="J1178" i="7"/>
  <c r="J1177" i="7"/>
  <c r="J1176" i="7"/>
  <c r="J1175" i="7"/>
  <c r="J1174" i="7"/>
  <c r="J1173" i="7"/>
  <c r="J1172" i="7"/>
  <c r="J1171" i="7"/>
  <c r="J1170" i="7"/>
  <c r="J1169" i="7"/>
  <c r="J1168" i="7"/>
  <c r="J1167" i="7"/>
  <c r="J1166" i="7"/>
  <c r="J1165" i="7"/>
  <c r="J1164" i="7"/>
  <c r="J1163" i="7"/>
  <c r="J1162" i="7"/>
  <c r="J1161" i="7"/>
  <c r="J1160" i="7"/>
  <c r="J1159" i="7"/>
  <c r="J1158" i="7"/>
  <c r="J1157" i="7"/>
  <c r="J1156" i="7"/>
  <c r="J1155" i="7"/>
  <c r="J1154" i="7"/>
  <c r="J1153" i="7"/>
  <c r="J1152" i="7"/>
  <c r="J1151" i="7"/>
  <c r="J1150" i="7"/>
  <c r="J1149" i="7"/>
  <c r="J1148" i="7"/>
  <c r="J1147" i="7"/>
  <c r="J1146" i="7"/>
  <c r="J1145" i="7"/>
  <c r="J1144" i="7"/>
  <c r="J1143" i="7"/>
  <c r="J1142" i="7"/>
  <c r="J1141" i="7"/>
  <c r="J1140" i="7"/>
  <c r="J1139" i="7"/>
  <c r="J1138" i="7"/>
  <c r="J1137" i="7"/>
  <c r="J1136" i="7"/>
  <c r="J1135" i="7"/>
  <c r="J1134" i="7"/>
  <c r="J1133" i="7"/>
  <c r="J1132" i="7"/>
  <c r="J1131" i="7"/>
  <c r="J1130" i="7"/>
  <c r="J1129" i="7"/>
  <c r="J1128" i="7"/>
  <c r="J1127" i="7"/>
  <c r="J1126" i="7"/>
  <c r="J1125" i="7"/>
  <c r="J1124" i="7"/>
  <c r="J1123" i="7"/>
  <c r="J1122" i="7"/>
  <c r="J1121" i="7"/>
  <c r="J1120" i="7"/>
  <c r="J1119" i="7"/>
  <c r="J1118" i="7"/>
  <c r="J1117" i="7"/>
  <c r="J1116" i="7"/>
  <c r="J1115" i="7"/>
  <c r="J1114" i="7"/>
  <c r="J1113" i="7"/>
  <c r="J1112" i="7"/>
  <c r="J1111" i="7"/>
  <c r="J1110" i="7"/>
  <c r="J1109" i="7"/>
  <c r="J1108" i="7"/>
  <c r="J1107" i="7"/>
  <c r="J1106" i="7"/>
  <c r="J1105" i="7"/>
  <c r="J1104" i="7"/>
  <c r="J1103" i="7"/>
  <c r="J1102" i="7"/>
  <c r="J1101" i="7"/>
  <c r="J1100" i="7"/>
  <c r="J1099" i="7"/>
  <c r="J1096" i="7"/>
  <c r="D1101" i="7"/>
  <c r="D1100" i="7"/>
  <c r="D1099" i="7"/>
  <c r="D1098" i="7"/>
  <c r="D1097" i="7"/>
  <c r="D1096" i="7"/>
  <c r="H1084" i="7"/>
  <c r="G1084" i="7"/>
  <c r="H1067" i="7"/>
  <c r="Q1098" i="7" l="1"/>
  <c r="Q1114" i="7"/>
  <c r="Q1122" i="7"/>
  <c r="Q1162" i="7"/>
  <c r="Q1099" i="7"/>
  <c r="Q1115" i="7"/>
  <c r="Q1123" i="7"/>
  <c r="Q1163" i="7"/>
  <c r="Q1179" i="7"/>
  <c r="Q1195" i="7"/>
  <c r="Q1100" i="7"/>
  <c r="Q1116" i="7"/>
  <c r="Q1124" i="7"/>
  <c r="Q1180" i="7"/>
  <c r="Q1196" i="7"/>
  <c r="Q1101" i="7"/>
  <c r="Q1117" i="7"/>
  <c r="Q1181" i="7"/>
  <c r="Q1197" i="7"/>
  <c r="Q1118" i="7"/>
  <c r="Q1182" i="7"/>
  <c r="Q1198" i="7"/>
  <c r="Q1111" i="7"/>
  <c r="Q1119" i="7"/>
  <c r="Q1183" i="7"/>
  <c r="Q1096" i="7"/>
  <c r="Q1112" i="7"/>
  <c r="Q1120" i="7"/>
  <c r="Q1160" i="7"/>
  <c r="Q1097" i="7"/>
  <c r="Q1113" i="7"/>
  <c r="Q1121" i="7"/>
  <c r="Q1161" i="7"/>
  <c r="G1063" i="7" l="1"/>
  <c r="I1062" i="7"/>
  <c r="H1035" i="7" l="1"/>
  <c r="H1036" i="7"/>
  <c r="H1047" i="7" l="1"/>
  <c r="G1047" i="7"/>
  <c r="I1038" i="7"/>
  <c r="H1038" i="7"/>
  <c r="G1030" i="7" l="1"/>
  <c r="H1031" i="7" l="1"/>
  <c r="H1029" i="7" l="1"/>
  <c r="I1027" i="7"/>
  <c r="Q1378" i="2"/>
  <c r="I1378" i="2"/>
  <c r="K1378" i="2" l="1"/>
  <c r="H1023" i="7" l="1"/>
  <c r="J1391" i="2" l="1"/>
  <c r="M1391" i="2" l="1"/>
  <c r="N1391" i="2"/>
  <c r="O1391" i="2" s="1"/>
  <c r="P1391" i="2" s="1"/>
  <c r="H1015" i="7"/>
  <c r="I1013" i="7"/>
  <c r="H1013" i="7"/>
  <c r="H1010" i="7"/>
  <c r="H1009" i="7"/>
  <c r="G1009" i="7"/>
  <c r="I806" i="7"/>
  <c r="I950" i="7"/>
  <c r="Q1383" i="2" l="1"/>
  <c r="I1383" i="2"/>
  <c r="H1003" i="7"/>
  <c r="H971" i="7" l="1"/>
  <c r="E4" i="12"/>
  <c r="H985" i="7"/>
  <c r="H999" i="7" l="1"/>
  <c r="G997" i="7"/>
  <c r="H995" i="7"/>
  <c r="G995" i="7"/>
  <c r="Q1380" i="2" l="1"/>
  <c r="I1380" i="2"/>
  <c r="E6" i="12"/>
  <c r="E5" i="12"/>
  <c r="R1393" i="2" l="1"/>
  <c r="J1393" i="2"/>
  <c r="M1393" i="2" l="1"/>
  <c r="N1393" i="2"/>
  <c r="O1393" i="2" s="1"/>
  <c r="P1393" i="2" s="1"/>
  <c r="Q1384" i="2" l="1"/>
  <c r="I1384" i="2"/>
  <c r="H964" i="7"/>
  <c r="H959" i="7" l="1"/>
  <c r="H958" i="7"/>
  <c r="H957" i="7"/>
  <c r="P1086" i="7"/>
  <c r="P1085" i="7"/>
  <c r="P1084" i="7"/>
  <c r="P1083" i="7"/>
  <c r="P1082" i="7"/>
  <c r="P1066" i="7"/>
  <c r="P1065" i="7"/>
  <c r="P1064" i="7"/>
  <c r="P1063" i="7"/>
  <c r="P1062" i="7"/>
  <c r="P1061" i="7"/>
  <c r="P1048" i="7"/>
  <c r="P1047" i="7"/>
  <c r="P1040" i="7"/>
  <c r="P1039" i="7"/>
  <c r="P1038" i="7"/>
  <c r="P1032" i="7"/>
  <c r="P1031" i="7"/>
  <c r="P1030" i="7"/>
  <c r="P1029" i="7"/>
  <c r="P1028" i="7"/>
  <c r="P1027" i="7"/>
  <c r="P1015" i="7"/>
  <c r="P1014" i="7"/>
  <c r="P1013" i="7"/>
  <c r="P1012" i="7"/>
  <c r="P1011" i="7"/>
  <c r="P1010" i="7"/>
  <c r="P1009" i="7"/>
  <c r="P999" i="7"/>
  <c r="P998" i="7"/>
  <c r="P997" i="7"/>
  <c r="P996" i="7"/>
  <c r="P995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N1095" i="7"/>
  <c r="N1094" i="7"/>
  <c r="N1093" i="7"/>
  <c r="N1092" i="7"/>
  <c r="N1091" i="7"/>
  <c r="N1090" i="7"/>
  <c r="N1089" i="7"/>
  <c r="N1088" i="7"/>
  <c r="N1087" i="7"/>
  <c r="N1086" i="7"/>
  <c r="N1085" i="7"/>
  <c r="N1084" i="7"/>
  <c r="N1083" i="7"/>
  <c r="N1082" i="7"/>
  <c r="N1081" i="7"/>
  <c r="N1080" i="7"/>
  <c r="N1079" i="7"/>
  <c r="N1078" i="7"/>
  <c r="N1077" i="7"/>
  <c r="N1076" i="7"/>
  <c r="N1075" i="7"/>
  <c r="N1074" i="7"/>
  <c r="N1073" i="7"/>
  <c r="N1072" i="7"/>
  <c r="N1071" i="7"/>
  <c r="N1070" i="7"/>
  <c r="N1069" i="7"/>
  <c r="N1068" i="7"/>
  <c r="N1067" i="7"/>
  <c r="N1066" i="7"/>
  <c r="N1065" i="7"/>
  <c r="N1064" i="7"/>
  <c r="N1063" i="7"/>
  <c r="N1062" i="7"/>
  <c r="N1061" i="7"/>
  <c r="N1060" i="7"/>
  <c r="N1059" i="7"/>
  <c r="N1058" i="7"/>
  <c r="N1057" i="7"/>
  <c r="N1056" i="7"/>
  <c r="N1055" i="7"/>
  <c r="N1054" i="7"/>
  <c r="N1053" i="7"/>
  <c r="N1052" i="7"/>
  <c r="N1051" i="7"/>
  <c r="N1050" i="7"/>
  <c r="N1049" i="7"/>
  <c r="N1048" i="7"/>
  <c r="N1047" i="7"/>
  <c r="N1046" i="7"/>
  <c r="N1045" i="7"/>
  <c r="N1044" i="7"/>
  <c r="N1043" i="7"/>
  <c r="N1042" i="7"/>
  <c r="N1041" i="7"/>
  <c r="N1040" i="7"/>
  <c r="N1039" i="7"/>
  <c r="N1038" i="7"/>
  <c r="N1037" i="7"/>
  <c r="N1036" i="7"/>
  <c r="N1035" i="7"/>
  <c r="N1034" i="7"/>
  <c r="N1033" i="7"/>
  <c r="N1032" i="7"/>
  <c r="N1031" i="7"/>
  <c r="N1030" i="7"/>
  <c r="N1029" i="7"/>
  <c r="N1028" i="7"/>
  <c r="N1027" i="7"/>
  <c r="N1026" i="7"/>
  <c r="N1025" i="7"/>
  <c r="N1024" i="7"/>
  <c r="N1023" i="7"/>
  <c r="N1022" i="7"/>
  <c r="N1021" i="7"/>
  <c r="N1020" i="7"/>
  <c r="N1019" i="7"/>
  <c r="N1018" i="7"/>
  <c r="N1017" i="7"/>
  <c r="N1016" i="7"/>
  <c r="N1015" i="7"/>
  <c r="N1014" i="7"/>
  <c r="N1013" i="7"/>
  <c r="N1012" i="7"/>
  <c r="N1011" i="7"/>
  <c r="N1010" i="7"/>
  <c r="N1009" i="7"/>
  <c r="N1008" i="7"/>
  <c r="N1007" i="7"/>
  <c r="N1006" i="7"/>
  <c r="N1005" i="7"/>
  <c r="N1004" i="7"/>
  <c r="N1003" i="7"/>
  <c r="N1002" i="7"/>
  <c r="N1001" i="7"/>
  <c r="N1000" i="7"/>
  <c r="N994" i="7"/>
  <c r="N999" i="7"/>
  <c r="N998" i="7"/>
  <c r="N997" i="7"/>
  <c r="N996" i="7"/>
  <c r="N995" i="7"/>
  <c r="N993" i="7"/>
  <c r="N992" i="7"/>
  <c r="N991" i="7"/>
  <c r="N990" i="7"/>
  <c r="N989" i="7"/>
  <c r="N988" i="7"/>
  <c r="N987" i="7"/>
  <c r="N986" i="7"/>
  <c r="N985" i="7"/>
  <c r="N984" i="7"/>
  <c r="N983" i="7"/>
  <c r="N982" i="7"/>
  <c r="N981" i="7"/>
  <c r="N980" i="7"/>
  <c r="N979" i="7"/>
  <c r="N978" i="7"/>
  <c r="N977" i="7"/>
  <c r="N976" i="7"/>
  <c r="N975" i="7"/>
  <c r="N974" i="7"/>
  <c r="N973" i="7"/>
  <c r="N972" i="7"/>
  <c r="N971" i="7"/>
  <c r="N970" i="7"/>
  <c r="N969" i="7"/>
  <c r="N968" i="7"/>
  <c r="N967" i="7"/>
  <c r="N966" i="7"/>
  <c r="N965" i="7"/>
  <c r="N964" i="7"/>
  <c r="N963" i="7"/>
  <c r="N962" i="7"/>
  <c r="N961" i="7"/>
  <c r="N960" i="7"/>
  <c r="N959" i="7"/>
  <c r="N958" i="7"/>
  <c r="N957" i="7"/>
  <c r="N956" i="7"/>
  <c r="N955" i="7"/>
  <c r="N954" i="7"/>
  <c r="N953" i="7"/>
  <c r="J1095" i="7"/>
  <c r="J1094" i="7"/>
  <c r="J1093" i="7"/>
  <c r="J1092" i="7"/>
  <c r="J1091" i="7"/>
  <c r="J1090" i="7"/>
  <c r="J1089" i="7"/>
  <c r="J1088" i="7"/>
  <c r="J1087" i="7"/>
  <c r="J1086" i="7"/>
  <c r="J1085" i="7"/>
  <c r="J1084" i="7"/>
  <c r="J1083" i="7"/>
  <c r="J1082" i="7"/>
  <c r="J1081" i="7"/>
  <c r="J1080" i="7"/>
  <c r="J1079" i="7"/>
  <c r="J1078" i="7"/>
  <c r="J1077" i="7"/>
  <c r="J1076" i="7"/>
  <c r="J1075" i="7"/>
  <c r="J1074" i="7"/>
  <c r="J1073" i="7"/>
  <c r="J1072" i="7"/>
  <c r="J1071" i="7"/>
  <c r="J1070" i="7"/>
  <c r="J1069" i="7"/>
  <c r="J1068" i="7"/>
  <c r="J1067" i="7"/>
  <c r="J1066" i="7"/>
  <c r="J1065" i="7"/>
  <c r="J1064" i="7"/>
  <c r="J1063" i="7"/>
  <c r="J1062" i="7"/>
  <c r="J1061" i="7"/>
  <c r="J1060" i="7"/>
  <c r="J1059" i="7"/>
  <c r="J1058" i="7"/>
  <c r="J1057" i="7"/>
  <c r="J1056" i="7"/>
  <c r="J1055" i="7"/>
  <c r="J1054" i="7"/>
  <c r="J1053" i="7"/>
  <c r="J1052" i="7"/>
  <c r="J1051" i="7"/>
  <c r="J1050" i="7"/>
  <c r="J1049" i="7"/>
  <c r="J1048" i="7"/>
  <c r="J1047" i="7"/>
  <c r="J1046" i="7"/>
  <c r="J1045" i="7"/>
  <c r="J1044" i="7"/>
  <c r="J1043" i="7"/>
  <c r="J1042" i="7"/>
  <c r="J1041" i="7"/>
  <c r="J1040" i="7"/>
  <c r="J1039" i="7"/>
  <c r="J1038" i="7"/>
  <c r="J1037" i="7"/>
  <c r="J1036" i="7"/>
  <c r="J1035" i="7"/>
  <c r="J1034" i="7"/>
  <c r="J1033" i="7"/>
  <c r="J1032" i="7"/>
  <c r="J1031" i="7"/>
  <c r="J1030" i="7"/>
  <c r="J1029" i="7"/>
  <c r="J1028" i="7"/>
  <c r="J1027" i="7"/>
  <c r="J1026" i="7"/>
  <c r="J1025" i="7"/>
  <c r="J1024" i="7"/>
  <c r="J1023" i="7"/>
  <c r="J1022" i="7"/>
  <c r="J1021" i="7"/>
  <c r="J1020" i="7"/>
  <c r="J1019" i="7"/>
  <c r="J1018" i="7"/>
  <c r="J1017" i="7"/>
  <c r="J1016" i="7"/>
  <c r="J1015" i="7"/>
  <c r="J1014" i="7"/>
  <c r="J1013" i="7"/>
  <c r="J1012" i="7"/>
  <c r="J1011" i="7"/>
  <c r="J1010" i="7"/>
  <c r="J1009" i="7"/>
  <c r="J1008" i="7"/>
  <c r="J1007" i="7"/>
  <c r="J1006" i="7"/>
  <c r="J1005" i="7"/>
  <c r="J1004" i="7"/>
  <c r="J1003" i="7"/>
  <c r="J1002" i="7"/>
  <c r="J1001" i="7"/>
  <c r="J1000" i="7"/>
  <c r="J994" i="7"/>
  <c r="J999" i="7"/>
  <c r="J998" i="7"/>
  <c r="J997" i="7"/>
  <c r="J996" i="7"/>
  <c r="J995" i="7"/>
  <c r="J993" i="7"/>
  <c r="J992" i="7"/>
  <c r="J991" i="7"/>
  <c r="J990" i="7"/>
  <c r="J989" i="7"/>
  <c r="J988" i="7"/>
  <c r="J987" i="7"/>
  <c r="J986" i="7"/>
  <c r="J985" i="7"/>
  <c r="J984" i="7"/>
  <c r="J983" i="7"/>
  <c r="J982" i="7"/>
  <c r="J981" i="7"/>
  <c r="J980" i="7"/>
  <c r="J979" i="7"/>
  <c r="J978" i="7"/>
  <c r="J977" i="7"/>
  <c r="J976" i="7"/>
  <c r="J975" i="7"/>
  <c r="J974" i="7"/>
  <c r="J973" i="7"/>
  <c r="J972" i="7"/>
  <c r="J971" i="7"/>
  <c r="J970" i="7"/>
  <c r="J969" i="7"/>
  <c r="J968" i="7"/>
  <c r="J967" i="7"/>
  <c r="J966" i="7"/>
  <c r="J965" i="7"/>
  <c r="J964" i="7"/>
  <c r="J963" i="7"/>
  <c r="J962" i="7"/>
  <c r="J961" i="7"/>
  <c r="J960" i="7"/>
  <c r="J959" i="7"/>
  <c r="J958" i="7"/>
  <c r="J957" i="7"/>
  <c r="J956" i="7"/>
  <c r="J955" i="7"/>
  <c r="J954" i="7"/>
  <c r="J953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6" i="7"/>
  <c r="D1055" i="7"/>
  <c r="D1054" i="7"/>
  <c r="D1053" i="7"/>
  <c r="D1052" i="7"/>
  <c r="D1051" i="7"/>
  <c r="D1050" i="7"/>
  <c r="D1049" i="7"/>
  <c r="D1048" i="7"/>
  <c r="D1047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4" i="7"/>
  <c r="D999" i="7"/>
  <c r="D998" i="7"/>
  <c r="D997" i="7"/>
  <c r="D996" i="7"/>
  <c r="D995" i="7"/>
  <c r="D993" i="7"/>
  <c r="D992" i="7"/>
  <c r="D991" i="7"/>
  <c r="D990" i="7"/>
  <c r="D989" i="7"/>
  <c r="D988" i="7"/>
  <c r="D987" i="7"/>
  <c r="D986" i="7"/>
  <c r="D985" i="7"/>
  <c r="D984" i="7"/>
  <c r="D982" i="7"/>
  <c r="D981" i="7"/>
  <c r="D979" i="7"/>
  <c r="D978" i="7"/>
  <c r="D976" i="7"/>
  <c r="D975" i="7"/>
  <c r="D974" i="7"/>
  <c r="D973" i="7"/>
  <c r="D972" i="7"/>
  <c r="D971" i="7"/>
  <c r="D970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E13" i="14" l="1"/>
  <c r="F13" i="14" s="1"/>
  <c r="Q966" i="7"/>
  <c r="Q998" i="7"/>
  <c r="Q1013" i="7"/>
  <c r="Q1029" i="7"/>
  <c r="Q959" i="7"/>
  <c r="Q1032" i="7"/>
  <c r="Q1039" i="7"/>
  <c r="Q1047" i="7"/>
  <c r="Q1063" i="7"/>
  <c r="Q996" i="7"/>
  <c r="Q1011" i="7"/>
  <c r="Q1027" i="7"/>
  <c r="Q1066" i="7"/>
  <c r="Q1082" i="7"/>
  <c r="Q999" i="7"/>
  <c r="Q1014" i="7"/>
  <c r="Q1030" i="7"/>
  <c r="Q1061" i="7"/>
  <c r="Q1085" i="7"/>
  <c r="Q1015" i="7"/>
  <c r="Q1031" i="7"/>
  <c r="Q1038" i="7"/>
  <c r="Q1062" i="7"/>
  <c r="Q1086" i="7"/>
  <c r="Q953" i="7"/>
  <c r="Q961" i="7"/>
  <c r="Q962" i="7"/>
  <c r="Q1009" i="7"/>
  <c r="Q1040" i="7"/>
  <c r="Q1048" i="7"/>
  <c r="Q1064" i="7"/>
  <c r="Q963" i="7"/>
  <c r="Q995" i="7"/>
  <c r="Q1010" i="7"/>
  <c r="Q1065" i="7"/>
  <c r="Q964" i="7"/>
  <c r="Q965" i="7"/>
  <c r="Q997" i="7"/>
  <c r="Q1012" i="7"/>
  <c r="Q1028" i="7"/>
  <c r="Q1083" i="7"/>
  <c r="Q1084" i="7"/>
  <c r="Q960" i="7"/>
  <c r="Q958" i="7"/>
  <c r="Q957" i="7"/>
  <c r="Q956" i="7"/>
  <c r="Q955" i="7"/>
  <c r="Q954" i="7"/>
  <c r="H911" i="7" l="1"/>
  <c r="H906" i="7" l="1"/>
  <c r="H905" i="7"/>
  <c r="Q1374" i="2" l="1"/>
  <c r="I1374" i="2"/>
  <c r="Q1377" i="2"/>
  <c r="I1377" i="2"/>
  <c r="J33" i="2" l="1"/>
  <c r="M33" i="2" s="1"/>
  <c r="I513" i="7" l="1"/>
  <c r="H888" i="7" l="1"/>
  <c r="G888" i="7"/>
  <c r="H887" i="7"/>
  <c r="H883" i="7"/>
  <c r="H864" i="7" l="1"/>
  <c r="J864" i="7" s="1"/>
  <c r="H861" i="7"/>
  <c r="H859" i="7"/>
  <c r="P935" i="7"/>
  <c r="P934" i="7"/>
  <c r="P933" i="7"/>
  <c r="P932" i="7"/>
  <c r="P914" i="7"/>
  <c r="P913" i="7"/>
  <c r="P912" i="7"/>
  <c r="P911" i="7"/>
  <c r="P910" i="7"/>
  <c r="P909" i="7"/>
  <c r="P908" i="7"/>
  <c r="P907" i="7"/>
  <c r="P906" i="7"/>
  <c r="P905" i="7"/>
  <c r="P889" i="7"/>
  <c r="P888" i="7"/>
  <c r="P887" i="7"/>
  <c r="P886" i="7"/>
  <c r="P885" i="7"/>
  <c r="P884" i="7"/>
  <c r="P883" i="7"/>
  <c r="P882" i="7"/>
  <c r="P881" i="7"/>
  <c r="P880" i="7"/>
  <c r="P867" i="7"/>
  <c r="P866" i="7"/>
  <c r="P865" i="7"/>
  <c r="P864" i="7"/>
  <c r="P863" i="7"/>
  <c r="P862" i="7"/>
  <c r="P861" i="7"/>
  <c r="P860" i="7"/>
  <c r="P859" i="7"/>
  <c r="N952" i="7"/>
  <c r="N951" i="7"/>
  <c r="N950" i="7"/>
  <c r="N949" i="7"/>
  <c r="N948" i="7"/>
  <c r="N947" i="7"/>
  <c r="N946" i="7"/>
  <c r="N945" i="7"/>
  <c r="N944" i="7"/>
  <c r="N943" i="7"/>
  <c r="N942" i="7"/>
  <c r="N941" i="7"/>
  <c r="N940" i="7"/>
  <c r="N939" i="7"/>
  <c r="N938" i="7"/>
  <c r="N937" i="7"/>
  <c r="N936" i="7"/>
  <c r="N935" i="7"/>
  <c r="N934" i="7"/>
  <c r="N933" i="7"/>
  <c r="N932" i="7"/>
  <c r="N931" i="7"/>
  <c r="N930" i="7"/>
  <c r="N929" i="7"/>
  <c r="N928" i="7"/>
  <c r="N927" i="7"/>
  <c r="N926" i="7"/>
  <c r="N925" i="7"/>
  <c r="N924" i="7"/>
  <c r="N923" i="7"/>
  <c r="N922" i="7"/>
  <c r="N921" i="7"/>
  <c r="N920" i="7"/>
  <c r="N919" i="7"/>
  <c r="N918" i="7"/>
  <c r="N917" i="7"/>
  <c r="N916" i="7"/>
  <c r="N915" i="7"/>
  <c r="N914" i="7"/>
  <c r="N913" i="7"/>
  <c r="N912" i="7"/>
  <c r="N911" i="7"/>
  <c r="N910" i="7"/>
  <c r="N909" i="7"/>
  <c r="N908" i="7"/>
  <c r="N907" i="7"/>
  <c r="N906" i="7"/>
  <c r="N905" i="7"/>
  <c r="N904" i="7"/>
  <c r="N903" i="7"/>
  <c r="N902" i="7"/>
  <c r="N901" i="7"/>
  <c r="N900" i="7"/>
  <c r="N899" i="7"/>
  <c r="N898" i="7"/>
  <c r="N897" i="7"/>
  <c r="N896" i="7"/>
  <c r="N895" i="7"/>
  <c r="N894" i="7"/>
  <c r="N893" i="7"/>
  <c r="N892" i="7"/>
  <c r="N891" i="7"/>
  <c r="N890" i="7"/>
  <c r="N889" i="7"/>
  <c r="N888" i="7"/>
  <c r="N887" i="7"/>
  <c r="N886" i="7"/>
  <c r="N885" i="7"/>
  <c r="N884" i="7"/>
  <c r="N883" i="7"/>
  <c r="N882" i="7"/>
  <c r="N881" i="7"/>
  <c r="N880" i="7"/>
  <c r="N879" i="7"/>
  <c r="N878" i="7"/>
  <c r="N877" i="7"/>
  <c r="N876" i="7"/>
  <c r="N875" i="7"/>
  <c r="N874" i="7"/>
  <c r="N873" i="7"/>
  <c r="N872" i="7"/>
  <c r="N871" i="7"/>
  <c r="N870" i="7"/>
  <c r="N869" i="7"/>
  <c r="N868" i="7"/>
  <c r="N867" i="7"/>
  <c r="N866" i="7"/>
  <c r="N865" i="7"/>
  <c r="N864" i="7"/>
  <c r="N863" i="7"/>
  <c r="N862" i="7"/>
  <c r="N861" i="7"/>
  <c r="N860" i="7"/>
  <c r="N859" i="7"/>
  <c r="J952" i="7"/>
  <c r="J951" i="7"/>
  <c r="J950" i="7"/>
  <c r="J949" i="7"/>
  <c r="J948" i="7"/>
  <c r="J947" i="7"/>
  <c r="J946" i="7"/>
  <c r="J945" i="7"/>
  <c r="J944" i="7"/>
  <c r="J943" i="7"/>
  <c r="J942" i="7"/>
  <c r="J941" i="7"/>
  <c r="J940" i="7"/>
  <c r="J939" i="7"/>
  <c r="J938" i="7"/>
  <c r="J937" i="7"/>
  <c r="J936" i="7"/>
  <c r="J935" i="7"/>
  <c r="J934" i="7"/>
  <c r="J933" i="7"/>
  <c r="J932" i="7"/>
  <c r="J931" i="7"/>
  <c r="J930" i="7"/>
  <c r="J929" i="7"/>
  <c r="J928" i="7"/>
  <c r="J927" i="7"/>
  <c r="J926" i="7"/>
  <c r="J925" i="7"/>
  <c r="J924" i="7"/>
  <c r="J923" i="7"/>
  <c r="J922" i="7"/>
  <c r="J921" i="7"/>
  <c r="J920" i="7"/>
  <c r="J919" i="7"/>
  <c r="J918" i="7"/>
  <c r="J917" i="7"/>
  <c r="J916" i="7"/>
  <c r="J915" i="7"/>
  <c r="J914" i="7"/>
  <c r="J913" i="7"/>
  <c r="J912" i="7"/>
  <c r="J911" i="7"/>
  <c r="J910" i="7"/>
  <c r="J909" i="7"/>
  <c r="J908" i="7"/>
  <c r="J907" i="7"/>
  <c r="J906" i="7"/>
  <c r="J905" i="7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3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3" i="7"/>
  <c r="J862" i="7"/>
  <c r="J861" i="7"/>
  <c r="J860" i="7"/>
  <c r="J859" i="7"/>
  <c r="D951" i="7"/>
  <c r="D950" i="7"/>
  <c r="D949" i="7"/>
  <c r="D948" i="7"/>
  <c r="D947" i="7"/>
  <c r="D946" i="7"/>
  <c r="D945" i="7"/>
  <c r="D944" i="7"/>
  <c r="D942" i="7"/>
  <c r="D941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Q859" i="7" l="1"/>
  <c r="Q867" i="7"/>
  <c r="Q883" i="7"/>
  <c r="Q907" i="7"/>
  <c r="Q912" i="7"/>
  <c r="Q884" i="7"/>
  <c r="Q908" i="7"/>
  <c r="Q913" i="7"/>
  <c r="Q885" i="7"/>
  <c r="Q909" i="7"/>
  <c r="Q914" i="7"/>
  <c r="Q886" i="7"/>
  <c r="Q910" i="7"/>
  <c r="Q863" i="7"/>
  <c r="Q887" i="7"/>
  <c r="Q932" i="7"/>
  <c r="Q880" i="7"/>
  <c r="Q888" i="7"/>
  <c r="Q933" i="7"/>
  <c r="Q881" i="7"/>
  <c r="Q889" i="7"/>
  <c r="Q905" i="7"/>
  <c r="Q934" i="7"/>
  <c r="Q866" i="7"/>
  <c r="Q882" i="7"/>
  <c r="Q906" i="7"/>
  <c r="Q911" i="7"/>
  <c r="Q935" i="7"/>
  <c r="Q865" i="7"/>
  <c r="Q864" i="7"/>
  <c r="Q862" i="7"/>
  <c r="Q861" i="7"/>
  <c r="Q860" i="7"/>
  <c r="J1387" i="2"/>
  <c r="J1388" i="2"/>
  <c r="J1379" i="2"/>
  <c r="J38" i="2"/>
  <c r="M38" i="2" s="1"/>
  <c r="M1388" i="2" l="1"/>
  <c r="N1388" i="2"/>
  <c r="O1388" i="2" s="1"/>
  <c r="P1388" i="2" s="1"/>
  <c r="M1387" i="2"/>
  <c r="N1387" i="2"/>
  <c r="O1387" i="2" s="1"/>
  <c r="P1387" i="2" s="1"/>
  <c r="M1379" i="2"/>
  <c r="N1379" i="2"/>
  <c r="O1379" i="2" s="1"/>
  <c r="P1379" i="2" s="1"/>
  <c r="H845" i="7"/>
  <c r="H842" i="7"/>
  <c r="H840" i="7"/>
  <c r="D858" i="7" l="1"/>
  <c r="D857" i="7"/>
  <c r="D856" i="7"/>
  <c r="D855" i="7"/>
  <c r="D854" i="7"/>
  <c r="D853" i="7"/>
  <c r="D852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5" i="7"/>
  <c r="H822" i="7" l="1"/>
  <c r="H821" i="7"/>
  <c r="H820" i="7"/>
  <c r="H815" i="7"/>
  <c r="H814" i="7"/>
  <c r="G811" i="7"/>
  <c r="J1384" i="2"/>
  <c r="R1384" i="2"/>
  <c r="J1383" i="2"/>
  <c r="R1383" i="2"/>
  <c r="M1383" i="2" l="1"/>
  <c r="N1383" i="2"/>
  <c r="O1383" i="2" s="1"/>
  <c r="P1383" i="2" s="1"/>
  <c r="M1384" i="2"/>
  <c r="N1384" i="2"/>
  <c r="O1384" i="2" s="1"/>
  <c r="P1384" i="2" s="1"/>
  <c r="R1382" i="2"/>
  <c r="J1382" i="2"/>
  <c r="R1378" i="2"/>
  <c r="J1378" i="2"/>
  <c r="M1382" i="2" l="1"/>
  <c r="N1382" i="2"/>
  <c r="O1382" i="2" s="1"/>
  <c r="P1382" i="2" s="1"/>
  <c r="M1378" i="2"/>
  <c r="N1378" i="2"/>
  <c r="O1378" i="2" s="1"/>
  <c r="P1378" i="2" s="1"/>
  <c r="D667" i="7"/>
  <c r="J667" i="7"/>
  <c r="N667" i="7"/>
  <c r="D740" i="7"/>
  <c r="J740" i="7"/>
  <c r="N740" i="7"/>
  <c r="R1377" i="2" l="1"/>
  <c r="J1377" i="2"/>
  <c r="H787" i="7"/>
  <c r="G786" i="7"/>
  <c r="H783" i="7"/>
  <c r="M1377" i="2" l="1"/>
  <c r="N1377" i="2"/>
  <c r="O1377" i="2" s="1"/>
  <c r="P1377" i="2" s="1"/>
  <c r="H759" i="7" l="1"/>
  <c r="J759" i="7" s="1"/>
  <c r="H758" i="7"/>
  <c r="J758" i="7" s="1"/>
  <c r="I756" i="7"/>
  <c r="J756" i="7" s="1"/>
  <c r="P847" i="7"/>
  <c r="P846" i="7"/>
  <c r="P845" i="7"/>
  <c r="P844" i="7"/>
  <c r="P843" i="7"/>
  <c r="P842" i="7"/>
  <c r="P841" i="7"/>
  <c r="P840" i="7"/>
  <c r="P824" i="7"/>
  <c r="P823" i="7"/>
  <c r="P822" i="7"/>
  <c r="P821" i="7"/>
  <c r="P820" i="7"/>
  <c r="P819" i="7"/>
  <c r="P818" i="7"/>
  <c r="P817" i="7"/>
  <c r="P816" i="7"/>
  <c r="P815" i="7"/>
  <c r="P814" i="7"/>
  <c r="P813" i="7"/>
  <c r="P812" i="7"/>
  <c r="P811" i="7"/>
  <c r="P810" i="7"/>
  <c r="P788" i="7"/>
  <c r="P787" i="7"/>
  <c r="P786" i="7"/>
  <c r="P785" i="7"/>
  <c r="P784" i="7"/>
  <c r="P783" i="7"/>
  <c r="P782" i="7"/>
  <c r="P781" i="7"/>
  <c r="P780" i="7"/>
  <c r="P779" i="7"/>
  <c r="P778" i="7"/>
  <c r="P764" i="7"/>
  <c r="P763" i="7"/>
  <c r="P762" i="7"/>
  <c r="P761" i="7"/>
  <c r="P760" i="7"/>
  <c r="P759" i="7"/>
  <c r="P758" i="7"/>
  <c r="P757" i="7"/>
  <c r="P756" i="7"/>
  <c r="N858" i="7"/>
  <c r="N857" i="7"/>
  <c r="N856" i="7"/>
  <c r="N855" i="7"/>
  <c r="N854" i="7"/>
  <c r="N853" i="7"/>
  <c r="N852" i="7"/>
  <c r="N851" i="7"/>
  <c r="N850" i="7"/>
  <c r="N849" i="7"/>
  <c r="N848" i="7"/>
  <c r="N847" i="7"/>
  <c r="N846" i="7"/>
  <c r="N844" i="7"/>
  <c r="N843" i="7"/>
  <c r="N842" i="7"/>
  <c r="N841" i="7"/>
  <c r="N840" i="7"/>
  <c r="N839" i="7"/>
  <c r="N838" i="7"/>
  <c r="N837" i="7"/>
  <c r="N836" i="7"/>
  <c r="N835" i="7"/>
  <c r="N834" i="7"/>
  <c r="N833" i="7"/>
  <c r="N832" i="7"/>
  <c r="N831" i="7"/>
  <c r="N830" i="7"/>
  <c r="N829" i="7"/>
  <c r="N828" i="7"/>
  <c r="N827" i="7"/>
  <c r="N826" i="7"/>
  <c r="N825" i="7"/>
  <c r="N824" i="7"/>
  <c r="N823" i="7"/>
  <c r="N822" i="7"/>
  <c r="N820" i="7"/>
  <c r="N819" i="7"/>
  <c r="N818" i="7"/>
  <c r="N817" i="7"/>
  <c r="N816" i="7"/>
  <c r="N815" i="7"/>
  <c r="N814" i="7"/>
  <c r="N813" i="7"/>
  <c r="N811" i="7"/>
  <c r="N810" i="7"/>
  <c r="N809" i="7"/>
  <c r="N808" i="7"/>
  <c r="N807" i="7"/>
  <c r="N806" i="7"/>
  <c r="N805" i="7"/>
  <c r="N804" i="7"/>
  <c r="N803" i="7"/>
  <c r="N802" i="7"/>
  <c r="N801" i="7"/>
  <c r="N800" i="7"/>
  <c r="N799" i="7"/>
  <c r="N798" i="7"/>
  <c r="N797" i="7"/>
  <c r="N796" i="7"/>
  <c r="N795" i="7"/>
  <c r="N794" i="7"/>
  <c r="N793" i="7"/>
  <c r="N792" i="7"/>
  <c r="N791" i="7"/>
  <c r="N790" i="7"/>
  <c r="N789" i="7"/>
  <c r="N788" i="7"/>
  <c r="N787" i="7"/>
  <c r="N786" i="7"/>
  <c r="N785" i="7"/>
  <c r="N784" i="7"/>
  <c r="N783" i="7"/>
  <c r="N782" i="7"/>
  <c r="N781" i="7"/>
  <c r="N780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7" i="7"/>
  <c r="N756" i="7"/>
  <c r="N755" i="7"/>
  <c r="J858" i="7"/>
  <c r="J857" i="7"/>
  <c r="J856" i="7"/>
  <c r="J855" i="7"/>
  <c r="J854" i="7"/>
  <c r="J853" i="7"/>
  <c r="J852" i="7"/>
  <c r="J851" i="7"/>
  <c r="J850" i="7"/>
  <c r="J849" i="7"/>
  <c r="J848" i="7"/>
  <c r="J847" i="7"/>
  <c r="J846" i="7"/>
  <c r="J845" i="7"/>
  <c r="J844" i="7"/>
  <c r="J843" i="7"/>
  <c r="J842" i="7"/>
  <c r="J841" i="7"/>
  <c r="J840" i="7"/>
  <c r="J839" i="7"/>
  <c r="J838" i="7"/>
  <c r="J837" i="7"/>
  <c r="J836" i="7"/>
  <c r="J835" i="7"/>
  <c r="J834" i="7"/>
  <c r="J833" i="7"/>
  <c r="J832" i="7"/>
  <c r="J831" i="7"/>
  <c r="J830" i="7"/>
  <c r="J829" i="7"/>
  <c r="J828" i="7"/>
  <c r="J827" i="7"/>
  <c r="J826" i="7"/>
  <c r="J825" i="7"/>
  <c r="J824" i="7"/>
  <c r="J823" i="7"/>
  <c r="J822" i="7"/>
  <c r="J821" i="7"/>
  <c r="J820" i="7"/>
  <c r="J819" i="7"/>
  <c r="J818" i="7"/>
  <c r="J817" i="7"/>
  <c r="J816" i="7"/>
  <c r="J815" i="7"/>
  <c r="J814" i="7"/>
  <c r="J813" i="7"/>
  <c r="J812" i="7"/>
  <c r="J811" i="7"/>
  <c r="J810" i="7"/>
  <c r="J809" i="7"/>
  <c r="J808" i="7"/>
  <c r="J807" i="7"/>
  <c r="J806" i="7"/>
  <c r="J805" i="7"/>
  <c r="J804" i="7"/>
  <c r="J803" i="7"/>
  <c r="J802" i="7"/>
  <c r="J801" i="7"/>
  <c r="J800" i="7"/>
  <c r="J799" i="7"/>
  <c r="J798" i="7"/>
  <c r="J797" i="7"/>
  <c r="J796" i="7"/>
  <c r="J795" i="7"/>
  <c r="J794" i="7"/>
  <c r="J793" i="7"/>
  <c r="J792" i="7"/>
  <c r="J791" i="7"/>
  <c r="J790" i="7"/>
  <c r="J789" i="7"/>
  <c r="J788" i="7"/>
  <c r="J787" i="7"/>
  <c r="J786" i="7"/>
  <c r="J785" i="7"/>
  <c r="J784" i="7"/>
  <c r="J783" i="7"/>
  <c r="J782" i="7"/>
  <c r="J781" i="7"/>
  <c r="J780" i="7"/>
  <c r="J779" i="7"/>
  <c r="J778" i="7"/>
  <c r="J777" i="7"/>
  <c r="J776" i="7"/>
  <c r="J775" i="7"/>
  <c r="J774" i="7"/>
  <c r="J773" i="7"/>
  <c r="J772" i="7"/>
  <c r="J771" i="7"/>
  <c r="J770" i="7"/>
  <c r="J769" i="7"/>
  <c r="J768" i="7"/>
  <c r="J767" i="7"/>
  <c r="J766" i="7"/>
  <c r="J765" i="7"/>
  <c r="J764" i="7"/>
  <c r="J763" i="7"/>
  <c r="J762" i="7"/>
  <c r="J761" i="7"/>
  <c r="J760" i="7"/>
  <c r="J757" i="7"/>
  <c r="H755" i="7"/>
  <c r="J755" i="7" s="1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1" i="7"/>
  <c r="D799" i="7"/>
  <c r="D798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6" i="7"/>
  <c r="D774" i="7"/>
  <c r="D773" i="7"/>
  <c r="D772" i="7"/>
  <c r="D771" i="7"/>
  <c r="D770" i="7"/>
  <c r="D769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Q763" i="7" l="1"/>
  <c r="Q779" i="7"/>
  <c r="Q787" i="7"/>
  <c r="Q811" i="7"/>
  <c r="Q819" i="7"/>
  <c r="Q843" i="7"/>
  <c r="Q756" i="7"/>
  <c r="Q764" i="7"/>
  <c r="Q780" i="7"/>
  <c r="Q788" i="7"/>
  <c r="Q812" i="7"/>
  <c r="Q820" i="7"/>
  <c r="Q844" i="7"/>
  <c r="Q757" i="7"/>
  <c r="Q781" i="7"/>
  <c r="Q813" i="7"/>
  <c r="Q821" i="7"/>
  <c r="Q845" i="7"/>
  <c r="Q758" i="7"/>
  <c r="Q782" i="7"/>
  <c r="Q814" i="7"/>
  <c r="Q822" i="7"/>
  <c r="Q846" i="7"/>
  <c r="Q759" i="7"/>
  <c r="Q783" i="7"/>
  <c r="Q815" i="7"/>
  <c r="Q823" i="7"/>
  <c r="Q847" i="7"/>
  <c r="Q760" i="7"/>
  <c r="Q784" i="7"/>
  <c r="Q816" i="7"/>
  <c r="Q824" i="7"/>
  <c r="Q840" i="7"/>
  <c r="Q761" i="7"/>
  <c r="Q785" i="7"/>
  <c r="Q817" i="7"/>
  <c r="Q841" i="7"/>
  <c r="Q762" i="7"/>
  <c r="Q778" i="7"/>
  <c r="Q786" i="7"/>
  <c r="Q810" i="7"/>
  <c r="Q818" i="7"/>
  <c r="Q842" i="7"/>
  <c r="G718" i="7" l="1"/>
  <c r="H715" i="7"/>
  <c r="I713" i="7"/>
  <c r="P719" i="7" l="1"/>
  <c r="P718" i="7"/>
  <c r="P717" i="7"/>
  <c r="P716" i="7"/>
  <c r="P715" i="7"/>
  <c r="P714" i="7"/>
  <c r="P713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39" i="7"/>
  <c r="N738" i="7"/>
  <c r="N737" i="7"/>
  <c r="N736" i="7"/>
  <c r="N735" i="7"/>
  <c r="N734" i="7"/>
  <c r="N733" i="7"/>
  <c r="N732" i="7"/>
  <c r="N731" i="7"/>
  <c r="N730" i="7"/>
  <c r="N729" i="7"/>
  <c r="N728" i="7"/>
  <c r="N727" i="7"/>
  <c r="N726" i="7"/>
  <c r="N725" i="7"/>
  <c r="N724" i="7"/>
  <c r="N723" i="7"/>
  <c r="N722" i="7"/>
  <c r="N721" i="7"/>
  <c r="N720" i="7"/>
  <c r="N719" i="7"/>
  <c r="N718" i="7"/>
  <c r="N717" i="7"/>
  <c r="N716" i="7"/>
  <c r="N714" i="7"/>
  <c r="N713" i="7"/>
  <c r="N712" i="7"/>
  <c r="J754" i="7"/>
  <c r="J753" i="7"/>
  <c r="J752" i="7"/>
  <c r="J751" i="7"/>
  <c r="J750" i="7"/>
  <c r="J749" i="7"/>
  <c r="J748" i="7"/>
  <c r="J747" i="7"/>
  <c r="J746" i="7"/>
  <c r="J745" i="7"/>
  <c r="J744" i="7"/>
  <c r="J743" i="7"/>
  <c r="J742" i="7"/>
  <c r="J741" i="7"/>
  <c r="J739" i="7"/>
  <c r="J738" i="7"/>
  <c r="J737" i="7"/>
  <c r="J736" i="7"/>
  <c r="J735" i="7"/>
  <c r="J734" i="7"/>
  <c r="J733" i="7"/>
  <c r="J732" i="7"/>
  <c r="J731" i="7"/>
  <c r="J730" i="7"/>
  <c r="J729" i="7"/>
  <c r="J728" i="7"/>
  <c r="J727" i="7"/>
  <c r="J726" i="7"/>
  <c r="J725" i="7"/>
  <c r="J724" i="7"/>
  <c r="J723" i="7"/>
  <c r="J722" i="7"/>
  <c r="J721" i="7"/>
  <c r="J720" i="7"/>
  <c r="J719" i="7"/>
  <c r="J718" i="7"/>
  <c r="J717" i="7"/>
  <c r="J716" i="7"/>
  <c r="J715" i="7"/>
  <c r="J714" i="7"/>
  <c r="J713" i="7"/>
  <c r="I712" i="7"/>
  <c r="H712" i="7"/>
  <c r="D754" i="7"/>
  <c r="D753" i="7"/>
  <c r="D752" i="7"/>
  <c r="D751" i="7"/>
  <c r="D750" i="7"/>
  <c r="D748" i="7"/>
  <c r="D746" i="7"/>
  <c r="D745" i="7"/>
  <c r="D744" i="7"/>
  <c r="D743" i="7"/>
  <c r="D742" i="7"/>
  <c r="D741" i="7"/>
  <c r="D739" i="7"/>
  <c r="D738" i="7"/>
  <c r="D737" i="7"/>
  <c r="D736" i="7"/>
  <c r="D735" i="7"/>
  <c r="D734" i="7"/>
  <c r="D733" i="7"/>
  <c r="D731" i="7"/>
  <c r="D730" i="7"/>
  <c r="D727" i="7"/>
  <c r="D726" i="7"/>
  <c r="D725" i="7"/>
  <c r="D724" i="7"/>
  <c r="D722" i="7"/>
  <c r="D721" i="7"/>
  <c r="D720" i="7"/>
  <c r="D719" i="7"/>
  <c r="D718" i="7"/>
  <c r="D717" i="7"/>
  <c r="D716" i="7"/>
  <c r="D715" i="7"/>
  <c r="D714" i="7"/>
  <c r="D713" i="7"/>
  <c r="D712" i="7"/>
  <c r="H710" i="7"/>
  <c r="J712" i="7" l="1"/>
  <c r="Q716" i="7"/>
  <c r="Q715" i="7"/>
  <c r="Q713" i="7"/>
  <c r="Q717" i="7"/>
  <c r="Q718" i="7"/>
  <c r="Q719" i="7"/>
  <c r="Q714" i="7"/>
  <c r="H694" i="7" l="1"/>
  <c r="G694" i="7"/>
  <c r="I693" i="7" l="1"/>
  <c r="H693" i="7"/>
  <c r="H690" i="7"/>
  <c r="H688" i="7"/>
  <c r="H685" i="7"/>
  <c r="H683" i="7"/>
  <c r="H682" i="7"/>
  <c r="G682" i="7"/>
  <c r="H679" i="7"/>
  <c r="H677" i="7"/>
  <c r="G677" i="7"/>
  <c r="Q1385" i="2" l="1"/>
  <c r="I1385" i="2"/>
  <c r="Q1376" i="2" l="1"/>
  <c r="I1376" i="2"/>
  <c r="R1374" i="2" l="1"/>
  <c r="J1374" i="2"/>
  <c r="M1374" i="2" l="1"/>
  <c r="N1374" i="2"/>
  <c r="O1374" i="2" s="1"/>
  <c r="P1374" i="2" s="1"/>
  <c r="G629" i="7"/>
  <c r="H625" i="7"/>
  <c r="G625" i="7"/>
  <c r="Q1375" i="2" l="1"/>
  <c r="I1375" i="2"/>
  <c r="H605" i="7" l="1"/>
  <c r="G605" i="7"/>
  <c r="H594" i="7"/>
  <c r="G594" i="7"/>
  <c r="R5" i="1"/>
  <c r="R1385" i="2" l="1"/>
  <c r="J1385" i="2"/>
  <c r="H585" i="7"/>
  <c r="D585" i="7"/>
  <c r="H584" i="7"/>
  <c r="H574" i="7"/>
  <c r="G574" i="7"/>
  <c r="M1385" i="2" l="1"/>
  <c r="N1385" i="2"/>
  <c r="O1385" i="2" s="1"/>
  <c r="P1385" i="2" s="1"/>
  <c r="H572" i="7" l="1"/>
  <c r="G572" i="7"/>
  <c r="H567" i="7" l="1"/>
  <c r="G567" i="7"/>
  <c r="H559" i="7"/>
  <c r="J711" i="7" l="1"/>
  <c r="J710" i="7"/>
  <c r="J709" i="7"/>
  <c r="J708" i="7"/>
  <c r="J707" i="7"/>
  <c r="J706" i="7"/>
  <c r="J705" i="7"/>
  <c r="J704" i="7"/>
  <c r="J703" i="7"/>
  <c r="J702" i="7"/>
  <c r="J701" i="7"/>
  <c r="J700" i="7"/>
  <c r="J699" i="7"/>
  <c r="J698" i="7"/>
  <c r="J697" i="7"/>
  <c r="J696" i="7"/>
  <c r="J695" i="7"/>
  <c r="J694" i="7"/>
  <c r="J693" i="7"/>
  <c r="J692" i="7"/>
  <c r="J691" i="7"/>
  <c r="J690" i="7"/>
  <c r="J689" i="7"/>
  <c r="J688" i="7"/>
  <c r="J687" i="7"/>
  <c r="J686" i="7"/>
  <c r="J685" i="7"/>
  <c r="J684" i="7"/>
  <c r="J683" i="7"/>
  <c r="J682" i="7"/>
  <c r="J681" i="7"/>
  <c r="J680" i="7"/>
  <c r="J679" i="7"/>
  <c r="J678" i="7"/>
  <c r="J677" i="7"/>
  <c r="J676" i="7"/>
  <c r="J675" i="7"/>
  <c r="J674" i="7"/>
  <c r="J673" i="7"/>
  <c r="J672" i="7"/>
  <c r="J671" i="7"/>
  <c r="J670" i="7"/>
  <c r="J669" i="7"/>
  <c r="J668" i="7"/>
  <c r="J666" i="7"/>
  <c r="J665" i="7"/>
  <c r="J664" i="7"/>
  <c r="J663" i="7"/>
  <c r="J662" i="7"/>
  <c r="J661" i="7"/>
  <c r="J660" i="7"/>
  <c r="J659" i="7"/>
  <c r="J658" i="7"/>
  <c r="J657" i="7"/>
  <c r="J656" i="7"/>
  <c r="J655" i="7"/>
  <c r="J654" i="7"/>
  <c r="J653" i="7"/>
  <c r="J652" i="7"/>
  <c r="J651" i="7"/>
  <c r="J650" i="7"/>
  <c r="J649" i="7"/>
  <c r="J648" i="7"/>
  <c r="J647" i="7"/>
  <c r="J646" i="7"/>
  <c r="J645" i="7"/>
  <c r="J644" i="7"/>
  <c r="J643" i="7"/>
  <c r="J642" i="7"/>
  <c r="J641" i="7"/>
  <c r="J640" i="7"/>
  <c r="J639" i="7"/>
  <c r="J638" i="7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624" i="7"/>
  <c r="J623" i="7"/>
  <c r="J622" i="7"/>
  <c r="J621" i="7"/>
  <c r="J620" i="7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H540" i="7"/>
  <c r="G540" i="7"/>
  <c r="J539" i="7"/>
  <c r="P711" i="7"/>
  <c r="P710" i="7"/>
  <c r="P695" i="7"/>
  <c r="P694" i="7"/>
  <c r="P692" i="7"/>
  <c r="P691" i="7"/>
  <c r="P690" i="7"/>
  <c r="P689" i="7"/>
  <c r="P688" i="7"/>
  <c r="P686" i="7"/>
  <c r="P685" i="7"/>
  <c r="P684" i="7"/>
  <c r="P683" i="7"/>
  <c r="P682" i="7"/>
  <c r="P681" i="7"/>
  <c r="P680" i="7"/>
  <c r="P679" i="7"/>
  <c r="P678" i="7"/>
  <c r="P677" i="7"/>
  <c r="P631" i="7"/>
  <c r="P630" i="7"/>
  <c r="P629" i="7"/>
  <c r="P628" i="7"/>
  <c r="P627" i="7"/>
  <c r="P626" i="7"/>
  <c r="P625" i="7"/>
  <c r="P605" i="7"/>
  <c r="P595" i="7"/>
  <c r="P594" i="7"/>
  <c r="P593" i="7"/>
  <c r="P592" i="7"/>
  <c r="P591" i="7"/>
  <c r="P584" i="7"/>
  <c r="P576" i="7"/>
  <c r="P575" i="7"/>
  <c r="P574" i="7"/>
  <c r="P573" i="7"/>
  <c r="P572" i="7"/>
  <c r="P571" i="7"/>
  <c r="P570" i="7"/>
  <c r="P569" i="7"/>
  <c r="P568" i="7"/>
  <c r="P567" i="7"/>
  <c r="P542" i="7"/>
  <c r="P541" i="7"/>
  <c r="P540" i="7"/>
  <c r="P539" i="7"/>
  <c r="P538" i="7"/>
  <c r="N711" i="7"/>
  <c r="N709" i="7"/>
  <c r="N708" i="7"/>
  <c r="N707" i="7"/>
  <c r="N706" i="7"/>
  <c r="N705" i="7"/>
  <c r="N704" i="7"/>
  <c r="N703" i="7"/>
  <c r="N702" i="7"/>
  <c r="N701" i="7"/>
  <c r="N700" i="7"/>
  <c r="N699" i="7"/>
  <c r="N698" i="7"/>
  <c r="N697" i="7"/>
  <c r="N696" i="7"/>
  <c r="N695" i="7"/>
  <c r="N694" i="7"/>
  <c r="N693" i="7"/>
  <c r="N692" i="7"/>
  <c r="N691" i="7"/>
  <c r="N690" i="7"/>
  <c r="N689" i="7"/>
  <c r="N688" i="7"/>
  <c r="N687" i="7"/>
  <c r="N686" i="7"/>
  <c r="N685" i="7"/>
  <c r="N684" i="7"/>
  <c r="N683" i="7"/>
  <c r="N682" i="7"/>
  <c r="N681" i="7"/>
  <c r="N680" i="7"/>
  <c r="N679" i="7"/>
  <c r="N678" i="7"/>
  <c r="N677" i="7"/>
  <c r="N676" i="7"/>
  <c r="N675" i="7"/>
  <c r="N674" i="7"/>
  <c r="N673" i="7"/>
  <c r="N672" i="7"/>
  <c r="N671" i="7"/>
  <c r="N670" i="7"/>
  <c r="N669" i="7"/>
  <c r="N668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41" i="7"/>
  <c r="N640" i="7"/>
  <c r="N639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5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1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9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J538" i="7"/>
  <c r="D711" i="7"/>
  <c r="D710" i="7"/>
  <c r="D709" i="7"/>
  <c r="D708" i="7"/>
  <c r="D707" i="7"/>
  <c r="D706" i="7"/>
  <c r="D704" i="7"/>
  <c r="D703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5" i="7"/>
  <c r="D674" i="7"/>
  <c r="D673" i="7"/>
  <c r="D672" i="7"/>
  <c r="D671" i="7"/>
  <c r="D669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3" i="7"/>
  <c r="D642" i="7"/>
  <c r="D641" i="7"/>
  <c r="D640" i="7"/>
  <c r="D638" i="7"/>
  <c r="D637" i="7"/>
  <c r="D636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0" i="7"/>
  <c r="D619" i="7"/>
  <c r="D618" i="7"/>
  <c r="D617" i="7"/>
  <c r="D616" i="7"/>
  <c r="D615" i="7"/>
  <c r="D614" i="7"/>
  <c r="D612" i="7"/>
  <c r="D610" i="7"/>
  <c r="D609" i="7"/>
  <c r="D608" i="7"/>
  <c r="D606" i="7"/>
  <c r="D605" i="7"/>
  <c r="D603" i="7"/>
  <c r="D602" i="7"/>
  <c r="D601" i="7"/>
  <c r="D600" i="7"/>
  <c r="D599" i="7"/>
  <c r="D597" i="7"/>
  <c r="D596" i="7"/>
  <c r="D595" i="7"/>
  <c r="D594" i="7"/>
  <c r="D593" i="7"/>
  <c r="D592" i="7"/>
  <c r="D591" i="7"/>
  <c r="D590" i="7"/>
  <c r="D589" i="7"/>
  <c r="D588" i="7"/>
  <c r="D586" i="7"/>
  <c r="D584" i="7"/>
  <c r="D583" i="7"/>
  <c r="D582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0" i="7"/>
  <c r="D559" i="7"/>
  <c r="D557" i="7"/>
  <c r="D556" i="7"/>
  <c r="D555" i="7"/>
  <c r="D553" i="7"/>
  <c r="D550" i="7"/>
  <c r="D549" i="7"/>
  <c r="D548" i="7"/>
  <c r="D547" i="7"/>
  <c r="D546" i="7"/>
  <c r="D545" i="7"/>
  <c r="D543" i="7"/>
  <c r="D542" i="7"/>
  <c r="D541" i="7"/>
  <c r="D540" i="7"/>
  <c r="D539" i="7"/>
  <c r="D538" i="7"/>
  <c r="H535" i="7"/>
  <c r="J1375" i="2"/>
  <c r="N1375" i="2" s="1"/>
  <c r="E20" i="14" l="1"/>
  <c r="F20" i="14" s="1"/>
  <c r="E7" i="14"/>
  <c r="F7" i="14" s="1"/>
  <c r="J540" i="7"/>
  <c r="Q571" i="7"/>
  <c r="Q572" i="7"/>
  <c r="Q540" i="7"/>
  <c r="Q541" i="7"/>
  <c r="Q591" i="7"/>
  <c r="Q573" i="7"/>
  <c r="Q567" i="7"/>
  <c r="Q605" i="7"/>
  <c r="Q629" i="7"/>
  <c r="Q677" i="7"/>
  <c r="Q685" i="7"/>
  <c r="Q538" i="7"/>
  <c r="Q568" i="7"/>
  <c r="Q574" i="7"/>
  <c r="Q630" i="7"/>
  <c r="Q678" i="7"/>
  <c r="Q686" i="7"/>
  <c r="Q694" i="7"/>
  <c r="Q710" i="7"/>
  <c r="Q631" i="7"/>
  <c r="Q679" i="7"/>
  <c r="Q695" i="7"/>
  <c r="Q711" i="7"/>
  <c r="Q575" i="7"/>
  <c r="Q576" i="7"/>
  <c r="Q584" i="7"/>
  <c r="Q592" i="7"/>
  <c r="Q680" i="7"/>
  <c r="Q688" i="7"/>
  <c r="Q569" i="7"/>
  <c r="Q570" i="7"/>
  <c r="Q593" i="7"/>
  <c r="Q625" i="7"/>
  <c r="Q681" i="7"/>
  <c r="Q689" i="7"/>
  <c r="Q542" i="7"/>
  <c r="Q594" i="7"/>
  <c r="Q626" i="7"/>
  <c r="Q682" i="7"/>
  <c r="Q690" i="7"/>
  <c r="Q595" i="7"/>
  <c r="Q627" i="7"/>
  <c r="Q683" i="7"/>
  <c r="Q691" i="7"/>
  <c r="Q628" i="7"/>
  <c r="Q684" i="7"/>
  <c r="Q692" i="7"/>
  <c r="Q539" i="7"/>
  <c r="F30" i="2" l="1"/>
  <c r="H30" i="2"/>
  <c r="J30" i="2"/>
  <c r="L30" i="2"/>
  <c r="N30" i="2"/>
  <c r="O30" i="2" s="1"/>
  <c r="P30" i="2" s="1"/>
  <c r="R30" i="2"/>
  <c r="U30" i="2"/>
  <c r="X30" i="2"/>
  <c r="M30" i="2" l="1"/>
  <c r="H533" i="7"/>
  <c r="H529" i="7"/>
  <c r="G529" i="7"/>
  <c r="H525" i="7"/>
  <c r="H523" i="7"/>
  <c r="I515" i="7"/>
  <c r="D676" i="7" l="1"/>
  <c r="D607" i="7"/>
  <c r="D613" i="7"/>
  <c r="D558" i="7"/>
  <c r="D554" i="7"/>
  <c r="H519" i="7" l="1"/>
  <c r="X37" i="2" l="1"/>
  <c r="AF36" i="2" s="1"/>
  <c r="R1376" i="2"/>
  <c r="J1376" i="2"/>
  <c r="J37" i="2"/>
  <c r="M37" i="2" s="1"/>
  <c r="R25" i="2"/>
  <c r="J25" i="2"/>
  <c r="R24" i="2"/>
  <c r="J24" i="2"/>
  <c r="M25" i="2" l="1"/>
  <c r="N25" i="2"/>
  <c r="O25" i="2" s="1"/>
  <c r="P25" i="2" s="1"/>
  <c r="M24" i="2"/>
  <c r="N24" i="2"/>
  <c r="O24" i="2" s="1"/>
  <c r="P24" i="2" s="1"/>
  <c r="D797" i="7"/>
  <c r="D802" i="7"/>
  <c r="D768" i="7"/>
  <c r="D749" i="7"/>
  <c r="D732" i="7"/>
  <c r="D702" i="7"/>
  <c r="D668" i="7"/>
  <c r="D621" i="7"/>
  <c r="D639" i="7"/>
  <c r="M1376" i="2"/>
  <c r="N1376" i="2"/>
  <c r="O1376" i="2" s="1"/>
  <c r="P1376" i="2" s="1"/>
  <c r="D587" i="7"/>
  <c r="D598" i="7"/>
  <c r="D561" i="7"/>
  <c r="D544" i="7"/>
  <c r="Z37" i="2"/>
  <c r="H499" i="7" l="1"/>
  <c r="H497" i="7" l="1"/>
  <c r="H496" i="7"/>
  <c r="H495" i="7"/>
  <c r="H494" i="7"/>
  <c r="L1375" i="2" l="1"/>
  <c r="H477" i="7" l="1"/>
  <c r="H475" i="7"/>
  <c r="H474" i="7"/>
  <c r="H461" i="7" l="1"/>
  <c r="G445" i="7"/>
  <c r="H449" i="7"/>
  <c r="H444" i="7"/>
  <c r="H432" i="7" l="1"/>
  <c r="H427" i="7"/>
  <c r="H425" i="7"/>
  <c r="P339" i="7" l="1"/>
  <c r="H414" i="7" l="1"/>
  <c r="G414" i="7"/>
  <c r="H413" i="7"/>
  <c r="H405" i="7" l="1"/>
  <c r="P537" i="7"/>
  <c r="N537" i="7"/>
  <c r="J537" i="7"/>
  <c r="D537" i="7"/>
  <c r="P536" i="7"/>
  <c r="N536" i="7"/>
  <c r="J536" i="7"/>
  <c r="D536" i="7"/>
  <c r="P535" i="7"/>
  <c r="N535" i="7"/>
  <c r="J535" i="7"/>
  <c r="D535" i="7"/>
  <c r="P534" i="7"/>
  <c r="N534" i="7"/>
  <c r="J534" i="7"/>
  <c r="D534" i="7"/>
  <c r="P533" i="7"/>
  <c r="N533" i="7"/>
  <c r="J533" i="7"/>
  <c r="D533" i="7"/>
  <c r="P532" i="7"/>
  <c r="N532" i="7"/>
  <c r="J532" i="7"/>
  <c r="D532" i="7"/>
  <c r="P531" i="7"/>
  <c r="N531" i="7"/>
  <c r="J531" i="7"/>
  <c r="D531" i="7"/>
  <c r="P530" i="7"/>
  <c r="N530" i="7"/>
  <c r="J530" i="7"/>
  <c r="D530" i="7"/>
  <c r="P529" i="7"/>
  <c r="N529" i="7"/>
  <c r="J529" i="7"/>
  <c r="D529" i="7"/>
  <c r="P528" i="7"/>
  <c r="N528" i="7"/>
  <c r="J528" i="7"/>
  <c r="D528" i="7"/>
  <c r="P527" i="7"/>
  <c r="N527" i="7"/>
  <c r="J527" i="7"/>
  <c r="D527" i="7"/>
  <c r="P526" i="7"/>
  <c r="N526" i="7"/>
  <c r="D526" i="7"/>
  <c r="P525" i="7"/>
  <c r="N525" i="7"/>
  <c r="J525" i="7"/>
  <c r="D525" i="7"/>
  <c r="P524" i="7"/>
  <c r="N524" i="7"/>
  <c r="J524" i="7"/>
  <c r="D524" i="7"/>
  <c r="P523" i="7"/>
  <c r="N523" i="7"/>
  <c r="J523" i="7"/>
  <c r="D523" i="7"/>
  <c r="N522" i="7"/>
  <c r="J522" i="7"/>
  <c r="D522" i="7"/>
  <c r="N521" i="7"/>
  <c r="J521" i="7"/>
  <c r="D521" i="7"/>
  <c r="N520" i="7"/>
  <c r="J520" i="7"/>
  <c r="D520" i="7"/>
  <c r="N519" i="7"/>
  <c r="J519" i="7"/>
  <c r="D519" i="7"/>
  <c r="N518" i="7"/>
  <c r="J518" i="7"/>
  <c r="D518" i="7"/>
  <c r="N517" i="7"/>
  <c r="J517" i="7"/>
  <c r="N516" i="7"/>
  <c r="J516" i="7"/>
  <c r="D516" i="7"/>
  <c r="N515" i="7"/>
  <c r="J515" i="7"/>
  <c r="D515" i="7"/>
  <c r="N514" i="7"/>
  <c r="J514" i="7"/>
  <c r="D514" i="7"/>
  <c r="N513" i="7"/>
  <c r="J513" i="7"/>
  <c r="D513" i="7"/>
  <c r="N512" i="7"/>
  <c r="J512" i="7"/>
  <c r="D512" i="7"/>
  <c r="N511" i="7"/>
  <c r="J511" i="7"/>
  <c r="N510" i="7"/>
  <c r="J510" i="7"/>
  <c r="N509" i="7"/>
  <c r="J509" i="7"/>
  <c r="D509" i="7"/>
  <c r="N508" i="7"/>
  <c r="J508" i="7"/>
  <c r="D508" i="7"/>
  <c r="N507" i="7"/>
  <c r="J507" i="7"/>
  <c r="D507" i="7"/>
  <c r="N506" i="7"/>
  <c r="J506" i="7"/>
  <c r="D506" i="7"/>
  <c r="N505" i="7"/>
  <c r="J505" i="7"/>
  <c r="D505" i="7"/>
  <c r="N504" i="7"/>
  <c r="J504" i="7"/>
  <c r="D504" i="7"/>
  <c r="N503" i="7"/>
  <c r="J503" i="7"/>
  <c r="D503" i="7"/>
  <c r="N502" i="7"/>
  <c r="J502" i="7"/>
  <c r="D502" i="7"/>
  <c r="P501" i="7"/>
  <c r="N501" i="7"/>
  <c r="J501" i="7"/>
  <c r="D501" i="7"/>
  <c r="P500" i="7"/>
  <c r="N500" i="7"/>
  <c r="J500" i="7"/>
  <c r="D500" i="7"/>
  <c r="P499" i="7"/>
  <c r="N499" i="7"/>
  <c r="J499" i="7"/>
  <c r="D499" i="7"/>
  <c r="P498" i="7"/>
  <c r="N498" i="7"/>
  <c r="J498" i="7"/>
  <c r="D498" i="7"/>
  <c r="P497" i="7"/>
  <c r="N497" i="7"/>
  <c r="J497" i="7"/>
  <c r="D497" i="7"/>
  <c r="P496" i="7"/>
  <c r="N496" i="7"/>
  <c r="J496" i="7"/>
  <c r="D496" i="7"/>
  <c r="P495" i="7"/>
  <c r="N495" i="7"/>
  <c r="J495" i="7"/>
  <c r="D495" i="7"/>
  <c r="P494" i="7"/>
  <c r="N494" i="7"/>
  <c r="J494" i="7"/>
  <c r="D494" i="7"/>
  <c r="N493" i="7"/>
  <c r="J493" i="7"/>
  <c r="D493" i="7"/>
  <c r="N492" i="7"/>
  <c r="J492" i="7"/>
  <c r="D492" i="7"/>
  <c r="N491" i="7"/>
  <c r="J491" i="7"/>
  <c r="D491" i="7"/>
  <c r="N490" i="7"/>
  <c r="J490" i="7"/>
  <c r="D490" i="7"/>
  <c r="N489" i="7"/>
  <c r="J489" i="7"/>
  <c r="D489" i="7"/>
  <c r="N488" i="7"/>
  <c r="J488" i="7"/>
  <c r="D488" i="7"/>
  <c r="N487" i="7"/>
  <c r="J487" i="7"/>
  <c r="D487" i="7"/>
  <c r="N486" i="7"/>
  <c r="J486" i="7"/>
  <c r="D486" i="7"/>
  <c r="N485" i="7"/>
  <c r="J485" i="7"/>
  <c r="D485" i="7"/>
  <c r="N484" i="7"/>
  <c r="J484" i="7"/>
  <c r="D484" i="7"/>
  <c r="N483" i="7"/>
  <c r="J483" i="7"/>
  <c r="N482" i="7"/>
  <c r="J482" i="7"/>
  <c r="D482" i="7"/>
  <c r="N481" i="7"/>
  <c r="J481" i="7"/>
  <c r="D481" i="7"/>
  <c r="N480" i="7"/>
  <c r="J480" i="7"/>
  <c r="D480" i="7"/>
  <c r="P479" i="7"/>
  <c r="N479" i="7"/>
  <c r="J479" i="7"/>
  <c r="D479" i="7"/>
  <c r="P478" i="7"/>
  <c r="N478" i="7"/>
  <c r="J478" i="7"/>
  <c r="D478" i="7"/>
  <c r="P477" i="7"/>
  <c r="N477" i="7"/>
  <c r="J477" i="7"/>
  <c r="D477" i="7"/>
  <c r="P476" i="7"/>
  <c r="N476" i="7"/>
  <c r="J476" i="7"/>
  <c r="D476" i="7"/>
  <c r="P475" i="7"/>
  <c r="N475" i="7"/>
  <c r="J475" i="7"/>
  <c r="D475" i="7"/>
  <c r="P474" i="7"/>
  <c r="N474" i="7"/>
  <c r="J474" i="7"/>
  <c r="D474" i="7"/>
  <c r="N473" i="7"/>
  <c r="J473" i="7"/>
  <c r="D473" i="7"/>
  <c r="N472" i="7"/>
  <c r="J472" i="7"/>
  <c r="D472" i="7"/>
  <c r="N471" i="7"/>
  <c r="J471" i="7"/>
  <c r="D471" i="7"/>
  <c r="N470" i="7"/>
  <c r="J470" i="7"/>
  <c r="D470" i="7"/>
  <c r="N469" i="7"/>
  <c r="J469" i="7"/>
  <c r="D469" i="7"/>
  <c r="N468" i="7"/>
  <c r="J468" i="7"/>
  <c r="D468" i="7"/>
  <c r="N467" i="7"/>
  <c r="J467" i="7"/>
  <c r="D467" i="7"/>
  <c r="N466" i="7"/>
  <c r="J466" i="7"/>
  <c r="D466" i="7"/>
  <c r="N465" i="7"/>
  <c r="J465" i="7"/>
  <c r="D465" i="7"/>
  <c r="N464" i="7"/>
  <c r="J464" i="7"/>
  <c r="N463" i="7"/>
  <c r="J463" i="7"/>
  <c r="D463" i="7"/>
  <c r="N462" i="7"/>
  <c r="J462" i="7"/>
  <c r="D462" i="7"/>
  <c r="P461" i="7"/>
  <c r="J461" i="7"/>
  <c r="D461" i="7"/>
  <c r="N460" i="7"/>
  <c r="J460" i="7"/>
  <c r="D460" i="7"/>
  <c r="N459" i="7"/>
  <c r="J459" i="7"/>
  <c r="D459" i="7"/>
  <c r="N458" i="7"/>
  <c r="J458" i="7"/>
  <c r="D458" i="7"/>
  <c r="N457" i="7"/>
  <c r="J457" i="7"/>
  <c r="D457" i="7"/>
  <c r="N456" i="7"/>
  <c r="J456" i="7"/>
  <c r="D456" i="7"/>
  <c r="N455" i="7"/>
  <c r="J455" i="7"/>
  <c r="N454" i="7"/>
  <c r="J454" i="7"/>
  <c r="D454" i="7"/>
  <c r="N453" i="7"/>
  <c r="J453" i="7"/>
  <c r="N452" i="7"/>
  <c r="J452" i="7"/>
  <c r="N451" i="7"/>
  <c r="J451" i="7"/>
  <c r="D451" i="7"/>
  <c r="P450" i="7"/>
  <c r="N450" i="7"/>
  <c r="J450" i="7"/>
  <c r="D450" i="7"/>
  <c r="P449" i="7"/>
  <c r="N449" i="7"/>
  <c r="J449" i="7"/>
  <c r="D449" i="7"/>
  <c r="P448" i="7"/>
  <c r="N448" i="7"/>
  <c r="J448" i="7"/>
  <c r="D448" i="7"/>
  <c r="P447" i="7"/>
  <c r="N447" i="7"/>
  <c r="J447" i="7"/>
  <c r="D447" i="7"/>
  <c r="P446" i="7"/>
  <c r="J446" i="7"/>
  <c r="D446" i="7"/>
  <c r="P445" i="7"/>
  <c r="N445" i="7"/>
  <c r="J445" i="7"/>
  <c r="D445" i="7"/>
  <c r="P444" i="7"/>
  <c r="N444" i="7"/>
  <c r="J444" i="7"/>
  <c r="D444" i="7"/>
  <c r="N443" i="7"/>
  <c r="J443" i="7"/>
  <c r="D443" i="7"/>
  <c r="N442" i="7"/>
  <c r="J442" i="7"/>
  <c r="D442" i="7"/>
  <c r="N441" i="7"/>
  <c r="J441" i="7"/>
  <c r="N440" i="7"/>
  <c r="J440" i="7"/>
  <c r="N439" i="7"/>
  <c r="J439" i="7"/>
  <c r="D439" i="7"/>
  <c r="N438" i="7"/>
  <c r="J438" i="7"/>
  <c r="D438" i="7"/>
  <c r="N437" i="7"/>
  <c r="J437" i="7"/>
  <c r="D437" i="7"/>
  <c r="N436" i="7"/>
  <c r="J436" i="7"/>
  <c r="D436" i="7"/>
  <c r="N435" i="7"/>
  <c r="J435" i="7"/>
  <c r="D435" i="7"/>
  <c r="N434" i="7"/>
  <c r="J434" i="7"/>
  <c r="D434" i="7"/>
  <c r="N433" i="7"/>
  <c r="J433" i="7"/>
  <c r="D433" i="7"/>
  <c r="P432" i="7"/>
  <c r="J432" i="7"/>
  <c r="D432" i="7"/>
  <c r="P431" i="7"/>
  <c r="N431" i="7"/>
  <c r="J431" i="7"/>
  <c r="D431" i="7"/>
  <c r="P430" i="7"/>
  <c r="N430" i="7"/>
  <c r="J430" i="7"/>
  <c r="D430" i="7"/>
  <c r="P429" i="7"/>
  <c r="J429" i="7"/>
  <c r="D429" i="7"/>
  <c r="P428" i="7"/>
  <c r="N428" i="7"/>
  <c r="J428" i="7"/>
  <c r="D428" i="7"/>
  <c r="P427" i="7"/>
  <c r="N427" i="7"/>
  <c r="J427" i="7"/>
  <c r="D427" i="7"/>
  <c r="P426" i="7"/>
  <c r="N426" i="7"/>
  <c r="J426" i="7"/>
  <c r="D426" i="7"/>
  <c r="P425" i="7"/>
  <c r="N425" i="7"/>
  <c r="J425" i="7"/>
  <c r="D425" i="7"/>
  <c r="N424" i="7"/>
  <c r="J424" i="7"/>
  <c r="N423" i="7"/>
  <c r="J423" i="7"/>
  <c r="N422" i="7"/>
  <c r="J422" i="7"/>
  <c r="D422" i="7"/>
  <c r="N421" i="7"/>
  <c r="J421" i="7"/>
  <c r="D421" i="7"/>
  <c r="N420" i="7"/>
  <c r="J420" i="7"/>
  <c r="D420" i="7"/>
  <c r="N419" i="7"/>
  <c r="J419" i="7"/>
  <c r="D419" i="7"/>
  <c r="P418" i="7"/>
  <c r="N418" i="7"/>
  <c r="J418" i="7"/>
  <c r="D418" i="7"/>
  <c r="H397" i="7"/>
  <c r="E21" i="14" l="1"/>
  <c r="F21" i="14" s="1"/>
  <c r="E16" i="14"/>
  <c r="F16" i="14" s="1"/>
  <c r="E10" i="14"/>
  <c r="F10" i="14" s="1"/>
  <c r="E5" i="14"/>
  <c r="E8" i="14"/>
  <c r="F8" i="14" s="1"/>
  <c r="Q497" i="7"/>
  <c r="Q499" i="7"/>
  <c r="Q501" i="7"/>
  <c r="Q477" i="7"/>
  <c r="Q524" i="7"/>
  <c r="Q528" i="7"/>
  <c r="Q530" i="7"/>
  <c r="Q532" i="7"/>
  <c r="Q536" i="7"/>
  <c r="Q479" i="7"/>
  <c r="Q478" i="7"/>
  <c r="Q494" i="7"/>
  <c r="Q496" i="7"/>
  <c r="Q498" i="7"/>
  <c r="Q500" i="7"/>
  <c r="Q418" i="7"/>
  <c r="Q426" i="7"/>
  <c r="Q428" i="7"/>
  <c r="Q430" i="7"/>
  <c r="Q432" i="7"/>
  <c r="Q444" i="7"/>
  <c r="Q446" i="7"/>
  <c r="Q448" i="7"/>
  <c r="Q450" i="7"/>
  <c r="Q474" i="7"/>
  <c r="Q476" i="7"/>
  <c r="Q523" i="7"/>
  <c r="Q525" i="7"/>
  <c r="Q529" i="7"/>
  <c r="Q531" i="7"/>
  <c r="Q533" i="7"/>
  <c r="Q537" i="7"/>
  <c r="Q427" i="7"/>
  <c r="Q429" i="7"/>
  <c r="Q431" i="7"/>
  <c r="Q445" i="7"/>
  <c r="Q447" i="7"/>
  <c r="Q461" i="7"/>
  <c r="Q475" i="7"/>
  <c r="Q449" i="7"/>
  <c r="Q495" i="7"/>
  <c r="Q534" i="7"/>
  <c r="Q425" i="7"/>
  <c r="Q527" i="7"/>
  <c r="Q535" i="7"/>
  <c r="Q526" i="7"/>
  <c r="F5" i="14" l="1"/>
  <c r="H392" i="7"/>
  <c r="I391" i="7"/>
  <c r="H389" i="7"/>
  <c r="P417" i="7" l="1"/>
  <c r="P416" i="7"/>
  <c r="P415" i="7"/>
  <c r="P414" i="7"/>
  <c r="P413" i="7"/>
  <c r="P399" i="7"/>
  <c r="P398" i="7"/>
  <c r="P396" i="7"/>
  <c r="P395" i="7"/>
  <c r="P394" i="7"/>
  <c r="P393" i="7"/>
  <c r="P392" i="7"/>
  <c r="P391" i="7"/>
  <c r="P390" i="7"/>
  <c r="N417" i="7"/>
  <c r="N416" i="7"/>
  <c r="N415" i="7"/>
  <c r="N414" i="7"/>
  <c r="N412" i="7"/>
  <c r="N411" i="7"/>
  <c r="N410" i="7"/>
  <c r="N409" i="7"/>
  <c r="N408" i="7"/>
  <c r="N407" i="7"/>
  <c r="N406" i="7"/>
  <c r="N405" i="7"/>
  <c r="N404" i="7"/>
  <c r="N403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6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D417" i="7"/>
  <c r="D416" i="7"/>
  <c r="D415" i="7"/>
  <c r="D414" i="7"/>
  <c r="D413" i="7"/>
  <c r="D410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4" i="7"/>
  <c r="E22" i="14" l="1"/>
  <c r="F22" i="14" s="1"/>
  <c r="E19" i="14"/>
  <c r="F19" i="14" s="1"/>
  <c r="E12" i="14"/>
  <c r="F12" i="14" s="1"/>
  <c r="Q394" i="7"/>
  <c r="Q413" i="7"/>
  <c r="Q395" i="7"/>
  <c r="Q391" i="7"/>
  <c r="Q390" i="7"/>
  <c r="Q396" i="7"/>
  <c r="Q414" i="7"/>
  <c r="Q399" i="7"/>
  <c r="Q415" i="7"/>
  <c r="Q392" i="7"/>
  <c r="Q416" i="7"/>
  <c r="Q398" i="7"/>
  <c r="Q393" i="7"/>
  <c r="Q417" i="7"/>
  <c r="H379" i="7" l="1"/>
  <c r="H375" i="7"/>
  <c r="H360" i="7" l="1"/>
  <c r="H357" i="7"/>
  <c r="C38" i="8" l="1"/>
  <c r="E26" i="8" s="1"/>
  <c r="C33" i="8"/>
  <c r="E21" i="8" s="1"/>
  <c r="I347" i="7"/>
  <c r="H345" i="7" l="1"/>
  <c r="J345" i="7" s="1"/>
  <c r="H342" i="7"/>
  <c r="G342" i="7"/>
  <c r="N385" i="7"/>
  <c r="J385" i="7"/>
  <c r="D385" i="7"/>
  <c r="N384" i="7"/>
  <c r="J384" i="7"/>
  <c r="N383" i="7"/>
  <c r="J383" i="7"/>
  <c r="D383" i="7"/>
  <c r="N382" i="7"/>
  <c r="J382" i="7"/>
  <c r="N381" i="7"/>
  <c r="J381" i="7"/>
  <c r="D381" i="7"/>
  <c r="P380" i="7"/>
  <c r="N380" i="7"/>
  <c r="J380" i="7"/>
  <c r="D380" i="7"/>
  <c r="P379" i="7"/>
  <c r="N379" i="7"/>
  <c r="J379" i="7"/>
  <c r="D379" i="7"/>
  <c r="P378" i="7"/>
  <c r="N378" i="7"/>
  <c r="J378" i="7"/>
  <c r="D378" i="7"/>
  <c r="P377" i="7"/>
  <c r="N377" i="7"/>
  <c r="J377" i="7"/>
  <c r="D377" i="7"/>
  <c r="P376" i="7"/>
  <c r="N376" i="7"/>
  <c r="J376" i="7"/>
  <c r="D376" i="7"/>
  <c r="N375" i="7"/>
  <c r="J375" i="7"/>
  <c r="D375" i="7"/>
  <c r="N374" i="7"/>
  <c r="J374" i="7"/>
  <c r="D374" i="7"/>
  <c r="N373" i="7"/>
  <c r="J373" i="7"/>
  <c r="D373" i="7"/>
  <c r="N372" i="7"/>
  <c r="J372" i="7"/>
  <c r="D372" i="7"/>
  <c r="N371" i="7"/>
  <c r="J371" i="7"/>
  <c r="D371" i="7"/>
  <c r="N370" i="7"/>
  <c r="J370" i="7"/>
  <c r="D370" i="7"/>
  <c r="N369" i="7"/>
  <c r="J369" i="7"/>
  <c r="D369" i="7"/>
  <c r="N368" i="7"/>
  <c r="J368" i="7"/>
  <c r="D368" i="7"/>
  <c r="N367" i="7"/>
  <c r="J367" i="7"/>
  <c r="D367" i="7"/>
  <c r="N366" i="7"/>
  <c r="J366" i="7"/>
  <c r="N365" i="7"/>
  <c r="J365" i="7"/>
  <c r="N364" i="7"/>
  <c r="J364" i="7"/>
  <c r="D364" i="7"/>
  <c r="N363" i="7"/>
  <c r="J363" i="7"/>
  <c r="D363" i="7"/>
  <c r="P362" i="7"/>
  <c r="N362" i="7"/>
  <c r="J362" i="7"/>
  <c r="D362" i="7"/>
  <c r="P361" i="7"/>
  <c r="N361" i="7"/>
  <c r="J361" i="7"/>
  <c r="D361" i="7"/>
  <c r="P360" i="7"/>
  <c r="N360" i="7"/>
  <c r="J360" i="7"/>
  <c r="D360" i="7"/>
  <c r="P359" i="7"/>
  <c r="N359" i="7"/>
  <c r="J359" i="7"/>
  <c r="D359" i="7"/>
  <c r="P358" i="7"/>
  <c r="N358" i="7"/>
  <c r="J358" i="7"/>
  <c r="D358" i="7"/>
  <c r="N357" i="7"/>
  <c r="J357" i="7"/>
  <c r="D357" i="7"/>
  <c r="N356" i="7"/>
  <c r="J356" i="7"/>
  <c r="D356" i="7"/>
  <c r="J355" i="7"/>
  <c r="D355" i="7"/>
  <c r="N354" i="7"/>
  <c r="J354" i="7"/>
  <c r="D354" i="7"/>
  <c r="N353" i="7"/>
  <c r="J353" i="7"/>
  <c r="D353" i="7"/>
  <c r="N352" i="7"/>
  <c r="J352" i="7"/>
  <c r="N351" i="7"/>
  <c r="J351" i="7"/>
  <c r="D351" i="7"/>
  <c r="N350" i="7"/>
  <c r="J350" i="7"/>
  <c r="D350" i="7"/>
  <c r="N349" i="7"/>
  <c r="J349" i="7"/>
  <c r="N348" i="7"/>
  <c r="J348" i="7"/>
  <c r="D348" i="7"/>
  <c r="P347" i="7"/>
  <c r="N347" i="7"/>
  <c r="J347" i="7"/>
  <c r="D347" i="7"/>
  <c r="P346" i="7"/>
  <c r="N346" i="7"/>
  <c r="J346" i="7"/>
  <c r="D346" i="7"/>
  <c r="P345" i="7"/>
  <c r="N345" i="7"/>
  <c r="D345" i="7"/>
  <c r="P344" i="7"/>
  <c r="N344" i="7"/>
  <c r="J344" i="7"/>
  <c r="D344" i="7"/>
  <c r="P343" i="7"/>
  <c r="N343" i="7"/>
  <c r="J343" i="7"/>
  <c r="D343" i="7"/>
  <c r="P342" i="7"/>
  <c r="N342" i="7"/>
  <c r="D342" i="7"/>
  <c r="N341" i="7"/>
  <c r="J341" i="7"/>
  <c r="D341" i="7"/>
  <c r="N340" i="7"/>
  <c r="J340" i="7"/>
  <c r="D340" i="7"/>
  <c r="N339" i="7"/>
  <c r="J339" i="7"/>
  <c r="D339" i="7"/>
  <c r="Q339" i="7" s="1"/>
  <c r="N338" i="7"/>
  <c r="J338" i="7"/>
  <c r="D338" i="7"/>
  <c r="N337" i="7"/>
  <c r="J337" i="7"/>
  <c r="D337" i="7"/>
  <c r="N336" i="7"/>
  <c r="J336" i="7"/>
  <c r="D336" i="7"/>
  <c r="N335" i="7"/>
  <c r="J335" i="7"/>
  <c r="D335" i="7"/>
  <c r="N334" i="7"/>
  <c r="J334" i="7"/>
  <c r="N333" i="7"/>
  <c r="J333" i="7"/>
  <c r="N332" i="7"/>
  <c r="J332" i="7"/>
  <c r="D332" i="7"/>
  <c r="N331" i="7"/>
  <c r="J331" i="7"/>
  <c r="D331" i="7"/>
  <c r="N330" i="7"/>
  <c r="J330" i="7"/>
  <c r="D330" i="7"/>
  <c r="N329" i="7"/>
  <c r="J329" i="7"/>
  <c r="N328" i="7"/>
  <c r="J328" i="7"/>
  <c r="D328" i="7"/>
  <c r="N327" i="7"/>
  <c r="J327" i="7"/>
  <c r="D327" i="7"/>
  <c r="N326" i="7"/>
  <c r="J326" i="7"/>
  <c r="D326" i="7"/>
  <c r="N325" i="7"/>
  <c r="J325" i="7"/>
  <c r="D325" i="7"/>
  <c r="N324" i="7"/>
  <c r="J324" i="7"/>
  <c r="D324" i="7"/>
  <c r="N323" i="7"/>
  <c r="J323" i="7"/>
  <c r="D323" i="7"/>
  <c r="N322" i="7"/>
  <c r="J322" i="7"/>
  <c r="E17" i="14" l="1"/>
  <c r="F17" i="14" s="1"/>
  <c r="E18" i="14"/>
  <c r="F18" i="14" s="1"/>
  <c r="E24" i="14"/>
  <c r="F24" i="14" s="1"/>
  <c r="J342" i="7"/>
  <c r="Q343" i="7"/>
  <c r="Q345" i="7"/>
  <c r="Q347" i="7"/>
  <c r="Q359" i="7"/>
  <c r="Q361" i="7"/>
  <c r="Q342" i="7"/>
  <c r="Q344" i="7"/>
  <c r="Q346" i="7"/>
  <c r="Q360" i="7"/>
  <c r="Q362" i="7"/>
  <c r="Q376" i="7"/>
  <c r="Q378" i="7"/>
  <c r="Q380" i="7"/>
  <c r="Q377" i="7"/>
  <c r="Q379" i="7"/>
  <c r="Q358" i="7"/>
  <c r="O71" i="2"/>
  <c r="O31" i="2"/>
  <c r="H314" i="7"/>
  <c r="H312" i="7"/>
  <c r="X19" i="8" l="1"/>
  <c r="W19" i="8"/>
  <c r="L18" i="8"/>
  <c r="L19" i="8"/>
  <c r="V18" i="8"/>
  <c r="V19" i="8"/>
  <c r="W18" i="8"/>
  <c r="X18" i="8"/>
  <c r="W17" i="8"/>
  <c r="V17" i="8"/>
  <c r="X17" i="8"/>
  <c r="L17" i="8"/>
  <c r="W14" i="8"/>
  <c r="X15" i="8"/>
  <c r="V16" i="8"/>
  <c r="V15" i="8"/>
  <c r="W16" i="8"/>
  <c r="W15" i="8"/>
  <c r="L15" i="8"/>
  <c r="L16" i="8"/>
  <c r="X16" i="8"/>
  <c r="W13" i="8"/>
  <c r="X13" i="8"/>
  <c r="L13" i="8"/>
  <c r="L14" i="8"/>
  <c r="V13" i="8"/>
  <c r="V14" i="8"/>
  <c r="W12" i="8"/>
  <c r="L12" i="8"/>
  <c r="V12" i="8"/>
  <c r="V10" i="8"/>
  <c r="W10" i="8"/>
  <c r="L10" i="8"/>
  <c r="V11" i="8"/>
  <c r="X10" i="8"/>
  <c r="L11" i="8"/>
  <c r="W11" i="8"/>
  <c r="Y19" i="8" l="1"/>
  <c r="P19" i="8" s="1"/>
  <c r="Y18" i="8"/>
  <c r="P18" i="8" s="1"/>
  <c r="Y17" i="8"/>
  <c r="R17" i="8" s="1"/>
  <c r="Y16" i="8"/>
  <c r="P16" i="8" s="1"/>
  <c r="Y15" i="8"/>
  <c r="R15" i="8" s="1"/>
  <c r="Y13" i="8"/>
  <c r="P13" i="8" s="1"/>
  <c r="Y10" i="8"/>
  <c r="Q10" i="8" s="1"/>
  <c r="Q19" i="8" l="1"/>
  <c r="R19" i="8"/>
  <c r="P17" i="8"/>
  <c r="R18" i="8"/>
  <c r="Q18" i="8"/>
  <c r="Q17" i="8"/>
  <c r="P15" i="8"/>
  <c r="Q15" i="8"/>
  <c r="R16" i="8"/>
  <c r="Q16" i="8"/>
  <c r="R10" i="8"/>
  <c r="P10" i="8"/>
  <c r="Q13" i="8"/>
  <c r="R13" i="8"/>
  <c r="H293" i="7"/>
  <c r="H292" i="7"/>
  <c r="H291" i="7"/>
  <c r="H288" i="7"/>
  <c r="G288" i="7"/>
  <c r="H285" i="7"/>
  <c r="H284" i="7"/>
  <c r="G284" i="7"/>
  <c r="I274" i="7" l="1"/>
  <c r="D321" i="7"/>
  <c r="D320" i="7"/>
  <c r="D319" i="7"/>
  <c r="D318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2" i="7"/>
  <c r="D301" i="7"/>
  <c r="D300" i="7"/>
  <c r="D299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6" i="7"/>
  <c r="D275" i="7"/>
  <c r="D274" i="7"/>
  <c r="D273" i="7"/>
  <c r="D272" i="7"/>
  <c r="D270" i="7"/>
  <c r="D269" i="7"/>
  <c r="D268" i="7"/>
  <c r="R1375" i="2"/>
  <c r="M1375" i="2" l="1"/>
  <c r="O1375" i="2"/>
  <c r="P1375" i="2" s="1"/>
  <c r="J267" i="7" l="1"/>
  <c r="I265" i="7"/>
  <c r="X14" i="8" s="1"/>
  <c r="Y14" i="8" l="1"/>
  <c r="R14" i="8" s="1"/>
  <c r="H251" i="7"/>
  <c r="H247" i="7"/>
  <c r="G247" i="7"/>
  <c r="H244" i="7"/>
  <c r="Q14" i="8" l="1"/>
  <c r="P14" i="8"/>
  <c r="Q1314" i="2"/>
  <c r="I1314" i="2"/>
  <c r="H240" i="7" l="1"/>
  <c r="H239" i="7"/>
  <c r="H237" i="7"/>
  <c r="P234" i="7"/>
  <c r="N234" i="7"/>
  <c r="H234" i="7"/>
  <c r="J234" i="7" s="1"/>
  <c r="D234" i="7"/>
  <c r="Q234" i="7" l="1"/>
  <c r="H222" i="7" l="1"/>
  <c r="H220" i="7"/>
  <c r="H216" i="7"/>
  <c r="G216" i="7"/>
  <c r="J321" i="7" l="1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D267" i="7"/>
  <c r="D266" i="7"/>
  <c r="D265" i="7"/>
  <c r="D264" i="7"/>
  <c r="D263" i="7"/>
  <c r="D262" i="7"/>
  <c r="D261" i="7"/>
  <c r="D260" i="7"/>
  <c r="D259" i="7"/>
  <c r="D258" i="7"/>
  <c r="D257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3" i="7"/>
  <c r="D232" i="7"/>
  <c r="D231" i="7"/>
  <c r="D230" i="7"/>
  <c r="D229" i="7"/>
  <c r="D228" i="7"/>
  <c r="D225" i="7"/>
  <c r="D224" i="7"/>
  <c r="D223" i="7"/>
  <c r="D222" i="7"/>
  <c r="D221" i="7"/>
  <c r="D220" i="7"/>
  <c r="D219" i="7"/>
  <c r="D218" i="7"/>
  <c r="D217" i="7"/>
  <c r="D216" i="7"/>
  <c r="D215" i="7"/>
  <c r="D212" i="7"/>
  <c r="D211" i="7"/>
  <c r="D210" i="7"/>
  <c r="D209" i="7"/>
  <c r="N321" i="7"/>
  <c r="N320" i="7"/>
  <c r="N319" i="7"/>
  <c r="N318" i="7"/>
  <c r="N317" i="7"/>
  <c r="N316" i="7"/>
  <c r="P315" i="7"/>
  <c r="N315" i="7"/>
  <c r="P314" i="7"/>
  <c r="N314" i="7"/>
  <c r="P313" i="7"/>
  <c r="N313" i="7"/>
  <c r="P312" i="7"/>
  <c r="N312" i="7"/>
  <c r="P311" i="7"/>
  <c r="N311" i="7"/>
  <c r="P310" i="7"/>
  <c r="N310" i="7"/>
  <c r="P309" i="7"/>
  <c r="N309" i="7"/>
  <c r="P308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P294" i="7"/>
  <c r="N294" i="7"/>
  <c r="P293" i="7"/>
  <c r="N293" i="7"/>
  <c r="P292" i="7"/>
  <c r="P291" i="7"/>
  <c r="N291" i="7"/>
  <c r="P290" i="7"/>
  <c r="N290" i="7"/>
  <c r="P289" i="7"/>
  <c r="N289" i="7"/>
  <c r="P288" i="7"/>
  <c r="N288" i="7"/>
  <c r="P287" i="7"/>
  <c r="N287" i="7"/>
  <c r="P286" i="7"/>
  <c r="N286" i="7"/>
  <c r="P285" i="7"/>
  <c r="N285" i="7"/>
  <c r="P284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P252" i="7"/>
  <c r="P251" i="7"/>
  <c r="P250" i="7"/>
  <c r="N250" i="7"/>
  <c r="P249" i="7"/>
  <c r="N249" i="7"/>
  <c r="P248" i="7"/>
  <c r="N248" i="7"/>
  <c r="P247" i="7"/>
  <c r="N247" i="7"/>
  <c r="P246" i="7"/>
  <c r="N246" i="7"/>
  <c r="P245" i="7"/>
  <c r="N245" i="7"/>
  <c r="P244" i="7"/>
  <c r="N244" i="7"/>
  <c r="N243" i="7"/>
  <c r="N242" i="7"/>
  <c r="P241" i="7"/>
  <c r="P240" i="7"/>
  <c r="P239" i="7"/>
  <c r="N238" i="7"/>
  <c r="N237" i="7"/>
  <c r="N236" i="7"/>
  <c r="N233" i="7"/>
  <c r="N232" i="7"/>
  <c r="N231" i="7"/>
  <c r="N230" i="7"/>
  <c r="N229" i="7"/>
  <c r="N228" i="7"/>
  <c r="N227" i="7"/>
  <c r="N226" i="7"/>
  <c r="N225" i="7"/>
  <c r="N224" i="7"/>
  <c r="N223" i="7"/>
  <c r="P222" i="7"/>
  <c r="N221" i="7"/>
  <c r="P220" i="7"/>
  <c r="N220" i="7"/>
  <c r="P219" i="7"/>
  <c r="N219" i="7"/>
  <c r="P218" i="7"/>
  <c r="N218" i="7"/>
  <c r="P217" i="7"/>
  <c r="N216" i="7"/>
  <c r="N209" i="7"/>
  <c r="N210" i="7"/>
  <c r="N211" i="7"/>
  <c r="N212" i="7"/>
  <c r="N213" i="7"/>
  <c r="N214" i="7"/>
  <c r="N215" i="7"/>
  <c r="E9" i="14" l="1"/>
  <c r="F9" i="14" s="1"/>
  <c r="E15" i="14"/>
  <c r="F15" i="14" s="1"/>
  <c r="E14" i="14"/>
  <c r="F14" i="14" s="1"/>
  <c r="Q289" i="7"/>
  <c r="Q313" i="7"/>
  <c r="Q314" i="7"/>
  <c r="Q284" i="7"/>
  <c r="Q292" i="7"/>
  <c r="Q308" i="7"/>
  <c r="Q309" i="7"/>
  <c r="Q290" i="7"/>
  <c r="Q244" i="7"/>
  <c r="Q252" i="7"/>
  <c r="Q250" i="7"/>
  <c r="Q294" i="7"/>
  <c r="Q310" i="7"/>
  <c r="Q249" i="7"/>
  <c r="Q288" i="7"/>
  <c r="Q312" i="7"/>
  <c r="Q217" i="7"/>
  <c r="Q287" i="7"/>
  <c r="Q311" i="7"/>
  <c r="Q220" i="7"/>
  <c r="Q241" i="7"/>
  <c r="Q218" i="7"/>
  <c r="Q219" i="7"/>
  <c r="Q240" i="7"/>
  <c r="Q248" i="7"/>
  <c r="Q285" i="7"/>
  <c r="Q245" i="7"/>
  <c r="Q293" i="7"/>
  <c r="Q222" i="7"/>
  <c r="Q246" i="7"/>
  <c r="Q286" i="7"/>
  <c r="Q239" i="7"/>
  <c r="Q247" i="7"/>
  <c r="Q251" i="7"/>
  <c r="Q291" i="7"/>
  <c r="Q315" i="7"/>
  <c r="H206" i="7"/>
  <c r="H202" i="7"/>
  <c r="G202" i="7"/>
  <c r="X71" i="2" l="1"/>
  <c r="Z71" i="2" s="1"/>
  <c r="R71" i="2" l="1"/>
  <c r="P71" i="2"/>
  <c r="J71" i="2"/>
  <c r="M71" i="2" s="1"/>
  <c r="D208" i="7"/>
  <c r="D207" i="7"/>
  <c r="D206" i="7"/>
  <c r="D205" i="7"/>
  <c r="D204" i="7"/>
  <c r="D203" i="7"/>
  <c r="D202" i="7"/>
  <c r="D201" i="7"/>
  <c r="D200" i="7"/>
  <c r="D197" i="7"/>
  <c r="D196" i="7"/>
  <c r="D195" i="7"/>
  <c r="D194" i="7"/>
  <c r="D193" i="7"/>
  <c r="D192" i="7"/>
  <c r="H190" i="7" l="1"/>
  <c r="H188" i="7"/>
  <c r="G188" i="7"/>
  <c r="I185" i="7"/>
  <c r="H185" i="7"/>
  <c r="H171" i="7" l="1"/>
  <c r="H169" i="7"/>
  <c r="H168" i="7"/>
  <c r="G168" i="7"/>
  <c r="J162" i="7"/>
  <c r="P208" i="7" l="1"/>
  <c r="N208" i="7"/>
  <c r="J208" i="7"/>
  <c r="P207" i="7"/>
  <c r="N207" i="7"/>
  <c r="J207" i="7"/>
  <c r="P206" i="7"/>
  <c r="N206" i="7"/>
  <c r="J206" i="7"/>
  <c r="P205" i="7"/>
  <c r="N205" i="7"/>
  <c r="J205" i="7"/>
  <c r="P204" i="7"/>
  <c r="J204" i="7"/>
  <c r="N203" i="7"/>
  <c r="J203" i="7"/>
  <c r="P202" i="7"/>
  <c r="N202" i="7"/>
  <c r="J202" i="7"/>
  <c r="N201" i="7"/>
  <c r="J201" i="7"/>
  <c r="N200" i="7"/>
  <c r="J200" i="7"/>
  <c r="N199" i="7"/>
  <c r="J199" i="7"/>
  <c r="N198" i="7"/>
  <c r="J198" i="7"/>
  <c r="N197" i="7"/>
  <c r="J197" i="7"/>
  <c r="J196" i="7"/>
  <c r="N195" i="7"/>
  <c r="J195" i="7"/>
  <c r="N194" i="7"/>
  <c r="J194" i="7"/>
  <c r="N193" i="7"/>
  <c r="J193" i="7"/>
  <c r="N192" i="7"/>
  <c r="J192" i="7"/>
  <c r="P191" i="7"/>
  <c r="N191" i="7"/>
  <c r="J191" i="7"/>
  <c r="D191" i="7"/>
  <c r="P190" i="7"/>
  <c r="N190" i="7"/>
  <c r="J190" i="7"/>
  <c r="D190" i="7"/>
  <c r="N189" i="7"/>
  <c r="J189" i="7"/>
  <c r="D189" i="7"/>
  <c r="P188" i="7"/>
  <c r="N188" i="7"/>
  <c r="J188" i="7"/>
  <c r="D188" i="7"/>
  <c r="P187" i="7"/>
  <c r="N187" i="7"/>
  <c r="J187" i="7"/>
  <c r="D187" i="7"/>
  <c r="P186" i="7"/>
  <c r="N186" i="7"/>
  <c r="J186" i="7"/>
  <c r="D186" i="7"/>
  <c r="P185" i="7"/>
  <c r="N185" i="7"/>
  <c r="J185" i="7"/>
  <c r="D185" i="7"/>
  <c r="N184" i="7"/>
  <c r="J184" i="7"/>
  <c r="D184" i="7"/>
  <c r="N183" i="7"/>
  <c r="J183" i="7"/>
  <c r="D183" i="7"/>
  <c r="N182" i="7"/>
  <c r="J182" i="7"/>
  <c r="N181" i="7"/>
  <c r="J181" i="7"/>
  <c r="N180" i="7"/>
  <c r="J180" i="7"/>
  <c r="D180" i="7"/>
  <c r="N179" i="7"/>
  <c r="J179" i="7"/>
  <c r="D179" i="7"/>
  <c r="N178" i="7"/>
  <c r="J178" i="7"/>
  <c r="D178" i="7"/>
  <c r="N177" i="7"/>
  <c r="J177" i="7"/>
  <c r="D177" i="7"/>
  <c r="N176" i="7"/>
  <c r="J176" i="7"/>
  <c r="D176" i="7"/>
  <c r="N175" i="7"/>
  <c r="J175" i="7"/>
  <c r="D175" i="7"/>
  <c r="N174" i="7"/>
  <c r="J174" i="7"/>
  <c r="D174" i="7"/>
  <c r="N173" i="7"/>
  <c r="J173" i="7"/>
  <c r="D173" i="7"/>
  <c r="N172" i="7"/>
  <c r="J172" i="7"/>
  <c r="D172" i="7"/>
  <c r="P171" i="7"/>
  <c r="N171" i="7"/>
  <c r="J171" i="7"/>
  <c r="D171" i="7"/>
  <c r="P170" i="7"/>
  <c r="N170" i="7"/>
  <c r="J170" i="7"/>
  <c r="D170" i="7"/>
  <c r="P169" i="7"/>
  <c r="N169" i="7"/>
  <c r="J169" i="7"/>
  <c r="D169" i="7"/>
  <c r="P168" i="7"/>
  <c r="N168" i="7"/>
  <c r="J168" i="7"/>
  <c r="D168" i="7"/>
  <c r="N167" i="7"/>
  <c r="J167" i="7"/>
  <c r="D167" i="7"/>
  <c r="N166" i="7"/>
  <c r="J166" i="7"/>
  <c r="D166" i="7"/>
  <c r="N165" i="7"/>
  <c r="J165" i="7"/>
  <c r="D165" i="7"/>
  <c r="N164" i="7"/>
  <c r="J164" i="7"/>
  <c r="D164" i="7"/>
  <c r="N163" i="7"/>
  <c r="J163" i="7"/>
  <c r="N162" i="7"/>
  <c r="N161" i="7"/>
  <c r="J161" i="7"/>
  <c r="D161" i="7"/>
  <c r="N160" i="7"/>
  <c r="J160" i="7"/>
  <c r="D160" i="7"/>
  <c r="N159" i="7"/>
  <c r="J159" i="7"/>
  <c r="D159" i="7"/>
  <c r="N158" i="7"/>
  <c r="J158" i="7"/>
  <c r="D158" i="7"/>
  <c r="N157" i="7"/>
  <c r="J157" i="7"/>
  <c r="D157" i="7"/>
  <c r="N156" i="7"/>
  <c r="J156" i="7"/>
  <c r="N155" i="7"/>
  <c r="J155" i="7"/>
  <c r="N154" i="7"/>
  <c r="J154" i="7"/>
  <c r="D154" i="7"/>
  <c r="H151" i="7"/>
  <c r="G151" i="7"/>
  <c r="J153" i="7"/>
  <c r="J152" i="7"/>
  <c r="J150" i="7"/>
  <c r="J149" i="7"/>
  <c r="J147" i="7"/>
  <c r="J146" i="7"/>
  <c r="J144" i="7"/>
  <c r="J142" i="7"/>
  <c r="J141" i="7"/>
  <c r="J140" i="7"/>
  <c r="J139" i="7"/>
  <c r="J138" i="7"/>
  <c r="J137" i="7"/>
  <c r="J136" i="7"/>
  <c r="J135" i="7"/>
  <c r="J134" i="7"/>
  <c r="J133" i="7"/>
  <c r="J132" i="7"/>
  <c r="J130" i="7"/>
  <c r="J129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1" i="7"/>
  <c r="J90" i="7"/>
  <c r="J89" i="7"/>
  <c r="J88" i="7"/>
  <c r="J87" i="7"/>
  <c r="J86" i="7"/>
  <c r="J85" i="7"/>
  <c r="J84" i="7"/>
  <c r="J83" i="7"/>
  <c r="J82" i="7"/>
  <c r="J81" i="7"/>
  <c r="J80" i="7"/>
  <c r="J78" i="7"/>
  <c r="J77" i="7"/>
  <c r="J76" i="7"/>
  <c r="J75" i="7"/>
  <c r="J74" i="7"/>
  <c r="J73" i="7"/>
  <c r="J72" i="7"/>
  <c r="J71" i="7"/>
  <c r="J70" i="7"/>
  <c r="J69" i="7"/>
  <c r="J68" i="7"/>
  <c r="J66" i="7"/>
  <c r="J65" i="7"/>
  <c r="J64" i="7"/>
  <c r="J63" i="7"/>
  <c r="J62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H148" i="7"/>
  <c r="J148" i="7" s="1"/>
  <c r="H145" i="7"/>
  <c r="J145" i="7" s="1"/>
  <c r="D147" i="7"/>
  <c r="D148" i="7"/>
  <c r="P72" i="2"/>
  <c r="R72" i="2"/>
  <c r="R1314" i="2"/>
  <c r="R1380" i="2"/>
  <c r="R1381" i="2"/>
  <c r="E23" i="14" l="1"/>
  <c r="F23" i="14" s="1"/>
  <c r="E11" i="14"/>
  <c r="F11" i="14" s="1"/>
  <c r="E6" i="14"/>
  <c r="E25" i="14"/>
  <c r="F25" i="14" s="1"/>
  <c r="J151" i="7"/>
  <c r="Q169" i="7"/>
  <c r="Q170" i="7"/>
  <c r="Q171" i="7"/>
  <c r="Q185" i="7"/>
  <c r="Q186" i="7"/>
  <c r="Q187" i="7"/>
  <c r="Q190" i="7"/>
  <c r="Q191" i="7"/>
  <c r="Q205" i="7"/>
  <c r="Q207" i="7"/>
  <c r="Q168" i="7"/>
  <c r="Q188" i="7"/>
  <c r="Q202" i="7"/>
  <c r="Q204" i="7"/>
  <c r="Q206" i="7"/>
  <c r="Q208" i="7"/>
  <c r="E26" i="14" l="1"/>
  <c r="F26" i="14" s="1"/>
  <c r="F6" i="14"/>
  <c r="G143" i="7"/>
  <c r="J143" i="7" s="1"/>
  <c r="H131" i="7" l="1"/>
  <c r="J131" i="7" s="1"/>
  <c r="H128" i="7" l="1"/>
  <c r="G128" i="7"/>
  <c r="I127" i="7"/>
  <c r="J127" i="7" s="1"/>
  <c r="H126" i="7"/>
  <c r="J126" i="7" s="1"/>
  <c r="AI13" i="2"/>
  <c r="AI23" i="2" s="1"/>
  <c r="P151" i="7"/>
  <c r="P149" i="7"/>
  <c r="P148" i="7"/>
  <c r="P147" i="7"/>
  <c r="P146" i="7"/>
  <c r="P145" i="7"/>
  <c r="P144" i="7"/>
  <c r="P143" i="7"/>
  <c r="P132" i="7"/>
  <c r="P131" i="7"/>
  <c r="P130" i="7"/>
  <c r="P129" i="7"/>
  <c r="P128" i="7"/>
  <c r="P127" i="7"/>
  <c r="P126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D153" i="7"/>
  <c r="D152" i="7"/>
  <c r="D151" i="7"/>
  <c r="D150" i="7"/>
  <c r="D149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AI28" i="2" l="1"/>
  <c r="AI24" i="2"/>
  <c r="AI25" i="2"/>
  <c r="AI21" i="2"/>
  <c r="AI20" i="2"/>
  <c r="AI19" i="2"/>
  <c r="AI26" i="2"/>
  <c r="AI18" i="2"/>
  <c r="AI29" i="2"/>
  <c r="AI27" i="2"/>
  <c r="AI22" i="2"/>
  <c r="AI16" i="2"/>
  <c r="AI17" i="2"/>
  <c r="AI15" i="2"/>
  <c r="AJ13" i="2"/>
  <c r="J128" i="7"/>
  <c r="Q128" i="7"/>
  <c r="Q132" i="7"/>
  <c r="Q144" i="7"/>
  <c r="Q148" i="7"/>
  <c r="Q129" i="7"/>
  <c r="Q145" i="7"/>
  <c r="Q149" i="7"/>
  <c r="Q126" i="7"/>
  <c r="Q130" i="7"/>
  <c r="Q146" i="7"/>
  <c r="Q127" i="7"/>
  <c r="Q131" i="7"/>
  <c r="Q143" i="7"/>
  <c r="Q147" i="7"/>
  <c r="Q151" i="7"/>
  <c r="AJ28" i="2" l="1"/>
  <c r="AJ23" i="2"/>
  <c r="AI30" i="2"/>
  <c r="AJ24" i="2"/>
  <c r="AJ25" i="2"/>
  <c r="AJ21" i="2"/>
  <c r="AJ20" i="2"/>
  <c r="AJ19" i="2"/>
  <c r="AJ26" i="2"/>
  <c r="AJ18" i="2"/>
  <c r="AJ27" i="2"/>
  <c r="AJ29" i="2"/>
  <c r="AJ22" i="2"/>
  <c r="AJ16" i="2"/>
  <c r="AJ17" i="2"/>
  <c r="AJ15" i="2"/>
  <c r="AK13" i="2"/>
  <c r="E29" i="8"/>
  <c r="E28" i="8"/>
  <c r="E24" i="8"/>
  <c r="E23" i="8"/>
  <c r="E14" i="8"/>
  <c r="E13" i="8"/>
  <c r="E12" i="8"/>
  <c r="E11" i="8"/>
  <c r="E9" i="8"/>
  <c r="E8" i="8"/>
  <c r="E7" i="8"/>
  <c r="S8" i="1"/>
  <c r="AK28" i="2" l="1"/>
  <c r="AK23" i="2"/>
  <c r="AJ30" i="2"/>
  <c r="AK24" i="2"/>
  <c r="AK25" i="2"/>
  <c r="AK21" i="2"/>
  <c r="AK20" i="2"/>
  <c r="AK19" i="2"/>
  <c r="AK26" i="2"/>
  <c r="AK18" i="2"/>
  <c r="AK27" i="2"/>
  <c r="AK29" i="2"/>
  <c r="AK22" i="2"/>
  <c r="AK16" i="2"/>
  <c r="AK17" i="2"/>
  <c r="AK15" i="2"/>
  <c r="E15" i="8"/>
  <c r="AL13" i="2"/>
  <c r="E25" i="8"/>
  <c r="E10" i="8"/>
  <c r="AK30" i="2" l="1"/>
  <c r="AL28" i="2"/>
  <c r="AL23" i="2"/>
  <c r="AL24" i="2"/>
  <c r="AL25" i="2"/>
  <c r="AL21" i="2"/>
  <c r="AL20" i="2"/>
  <c r="AL19" i="2"/>
  <c r="AL26" i="2"/>
  <c r="AL18" i="2"/>
  <c r="AL29" i="2"/>
  <c r="AL27" i="2"/>
  <c r="E16" i="8"/>
  <c r="AL22" i="2"/>
  <c r="AL16" i="2"/>
  <c r="AL17" i="2"/>
  <c r="AL15" i="2"/>
  <c r="AM13" i="2"/>
  <c r="AM23" i="2" s="1"/>
  <c r="L1314" i="2"/>
  <c r="L1380" i="2"/>
  <c r="L1381" i="2"/>
  <c r="J1314" i="2"/>
  <c r="N1314" i="2" s="1"/>
  <c r="O1314" i="2" s="1"/>
  <c r="P1314" i="2" s="1"/>
  <c r="J1380" i="2"/>
  <c r="N1380" i="2" s="1"/>
  <c r="O1380" i="2" s="1"/>
  <c r="P1380" i="2" s="1"/>
  <c r="J1381" i="2"/>
  <c r="N1381" i="2" s="1"/>
  <c r="O1381" i="2" s="1"/>
  <c r="P1381" i="2" s="1"/>
  <c r="AP23" i="2" l="1"/>
  <c r="AS23" i="2" s="1"/>
  <c r="AO23" i="2"/>
  <c r="V23" i="2" s="1"/>
  <c r="P2050" i="7" s="1"/>
  <c r="Q2050" i="7" s="1"/>
  <c r="AL30" i="2"/>
  <c r="AM25" i="2"/>
  <c r="AO25" i="2" s="1"/>
  <c r="V25" i="2" s="1"/>
  <c r="P2049" i="7" s="1"/>
  <c r="Q2049" i="7" s="1"/>
  <c r="AM28" i="2"/>
  <c r="AM20" i="2"/>
  <c r="AP20" i="2" s="1"/>
  <c r="AS20" i="2" s="1"/>
  <c r="AM24" i="2"/>
  <c r="AP24" i="2" s="1"/>
  <c r="AS24" i="2" s="1"/>
  <c r="AM21" i="2"/>
  <c r="AP21" i="2" s="1"/>
  <c r="AS21" i="2" s="1"/>
  <c r="AM15" i="2"/>
  <c r="AP15" i="2" s="1"/>
  <c r="AM19" i="2"/>
  <c r="AP19" i="2" s="1"/>
  <c r="AS19" i="2" s="1"/>
  <c r="AM26" i="2"/>
  <c r="AO26" i="2" s="1"/>
  <c r="V26" i="2" s="1"/>
  <c r="P2046" i="7" s="1"/>
  <c r="Q2046" i="7" s="1"/>
  <c r="AM18" i="2"/>
  <c r="AP18" i="2" s="1"/>
  <c r="AS18" i="2" s="1"/>
  <c r="AM29" i="2"/>
  <c r="AP29" i="2" s="1"/>
  <c r="AS29" i="2" s="1"/>
  <c r="AM27" i="2"/>
  <c r="AP27" i="2" s="1"/>
  <c r="AS27" i="2" s="1"/>
  <c r="AM22" i="2"/>
  <c r="AP22" i="2" s="1"/>
  <c r="AS22" i="2" s="1"/>
  <c r="AM16" i="2"/>
  <c r="AP16" i="2" s="1"/>
  <c r="AM17" i="2"/>
  <c r="AO17" i="2" s="1"/>
  <c r="V17" i="2" s="1"/>
  <c r="P331" i="7"/>
  <c r="Q331" i="7" s="1"/>
  <c r="P232" i="7"/>
  <c r="Q232" i="7" s="1"/>
  <c r="P235" i="7"/>
  <c r="Q235" i="7" s="1"/>
  <c r="P237" i="7"/>
  <c r="Q237" i="7" s="1"/>
  <c r="P236" i="7"/>
  <c r="Q236" i="7" s="1"/>
  <c r="P216" i="7"/>
  <c r="Q216" i="7" s="1"/>
  <c r="M1381" i="2"/>
  <c r="M1380" i="2"/>
  <c r="M1314" i="2"/>
  <c r="H95" i="7"/>
  <c r="J95" i="7" s="1"/>
  <c r="H94" i="7"/>
  <c r="W23" i="2" l="1"/>
  <c r="P2036" i="7"/>
  <c r="Q2036" i="7" s="1"/>
  <c r="AS16" i="2"/>
  <c r="P2038" i="7"/>
  <c r="Q2038" i="7" s="1"/>
  <c r="P2021" i="7"/>
  <c r="Q2021" i="7" s="1"/>
  <c r="P2023" i="7"/>
  <c r="Q2023" i="7" s="1"/>
  <c r="X23" i="2"/>
  <c r="P189" i="7"/>
  <c r="Q189" i="7" s="1"/>
  <c r="P203" i="7"/>
  <c r="Q203" i="7" s="1"/>
  <c r="P150" i="7"/>
  <c r="Q150" i="7" s="1"/>
  <c r="P1998" i="7"/>
  <c r="Q1998" i="7" s="1"/>
  <c r="P2019" i="7"/>
  <c r="Q2019" i="7" s="1"/>
  <c r="AM30" i="2"/>
  <c r="AP25" i="2"/>
  <c r="W25" i="2" s="1"/>
  <c r="AO28" i="2"/>
  <c r="V28" i="2" s="1"/>
  <c r="P2052" i="7" s="1"/>
  <c r="Q2052" i="7" s="1"/>
  <c r="AP28" i="2"/>
  <c r="P1970" i="7"/>
  <c r="Q1970" i="7" s="1"/>
  <c r="P1971" i="7"/>
  <c r="Q1971" i="7" s="1"/>
  <c r="P1984" i="7"/>
  <c r="Q1984" i="7" s="1"/>
  <c r="X25" i="2"/>
  <c r="AO20" i="2"/>
  <c r="V20" i="2" s="1"/>
  <c r="W20" i="2"/>
  <c r="AO24" i="2"/>
  <c r="V24" i="2" s="1"/>
  <c r="P2048" i="7" s="1"/>
  <c r="Q2048" i="7" s="1"/>
  <c r="P1949" i="7"/>
  <c r="Q1949" i="7" s="1"/>
  <c r="P1959" i="7"/>
  <c r="Q1959" i="7" s="1"/>
  <c r="AO15" i="2"/>
  <c r="AO21" i="2"/>
  <c r="V21" i="2" s="1"/>
  <c r="W21" i="2"/>
  <c r="P1929" i="7"/>
  <c r="Q1929" i="7" s="1"/>
  <c r="P1938" i="7"/>
  <c r="Q1938" i="7" s="1"/>
  <c r="AP17" i="2"/>
  <c r="AS17" i="2" s="1"/>
  <c r="AP26" i="2"/>
  <c r="AS26" i="2" s="1"/>
  <c r="W19" i="2"/>
  <c r="W18" i="2"/>
  <c r="P1913" i="7"/>
  <c r="Q1913" i="7" s="1"/>
  <c r="P1911" i="7"/>
  <c r="Q1911" i="7" s="1"/>
  <c r="P1904" i="7"/>
  <c r="Q1904" i="7" s="1"/>
  <c r="M20" i="8"/>
  <c r="N20" i="8" s="1"/>
  <c r="P1882" i="7"/>
  <c r="P1881" i="7"/>
  <c r="Q1881" i="7" s="1"/>
  <c r="P1860" i="7"/>
  <c r="P1841" i="7"/>
  <c r="Q1841" i="7" s="1"/>
  <c r="P1857" i="7"/>
  <c r="Q1857" i="7" s="1"/>
  <c r="P1828" i="7"/>
  <c r="Q1828" i="7" s="1"/>
  <c r="AO19" i="2"/>
  <c r="V19" i="2" s="1"/>
  <c r="X26" i="2"/>
  <c r="P1829" i="7"/>
  <c r="Q1829" i="7" s="1"/>
  <c r="P712" i="7"/>
  <c r="Q712" i="7" s="1"/>
  <c r="P687" i="7"/>
  <c r="Q687" i="7" s="1"/>
  <c r="P693" i="7"/>
  <c r="Q693" i="7" s="1"/>
  <c r="P397" i="7"/>
  <c r="Q397" i="7" s="1"/>
  <c r="P389" i="7"/>
  <c r="Q389" i="7" s="1"/>
  <c r="P375" i="7"/>
  <c r="Q375" i="7" s="1"/>
  <c r="P357" i="7"/>
  <c r="Q357" i="7" s="1"/>
  <c r="P1792" i="7"/>
  <c r="W27" i="2"/>
  <c r="W29" i="2"/>
  <c r="AO27" i="2"/>
  <c r="V27" i="2" s="1"/>
  <c r="AO29" i="2"/>
  <c r="V29" i="2" s="1"/>
  <c r="P2051" i="7" s="1"/>
  <c r="Q2051" i="7" s="1"/>
  <c r="AO18" i="2"/>
  <c r="V18" i="2" s="1"/>
  <c r="P1774" i="7"/>
  <c r="P1762" i="7"/>
  <c r="P1748" i="7"/>
  <c r="Q1748" i="7" s="1"/>
  <c r="P1745" i="7"/>
  <c r="P1754" i="7"/>
  <c r="P1735" i="7"/>
  <c r="P1737" i="7"/>
  <c r="P1722" i="7"/>
  <c r="W22" i="2"/>
  <c r="P1710" i="7"/>
  <c r="P1712" i="7"/>
  <c r="AO22" i="2"/>
  <c r="V22" i="2" s="1"/>
  <c r="P2047" i="7" s="1"/>
  <c r="Q2047" i="7" s="1"/>
  <c r="P1687" i="7"/>
  <c r="Q1687" i="7" s="1"/>
  <c r="P1686" i="7"/>
  <c r="Q1686" i="7" s="1"/>
  <c r="P1702" i="7"/>
  <c r="Q1702" i="7" s="1"/>
  <c r="P1676" i="7"/>
  <c r="Q1676" i="7" s="1"/>
  <c r="P1677" i="7"/>
  <c r="Q1677" i="7" s="1"/>
  <c r="W16" i="2"/>
  <c r="AO16" i="2"/>
  <c r="V16" i="2" s="1"/>
  <c r="P1660" i="7"/>
  <c r="Q1660" i="7" s="1"/>
  <c r="P1665" i="7"/>
  <c r="Q1665" i="7" s="1"/>
  <c r="P1664" i="7"/>
  <c r="Q1664" i="7" s="1"/>
  <c r="P1647" i="7"/>
  <c r="Q1647" i="7" s="1"/>
  <c r="P1629" i="7"/>
  <c r="Q1629" i="7" s="1"/>
  <c r="P1651" i="7"/>
  <c r="Q1651" i="7" s="1"/>
  <c r="P1625" i="7"/>
  <c r="Q1625" i="7" s="1"/>
  <c r="P1635" i="7"/>
  <c r="Q1635" i="7" s="1"/>
  <c r="P1621" i="7"/>
  <c r="Q1621" i="7" s="1"/>
  <c r="X17" i="2"/>
  <c r="P1614" i="7"/>
  <c r="Q1614" i="7" s="1"/>
  <c r="P1610" i="7"/>
  <c r="Q1610" i="7" s="1"/>
  <c r="P1611" i="7"/>
  <c r="Q1611" i="7" s="1"/>
  <c r="P1603" i="7"/>
  <c r="Q1603" i="7" s="1"/>
  <c r="P1605" i="7"/>
  <c r="Q1605" i="7" s="1"/>
  <c r="P1602" i="7"/>
  <c r="Q1602" i="7" s="1"/>
  <c r="P1581" i="7"/>
  <c r="Q1581" i="7" s="1"/>
  <c r="P1584" i="7"/>
  <c r="Q1584" i="7" s="1"/>
  <c r="P1567" i="7"/>
  <c r="Q1567" i="7" s="1"/>
  <c r="P1583" i="7"/>
  <c r="Q1583" i="7" s="1"/>
  <c r="P1570" i="7"/>
  <c r="Q1570" i="7" s="1"/>
  <c r="P1566" i="7"/>
  <c r="Q1566" i="7" s="1"/>
  <c r="P1551" i="7"/>
  <c r="Q1551" i="7" s="1"/>
  <c r="P1548" i="7"/>
  <c r="Q1548" i="7" s="1"/>
  <c r="P1539" i="7"/>
  <c r="Q1539" i="7" s="1"/>
  <c r="P1547" i="7"/>
  <c r="Q1547" i="7" s="1"/>
  <c r="P1522" i="7"/>
  <c r="Q1522" i="7" s="1"/>
  <c r="P1542" i="7"/>
  <c r="Q1542" i="7" s="1"/>
  <c r="P1531" i="7"/>
  <c r="Q1531" i="7" s="1"/>
  <c r="P1538" i="7"/>
  <c r="Q1538" i="7" s="1"/>
  <c r="P1517" i="7"/>
  <c r="Q1517" i="7" s="1"/>
  <c r="P1530" i="7"/>
  <c r="Q1530" i="7" s="1"/>
  <c r="P1506" i="7"/>
  <c r="Q1506" i="7" s="1"/>
  <c r="P1515" i="7"/>
  <c r="Q1515" i="7" s="1"/>
  <c r="P1518" i="7"/>
  <c r="Q1518" i="7" s="1"/>
  <c r="P1508" i="7"/>
  <c r="Q1508" i="7" s="1"/>
  <c r="P1509" i="7"/>
  <c r="Q1509" i="7" s="1"/>
  <c r="P1498" i="7"/>
  <c r="Q1498" i="7" s="1"/>
  <c r="P1497" i="7"/>
  <c r="Q1497" i="7" s="1"/>
  <c r="P1490" i="7"/>
  <c r="Q1490" i="7" s="1"/>
  <c r="P1491" i="7"/>
  <c r="Q1491" i="7" s="1"/>
  <c r="P1442" i="7"/>
  <c r="Q1442" i="7" s="1"/>
  <c r="P1441" i="7"/>
  <c r="Q1441" i="7" s="1"/>
  <c r="P873" i="7"/>
  <c r="Q873" i="7" s="1"/>
  <c r="P931" i="7"/>
  <c r="Q931" i="7" s="1"/>
  <c r="P737" i="7"/>
  <c r="Q737" i="7" s="1"/>
  <c r="P665" i="7"/>
  <c r="Q665" i="7" s="1"/>
  <c r="P637" i="7"/>
  <c r="Q637" i="7" s="1"/>
  <c r="P372" i="7"/>
  <c r="Q372" i="7" s="1"/>
  <c r="P602" i="7"/>
  <c r="Q602" i="7" s="1"/>
  <c r="P371" i="7"/>
  <c r="Q371" i="7" s="1"/>
  <c r="P403" i="7"/>
  <c r="Q403" i="7" s="1"/>
  <c r="P471" i="7"/>
  <c r="Q471" i="7" s="1"/>
  <c r="P436" i="7"/>
  <c r="Q436" i="7" s="1"/>
  <c r="P601" i="7"/>
  <c r="Q601" i="7" s="1"/>
  <c r="P456" i="7"/>
  <c r="Q456" i="7" s="1"/>
  <c r="P468" i="7"/>
  <c r="Q468" i="7" s="1"/>
  <c r="P491" i="7"/>
  <c r="Q491" i="7" s="1"/>
  <c r="P609" i="7"/>
  <c r="Q609" i="7" s="1"/>
  <c r="P618" i="7"/>
  <c r="Q618" i="7" s="1"/>
  <c r="P463" i="7"/>
  <c r="Q463" i="7" s="1"/>
  <c r="P485" i="7"/>
  <c r="Q485" i="7" s="1"/>
  <c r="E30" i="8"/>
  <c r="E31" i="8" s="1"/>
  <c r="J94" i="7"/>
  <c r="P2033" i="7" l="1"/>
  <c r="Q2033" i="7" s="1"/>
  <c r="P2039" i="7"/>
  <c r="Q2039" i="7" s="1"/>
  <c r="AP30" i="2"/>
  <c r="P2037" i="7"/>
  <c r="Q2037" i="7" s="1"/>
  <c r="P2035" i="7"/>
  <c r="Q2035" i="7" s="1"/>
  <c r="P2034" i="7"/>
  <c r="Q2034" i="7" s="1"/>
  <c r="P2022" i="7"/>
  <c r="Q2022" i="7" s="1"/>
  <c r="P2020" i="7"/>
  <c r="Q2020" i="7" s="1"/>
  <c r="P2026" i="7"/>
  <c r="Q2026" i="7" s="1"/>
  <c r="P2025" i="7"/>
  <c r="Q2025" i="7" s="1"/>
  <c r="P2024" i="7"/>
  <c r="Q2024" i="7" s="1"/>
  <c r="Z23" i="2"/>
  <c r="P2015" i="7"/>
  <c r="Q2015" i="7" s="1"/>
  <c r="P2027" i="7"/>
  <c r="Q2027" i="7" s="1"/>
  <c r="P2012" i="7"/>
  <c r="Q2012" i="7" s="1"/>
  <c r="P2018" i="7"/>
  <c r="Q2018" i="7" s="1"/>
  <c r="P1999" i="7"/>
  <c r="Q1999" i="7" s="1"/>
  <c r="P2017" i="7"/>
  <c r="Q2017" i="7" s="1"/>
  <c r="P2001" i="7"/>
  <c r="Q2001" i="7" s="1"/>
  <c r="P2016" i="7"/>
  <c r="Q2016" i="7" s="1"/>
  <c r="P2004" i="7"/>
  <c r="Q2004" i="7" s="1"/>
  <c r="P2014" i="7"/>
  <c r="Q2014" i="7" s="1"/>
  <c r="P2003" i="7"/>
  <c r="Q2003" i="7" s="1"/>
  <c r="P2013" i="7"/>
  <c r="Q2013" i="7" s="1"/>
  <c r="AS25" i="2"/>
  <c r="AS28" i="2"/>
  <c r="W28" i="2"/>
  <c r="P2005" i="7"/>
  <c r="Q2005" i="7" s="1"/>
  <c r="X28" i="2"/>
  <c r="AO30" i="2"/>
  <c r="P2000" i="7"/>
  <c r="Q2000" i="7" s="1"/>
  <c r="P2002" i="7"/>
  <c r="Q2002" i="7" s="1"/>
  <c r="P1990" i="7"/>
  <c r="Q1990" i="7" s="1"/>
  <c r="P1985" i="7"/>
  <c r="Q1985" i="7" s="1"/>
  <c r="P1987" i="7"/>
  <c r="Q1987" i="7" s="1"/>
  <c r="P1989" i="7"/>
  <c r="Q1989" i="7" s="1"/>
  <c r="P1986" i="7"/>
  <c r="Q1986" i="7" s="1"/>
  <c r="P1988" i="7"/>
  <c r="Q1988" i="7" s="1"/>
  <c r="P1972" i="7"/>
  <c r="Q1972" i="7" s="1"/>
  <c r="P1977" i="7"/>
  <c r="Q1977" i="7" s="1"/>
  <c r="P1973" i="7"/>
  <c r="Q1973" i="7" s="1"/>
  <c r="P1976" i="7"/>
  <c r="Q1976" i="7" s="1"/>
  <c r="Z25" i="2"/>
  <c r="X20" i="2"/>
  <c r="P1939" i="7"/>
  <c r="Q1939" i="7" s="1"/>
  <c r="P1952" i="7"/>
  <c r="Q1952" i="7" s="1"/>
  <c r="P1950" i="7"/>
  <c r="Q1950" i="7" s="1"/>
  <c r="P1960" i="7"/>
  <c r="Q1960" i="7" s="1"/>
  <c r="P1974" i="7"/>
  <c r="Q1974" i="7" s="1"/>
  <c r="P1962" i="7"/>
  <c r="Q1962" i="7" s="1"/>
  <c r="P1975" i="7"/>
  <c r="Q1975" i="7" s="1"/>
  <c r="P1961" i="7"/>
  <c r="Q1961" i="7" s="1"/>
  <c r="X24" i="2"/>
  <c r="W24" i="2"/>
  <c r="P1948" i="7"/>
  <c r="Q1948" i="7" s="1"/>
  <c r="P1963" i="7"/>
  <c r="Q1963" i="7" s="1"/>
  <c r="P1951" i="7"/>
  <c r="Q1951" i="7" s="1"/>
  <c r="P1964" i="7"/>
  <c r="Q1964" i="7" s="1"/>
  <c r="P1947" i="7"/>
  <c r="Q1947" i="7" s="1"/>
  <c r="P1958" i="7"/>
  <c r="Q1958" i="7" s="1"/>
  <c r="P1953" i="7"/>
  <c r="Q1953" i="7" s="1"/>
  <c r="P1954" i="7"/>
  <c r="Q1954" i="7" s="1"/>
  <c r="P1940" i="7"/>
  <c r="Q1940" i="7" s="1"/>
  <c r="P1928" i="7"/>
  <c r="Q1928" i="7" s="1"/>
  <c r="P1890" i="7"/>
  <c r="Q1890" i="7" s="1"/>
  <c r="X21" i="2"/>
  <c r="P1909" i="7"/>
  <c r="Q1909" i="7" s="1"/>
  <c r="P1912" i="7"/>
  <c r="Q1912" i="7" s="1"/>
  <c r="P1926" i="7"/>
  <c r="Q1926" i="7" s="1"/>
  <c r="P1941" i="7"/>
  <c r="Q1941" i="7" s="1"/>
  <c r="W15" i="2"/>
  <c r="P1905" i="7"/>
  <c r="Q1905" i="7" s="1"/>
  <c r="V15" i="2"/>
  <c r="P1927" i="7"/>
  <c r="Q1927" i="7" s="1"/>
  <c r="P1937" i="7"/>
  <c r="Q1937" i="7" s="1"/>
  <c r="P1925" i="7"/>
  <c r="Q1925" i="7" s="1"/>
  <c r="AS15" i="2"/>
  <c r="P1917" i="7"/>
  <c r="Q1917" i="7" s="1"/>
  <c r="Z17" i="2"/>
  <c r="P1916" i="7"/>
  <c r="Q1916" i="7" s="1"/>
  <c r="P1915" i="7"/>
  <c r="Q1915" i="7" s="1"/>
  <c r="P1914" i="7"/>
  <c r="Q1914" i="7" s="1"/>
  <c r="P1910" i="7"/>
  <c r="Q1910" i="7" s="1"/>
  <c r="P1907" i="7"/>
  <c r="Q1907" i="7" s="1"/>
  <c r="P1908" i="7"/>
  <c r="Q1908" i="7" s="1"/>
  <c r="P1906" i="7"/>
  <c r="Q1906" i="7" s="1"/>
  <c r="P1903" i="7"/>
  <c r="Q1903" i="7" s="1"/>
  <c r="P1892" i="7"/>
  <c r="Q1892" i="7" s="1"/>
  <c r="Z1396" i="2"/>
  <c r="P1883" i="7"/>
  <c r="Q1883" i="7" s="1"/>
  <c r="P1891" i="7"/>
  <c r="Q1891" i="7" s="1"/>
  <c r="P1889" i="7"/>
  <c r="Q1889" i="7" s="1"/>
  <c r="P1888" i="7"/>
  <c r="Q1888" i="7" s="1"/>
  <c r="P1886" i="7"/>
  <c r="Q1886" i="7" s="1"/>
  <c r="P1887" i="7"/>
  <c r="Q1887" i="7" s="1"/>
  <c r="P1885" i="7"/>
  <c r="Q1885" i="7" s="1"/>
  <c r="P1884" i="7"/>
  <c r="Q1884" i="7" s="1"/>
  <c r="P1864" i="7"/>
  <c r="Q1864" i="7" s="1"/>
  <c r="P1866" i="7"/>
  <c r="Q1866" i="7" s="1"/>
  <c r="P1838" i="7"/>
  <c r="Q1838" i="7" s="1"/>
  <c r="P1842" i="7"/>
  <c r="Q1842" i="7" s="1"/>
  <c r="P1856" i="7"/>
  <c r="Q1856" i="7" s="1"/>
  <c r="P1865" i="7"/>
  <c r="Q1865" i="7" s="1"/>
  <c r="P1844" i="7"/>
  <c r="Q1844" i="7" s="1"/>
  <c r="P1863" i="7"/>
  <c r="Q1863" i="7" s="1"/>
  <c r="P1843" i="7"/>
  <c r="Q1843" i="7" s="1"/>
  <c r="P1862" i="7"/>
  <c r="Q1862" i="7" s="1"/>
  <c r="P1858" i="7"/>
  <c r="Q1858" i="7" s="1"/>
  <c r="P1861" i="7"/>
  <c r="Q1861" i="7" s="1"/>
  <c r="P1840" i="7"/>
  <c r="Q1840" i="7" s="1"/>
  <c r="P1859" i="7"/>
  <c r="Q1859" i="7" s="1"/>
  <c r="P1839" i="7"/>
  <c r="Q1839" i="7" s="1"/>
  <c r="P1846" i="7"/>
  <c r="Q1846" i="7" s="1"/>
  <c r="X19" i="2"/>
  <c r="P1845" i="7"/>
  <c r="Q1845" i="7" s="1"/>
  <c r="P223" i="7"/>
  <c r="Q223" i="7" s="1"/>
  <c r="P1808" i="7"/>
  <c r="Q1808" i="7" s="1"/>
  <c r="P1820" i="7"/>
  <c r="Q1820" i="7" s="1"/>
  <c r="Z26" i="2"/>
  <c r="P1824" i="7"/>
  <c r="Q1824" i="7" s="1"/>
  <c r="P1822" i="7"/>
  <c r="Q1822" i="7" s="1"/>
  <c r="P1806" i="7"/>
  <c r="Q1806" i="7" s="1"/>
  <c r="W26" i="2"/>
  <c r="P1812" i="7"/>
  <c r="Q1812" i="7" s="1"/>
  <c r="P1827" i="7"/>
  <c r="Q1827" i="7" s="1"/>
  <c r="P1823" i="7"/>
  <c r="Q1823" i="7" s="1"/>
  <c r="P1826" i="7"/>
  <c r="Q1826" i="7" s="1"/>
  <c r="P1810" i="7"/>
  <c r="Q1810" i="7" s="1"/>
  <c r="P1825" i="7"/>
  <c r="Q1825" i="7" s="1"/>
  <c r="P1807" i="7"/>
  <c r="Q1807" i="7" s="1"/>
  <c r="P1821" i="7"/>
  <c r="Q1821" i="7" s="1"/>
  <c r="P1763" i="7"/>
  <c r="Q1763" i="7" s="1"/>
  <c r="P1819" i="7"/>
  <c r="Q1819" i="7" s="1"/>
  <c r="P1809" i="7"/>
  <c r="Q1809" i="7" s="1"/>
  <c r="P1811" i="7"/>
  <c r="Q1811" i="7" s="1"/>
  <c r="P1776" i="7"/>
  <c r="Q1776" i="7" s="1"/>
  <c r="P1805" i="7"/>
  <c r="Q1805" i="7" s="1"/>
  <c r="X18" i="2"/>
  <c r="P1790" i="7"/>
  <c r="Q1790" i="7" s="1"/>
  <c r="P1788" i="7"/>
  <c r="Q1788" i="7" s="1"/>
  <c r="P1793" i="7"/>
  <c r="Q1793" i="7" s="1"/>
  <c r="P1786" i="7"/>
  <c r="Q1786" i="7" s="1"/>
  <c r="P1791" i="7"/>
  <c r="Q1791" i="7" s="1"/>
  <c r="P1785" i="7"/>
  <c r="Q1785" i="7" s="1"/>
  <c r="P1787" i="7"/>
  <c r="Q1787" i="7" s="1"/>
  <c r="X29" i="2"/>
  <c r="X27" i="2"/>
  <c r="P1789" i="7"/>
  <c r="Q1789" i="7" s="1"/>
  <c r="P1778" i="7"/>
  <c r="Q1778" i="7" s="1"/>
  <c r="P1773" i="7"/>
  <c r="Q1773" i="7" s="1"/>
  <c r="P1771" i="7"/>
  <c r="Q1771" i="7" s="1"/>
  <c r="P1772" i="7"/>
  <c r="Q1772" i="7" s="1"/>
  <c r="P1764" i="7"/>
  <c r="Q1764" i="7" s="1"/>
  <c r="P1777" i="7"/>
  <c r="Q1777" i="7" s="1"/>
  <c r="P1761" i="7"/>
  <c r="Q1761" i="7" s="1"/>
  <c r="P1775" i="7"/>
  <c r="Q1775" i="7" s="1"/>
  <c r="P1760" i="7"/>
  <c r="Q1760" i="7" s="1"/>
  <c r="P1759" i="7"/>
  <c r="Q1759" i="7" s="1"/>
  <c r="P1758" i="7"/>
  <c r="Q1758" i="7" s="1"/>
  <c r="P1747" i="7"/>
  <c r="Q1747" i="7" s="1"/>
  <c r="P1757" i="7"/>
  <c r="Q1757" i="7" s="1"/>
  <c r="P1738" i="7"/>
  <c r="Q1738" i="7" s="1"/>
  <c r="P1726" i="7"/>
  <c r="Q1726" i="7" s="1"/>
  <c r="P1746" i="7"/>
  <c r="Q1746" i="7" s="1"/>
  <c r="P1756" i="7"/>
  <c r="Q1756" i="7" s="1"/>
  <c r="P1734" i="7"/>
  <c r="Q1734" i="7" s="1"/>
  <c r="P1755" i="7"/>
  <c r="Q1755" i="7" s="1"/>
  <c r="P1733" i="7"/>
  <c r="Q1733" i="7" s="1"/>
  <c r="P1736" i="7"/>
  <c r="Q1736" i="7" s="1"/>
  <c r="P1713" i="7"/>
  <c r="Q1713" i="7" s="1"/>
  <c r="P1725" i="7"/>
  <c r="Q1725" i="7" s="1"/>
  <c r="P1724" i="7"/>
  <c r="Q1724" i="7" s="1"/>
  <c r="P1709" i="7"/>
  <c r="Q1709" i="7" s="1"/>
  <c r="X22" i="2"/>
  <c r="P1711" i="7"/>
  <c r="Q1711" i="7" s="1"/>
  <c r="P1667" i="7"/>
  <c r="Q1667" i="7" s="1"/>
  <c r="P1692" i="7"/>
  <c r="Q1692" i="7" s="1"/>
  <c r="P1688" i="7"/>
  <c r="Q1688" i="7" s="1"/>
  <c r="P1691" i="7"/>
  <c r="Q1691" i="7" s="1"/>
  <c r="P1701" i="7"/>
  <c r="Q1701" i="7" s="1"/>
  <c r="P1689" i="7"/>
  <c r="Q1689" i="7" s="1"/>
  <c r="P1699" i="7"/>
  <c r="Q1699" i="7" s="1"/>
  <c r="P1631" i="7"/>
  <c r="Q1631" i="7" s="1"/>
  <c r="P1659" i="7"/>
  <c r="Q1659" i="7" s="1"/>
  <c r="P1636" i="7"/>
  <c r="Q1636" i="7" s="1"/>
  <c r="P1674" i="7"/>
  <c r="Q1674" i="7" s="1"/>
  <c r="P1678" i="7"/>
  <c r="Q1678" i="7" s="1"/>
  <c r="P1653" i="7"/>
  <c r="Q1653" i="7" s="1"/>
  <c r="P1679" i="7"/>
  <c r="Q1679" i="7" s="1"/>
  <c r="P1648" i="7"/>
  <c r="Q1648" i="7" s="1"/>
  <c r="P1675" i="7"/>
  <c r="Q1675" i="7" s="1"/>
  <c r="X16" i="2"/>
  <c r="P1663" i="7"/>
  <c r="Q1663" i="7" s="1"/>
  <c r="P1668" i="7"/>
  <c r="Q1668" i="7" s="1"/>
  <c r="P1666" i="7"/>
  <c r="Q1666" i="7" s="1"/>
  <c r="P1662" i="7"/>
  <c r="Q1662" i="7" s="1"/>
  <c r="P1650" i="7"/>
  <c r="Q1650" i="7" s="1"/>
  <c r="P1623" i="7"/>
  <c r="Q1623" i="7" s="1"/>
  <c r="P1627" i="7"/>
  <c r="Q1627" i="7" s="1"/>
  <c r="P1628" i="7"/>
  <c r="Q1628" i="7" s="1"/>
  <c r="P1654" i="7"/>
  <c r="Q1654" i="7" s="1"/>
  <c r="P1652" i="7"/>
  <c r="Q1652" i="7" s="1"/>
  <c r="P1634" i="7"/>
  <c r="Q1634" i="7" s="1"/>
  <c r="P1649" i="7"/>
  <c r="Q1649" i="7" s="1"/>
  <c r="P1604" i="7"/>
  <c r="Q1604" i="7" s="1"/>
  <c r="P1585" i="7"/>
  <c r="Q1585" i="7" s="1"/>
  <c r="P1624" i="7"/>
  <c r="Q1624" i="7" s="1"/>
  <c r="P1632" i="7"/>
  <c r="Q1632" i="7" s="1"/>
  <c r="P1622" i="7"/>
  <c r="Q1622" i="7" s="1"/>
  <c r="P1630" i="7"/>
  <c r="Q1630" i="7" s="1"/>
  <c r="P1613" i="7"/>
  <c r="Q1613" i="7" s="1"/>
  <c r="P1615" i="7"/>
  <c r="Q1615" i="7" s="1"/>
  <c r="P1612" i="7"/>
  <c r="Q1612" i="7" s="1"/>
  <c r="W17" i="2"/>
  <c r="P1600" i="7"/>
  <c r="Q1600" i="7" s="1"/>
  <c r="P1609" i="7"/>
  <c r="Q1609" i="7" s="1"/>
  <c r="P1608" i="7"/>
  <c r="Q1608" i="7" s="1"/>
  <c r="P1607" i="7"/>
  <c r="P1606" i="7"/>
  <c r="Q1606" i="7" s="1"/>
  <c r="P1601" i="7"/>
  <c r="Q1601" i="7" s="1"/>
  <c r="P1599" i="7"/>
  <c r="Q1599" i="7" s="1"/>
  <c r="P1598" i="7"/>
  <c r="Q1598" i="7" s="1"/>
  <c r="P1587" i="7"/>
  <c r="Q1587" i="7" s="1"/>
  <c r="P1558" i="7"/>
  <c r="Q1558" i="7" s="1"/>
  <c r="P1590" i="7"/>
  <c r="Q1590" i="7" s="1"/>
  <c r="P1571" i="7"/>
  <c r="Q1571" i="7" s="1"/>
  <c r="P1582" i="7"/>
  <c r="P1586" i="7"/>
  <c r="Q1586" i="7" s="1"/>
  <c r="P1556" i="7"/>
  <c r="Q1556" i="7" s="1"/>
  <c r="P1589" i="7"/>
  <c r="Q1589" i="7" s="1"/>
  <c r="P1569" i="7"/>
  <c r="Q1569" i="7" s="1"/>
  <c r="P1580" i="7"/>
  <c r="Q1580" i="7" s="1"/>
  <c r="P1572" i="7"/>
  <c r="Q1572" i="7" s="1"/>
  <c r="P1568" i="7"/>
  <c r="Q1568" i="7" s="1"/>
  <c r="P1557" i="7"/>
  <c r="Q1557" i="7" s="1"/>
  <c r="P1559" i="7"/>
  <c r="Q1559" i="7" s="1"/>
  <c r="P1555" i="7"/>
  <c r="Q1555" i="7" s="1"/>
  <c r="P1521" i="7"/>
  <c r="Q1521" i="7" s="1"/>
  <c r="P1543" i="7"/>
  <c r="Q1543" i="7" s="1"/>
  <c r="P1552" i="7"/>
  <c r="Q1552" i="7" s="1"/>
  <c r="P1526" i="7"/>
  <c r="Q1526" i="7" s="1"/>
  <c r="P1546" i="7"/>
  <c r="Q1546" i="7" s="1"/>
  <c r="P1553" i="7"/>
  <c r="Q1553" i="7" s="1"/>
  <c r="P1507" i="7"/>
  <c r="Q1507" i="7" s="1"/>
  <c r="Z1391" i="2"/>
  <c r="P1537" i="7"/>
  <c r="Q1537" i="7" s="1"/>
  <c r="P1545" i="7"/>
  <c r="Q1545" i="7" s="1"/>
  <c r="P1541" i="7"/>
  <c r="Q1541" i="7" s="1"/>
  <c r="P1550" i="7"/>
  <c r="Q1550" i="7" s="1"/>
  <c r="P1512" i="7"/>
  <c r="Q1512" i="7" s="1"/>
  <c r="P1549" i="7"/>
  <c r="Q1549" i="7" s="1"/>
  <c r="P1532" i="7"/>
  <c r="Q1532" i="7" s="1"/>
  <c r="P1540" i="7"/>
  <c r="P1535" i="7"/>
  <c r="Q1535" i="7" s="1"/>
  <c r="P1536" i="7"/>
  <c r="Q1536" i="7" s="1"/>
  <c r="P1524" i="7"/>
  <c r="Q1524" i="7" s="1"/>
  <c r="P1534" i="7"/>
  <c r="Q1534" i="7" s="1"/>
  <c r="P1533" i="7"/>
  <c r="Q1533" i="7" s="1"/>
  <c r="P1527" i="7"/>
  <c r="Q1527" i="7" s="1"/>
  <c r="P1528" i="7"/>
  <c r="Q1528" i="7" s="1"/>
  <c r="P1503" i="7"/>
  <c r="Q1503" i="7" s="1"/>
  <c r="P1529" i="7"/>
  <c r="Q1529" i="7" s="1"/>
  <c r="P614" i="7"/>
  <c r="Q614" i="7" s="1"/>
  <c r="P1525" i="7"/>
  <c r="Q1525" i="7" s="1"/>
  <c r="P1510" i="7"/>
  <c r="Q1510" i="7" s="1"/>
  <c r="P1523" i="7"/>
  <c r="Q1523" i="7" s="1"/>
  <c r="P1501" i="7"/>
  <c r="Q1501" i="7" s="1"/>
  <c r="P1520" i="7"/>
  <c r="Q1520" i="7" s="1"/>
  <c r="P1513" i="7"/>
  <c r="P1519" i="7"/>
  <c r="P1504" i="7"/>
  <c r="Q1504" i="7" s="1"/>
  <c r="P1502" i="7"/>
  <c r="P1514" i="7"/>
  <c r="Q1514" i="7" s="1"/>
  <c r="P1496" i="7"/>
  <c r="Q1496" i="7" s="1"/>
  <c r="P1516" i="7"/>
  <c r="Q1516" i="7" s="1"/>
  <c r="P1500" i="7"/>
  <c r="Q1500" i="7" s="1"/>
  <c r="P1511" i="7"/>
  <c r="Q1511" i="7" s="1"/>
  <c r="P1494" i="7"/>
  <c r="Q1494" i="7" s="1"/>
  <c r="P1492" i="7"/>
  <c r="Q1492" i="7" s="1"/>
  <c r="P1499" i="7"/>
  <c r="Q1499" i="7" s="1"/>
  <c r="P1402" i="7"/>
  <c r="Q1402" i="7" s="1"/>
  <c r="P1493" i="7"/>
  <c r="Q1493" i="7" s="1"/>
  <c r="P1445" i="7"/>
  <c r="Q1445" i="7" s="1"/>
  <c r="P1438" i="7"/>
  <c r="Q1438" i="7" s="1"/>
  <c r="P1409" i="7"/>
  <c r="Q1409" i="7" s="1"/>
  <c r="P1450" i="7"/>
  <c r="Q1450" i="7" s="1"/>
  <c r="P1449" i="7"/>
  <c r="Q1449" i="7" s="1"/>
  <c r="P1448" i="7"/>
  <c r="Q1448" i="7" s="1"/>
  <c r="P1404" i="7"/>
  <c r="Q1404" i="7" s="1"/>
  <c r="Z1388" i="2"/>
  <c r="P1403" i="7"/>
  <c r="Q1403" i="7" s="1"/>
  <c r="P1444" i="7"/>
  <c r="P722" i="7"/>
  <c r="Q722" i="7" s="1"/>
  <c r="P1405" i="7"/>
  <c r="Q1405" i="7" s="1"/>
  <c r="P1446" i="7"/>
  <c r="Q1446" i="7" s="1"/>
  <c r="P1410" i="7"/>
  <c r="Q1410" i="7" s="1"/>
  <c r="P1443" i="7"/>
  <c r="Q1443" i="7" s="1"/>
  <c r="P1408" i="7"/>
  <c r="Q1408" i="7" s="1"/>
  <c r="P1440" i="7"/>
  <c r="Q1440" i="7" s="1"/>
  <c r="P1407" i="7"/>
  <c r="Q1407" i="7" s="1"/>
  <c r="P1439" i="7"/>
  <c r="Q1439" i="7" s="1"/>
  <c r="P1406" i="7"/>
  <c r="Q1406" i="7" s="1"/>
  <c r="P1418" i="7"/>
  <c r="Q1418" i="7" s="1"/>
  <c r="P1389" i="7"/>
  <c r="Q1389" i="7" s="1"/>
  <c r="P1387" i="7"/>
  <c r="Q1387" i="7" s="1"/>
  <c r="P1393" i="7"/>
  <c r="Q1393" i="7" s="1"/>
  <c r="P1391" i="7"/>
  <c r="Q1391" i="7" s="1"/>
  <c r="P1390" i="7"/>
  <c r="P1388" i="7"/>
  <c r="Q1388" i="7" s="1"/>
  <c r="P1386" i="7"/>
  <c r="Q1386" i="7" s="1"/>
  <c r="P1383" i="7"/>
  <c r="Q1383" i="7" s="1"/>
  <c r="P1384" i="7"/>
  <c r="Q1384" i="7" s="1"/>
  <c r="P1392" i="7"/>
  <c r="Q1392" i="7" s="1"/>
  <c r="P1385" i="7"/>
  <c r="Q1385" i="7" s="1"/>
  <c r="P927" i="7"/>
  <c r="Q927" i="7" s="1"/>
  <c r="P1140" i="7"/>
  <c r="Q1140" i="7" s="1"/>
  <c r="P1275" i="7"/>
  <c r="Q1275" i="7" s="1"/>
  <c r="P1381" i="7"/>
  <c r="Q1381" i="7" s="1"/>
  <c r="P1382" i="7"/>
  <c r="Q1382" i="7" s="1"/>
  <c r="P1248" i="7"/>
  <c r="Q1248" i="7" s="1"/>
  <c r="P383" i="7"/>
  <c r="Q383" i="7" s="1"/>
  <c r="P1290" i="7"/>
  <c r="Q1290" i="7" s="1"/>
  <c r="P1369" i="7"/>
  <c r="Q1369" i="7" s="1"/>
  <c r="P835" i="7"/>
  <c r="Q835" i="7" s="1"/>
  <c r="P1371" i="7"/>
  <c r="Q1371" i="7" s="1"/>
  <c r="P984" i="7"/>
  <c r="Q984" i="7" s="1"/>
  <c r="P610" i="7"/>
  <c r="Q610" i="7" s="1"/>
  <c r="P1339" i="7"/>
  <c r="Q1339" i="7" s="1"/>
  <c r="P1362" i="7"/>
  <c r="Q1362" i="7" s="1"/>
  <c r="P1337" i="7"/>
  <c r="Q1337" i="7" s="1"/>
  <c r="P1310" i="7"/>
  <c r="Q1310" i="7" s="1"/>
  <c r="P634" i="7"/>
  <c r="Q634" i="7" s="1"/>
  <c r="P1332" i="7"/>
  <c r="Q1332" i="7" s="1"/>
  <c r="P1364" i="7"/>
  <c r="Q1364" i="7" s="1"/>
  <c r="P1366" i="7"/>
  <c r="Q1366" i="7" s="1"/>
  <c r="P1365" i="7"/>
  <c r="Q1365" i="7" s="1"/>
  <c r="P555" i="7"/>
  <c r="Q555" i="7" s="1"/>
  <c r="P363" i="7"/>
  <c r="Q363" i="7" s="1"/>
  <c r="P439" i="7"/>
  <c r="Q439" i="7" s="1"/>
  <c r="P1283" i="7"/>
  <c r="P1370" i="7"/>
  <c r="P1347" i="7"/>
  <c r="Q1347" i="7" s="1"/>
  <c r="P1368" i="7"/>
  <c r="Q1368" i="7" s="1"/>
  <c r="P1367" i="7"/>
  <c r="Q1367" i="7" s="1"/>
  <c r="P1317" i="7"/>
  <c r="Q1317" i="7" s="1"/>
  <c r="P1363" i="7"/>
  <c r="Q1363" i="7" s="1"/>
  <c r="P1348" i="7"/>
  <c r="Q1348" i="7" s="1"/>
  <c r="P1361" i="7"/>
  <c r="Q1361" i="7" s="1"/>
  <c r="P1320" i="7"/>
  <c r="Q1320" i="7" s="1"/>
  <c r="P1351" i="7"/>
  <c r="Q1351" i="7" s="1"/>
  <c r="P1331" i="7"/>
  <c r="Q1331" i="7" s="1"/>
  <c r="P1350" i="7"/>
  <c r="Q1350" i="7" s="1"/>
  <c r="P1330" i="7"/>
  <c r="Q1330" i="7" s="1"/>
  <c r="P1349" i="7"/>
  <c r="Q1349" i="7" s="1"/>
  <c r="P1345" i="7"/>
  <c r="Q1345" i="7" s="1"/>
  <c r="P1346" i="7"/>
  <c r="P1311" i="7"/>
  <c r="Q1311" i="7" s="1"/>
  <c r="P1344" i="7"/>
  <c r="Q1344" i="7" s="1"/>
  <c r="P1340" i="7"/>
  <c r="Q1340" i="7" s="1"/>
  <c r="P1343" i="7"/>
  <c r="Q1343" i="7" s="1"/>
  <c r="P1336" i="7"/>
  <c r="Q1336" i="7" s="1"/>
  <c r="P1342" i="7"/>
  <c r="Q1342" i="7" s="1"/>
  <c r="P1307" i="7"/>
  <c r="Q1307" i="7" s="1"/>
  <c r="P1341" i="7"/>
  <c r="Q1341" i="7" s="1"/>
  <c r="P1338" i="7"/>
  <c r="Q1338" i="7" s="1"/>
  <c r="P608" i="7"/>
  <c r="Q608" i="7" s="1"/>
  <c r="P1335" i="7"/>
  <c r="Q1335" i="7" s="1"/>
  <c r="P1313" i="7"/>
  <c r="P1334" i="7"/>
  <c r="P1319" i="7"/>
  <c r="Q1319" i="7" s="1"/>
  <c r="P1333" i="7"/>
  <c r="Q1333" i="7" s="1"/>
  <c r="P1314" i="7"/>
  <c r="Q1314" i="7" s="1"/>
  <c r="P1329" i="7"/>
  <c r="Q1329" i="7" s="1"/>
  <c r="P1291" i="7"/>
  <c r="Q1291" i="7" s="1"/>
  <c r="P1318" i="7"/>
  <c r="Q1318" i="7" s="1"/>
  <c r="P1289" i="7"/>
  <c r="Q1289" i="7" s="1"/>
  <c r="P1316" i="7"/>
  <c r="Q1316" i="7" s="1"/>
  <c r="P1049" i="7"/>
  <c r="Q1049" i="7" s="1"/>
  <c r="P1315" i="7"/>
  <c r="Q1315" i="7" s="1"/>
  <c r="P1261" i="7"/>
  <c r="Q1261" i="7" s="1"/>
  <c r="P1312" i="7"/>
  <c r="Q1312" i="7" s="1"/>
  <c r="P1284" i="7"/>
  <c r="Q1284" i="7" s="1"/>
  <c r="P1309" i="7"/>
  <c r="Q1309" i="7" s="1"/>
  <c r="P1286" i="7"/>
  <c r="Q1286" i="7" s="1"/>
  <c r="P1308" i="7"/>
  <c r="Q1308" i="7" s="1"/>
  <c r="P895" i="7"/>
  <c r="Q895" i="7" s="1"/>
  <c r="P989" i="7"/>
  <c r="Q989" i="7" s="1"/>
  <c r="P671" i="7"/>
  <c r="Q671" i="7" s="1"/>
  <c r="P648" i="7"/>
  <c r="Q648" i="7" s="1"/>
  <c r="P1238" i="7"/>
  <c r="Q1238" i="7" s="1"/>
  <c r="P632" i="7"/>
  <c r="Q632" i="7" s="1"/>
  <c r="P655" i="7"/>
  <c r="Q655" i="7" s="1"/>
  <c r="P1133" i="7"/>
  <c r="Q1133" i="7" s="1"/>
  <c r="P1292" i="7"/>
  <c r="Q1292" i="7" s="1"/>
  <c r="P1051" i="7"/>
  <c r="Q1051" i="7" s="1"/>
  <c r="P1003" i="7"/>
  <c r="Q1003" i="7" s="1"/>
  <c r="P1231" i="7"/>
  <c r="Q1231" i="7" s="1"/>
  <c r="P994" i="7"/>
  <c r="Q994" i="7" s="1"/>
  <c r="P1087" i="7"/>
  <c r="Q1087" i="7" s="1"/>
  <c r="P1202" i="7"/>
  <c r="Q1202" i="7" s="1"/>
  <c r="P1177" i="7"/>
  <c r="Q1177" i="7" s="1"/>
  <c r="P1023" i="7"/>
  <c r="Q1023" i="7" s="1"/>
  <c r="P1067" i="7"/>
  <c r="Q1067" i="7" s="1"/>
  <c r="P1107" i="7"/>
  <c r="Q1107" i="7" s="1"/>
  <c r="P1164" i="7"/>
  <c r="Q1164" i="7" s="1"/>
  <c r="P1252" i="7"/>
  <c r="Q1252" i="7" s="1"/>
  <c r="P1288" i="7"/>
  <c r="Q1288" i="7" s="1"/>
  <c r="P1222" i="7"/>
  <c r="Q1222" i="7" s="1"/>
  <c r="P1274" i="7"/>
  <c r="Q1274" i="7" s="1"/>
  <c r="P1287" i="7"/>
  <c r="Q1287" i="7" s="1"/>
  <c r="P1206" i="7"/>
  <c r="Q1206" i="7" s="1"/>
  <c r="P1273" i="7"/>
  <c r="Q1273" i="7" s="1"/>
  <c r="P1285" i="7"/>
  <c r="Q1285" i="7" s="1"/>
  <c r="P1189" i="7"/>
  <c r="Q1189" i="7" s="1"/>
  <c r="P1258" i="7"/>
  <c r="Q1258" i="7" s="1"/>
  <c r="P849" i="7"/>
  <c r="Q849" i="7" s="1"/>
  <c r="P939" i="7"/>
  <c r="Q939" i="7" s="1"/>
  <c r="P979" i="7"/>
  <c r="Q979" i="7" s="1"/>
  <c r="P828" i="7"/>
  <c r="Q828" i="7" s="1"/>
  <c r="P808" i="7"/>
  <c r="Q808" i="7" s="1"/>
  <c r="P918" i="7"/>
  <c r="Q918" i="7" s="1"/>
  <c r="P772" i="7"/>
  <c r="Q772" i="7" s="1"/>
  <c r="P790" i="7"/>
  <c r="Q790" i="7" s="1"/>
  <c r="P901" i="7"/>
  <c r="Q901" i="7" s="1"/>
  <c r="P876" i="7"/>
  <c r="Q876" i="7" s="1"/>
  <c r="P942" i="7"/>
  <c r="Q942" i="7" s="1"/>
  <c r="P698" i="7"/>
  <c r="Q698" i="7" s="1"/>
  <c r="P1045" i="7"/>
  <c r="Q1045" i="7" s="1"/>
  <c r="P1246" i="7"/>
  <c r="Q1246" i="7" s="1"/>
  <c r="P720" i="7"/>
  <c r="Q720" i="7" s="1"/>
  <c r="P982" i="7"/>
  <c r="Q982" i="7" s="1"/>
  <c r="P1216" i="7"/>
  <c r="Q1216" i="7" s="1"/>
  <c r="P1229" i="7"/>
  <c r="Q1229" i="7" s="1"/>
  <c r="P972" i="7"/>
  <c r="Q972" i="7" s="1"/>
  <c r="P621" i="7"/>
  <c r="Q621" i="7" s="1"/>
  <c r="P771" i="7"/>
  <c r="Q771" i="7" s="1"/>
  <c r="P1069" i="7"/>
  <c r="Q1069" i="7" s="1"/>
  <c r="P1110" i="7"/>
  <c r="Q1110" i="7" s="1"/>
  <c r="P646" i="7"/>
  <c r="Q646" i="7" s="1"/>
  <c r="P544" i="7"/>
  <c r="Q544" i="7" s="1"/>
  <c r="P732" i="7"/>
  <c r="Q732" i="7" s="1"/>
  <c r="P768" i="7"/>
  <c r="Q768" i="7" s="1"/>
  <c r="P793" i="7"/>
  <c r="Q793" i="7" s="1"/>
  <c r="P944" i="7"/>
  <c r="Q944" i="7" s="1"/>
  <c r="P1071" i="7"/>
  <c r="Q1071" i="7" s="1"/>
  <c r="P1193" i="7"/>
  <c r="Q1193" i="7" s="1"/>
  <c r="P1194" i="7"/>
  <c r="Q1194" i="7" s="1"/>
  <c r="P741" i="7"/>
  <c r="Q741" i="7" s="1"/>
  <c r="P894" i="7"/>
  <c r="Q894" i="7" s="1"/>
  <c r="P946" i="7"/>
  <c r="Q946" i="7" s="1"/>
  <c r="P1007" i="7"/>
  <c r="Q1007" i="7" s="1"/>
  <c r="P1052" i="7"/>
  <c r="Q1052" i="7" s="1"/>
  <c r="P1136" i="7"/>
  <c r="Q1136" i="7" s="1"/>
  <c r="P702" i="7"/>
  <c r="Q702" i="7" s="1"/>
  <c r="P872" i="7"/>
  <c r="Q872" i="7" s="1"/>
  <c r="P1024" i="7"/>
  <c r="Q1024" i="7" s="1"/>
  <c r="P1070" i="7"/>
  <c r="Q1070" i="7" s="1"/>
  <c r="P1135" i="7"/>
  <c r="Q1135" i="7" s="1"/>
  <c r="P1247" i="7"/>
  <c r="Q1247" i="7" s="1"/>
  <c r="P619" i="7"/>
  <c r="Q619" i="7" s="1"/>
  <c r="P660" i="7"/>
  <c r="Q660" i="7" s="1"/>
  <c r="P709" i="7"/>
  <c r="Q709" i="7" s="1"/>
  <c r="P749" i="7"/>
  <c r="Q749" i="7" s="1"/>
  <c r="P868" i="7"/>
  <c r="Q868" i="7" s="1"/>
  <c r="P926" i="7"/>
  <c r="Q926" i="7" s="1"/>
  <c r="P1017" i="7"/>
  <c r="Q1017" i="7" s="1"/>
  <c r="P1054" i="7"/>
  <c r="Q1054" i="7" s="1"/>
  <c r="P1074" i="7"/>
  <c r="Q1074" i="7" s="1"/>
  <c r="P1178" i="7"/>
  <c r="Q1178" i="7" s="1"/>
  <c r="P1230" i="7"/>
  <c r="Q1230" i="7" s="1"/>
  <c r="P520" i="7"/>
  <c r="Q520" i="7" s="1"/>
  <c r="P598" i="7"/>
  <c r="Q598" i="7" s="1"/>
  <c r="P650" i="7"/>
  <c r="Q650" i="7" s="1"/>
  <c r="P755" i="7"/>
  <c r="Q755" i="7" s="1"/>
  <c r="P802" i="7"/>
  <c r="Q802" i="7" s="1"/>
  <c r="P858" i="7"/>
  <c r="Q858" i="7" s="1"/>
  <c r="P986" i="7"/>
  <c r="Q986" i="7" s="1"/>
  <c r="P1042" i="7"/>
  <c r="Q1042" i="7" s="1"/>
  <c r="P1142" i="7"/>
  <c r="Q1142" i="7" s="1"/>
  <c r="P1219" i="7"/>
  <c r="Q1219" i="7" s="1"/>
  <c r="P668" i="7"/>
  <c r="Q668" i="7" s="1"/>
  <c r="P797" i="7"/>
  <c r="Q797" i="7" s="1"/>
  <c r="P1034" i="7"/>
  <c r="Q1034" i="7" s="1"/>
  <c r="P1090" i="7"/>
  <c r="Q1090" i="7" s="1"/>
  <c r="P1144" i="7"/>
  <c r="Q1144" i="7" s="1"/>
  <c r="P561" i="7"/>
  <c r="Q561" i="7" s="1"/>
  <c r="P587" i="7"/>
  <c r="Q587" i="7" s="1"/>
  <c r="P639" i="7"/>
  <c r="Q639" i="7" s="1"/>
  <c r="P804" i="7"/>
  <c r="Q804" i="7" s="1"/>
  <c r="P1036" i="7"/>
  <c r="Q1036" i="7" s="1"/>
  <c r="P1089" i="7"/>
  <c r="Q1089" i="7" s="1"/>
  <c r="P1204" i="7"/>
  <c r="Q1204" i="7" s="1"/>
  <c r="P1276" i="7"/>
  <c r="Q1276" i="7" s="1"/>
  <c r="P1272" i="7"/>
  <c r="Q1272" i="7" s="1"/>
  <c r="P1271" i="7"/>
  <c r="Q1271" i="7" s="1"/>
  <c r="P1270" i="7"/>
  <c r="Q1270" i="7" s="1"/>
  <c r="P1255" i="7"/>
  <c r="P1200" i="7"/>
  <c r="Q1200" i="7" s="1"/>
  <c r="P1257" i="7"/>
  <c r="Q1257" i="7" s="1"/>
  <c r="P1256" i="7"/>
  <c r="Q1256" i="7" s="1"/>
  <c r="P1220" i="7"/>
  <c r="Q1220" i="7" s="1"/>
  <c r="P1250" i="7"/>
  <c r="Q1250" i="7" s="1"/>
  <c r="P1235" i="7"/>
  <c r="Q1235" i="7" s="1"/>
  <c r="P1186" i="7"/>
  <c r="Q1186" i="7" s="1"/>
  <c r="P1249" i="7"/>
  <c r="Q1249" i="7" s="1"/>
  <c r="P1217" i="7"/>
  <c r="Q1217" i="7" s="1"/>
  <c r="P1234" i="7"/>
  <c r="Q1234" i="7" s="1"/>
  <c r="P1253" i="7"/>
  <c r="Q1253" i="7" s="1"/>
  <c r="P1192" i="7"/>
  <c r="Q1192" i="7" s="1"/>
  <c r="P1262" i="7"/>
  <c r="Q1262" i="7" s="1"/>
  <c r="P1201" i="7"/>
  <c r="Q1201" i="7" s="1"/>
  <c r="P1224" i="7"/>
  <c r="Q1224" i="7" s="1"/>
  <c r="P1260" i="7"/>
  <c r="Q1260" i="7" s="1"/>
  <c r="P1190" i="7"/>
  <c r="Q1190" i="7" s="1"/>
  <c r="P1236" i="7"/>
  <c r="Q1236" i="7" s="1"/>
  <c r="P1254" i="7"/>
  <c r="Q1254" i="7" s="1"/>
  <c r="P1218" i="7"/>
  <c r="P1251" i="7"/>
  <c r="P1223" i="7"/>
  <c r="Q1223" i="7" s="1"/>
  <c r="P1240" i="7"/>
  <c r="Q1240" i="7" s="1"/>
  <c r="P1221" i="7"/>
  <c r="Q1221" i="7" s="1"/>
  <c r="P1239" i="7"/>
  <c r="Q1239" i="7" s="1"/>
  <c r="P1215" i="7"/>
  <c r="Q1215" i="7" s="1"/>
  <c r="P1233" i="7"/>
  <c r="Q1233" i="7" s="1"/>
  <c r="P1203" i="7"/>
  <c r="Q1203" i="7" s="1"/>
  <c r="P1232" i="7"/>
  <c r="Q1232" i="7" s="1"/>
  <c r="P1187" i="7"/>
  <c r="Q1187" i="7" s="1"/>
  <c r="P1209" i="7"/>
  <c r="Q1209" i="7" s="1"/>
  <c r="P1188" i="7"/>
  <c r="Q1188" i="7" s="1"/>
  <c r="P1208" i="7"/>
  <c r="Q1208" i="7" s="1"/>
  <c r="P1185" i="7"/>
  <c r="Q1185" i="7" s="1"/>
  <c r="P1207" i="7"/>
  <c r="Q1207" i="7" s="1"/>
  <c r="P1184" i="7"/>
  <c r="Q1184" i="7" s="1"/>
  <c r="P1205" i="7"/>
  <c r="Q1205" i="7" s="1"/>
  <c r="P1191" i="7"/>
  <c r="Q1191" i="7" s="1"/>
  <c r="P1199" i="7"/>
  <c r="Q1199" i="7" s="1"/>
  <c r="P1174" i="7"/>
  <c r="Q1174" i="7" s="1"/>
  <c r="P1175" i="7"/>
  <c r="Q1175" i="7" s="1"/>
  <c r="P1176" i="7"/>
  <c r="Q1176" i="7" s="1"/>
  <c r="P1165" i="7"/>
  <c r="Q1165" i="7" s="1"/>
  <c r="P1172" i="7"/>
  <c r="Q1172" i="7" s="1"/>
  <c r="P1168" i="7"/>
  <c r="Q1168" i="7" s="1"/>
  <c r="P1170" i="7"/>
  <c r="Q1170" i="7" s="1"/>
  <c r="P1166" i="7"/>
  <c r="Q1166" i="7" s="1"/>
  <c r="P1150" i="7"/>
  <c r="Q1150" i="7" s="1"/>
  <c r="P1171" i="7"/>
  <c r="P1173" i="7"/>
  <c r="Q1173" i="7" s="1"/>
  <c r="P1167" i="7"/>
  <c r="Q1167" i="7" s="1"/>
  <c r="P1155" i="7"/>
  <c r="Q1155" i="7" s="1"/>
  <c r="P1158" i="7"/>
  <c r="P1159" i="7"/>
  <c r="Q1159" i="7" s="1"/>
  <c r="P1156" i="7"/>
  <c r="Q1156" i="7" s="1"/>
  <c r="P1157" i="7"/>
  <c r="Q1157" i="7" s="1"/>
  <c r="P1154" i="7"/>
  <c r="Q1154" i="7" s="1"/>
  <c r="P1153" i="7"/>
  <c r="Q1153" i="7" s="1"/>
  <c r="P1152" i="7"/>
  <c r="Q1152" i="7" s="1"/>
  <c r="P1151" i="7"/>
  <c r="P1149" i="7"/>
  <c r="Q1149" i="7" s="1"/>
  <c r="P1148" i="7"/>
  <c r="Q1148" i="7" s="1"/>
  <c r="P1147" i="7"/>
  <c r="Q1147" i="7" s="1"/>
  <c r="P1146" i="7"/>
  <c r="Q1146" i="7" s="1"/>
  <c r="P1145" i="7"/>
  <c r="P1143" i="7"/>
  <c r="Q1143" i="7" s="1"/>
  <c r="P1139" i="7"/>
  <c r="Q1139" i="7" s="1"/>
  <c r="P1125" i="7"/>
  <c r="Q1125" i="7" s="1"/>
  <c r="P1137" i="7"/>
  <c r="P1132" i="7"/>
  <c r="P1131" i="7"/>
  <c r="P1141" i="7"/>
  <c r="Q1141" i="7" s="1"/>
  <c r="P1130" i="7"/>
  <c r="Q1130" i="7" s="1"/>
  <c r="P1128" i="7"/>
  <c r="Q1128" i="7" s="1"/>
  <c r="P1138" i="7"/>
  <c r="Q1138" i="7" s="1"/>
  <c r="P1126" i="7"/>
  <c r="Q1126" i="7" s="1"/>
  <c r="P1127" i="7"/>
  <c r="Q1127" i="7" s="1"/>
  <c r="P1129" i="7"/>
  <c r="Q1129" i="7" s="1"/>
  <c r="P1134" i="7"/>
  <c r="Q1134" i="7" s="1"/>
  <c r="P1108" i="7"/>
  <c r="Q1108" i="7" s="1"/>
  <c r="P1109" i="7"/>
  <c r="Q1109" i="7" s="1"/>
  <c r="P1077" i="7"/>
  <c r="Q1077" i="7" s="1"/>
  <c r="P1106" i="7"/>
  <c r="P1056" i="7"/>
  <c r="Q1056" i="7" s="1"/>
  <c r="P1072" i="7"/>
  <c r="Q1072" i="7" s="1"/>
  <c r="P1104" i="7"/>
  <c r="P1102" i="7"/>
  <c r="Q1102" i="7" s="1"/>
  <c r="P1057" i="7"/>
  <c r="P1050" i="7"/>
  <c r="Q1050" i="7" s="1"/>
  <c r="P1073" i="7"/>
  <c r="Q1073" i="7" s="1"/>
  <c r="P1076" i="7"/>
  <c r="Q1076" i="7" s="1"/>
  <c r="P1088" i="7"/>
  <c r="Q1088" i="7" s="1"/>
  <c r="P1093" i="7"/>
  <c r="Q1093" i="7" s="1"/>
  <c r="P1103" i="7"/>
  <c r="Q1103" i="7" s="1"/>
  <c r="P1081" i="7"/>
  <c r="P1095" i="7"/>
  <c r="P1078" i="7"/>
  <c r="Q1078" i="7" s="1"/>
  <c r="P1092" i="7"/>
  <c r="Q1092" i="7" s="1"/>
  <c r="P1058" i="7"/>
  <c r="Q1058" i="7" s="1"/>
  <c r="P1091" i="7"/>
  <c r="Q1091" i="7" s="1"/>
  <c r="P1018" i="7"/>
  <c r="Q1018" i="7" s="1"/>
  <c r="P1079" i="7"/>
  <c r="Q1079" i="7" s="1"/>
  <c r="P1055" i="7"/>
  <c r="Q1055" i="7" s="1"/>
  <c r="P1075" i="7"/>
  <c r="Q1075" i="7" s="1"/>
  <c r="P1053" i="7"/>
  <c r="Q1053" i="7" s="1"/>
  <c r="P1068" i="7"/>
  <c r="Q1068" i="7" s="1"/>
  <c r="P1060" i="7"/>
  <c r="Q1060" i="7" s="1"/>
  <c r="P1037" i="7"/>
  <c r="Q1037" i="7" s="1"/>
  <c r="P1046" i="7"/>
  <c r="P1041" i="7"/>
  <c r="Q1041" i="7" s="1"/>
  <c r="P1033" i="7"/>
  <c r="Q1033" i="7" s="1"/>
  <c r="P1043" i="7"/>
  <c r="Q1043" i="7" s="1"/>
  <c r="P1035" i="7"/>
  <c r="Q1035" i="7" s="1"/>
  <c r="P1022" i="7"/>
  <c r="Q1022" i="7" s="1"/>
  <c r="P1026" i="7"/>
  <c r="Q1026" i="7" s="1"/>
  <c r="P1025" i="7"/>
  <c r="Q1025" i="7" s="1"/>
  <c r="P1020" i="7"/>
  <c r="Q1020" i="7" s="1"/>
  <c r="P1019" i="7"/>
  <c r="Q1019" i="7" s="1"/>
  <c r="P1021" i="7"/>
  <c r="Q1021" i="7" s="1"/>
  <c r="P1004" i="7"/>
  <c r="Q1004" i="7" s="1"/>
  <c r="P1005" i="7"/>
  <c r="Q1005" i="7" s="1"/>
  <c r="P1008" i="7"/>
  <c r="Q1008" i="7" s="1"/>
  <c r="P1000" i="7"/>
  <c r="Q1000" i="7" s="1"/>
  <c r="P1006" i="7"/>
  <c r="Q1006" i="7" s="1"/>
  <c r="P1002" i="7"/>
  <c r="Q1002" i="7" s="1"/>
  <c r="P992" i="7"/>
  <c r="Q992" i="7" s="1"/>
  <c r="P990" i="7"/>
  <c r="Q990" i="7" s="1"/>
  <c r="P987" i="7"/>
  <c r="Q987" i="7" s="1"/>
  <c r="P977" i="7"/>
  <c r="P985" i="7"/>
  <c r="Q985" i="7" s="1"/>
  <c r="P981" i="7"/>
  <c r="Q981" i="7" s="1"/>
  <c r="P991" i="7"/>
  <c r="Q991" i="7" s="1"/>
  <c r="P993" i="7"/>
  <c r="Q993" i="7" s="1"/>
  <c r="P980" i="7"/>
  <c r="P988" i="7"/>
  <c r="Q988" i="7" s="1"/>
  <c r="P949" i="7"/>
  <c r="Q949" i="7" s="1"/>
  <c r="P892" i="7"/>
  <c r="Q892" i="7" s="1"/>
  <c r="P973" i="7"/>
  <c r="Q973" i="7" s="1"/>
  <c r="P924" i="7"/>
  <c r="Q924" i="7" s="1"/>
  <c r="P669" i="7"/>
  <c r="Q669" i="7" s="1"/>
  <c r="P736" i="7"/>
  <c r="Q736" i="7" s="1"/>
  <c r="P770" i="7"/>
  <c r="Q770" i="7" s="1"/>
  <c r="P704" i="7"/>
  <c r="Q704" i="7" s="1"/>
  <c r="P649" i="7"/>
  <c r="Q649" i="7" s="1"/>
  <c r="P752" i="7"/>
  <c r="Q752" i="7" s="1"/>
  <c r="P951" i="7"/>
  <c r="Q951" i="7" s="1"/>
  <c r="P976" i="7"/>
  <c r="Q976" i="7" s="1"/>
  <c r="P940" i="7"/>
  <c r="P971" i="7"/>
  <c r="Q971" i="7" s="1"/>
  <c r="P952" i="7"/>
  <c r="P947" i="7"/>
  <c r="Q947" i="7" s="1"/>
  <c r="P950" i="7"/>
  <c r="Q950" i="7" s="1"/>
  <c r="P968" i="7"/>
  <c r="P938" i="7"/>
  <c r="Q938" i="7" s="1"/>
  <c r="P948" i="7"/>
  <c r="Q948" i="7" s="1"/>
  <c r="P975" i="7"/>
  <c r="Q975" i="7" s="1"/>
  <c r="P945" i="7"/>
  <c r="Q945" i="7" s="1"/>
  <c r="P974" i="7"/>
  <c r="Q974" i="7" s="1"/>
  <c r="P936" i="7"/>
  <c r="Q936" i="7" s="1"/>
  <c r="P970" i="7"/>
  <c r="Q970" i="7" s="1"/>
  <c r="P941" i="7"/>
  <c r="Q941" i="7" s="1"/>
  <c r="P967" i="7"/>
  <c r="Q967" i="7" s="1"/>
  <c r="P922" i="7"/>
  <c r="Q922" i="7" s="1"/>
  <c r="P420" i="7"/>
  <c r="Q420" i="7" s="1"/>
  <c r="P929" i="7"/>
  <c r="Q929" i="7" s="1"/>
  <c r="P777" i="7"/>
  <c r="P921" i="7"/>
  <c r="Q921" i="7" s="1"/>
  <c r="P404" i="7"/>
  <c r="Q404" i="7" s="1"/>
  <c r="P470" i="7"/>
  <c r="Q470" i="7" s="1"/>
  <c r="P667" i="7"/>
  <c r="Q667" i="7" s="1"/>
  <c r="P875" i="7"/>
  <c r="Q875" i="7" s="1"/>
  <c r="P919" i="7"/>
  <c r="Q919" i="7" s="1"/>
  <c r="P766" i="7"/>
  <c r="Q766" i="7" s="1"/>
  <c r="P930" i="7"/>
  <c r="Q930" i="7" s="1"/>
  <c r="P706" i="7"/>
  <c r="Q706" i="7" s="1"/>
  <c r="P928" i="7"/>
  <c r="Q928" i="7" s="1"/>
  <c r="P893" i="7"/>
  <c r="Q893" i="7" s="1"/>
  <c r="P925" i="7"/>
  <c r="Q925" i="7" s="1"/>
  <c r="P891" i="7"/>
  <c r="Q891" i="7" s="1"/>
  <c r="P923" i="7"/>
  <c r="Q923" i="7" s="1"/>
  <c r="P900" i="7"/>
  <c r="Q900" i="7" s="1"/>
  <c r="P917" i="7"/>
  <c r="Q917" i="7" s="1"/>
  <c r="P851" i="7"/>
  <c r="P916" i="7"/>
  <c r="P899" i="7"/>
  <c r="Q899" i="7" s="1"/>
  <c r="P915" i="7"/>
  <c r="Q915" i="7" s="1"/>
  <c r="P558" i="7"/>
  <c r="Q558" i="7" s="1"/>
  <c r="P890" i="7"/>
  <c r="Q890" i="7" s="1"/>
  <c r="P902" i="7"/>
  <c r="Q902" i="7" s="1"/>
  <c r="P903" i="7"/>
  <c r="Q903" i="7" s="1"/>
  <c r="P557" i="7"/>
  <c r="Q557" i="7" s="1"/>
  <c r="P898" i="7"/>
  <c r="Q898" i="7" s="1"/>
  <c r="P853" i="7"/>
  <c r="Q853" i="7" s="1"/>
  <c r="P897" i="7"/>
  <c r="Q897" i="7" s="1"/>
  <c r="P857" i="7"/>
  <c r="Q857" i="7" s="1"/>
  <c r="P896" i="7"/>
  <c r="Q896" i="7" s="1"/>
  <c r="P775" i="7"/>
  <c r="P826" i="7"/>
  <c r="P747" i="7"/>
  <c r="P613" i="7"/>
  <c r="Q613" i="7" s="1"/>
  <c r="P554" i="7"/>
  <c r="Q554" i="7" s="1"/>
  <c r="P676" i="7"/>
  <c r="Q676" i="7" s="1"/>
  <c r="P607" i="7"/>
  <c r="Q607" i="7" s="1"/>
  <c r="P672" i="7"/>
  <c r="Q672" i="7" s="1"/>
  <c r="P513" i="7"/>
  <c r="Q513" i="7" s="1"/>
  <c r="P419" i="7"/>
  <c r="Q419" i="7" s="1"/>
  <c r="P365" i="7"/>
  <c r="P721" i="7"/>
  <c r="Q721" i="7" s="1"/>
  <c r="P878" i="7"/>
  <c r="P515" i="7"/>
  <c r="Q515" i="7" s="1"/>
  <c r="P581" i="7"/>
  <c r="P382" i="7"/>
  <c r="P600" i="7"/>
  <c r="Q600" i="7" s="1"/>
  <c r="P728" i="7"/>
  <c r="P511" i="7"/>
  <c r="P433" i="7"/>
  <c r="Q433" i="7" s="1"/>
  <c r="P504" i="7"/>
  <c r="Q504" i="7" s="1"/>
  <c r="P563" i="7"/>
  <c r="Q563" i="7" s="1"/>
  <c r="P411" i="7"/>
  <c r="P400" i="7"/>
  <c r="Q400" i="7" s="1"/>
  <c r="P551" i="7"/>
  <c r="P697" i="7"/>
  <c r="Q697" i="7" s="1"/>
  <c r="P852" i="7"/>
  <c r="Q852" i="7" s="1"/>
  <c r="P879" i="7"/>
  <c r="Q879" i="7" s="1"/>
  <c r="P385" i="7"/>
  <c r="Q385" i="7" s="1"/>
  <c r="P369" i="7"/>
  <c r="Q369" i="7" s="1"/>
  <c r="P589" i="7"/>
  <c r="Q589" i="7" s="1"/>
  <c r="P850" i="7"/>
  <c r="Q850" i="7" s="1"/>
  <c r="P877" i="7"/>
  <c r="Q877" i="7" s="1"/>
  <c r="P848" i="7"/>
  <c r="Q848" i="7" s="1"/>
  <c r="P874" i="7"/>
  <c r="Q874" i="7" s="1"/>
  <c r="P469" i="7"/>
  <c r="Q469" i="7" s="1"/>
  <c r="P386" i="7"/>
  <c r="Q386" i="7" s="1"/>
  <c r="P641" i="7"/>
  <c r="Q641" i="7" s="1"/>
  <c r="P457" i="7"/>
  <c r="Q457" i="7" s="1"/>
  <c r="P545" i="7"/>
  <c r="Q545" i="7" s="1"/>
  <c r="P401" i="7"/>
  <c r="Q401" i="7" s="1"/>
  <c r="P855" i="7"/>
  <c r="Q855" i="7" s="1"/>
  <c r="P871" i="7"/>
  <c r="Q871" i="7" s="1"/>
  <c r="P856" i="7"/>
  <c r="Q856" i="7" s="1"/>
  <c r="P870" i="7"/>
  <c r="Q870" i="7" s="1"/>
  <c r="P854" i="7"/>
  <c r="Q854" i="7" s="1"/>
  <c r="P869" i="7"/>
  <c r="Q869" i="7" s="1"/>
  <c r="P633" i="7"/>
  <c r="Q633" i="7" s="1"/>
  <c r="P543" i="7"/>
  <c r="Q543" i="7" s="1"/>
  <c r="P774" i="7"/>
  <c r="Q774" i="7" s="1"/>
  <c r="P508" i="7"/>
  <c r="Q508" i="7" s="1"/>
  <c r="P388" i="7"/>
  <c r="Q388" i="7" s="1"/>
  <c r="P374" i="7"/>
  <c r="Q374" i="7" s="1"/>
  <c r="P488" i="7"/>
  <c r="Q488" i="7" s="1"/>
  <c r="P653" i="7"/>
  <c r="Q653" i="7" s="1"/>
  <c r="P588" i="7"/>
  <c r="Q588" i="7" s="1"/>
  <c r="P562" i="7"/>
  <c r="Q562" i="7" s="1"/>
  <c r="P622" i="7"/>
  <c r="Q622" i="7" s="1"/>
  <c r="P599" i="7"/>
  <c r="Q599" i="7" s="1"/>
  <c r="P502" i="7"/>
  <c r="Q502" i="7" s="1"/>
  <c r="P521" i="7"/>
  <c r="Q521" i="7" s="1"/>
  <c r="P434" i="7"/>
  <c r="Q434" i="7" s="1"/>
  <c r="P740" i="7"/>
  <c r="Q740" i="7" s="1"/>
  <c r="P547" i="7"/>
  <c r="Q547" i="7" s="1"/>
  <c r="P751" i="7"/>
  <c r="Q751" i="7" s="1"/>
  <c r="P807" i="7"/>
  <c r="Q807" i="7" s="1"/>
  <c r="P798" i="7"/>
  <c r="Q798" i="7" s="1"/>
  <c r="P805" i="7"/>
  <c r="Q805" i="7" s="1"/>
  <c r="P742" i="7"/>
  <c r="Q742" i="7" s="1"/>
  <c r="P791" i="7"/>
  <c r="Q791" i="7" s="1"/>
  <c r="P827" i="7"/>
  <c r="Q827" i="7" s="1"/>
  <c r="P438" i="7"/>
  <c r="Q438" i="7" s="1"/>
  <c r="P405" i="7"/>
  <c r="Q405" i="7" s="1"/>
  <c r="P493" i="7"/>
  <c r="Q493" i="7" s="1"/>
  <c r="P473" i="7"/>
  <c r="Q473" i="7" s="1"/>
  <c r="P645" i="7"/>
  <c r="Q645" i="7" s="1"/>
  <c r="P743" i="7"/>
  <c r="Q743" i="7" s="1"/>
  <c r="P421" i="7"/>
  <c r="Q421" i="7" s="1"/>
  <c r="P559" i="7"/>
  <c r="Q559" i="7" s="1"/>
  <c r="P585" i="7"/>
  <c r="Q585" i="7" s="1"/>
  <c r="P519" i="7"/>
  <c r="Q519" i="7" s="1"/>
  <c r="P659" i="7"/>
  <c r="Q659" i="7" s="1"/>
  <c r="P596" i="7"/>
  <c r="Q596" i="7" s="1"/>
  <c r="P460" i="7"/>
  <c r="Q460" i="7" s="1"/>
  <c r="P708" i="7"/>
  <c r="Q708" i="7" s="1"/>
  <c r="P651" i="7"/>
  <c r="Q651" i="7" s="1"/>
  <c r="P606" i="7"/>
  <c r="Q606" i="7" s="1"/>
  <c r="P580" i="7"/>
  <c r="Q580" i="7" s="1"/>
  <c r="P612" i="7"/>
  <c r="Q612" i="7" s="1"/>
  <c r="P658" i="7"/>
  <c r="Q658" i="7" s="1"/>
  <c r="P437" i="7"/>
  <c r="Q437" i="7" s="1"/>
  <c r="P435" i="7"/>
  <c r="Q435" i="7" s="1"/>
  <c r="P664" i="7"/>
  <c r="Q664" i="7" s="1"/>
  <c r="P472" i="7"/>
  <c r="Q472" i="7" s="1"/>
  <c r="P459" i="7"/>
  <c r="Q459" i="7" s="1"/>
  <c r="P486" i="7"/>
  <c r="Q486" i="7" s="1"/>
  <c r="P623" i="7"/>
  <c r="Q623" i="7" s="1"/>
  <c r="P642" i="7"/>
  <c r="Q642" i="7" s="1"/>
  <c r="P666" i="7"/>
  <c r="Q666" i="7" s="1"/>
  <c r="P492" i="7"/>
  <c r="Q492" i="7" s="1"/>
  <c r="P507" i="7"/>
  <c r="Q507" i="7" s="1"/>
  <c r="P566" i="7"/>
  <c r="Q566" i="7" s="1"/>
  <c r="P730" i="7"/>
  <c r="Q730" i="7" s="1"/>
  <c r="P458" i="7"/>
  <c r="Q458" i="7" s="1"/>
  <c r="P638" i="7"/>
  <c r="Q638" i="7" s="1"/>
  <c r="P831" i="7"/>
  <c r="Q831" i="7" s="1"/>
  <c r="P838" i="7"/>
  <c r="Q838" i="7" s="1"/>
  <c r="P829" i="7"/>
  <c r="Q829" i="7" s="1"/>
  <c r="P830" i="7"/>
  <c r="Q830" i="7" s="1"/>
  <c r="P833" i="7"/>
  <c r="Q833" i="7" s="1"/>
  <c r="P825" i="7"/>
  <c r="Q825" i="7" s="1"/>
  <c r="P832" i="7"/>
  <c r="Q832" i="7" s="1"/>
  <c r="P834" i="7"/>
  <c r="Q834" i="7" s="1"/>
  <c r="P839" i="7"/>
  <c r="Q839" i="7" s="1"/>
  <c r="P836" i="7"/>
  <c r="Q836" i="7" s="1"/>
  <c r="P767" i="7"/>
  <c r="Q767" i="7" s="1"/>
  <c r="P837" i="7"/>
  <c r="Q837" i="7" s="1"/>
  <c r="P809" i="7"/>
  <c r="Q809" i="7" s="1"/>
  <c r="P370" i="7"/>
  <c r="Q370" i="7" s="1"/>
  <c r="P773" i="7"/>
  <c r="Q773" i="7" s="1"/>
  <c r="P789" i="7"/>
  <c r="Q789" i="7" s="1"/>
  <c r="P466" i="7"/>
  <c r="Q466" i="7" s="1"/>
  <c r="P724" i="7"/>
  <c r="Q724" i="7" s="1"/>
  <c r="P733" i="7"/>
  <c r="Q733" i="7" s="1"/>
  <c r="P368" i="7"/>
  <c r="Q368" i="7" s="1"/>
  <c r="P744" i="7"/>
  <c r="Q744" i="7" s="1"/>
  <c r="P754" i="7"/>
  <c r="Q754" i="7" s="1"/>
  <c r="P490" i="7"/>
  <c r="Q490" i="7" s="1"/>
  <c r="P663" i="7"/>
  <c r="Q663" i="7" s="1"/>
  <c r="P738" i="7"/>
  <c r="Q738" i="7" s="1"/>
  <c r="P701" i="7"/>
  <c r="Q701" i="7" s="1"/>
  <c r="P654" i="7"/>
  <c r="Q654" i="7" s="1"/>
  <c r="P800" i="7"/>
  <c r="P792" i="7"/>
  <c r="Q792" i="7" s="1"/>
  <c r="P799" i="7"/>
  <c r="Q799" i="7" s="1"/>
  <c r="P794" i="7"/>
  <c r="Q794" i="7" s="1"/>
  <c r="P636" i="7"/>
  <c r="Q636" i="7" s="1"/>
  <c r="P662" i="7"/>
  <c r="Q662" i="7" s="1"/>
  <c r="P739" i="7"/>
  <c r="Q739" i="7" s="1"/>
  <c r="P806" i="7"/>
  <c r="Q806" i="7" s="1"/>
  <c r="P750" i="7"/>
  <c r="Q750" i="7" s="1"/>
  <c r="P796" i="7"/>
  <c r="Q796" i="7" s="1"/>
  <c r="P803" i="7"/>
  <c r="Q803" i="7" s="1"/>
  <c r="P795" i="7"/>
  <c r="Q795" i="7" s="1"/>
  <c r="P801" i="7"/>
  <c r="Q801" i="7" s="1"/>
  <c r="P776" i="7"/>
  <c r="Q776" i="7" s="1"/>
  <c r="P769" i="7"/>
  <c r="Q769" i="7" s="1"/>
  <c r="P765" i="7"/>
  <c r="Q765" i="7" s="1"/>
  <c r="P746" i="7"/>
  <c r="Q746" i="7" s="1"/>
  <c r="P753" i="7"/>
  <c r="Q753" i="7" s="1"/>
  <c r="P748" i="7"/>
  <c r="Q748" i="7" s="1"/>
  <c r="P745" i="7"/>
  <c r="Q745" i="7" s="1"/>
  <c r="P734" i="7"/>
  <c r="Q734" i="7" s="1"/>
  <c r="P726" i="7"/>
  <c r="Q726" i="7" s="1"/>
  <c r="P735" i="7"/>
  <c r="Q735" i="7" s="1"/>
  <c r="P731" i="7"/>
  <c r="Q731" i="7" s="1"/>
  <c r="P729" i="7"/>
  <c r="P727" i="7"/>
  <c r="Q727" i="7" s="1"/>
  <c r="P725" i="7"/>
  <c r="Q725" i="7" s="1"/>
  <c r="P723" i="7"/>
  <c r="P700" i="7"/>
  <c r="Q700" i="7" s="1"/>
  <c r="P703" i="7"/>
  <c r="Q703" i="7" s="1"/>
  <c r="P707" i="7"/>
  <c r="Q707" i="7" s="1"/>
  <c r="P705" i="7"/>
  <c r="P699" i="7"/>
  <c r="Q699" i="7" s="1"/>
  <c r="P696" i="7"/>
  <c r="Q696" i="7" s="1"/>
  <c r="P387" i="7"/>
  <c r="Q387" i="7" s="1"/>
  <c r="P670" i="7"/>
  <c r="P553" i="7"/>
  <c r="Q553" i="7" s="1"/>
  <c r="P406" i="7"/>
  <c r="Q406" i="7" s="1"/>
  <c r="P373" i="7"/>
  <c r="Q373" i="7" s="1"/>
  <c r="P673" i="7"/>
  <c r="Q673" i="7" s="1"/>
  <c r="P656" i="7"/>
  <c r="Q656" i="7" s="1"/>
  <c r="P657" i="7"/>
  <c r="Q657" i="7" s="1"/>
  <c r="P402" i="7"/>
  <c r="Q402" i="7" s="1"/>
  <c r="P480" i="7"/>
  <c r="Q480" i="7" s="1"/>
  <c r="P675" i="7"/>
  <c r="Q675" i="7" s="1"/>
  <c r="P615" i="7"/>
  <c r="Q615" i="7" s="1"/>
  <c r="P674" i="7"/>
  <c r="Q674" i="7" s="1"/>
  <c r="P652" i="7"/>
  <c r="Q652" i="7" s="1"/>
  <c r="P661" i="7"/>
  <c r="Q661" i="7" s="1"/>
  <c r="P512" i="7"/>
  <c r="Q512" i="7" s="1"/>
  <c r="P503" i="7"/>
  <c r="Q503" i="7" s="1"/>
  <c r="P514" i="7"/>
  <c r="Q514" i="7" s="1"/>
  <c r="P505" i="7"/>
  <c r="Q505" i="7" s="1"/>
  <c r="P616" i="7"/>
  <c r="Q616" i="7" s="1"/>
  <c r="P408" i="7"/>
  <c r="Q408" i="7" s="1"/>
  <c r="P577" i="7"/>
  <c r="Q577" i="7" s="1"/>
  <c r="P487" i="7"/>
  <c r="Q487" i="7" s="1"/>
  <c r="P516" i="7"/>
  <c r="Q516" i="7" s="1"/>
  <c r="P518" i="7"/>
  <c r="Q518" i="7" s="1"/>
  <c r="P381" i="7"/>
  <c r="Q381" i="7" s="1"/>
  <c r="P440" i="7"/>
  <c r="P452" i="7"/>
  <c r="P483" i="7"/>
  <c r="P464" i="7"/>
  <c r="P424" i="7"/>
  <c r="P412" i="7"/>
  <c r="P611" i="7"/>
  <c r="P635" i="7"/>
  <c r="P510" i="7"/>
  <c r="P442" i="7"/>
  <c r="Q442" i="7" s="1"/>
  <c r="P582" i="7"/>
  <c r="Q582" i="7" s="1"/>
  <c r="P509" i="7"/>
  <c r="Q509" i="7" s="1"/>
  <c r="P462" i="7"/>
  <c r="Q462" i="7" s="1"/>
  <c r="P643" i="7"/>
  <c r="Q643" i="7" s="1"/>
  <c r="P647" i="7"/>
  <c r="Q647" i="7" s="1"/>
  <c r="P603" i="7"/>
  <c r="Q603" i="7" s="1"/>
  <c r="P564" i="7"/>
  <c r="Q564" i="7" s="1"/>
  <c r="P506" i="7"/>
  <c r="Q506" i="7" s="1"/>
  <c r="P549" i="7"/>
  <c r="Q549" i="7" s="1"/>
  <c r="P624" i="7"/>
  <c r="Q624" i="7" s="1"/>
  <c r="P579" i="7"/>
  <c r="Q579" i="7" s="1"/>
  <c r="P407" i="7"/>
  <c r="Q407" i="7" s="1"/>
  <c r="P364" i="7"/>
  <c r="Q364" i="7" s="1"/>
  <c r="P484" i="7"/>
  <c r="Q484" i="7" s="1"/>
  <c r="P384" i="7"/>
  <c r="Q384" i="7" s="1"/>
  <c r="P590" i="7"/>
  <c r="Q590" i="7" s="1"/>
  <c r="P565" i="7"/>
  <c r="Q565" i="7" s="1"/>
  <c r="P546" i="7"/>
  <c r="Q546" i="7" s="1"/>
  <c r="P455" i="7"/>
  <c r="P366" i="7"/>
  <c r="P409" i="7"/>
  <c r="P644" i="7"/>
  <c r="P604" i="7"/>
  <c r="P454" i="7"/>
  <c r="Q454" i="7" s="1"/>
  <c r="P489" i="7"/>
  <c r="Q489" i="7" s="1"/>
  <c r="P482" i="7"/>
  <c r="Q482" i="7" s="1"/>
  <c r="P620" i="7"/>
  <c r="Q620" i="7" s="1"/>
  <c r="P640" i="7"/>
  <c r="Q640" i="7" s="1"/>
  <c r="P560" i="7"/>
  <c r="Q560" i="7" s="1"/>
  <c r="P586" i="7"/>
  <c r="Q586" i="7" s="1"/>
  <c r="P548" i="7"/>
  <c r="Q548" i="7" s="1"/>
  <c r="P597" i="7"/>
  <c r="Q597" i="7" s="1"/>
  <c r="P550" i="7"/>
  <c r="Q550" i="7" s="1"/>
  <c r="P465" i="7"/>
  <c r="Q465" i="7" s="1"/>
  <c r="P410" i="7"/>
  <c r="Q410" i="7" s="1"/>
  <c r="P522" i="7"/>
  <c r="Q522" i="7" s="1"/>
  <c r="P583" i="7"/>
  <c r="Q583" i="7" s="1"/>
  <c r="P556" i="7"/>
  <c r="Q556" i="7" s="1"/>
  <c r="H93" i="7"/>
  <c r="G93" i="7"/>
  <c r="Z20" i="2" l="1"/>
  <c r="Z21" i="2"/>
  <c r="AS30" i="2"/>
  <c r="Z28" i="2"/>
  <c r="V70" i="2"/>
  <c r="Z18" i="2"/>
  <c r="Z19" i="2"/>
  <c r="W70" i="2"/>
  <c r="Z24" i="2"/>
  <c r="X15" i="2"/>
  <c r="P1700" i="7"/>
  <c r="Q1700" i="7" s="1"/>
  <c r="P1794" i="7"/>
  <c r="Q1794" i="7" s="1"/>
  <c r="P1902" i="7"/>
  <c r="Q1902" i="7" s="1"/>
  <c r="P1597" i="7"/>
  <c r="Q1597" i="7" s="1"/>
  <c r="P1544" i="7"/>
  <c r="Q1544" i="7" s="1"/>
  <c r="P1633" i="7"/>
  <c r="Q1633" i="7" s="1"/>
  <c r="P1661" i="7"/>
  <c r="Q1661" i="7" s="1"/>
  <c r="P1626" i="7"/>
  <c r="Q1626" i="7" s="1"/>
  <c r="P1554" i="7"/>
  <c r="Q1554" i="7" s="1"/>
  <c r="P1588" i="7"/>
  <c r="Q1588" i="7" s="1"/>
  <c r="P1646" i="7"/>
  <c r="Q1646" i="7" s="1"/>
  <c r="P1690" i="7"/>
  <c r="Q1690" i="7" s="1"/>
  <c r="P1723" i="7"/>
  <c r="Q1723" i="7" s="1"/>
  <c r="Z16" i="2"/>
  <c r="Z1395" i="2"/>
  <c r="Z1398" i="2"/>
  <c r="Z1397" i="2"/>
  <c r="Z1394" i="2"/>
  <c r="Z29" i="2"/>
  <c r="Z27" i="2"/>
  <c r="Z22" i="2"/>
  <c r="P1495" i="7"/>
  <c r="Q1495" i="7" s="1"/>
  <c r="Z1392" i="2"/>
  <c r="Z1389" i="2"/>
  <c r="Z1386" i="2"/>
  <c r="P1080" i="7"/>
  <c r="Q1080" i="7" s="1"/>
  <c r="P978" i="7"/>
  <c r="Q978" i="7" s="1"/>
  <c r="P1016" i="7"/>
  <c r="Q1016" i="7" s="1"/>
  <c r="P904" i="7"/>
  <c r="Q904" i="7" s="1"/>
  <c r="P1059" i="7"/>
  <c r="Q1059" i="7" s="1"/>
  <c r="P1044" i="7"/>
  <c r="Q1044" i="7" s="1"/>
  <c r="P920" i="7"/>
  <c r="Q920" i="7" s="1"/>
  <c r="P1237" i="7"/>
  <c r="Q1237" i="7" s="1"/>
  <c r="P1094" i="7"/>
  <c r="Q1094" i="7" s="1"/>
  <c r="P1169" i="7"/>
  <c r="Q1169" i="7" s="1"/>
  <c r="P1259" i="7"/>
  <c r="Q1259" i="7" s="1"/>
  <c r="P1105" i="7"/>
  <c r="Q1105" i="7" s="1"/>
  <c r="P937" i="7"/>
  <c r="Q937" i="7" s="1"/>
  <c r="P1001" i="7"/>
  <c r="Q1001" i="7" s="1"/>
  <c r="P1447" i="7"/>
  <c r="Q1447" i="7" s="1"/>
  <c r="P1505" i="7"/>
  <c r="Q1505" i="7" s="1"/>
  <c r="Z1393" i="2"/>
  <c r="Z1377" i="2"/>
  <c r="Z1375" i="2"/>
  <c r="Z1390" i="2"/>
  <c r="Z1387" i="2"/>
  <c r="Z1380" i="2"/>
  <c r="Z1376" i="2"/>
  <c r="Z1379" i="2"/>
  <c r="Z1383" i="2"/>
  <c r="Z1381" i="2"/>
  <c r="Z1382" i="2"/>
  <c r="Z1378" i="2"/>
  <c r="P453" i="7"/>
  <c r="P517" i="7"/>
  <c r="P983" i="7"/>
  <c r="P969" i="7"/>
  <c r="P552" i="7"/>
  <c r="P943" i="7"/>
  <c r="P441" i="7"/>
  <c r="P423" i="7"/>
  <c r="Z1384" i="2"/>
  <c r="Z1385" i="2"/>
  <c r="P367" i="7"/>
  <c r="Q367" i="7" s="1"/>
  <c r="J93" i="7"/>
  <c r="I92" i="7"/>
  <c r="X11" i="8" s="1"/>
  <c r="Y11" i="8" s="1"/>
  <c r="I79" i="7"/>
  <c r="H79" i="7"/>
  <c r="P98" i="7"/>
  <c r="P97" i="7"/>
  <c r="P96" i="7"/>
  <c r="P95" i="7"/>
  <c r="P94" i="7"/>
  <c r="P93" i="7"/>
  <c r="P81" i="7"/>
  <c r="P80" i="7"/>
  <c r="P79" i="7"/>
  <c r="P78" i="7"/>
  <c r="P77" i="7"/>
  <c r="P76" i="7"/>
  <c r="P75" i="7"/>
  <c r="P74" i="7"/>
  <c r="N120" i="7"/>
  <c r="N119" i="7"/>
  <c r="N118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98" i="7"/>
  <c r="D97" i="7"/>
  <c r="D96" i="7"/>
  <c r="D95" i="7"/>
  <c r="D94" i="7"/>
  <c r="D93" i="7"/>
  <c r="D92" i="7"/>
  <c r="D91" i="7"/>
  <c r="D90" i="7"/>
  <c r="D89" i="7"/>
  <c r="D88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P73" i="7"/>
  <c r="N73" i="7"/>
  <c r="D73" i="7"/>
  <c r="X70" i="2" l="1"/>
  <c r="Z15" i="2"/>
  <c r="R11" i="8"/>
  <c r="Q11" i="8"/>
  <c r="P11" i="8"/>
  <c r="J92" i="7"/>
  <c r="X12" i="8"/>
  <c r="J79" i="7"/>
  <c r="Q74" i="7"/>
  <c r="Q78" i="7"/>
  <c r="Q94" i="7"/>
  <c r="Q98" i="7"/>
  <c r="Q95" i="7"/>
  <c r="Q76" i="7"/>
  <c r="Q80" i="7"/>
  <c r="Q96" i="7"/>
  <c r="Q77" i="7"/>
  <c r="Q81" i="7"/>
  <c r="Q93" i="7"/>
  <c r="Q97" i="7"/>
  <c r="Q79" i="7"/>
  <c r="Q75" i="7"/>
  <c r="Q73" i="7"/>
  <c r="Y12" i="8" l="1"/>
  <c r="R12" i="8" s="1"/>
  <c r="I67" i="7"/>
  <c r="J67" i="7" s="1"/>
  <c r="H61" i="7"/>
  <c r="J61" i="7" s="1"/>
  <c r="I60" i="7"/>
  <c r="J60" i="7" s="1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N72" i="7"/>
  <c r="N71" i="7"/>
  <c r="N70" i="7"/>
  <c r="N69" i="7"/>
  <c r="N68" i="7"/>
  <c r="N67" i="7"/>
  <c r="N66" i="7"/>
  <c r="N65" i="7"/>
  <c r="N64" i="7"/>
  <c r="N63" i="7"/>
  <c r="N62" i="7"/>
  <c r="N60" i="7"/>
  <c r="N59" i="7"/>
  <c r="N58" i="7"/>
  <c r="N57" i="7"/>
  <c r="N56" i="7"/>
  <c r="N55" i="7"/>
  <c r="N54" i="7"/>
  <c r="N5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Q12" i="8" l="1"/>
  <c r="P12" i="8"/>
  <c r="P321" i="7"/>
  <c r="Q321" i="7" s="1"/>
  <c r="P137" i="7"/>
  <c r="Q137" i="7" s="1"/>
  <c r="P124" i="7"/>
  <c r="Q124" i="7" s="1"/>
  <c r="P115" i="7"/>
  <c r="Q115" i="7" s="1"/>
  <c r="Q69" i="7"/>
  <c r="Q53" i="7"/>
  <c r="Q54" i="7"/>
  <c r="Q58" i="7"/>
  <c r="Q70" i="7"/>
  <c r="Q63" i="7"/>
  <c r="Q71" i="7"/>
  <c r="Q72" i="7"/>
  <c r="Q57" i="7"/>
  <c r="Q61" i="7"/>
  <c r="Q65" i="7"/>
  <c r="Q62" i="7"/>
  <c r="Q66" i="7"/>
  <c r="Q67" i="7"/>
  <c r="Q55" i="7"/>
  <c r="Q59" i="7"/>
  <c r="Q60" i="7"/>
  <c r="Q64" i="7"/>
  <c r="Q68" i="7"/>
  <c r="Q56" i="7"/>
  <c r="N51" i="7" l="1"/>
  <c r="N50" i="7"/>
  <c r="N49" i="7"/>
  <c r="N48" i="7"/>
  <c r="N47" i="7"/>
  <c r="N46" i="7"/>
  <c r="N45" i="7"/>
  <c r="N44" i="7"/>
  <c r="N43" i="7"/>
  <c r="N42" i="7"/>
  <c r="N41" i="7"/>
  <c r="P52" i="7"/>
  <c r="P51" i="7"/>
  <c r="P617" i="7" l="1"/>
  <c r="Q617" i="7" s="1"/>
  <c r="P578" i="7"/>
  <c r="Q578" i="7" s="1"/>
  <c r="P467" i="7"/>
  <c r="Q467" i="7" s="1"/>
  <c r="P481" i="7"/>
  <c r="Q481" i="7" s="1"/>
  <c r="P451" i="7"/>
  <c r="Q451" i="7" s="1"/>
  <c r="P443" i="7"/>
  <c r="Q443" i="7" s="1"/>
  <c r="P422" i="7"/>
  <c r="Q422" i="7" s="1"/>
  <c r="Q52" i="7"/>
  <c r="Q51" i="7"/>
  <c r="D49" i="7"/>
  <c r="D48" i="7"/>
  <c r="D47" i="7"/>
  <c r="D46" i="7"/>
  <c r="D45" i="7"/>
  <c r="D44" i="7"/>
  <c r="D43" i="7"/>
  <c r="D42" i="7"/>
  <c r="D41" i="7"/>
  <c r="D40" i="7"/>
  <c r="D38" i="7"/>
  <c r="D37" i="7"/>
  <c r="D36" i="7"/>
  <c r="D35" i="7"/>
  <c r="D34" i="7"/>
  <c r="D33" i="7"/>
  <c r="D32" i="7"/>
  <c r="D30" i="7"/>
  <c r="D29" i="7"/>
  <c r="N26" i="7"/>
  <c r="N16" i="7"/>
  <c r="N40" i="7"/>
  <c r="N39" i="7"/>
  <c r="N37" i="7"/>
  <c r="N36" i="7"/>
  <c r="N35" i="7"/>
  <c r="N34" i="7"/>
  <c r="N33" i="7"/>
  <c r="N32" i="7"/>
  <c r="N31" i="7"/>
  <c r="N30" i="7"/>
  <c r="N29" i="7"/>
  <c r="N28" i="7"/>
  <c r="N27" i="7"/>
  <c r="N25" i="7"/>
  <c r="N24" i="7"/>
  <c r="N23" i="7"/>
  <c r="N22" i="7"/>
  <c r="N21" i="7"/>
  <c r="N20" i="7"/>
  <c r="N19" i="7"/>
  <c r="N18" i="7"/>
  <c r="N17" i="7"/>
  <c r="N15" i="7"/>
  <c r="N14" i="7"/>
  <c r="N13" i="7"/>
  <c r="N12" i="7"/>
  <c r="N11" i="7"/>
  <c r="N10" i="7"/>
  <c r="N9" i="7"/>
  <c r="N8" i="7"/>
  <c r="D28" i="7"/>
  <c r="D26" i="7"/>
  <c r="D25" i="7"/>
  <c r="D24" i="7"/>
  <c r="D23" i="7"/>
  <c r="D22" i="7"/>
  <c r="D21" i="7"/>
  <c r="D20" i="7"/>
  <c r="D19" i="7"/>
  <c r="D18" i="7"/>
  <c r="D17" i="7"/>
  <c r="D16" i="7"/>
  <c r="D15" i="7"/>
  <c r="D13" i="7"/>
  <c r="D12" i="7"/>
  <c r="D11" i="7"/>
  <c r="D10" i="7"/>
  <c r="D9" i="7"/>
  <c r="M19" i="8" l="1"/>
  <c r="N19" i="8" s="1"/>
  <c r="P341" i="7" l="1"/>
  <c r="Q341" i="7" s="1"/>
  <c r="P279" i="7"/>
  <c r="Q279" i="7" s="1"/>
  <c r="P238" i="7"/>
  <c r="Q238" i="7" s="1"/>
  <c r="P197" i="7"/>
  <c r="Q197" i="7" s="1"/>
  <c r="P221" i="7"/>
  <c r="Q221" i="7" s="1"/>
  <c r="P180" i="7"/>
  <c r="Q180" i="7" s="1"/>
  <c r="P161" i="7"/>
  <c r="Q161" i="7" s="1"/>
  <c r="P119" i="7"/>
  <c r="Q119" i="7" s="1"/>
  <c r="P112" i="7"/>
  <c r="Q112" i="7" s="1"/>
  <c r="P20" i="7"/>
  <c r="Q20" i="7" s="1"/>
  <c r="P85" i="7"/>
  <c r="Q85" i="7" s="1"/>
  <c r="P140" i="7" l="1"/>
  <c r="Q140" i="7" s="1"/>
  <c r="P257" i="7"/>
  <c r="Q257" i="7" s="1"/>
  <c r="P152" i="7"/>
  <c r="Q152" i="7" s="1"/>
  <c r="P178" i="7"/>
  <c r="Q178" i="7" s="1"/>
  <c r="P299" i="7"/>
  <c r="Q299" i="7" s="1"/>
  <c r="P159" i="7"/>
  <c r="Q159" i="7" s="1"/>
  <c r="P323" i="7"/>
  <c r="Q323" i="7" s="1"/>
  <c r="P304" i="7"/>
  <c r="Q304" i="7" s="1"/>
  <c r="P136" i="7"/>
  <c r="Q136" i="7" s="1"/>
  <c r="P105" i="7"/>
  <c r="Q105" i="7" s="1"/>
  <c r="P9" i="7"/>
  <c r="Q9" i="7" s="1"/>
  <c r="Q1315" i="2"/>
  <c r="R1315" i="2" s="1"/>
  <c r="L1315" i="2"/>
  <c r="I1315" i="2"/>
  <c r="H1315" i="2"/>
  <c r="F1315" i="2"/>
  <c r="J1315" i="2" l="1"/>
  <c r="M1315" i="2" l="1"/>
  <c r="N1315" i="2"/>
  <c r="O1315" i="2" s="1"/>
  <c r="P1315" i="2" s="1"/>
  <c r="M18" i="8" l="1"/>
  <c r="N18" i="8" s="1"/>
  <c r="P301" i="7" l="1"/>
  <c r="Q301" i="7" s="1"/>
  <c r="P36" i="7"/>
  <c r="Q36" i="7" s="1"/>
  <c r="P49" i="7"/>
  <c r="Q49" i="7" s="1"/>
  <c r="Q1316" i="2" l="1"/>
  <c r="R1316" i="2" s="1"/>
  <c r="L1316" i="2"/>
  <c r="J1316" i="2"/>
  <c r="H1316" i="2"/>
  <c r="F1316" i="2"/>
  <c r="Q1319" i="2"/>
  <c r="R1319" i="2" s="1"/>
  <c r="L1319" i="2"/>
  <c r="J1319" i="2"/>
  <c r="N1319" i="2" s="1"/>
  <c r="O1319" i="2" s="1"/>
  <c r="P1319" i="2" s="1"/>
  <c r="H1319" i="2"/>
  <c r="F1319" i="2"/>
  <c r="Q1306" i="2"/>
  <c r="R1306" i="2" s="1"/>
  <c r="L1306" i="2"/>
  <c r="J1306" i="2"/>
  <c r="H1306" i="2"/>
  <c r="F1306" i="2"/>
  <c r="Q1313" i="2"/>
  <c r="R1313" i="2" s="1"/>
  <c r="L1313" i="2"/>
  <c r="I1313" i="2"/>
  <c r="H1313" i="2"/>
  <c r="F1313" i="2"/>
  <c r="R1296" i="2"/>
  <c r="L1296" i="2"/>
  <c r="J1296" i="2"/>
  <c r="N1296" i="2" s="1"/>
  <c r="O1296" i="2" s="1"/>
  <c r="P1296" i="2" s="1"/>
  <c r="H1296" i="2"/>
  <c r="F1296" i="2"/>
  <c r="R1295" i="2"/>
  <c r="L1295" i="2"/>
  <c r="J1295" i="2"/>
  <c r="H1295" i="2"/>
  <c r="F1295" i="2"/>
  <c r="R1294" i="2"/>
  <c r="L1294" i="2"/>
  <c r="J1294" i="2"/>
  <c r="N1294" i="2" s="1"/>
  <c r="O1294" i="2" s="1"/>
  <c r="P1294" i="2" s="1"/>
  <c r="H1294" i="2"/>
  <c r="F1294" i="2"/>
  <c r="R1293" i="2"/>
  <c r="L1293" i="2"/>
  <c r="J1293" i="2"/>
  <c r="H1293" i="2"/>
  <c r="F1293" i="2"/>
  <c r="R1292" i="2"/>
  <c r="L1292" i="2"/>
  <c r="I1292" i="2"/>
  <c r="H1292" i="2"/>
  <c r="F1292" i="2"/>
  <c r="R1291" i="2"/>
  <c r="L1291" i="2"/>
  <c r="I1291" i="2"/>
  <c r="H1291" i="2"/>
  <c r="F1291" i="2"/>
  <c r="R1290" i="2"/>
  <c r="L1290" i="2"/>
  <c r="J1290" i="2"/>
  <c r="N1290" i="2" s="1"/>
  <c r="O1290" i="2" s="1"/>
  <c r="P1290" i="2" s="1"/>
  <c r="H1290" i="2"/>
  <c r="F1290" i="2"/>
  <c r="U1291" i="2"/>
  <c r="U1292" i="2"/>
  <c r="U1293" i="2"/>
  <c r="U1294" i="2"/>
  <c r="U1295" i="2"/>
  <c r="U1296" i="2"/>
  <c r="P192" i="7" l="1"/>
  <c r="Q192" i="7" s="1"/>
  <c r="P184" i="7"/>
  <c r="Q184" i="7" s="1"/>
  <c r="P320" i="7"/>
  <c r="Q320" i="7" s="1"/>
  <c r="P209" i="7"/>
  <c r="Q209" i="7" s="1"/>
  <c r="P243" i="7"/>
  <c r="Q243" i="7" s="1"/>
  <c r="P230" i="7"/>
  <c r="Q230" i="7" s="1"/>
  <c r="P267" i="7"/>
  <c r="Q267" i="7" s="1"/>
  <c r="P174" i="7"/>
  <c r="Q174" i="7" s="1"/>
  <c r="P45" i="7"/>
  <c r="Q45" i="7" s="1"/>
  <c r="P16" i="7"/>
  <c r="Q16" i="7" s="1"/>
  <c r="P332" i="7"/>
  <c r="Q332" i="7" s="1"/>
  <c r="P32" i="7"/>
  <c r="Q32" i="7" s="1"/>
  <c r="P108" i="7"/>
  <c r="Q108" i="7" s="1"/>
  <c r="P335" i="7"/>
  <c r="Q335" i="7" s="1"/>
  <c r="P254" i="7"/>
  <c r="Q254" i="7" s="1"/>
  <c r="P225" i="7"/>
  <c r="Q225" i="7" s="1"/>
  <c r="P295" i="7"/>
  <c r="Q295" i="7" s="1"/>
  <c r="P269" i="7"/>
  <c r="Q269" i="7" s="1"/>
  <c r="P212" i="7"/>
  <c r="Q212" i="7" s="1"/>
  <c r="P296" i="7"/>
  <c r="Q296" i="7" s="1"/>
  <c r="P276" i="7"/>
  <c r="Q276" i="7" s="1"/>
  <c r="M17" i="8"/>
  <c r="N17" i="8" s="1"/>
  <c r="P18" i="7"/>
  <c r="Q18" i="7" s="1"/>
  <c r="P114" i="7"/>
  <c r="Q114" i="7" s="1"/>
  <c r="P110" i="7"/>
  <c r="Q110" i="7" s="1"/>
  <c r="P107" i="7"/>
  <c r="Q107" i="7" s="1"/>
  <c r="P92" i="7"/>
  <c r="Q92" i="7" s="1"/>
  <c r="P83" i="7"/>
  <c r="Q83" i="7" s="1"/>
  <c r="P200" i="7"/>
  <c r="Q200" i="7" s="1"/>
  <c r="M15" i="8"/>
  <c r="N15" i="8" s="1"/>
  <c r="P326" i="7"/>
  <c r="Q326" i="7" s="1"/>
  <c r="P325" i="7"/>
  <c r="Q325" i="7" s="1"/>
  <c r="P330" i="7"/>
  <c r="Q330" i="7" s="1"/>
  <c r="P224" i="7"/>
  <c r="Q224" i="7" s="1"/>
  <c r="P194" i="7"/>
  <c r="Q194" i="7" s="1"/>
  <c r="P167" i="7"/>
  <c r="Q167" i="7" s="1"/>
  <c r="P135" i="7"/>
  <c r="Q135" i="7" s="1"/>
  <c r="P118" i="7"/>
  <c r="Q118" i="7" s="1"/>
  <c r="P113" i="7"/>
  <c r="Q113" i="7" s="1"/>
  <c r="P104" i="7"/>
  <c r="Q104" i="7" s="1"/>
  <c r="P86" i="7"/>
  <c r="Q86" i="7" s="1"/>
  <c r="P28" i="7"/>
  <c r="Q28" i="7" s="1"/>
  <c r="P44" i="7"/>
  <c r="Q44" i="7" s="1"/>
  <c r="P91" i="7"/>
  <c r="Q91" i="7" s="1"/>
  <c r="P21" i="7"/>
  <c r="Q21" i="7" s="1"/>
  <c r="P37" i="7"/>
  <c r="Q37" i="7" s="1"/>
  <c r="P11" i="7"/>
  <c r="Q11" i="7" s="1"/>
  <c r="P30" i="7"/>
  <c r="Q30" i="7" s="1"/>
  <c r="N1306" i="2"/>
  <c r="O1306" i="2" s="1"/>
  <c r="P1306" i="2" s="1"/>
  <c r="M1316" i="2"/>
  <c r="N1316" i="2"/>
  <c r="O1316" i="2" s="1"/>
  <c r="P1316" i="2" s="1"/>
  <c r="M1319" i="2"/>
  <c r="M1306" i="2"/>
  <c r="M1294" i="2"/>
  <c r="J1313" i="2"/>
  <c r="M1313" i="2" s="1"/>
  <c r="M1293" i="2"/>
  <c r="M1295" i="2"/>
  <c r="J1291" i="2"/>
  <c r="M1291" i="2" s="1"/>
  <c r="N1293" i="2"/>
  <c r="O1293" i="2" s="1"/>
  <c r="P1293" i="2" s="1"/>
  <c r="N1295" i="2"/>
  <c r="O1295" i="2" s="1"/>
  <c r="P1295" i="2" s="1"/>
  <c r="M1290" i="2"/>
  <c r="M1296" i="2"/>
  <c r="J1292" i="2"/>
  <c r="M1292" i="2" s="1"/>
  <c r="P46" i="7" l="1"/>
  <c r="Q46" i="7" s="1"/>
  <c r="P139" i="7"/>
  <c r="Q139" i="7" s="1"/>
  <c r="P33" i="7"/>
  <c r="Q33" i="7" s="1"/>
  <c r="P82" i="7"/>
  <c r="Q82" i="7" s="1"/>
  <c r="P17" i="7"/>
  <c r="Q17" i="7" s="1"/>
  <c r="P109" i="7"/>
  <c r="Q109" i="7" s="1"/>
  <c r="P272" i="7"/>
  <c r="Q272" i="7" s="1"/>
  <c r="P261" i="7"/>
  <c r="Q261" i="7" s="1"/>
  <c r="P233" i="7"/>
  <c r="Q233" i="7" s="1"/>
  <c r="P134" i="7"/>
  <c r="Q134" i="7" s="1"/>
  <c r="P103" i="7"/>
  <c r="Q103" i="7" s="1"/>
  <c r="P90" i="7"/>
  <c r="Q90" i="7" s="1"/>
  <c r="P26" i="7"/>
  <c r="Q26" i="7" s="1"/>
  <c r="P43" i="7"/>
  <c r="Q43" i="7" s="1"/>
  <c r="P15" i="7"/>
  <c r="Q15" i="7" s="1"/>
  <c r="N1313" i="2"/>
  <c r="O1313" i="2" s="1"/>
  <c r="P1313" i="2" s="1"/>
  <c r="N1291" i="2"/>
  <c r="O1291" i="2" s="1"/>
  <c r="P1291" i="2" s="1"/>
  <c r="N1292" i="2"/>
  <c r="O1292" i="2" s="1"/>
  <c r="P1292" i="2" s="1"/>
  <c r="H1299" i="2" l="1"/>
  <c r="I1317" i="2" l="1"/>
  <c r="J1299" i="2" l="1"/>
  <c r="N1299" i="2" s="1"/>
  <c r="Q1312" i="2" l="1"/>
  <c r="R1312" i="2" s="1"/>
  <c r="P328" i="7" l="1"/>
  <c r="Q328" i="7" s="1"/>
  <c r="P102" i="7"/>
  <c r="Q102" i="7" s="1"/>
  <c r="P13" i="7"/>
  <c r="Q13" i="7" s="1"/>
  <c r="P25" i="7"/>
  <c r="Q25" i="7" s="1"/>
  <c r="P355" i="7"/>
  <c r="Q355" i="7" s="1"/>
  <c r="P318" i="7" l="1"/>
  <c r="Q318" i="7" s="1"/>
  <c r="P282" i="7"/>
  <c r="Q282" i="7" s="1"/>
  <c r="P306" i="7"/>
  <c r="Q306" i="7" s="1"/>
  <c r="P351" i="7"/>
  <c r="Q351" i="7" s="1"/>
  <c r="P229" i="7"/>
  <c r="Q229" i="7" s="1"/>
  <c r="P210" i="7"/>
  <c r="Q210" i="7" s="1"/>
  <c r="P193" i="7"/>
  <c r="Q193" i="7" s="1"/>
  <c r="P10" i="7"/>
  <c r="Q10" i="7" s="1"/>
  <c r="P41" i="7"/>
  <c r="Q41" i="7" s="1"/>
  <c r="P101" i="7"/>
  <c r="Q101" i="7" s="1"/>
  <c r="P349" i="7"/>
  <c r="P39" i="7"/>
  <c r="P322" i="7"/>
  <c r="P50" i="7"/>
  <c r="P8" i="7"/>
  <c r="P303" i="7"/>
  <c r="P31" i="7"/>
  <c r="P87" i="7"/>
  <c r="P100" i="7"/>
  <c r="P278" i="7"/>
  <c r="P226" i="7"/>
  <c r="P181" i="7"/>
  <c r="P213" i="7"/>
  <c r="P256" i="7"/>
  <c r="P155" i="7"/>
  <c r="P163" i="7"/>
  <c r="P156" i="7"/>
  <c r="P214" i="7"/>
  <c r="P162" i="7"/>
  <c r="P182" i="7"/>
  <c r="P333" i="7"/>
  <c r="P297" i="7"/>
  <c r="P271" i="7"/>
  <c r="P199" i="7"/>
  <c r="P334" i="7"/>
  <c r="P298" i="7"/>
  <c r="P277" i="7"/>
  <c r="P255" i="7"/>
  <c r="P227" i="7"/>
  <c r="P198" i="7"/>
  <c r="P177" i="7"/>
  <c r="Q177" i="7" s="1"/>
  <c r="P154" i="7"/>
  <c r="Q154" i="7" s="1"/>
  <c r="P262" i="7"/>
  <c r="Q262" i="7" s="1"/>
  <c r="P165" i="7"/>
  <c r="Q165" i="7" s="1"/>
  <c r="P158" i="7"/>
  <c r="Q158" i="7" s="1"/>
  <c r="P176" i="7"/>
  <c r="Q176" i="7" s="1"/>
  <c r="P106" i="7"/>
  <c r="Q106" i="7" s="1"/>
  <c r="P166" i="7"/>
  <c r="Q166" i="7" s="1"/>
  <c r="P265" i="7"/>
  <c r="Q265" i="7" s="1"/>
  <c r="P350" i="7"/>
  <c r="Q350" i="7" s="1"/>
  <c r="P274" i="7"/>
  <c r="Q274" i="7" s="1"/>
  <c r="P242" i="7"/>
  <c r="Q242" i="7" s="1"/>
  <c r="P281" i="7"/>
  <c r="Q281" i="7" s="1"/>
  <c r="P319" i="7"/>
  <c r="Q319" i="7" s="1"/>
  <c r="P195" i="7"/>
  <c r="Q195" i="7" s="1"/>
  <c r="P138" i="7"/>
  <c r="Q138" i="7" s="1"/>
  <c r="P305" i="7"/>
  <c r="Q305" i="7" s="1"/>
  <c r="P273" i="7"/>
  <c r="Q273" i="7" s="1"/>
  <c r="P40" i="7"/>
  <c r="Q40" i="7" s="1"/>
  <c r="P348" i="7"/>
  <c r="Q348" i="7" s="1"/>
  <c r="P175" i="7"/>
  <c r="Q175" i="7" s="1"/>
  <c r="P324" i="7"/>
  <c r="Q324" i="7" s="1"/>
  <c r="P88" i="7"/>
  <c r="Q88" i="7" s="1"/>
  <c r="P283" i="7"/>
  <c r="Q283" i="7" s="1"/>
  <c r="P29" i="7"/>
  <c r="Q29" i="7" s="1"/>
  <c r="P123" i="7"/>
  <c r="Q123" i="7" s="1"/>
  <c r="P231" i="7"/>
  <c r="Q231" i="7" s="1"/>
  <c r="M14" i="8"/>
  <c r="N14" i="8" s="1"/>
  <c r="P338" i="7"/>
  <c r="Q338" i="7" s="1"/>
  <c r="P153" i="7"/>
  <c r="Q153" i="7" s="1"/>
  <c r="P275" i="7"/>
  <c r="Q275" i="7" s="1"/>
  <c r="P268" i="7"/>
  <c r="Q268" i="7" s="1"/>
  <c r="P120" i="7"/>
  <c r="Q120" i="7" s="1"/>
  <c r="P253" i="7"/>
  <c r="Q253" i="7" s="1"/>
  <c r="P356" i="7"/>
  <c r="Q356" i="7" s="1"/>
  <c r="P23" i="7"/>
  <c r="Q23" i="7" s="1"/>
  <c r="P34" i="7"/>
  <c r="Q34" i="7" s="1"/>
  <c r="P47" i="7"/>
  <c r="Q47" i="7" s="1"/>
  <c r="M16" i="8"/>
  <c r="N16" i="8" s="1"/>
  <c r="P228" i="7"/>
  <c r="Q228" i="7" s="1"/>
  <c r="P179" i="7"/>
  <c r="Q179" i="7" s="1"/>
  <c r="P340" i="7"/>
  <c r="Q340" i="7" s="1"/>
  <c r="P258" i="7"/>
  <c r="Q258" i="7" s="1"/>
  <c r="P160" i="7"/>
  <c r="Q160" i="7" s="1"/>
  <c r="P201" i="7"/>
  <c r="Q201" i="7" s="1"/>
  <c r="P215" i="7"/>
  <c r="Q215" i="7" s="1"/>
  <c r="P307" i="7"/>
  <c r="Q307" i="7" s="1"/>
  <c r="P300" i="7"/>
  <c r="Q300" i="7" s="1"/>
  <c r="P337" i="7"/>
  <c r="Q337" i="7" s="1"/>
  <c r="P316" i="7"/>
  <c r="Q316" i="7" s="1"/>
  <c r="P353" i="7"/>
  <c r="Q353" i="7" s="1"/>
  <c r="P329" i="7"/>
  <c r="M12" i="8"/>
  <c r="N12" i="8" s="1"/>
  <c r="P336" i="7"/>
  <c r="Q336" i="7" s="1"/>
  <c r="M13" i="8"/>
  <c r="N13" i="8" s="1"/>
  <c r="P327" i="7"/>
  <c r="Q327" i="7" s="1"/>
  <c r="P302" i="7"/>
  <c r="Q302" i="7" s="1"/>
  <c r="P280" i="7"/>
  <c r="Q280" i="7" s="1"/>
  <c r="P270" i="7"/>
  <c r="Q270" i="7" s="1"/>
  <c r="P263" i="7"/>
  <c r="Q263" i="7" s="1"/>
  <c r="P259" i="7"/>
  <c r="Q259" i="7" s="1"/>
  <c r="P264" i="7"/>
  <c r="Q264" i="7" s="1"/>
  <c r="P266" i="7"/>
  <c r="Q266" i="7" s="1"/>
  <c r="P196" i="7"/>
  <c r="Q196" i="7" s="1"/>
  <c r="P211" i="7"/>
  <c r="Q211" i="7" s="1"/>
  <c r="P172" i="7"/>
  <c r="Q172" i="7" s="1"/>
  <c r="P173" i="7"/>
  <c r="Q173" i="7" s="1"/>
  <c r="P183" i="7"/>
  <c r="Q183" i="7" s="1"/>
  <c r="P157" i="7"/>
  <c r="Q157" i="7" s="1"/>
  <c r="P164" i="7"/>
  <c r="Q164" i="7" s="1"/>
  <c r="P142" i="7"/>
  <c r="Q142" i="7" s="1"/>
  <c r="P141" i="7"/>
  <c r="Q141" i="7" s="1"/>
  <c r="P133" i="7"/>
  <c r="Q133" i="7" s="1"/>
  <c r="P117" i="7"/>
  <c r="Q117" i="7" s="1"/>
  <c r="P116" i="7"/>
  <c r="Q116" i="7" s="1"/>
  <c r="P125" i="7"/>
  <c r="Q125" i="7" s="1"/>
  <c r="P121" i="7"/>
  <c r="Q121" i="7" s="1"/>
  <c r="P122" i="7"/>
  <c r="Q122" i="7" s="1"/>
  <c r="P111" i="7"/>
  <c r="Q111" i="7" s="1"/>
  <c r="P99" i="7"/>
  <c r="P38" i="7"/>
  <c r="Q38" i="7" s="1"/>
  <c r="P42" i="7"/>
  <c r="Q42" i="7" s="1"/>
  <c r="P89" i="7"/>
  <c r="Q89" i="7" s="1"/>
  <c r="P48" i="7"/>
  <c r="Q48" i="7" s="1"/>
  <c r="P84" i="7"/>
  <c r="Q84" i="7" s="1"/>
  <c r="P22" i="7"/>
  <c r="Q22" i="7" s="1"/>
  <c r="P19" i="7"/>
  <c r="Q19" i="7" s="1"/>
  <c r="P35" i="7"/>
  <c r="Q35" i="7" s="1"/>
  <c r="P14" i="7"/>
  <c r="P27" i="7"/>
  <c r="P12" i="7"/>
  <c r="Q12" i="7" s="1"/>
  <c r="P24" i="7"/>
  <c r="Q24" i="7" s="1"/>
  <c r="L1299" i="2"/>
  <c r="M1299" i="2" s="1"/>
  <c r="O1299" i="2"/>
  <c r="P1299" i="2" s="1"/>
  <c r="F1299" i="2"/>
  <c r="Q1299" i="2"/>
  <c r="R1299" i="2" s="1"/>
  <c r="P317" i="7" l="1"/>
  <c r="P352" i="7"/>
  <c r="M11" i="8"/>
  <c r="N11" i="8" s="1"/>
  <c r="Q1311" i="2"/>
  <c r="R1311" i="2" s="1"/>
  <c r="Q1317" i="2" l="1"/>
  <c r="R1317" i="2" s="1"/>
  <c r="I1318" i="2" l="1"/>
  <c r="Q1318" i="2"/>
  <c r="R1318" i="2" s="1"/>
  <c r="L1312" i="2"/>
  <c r="J1312" i="2"/>
  <c r="N1312" i="2" s="1"/>
  <c r="O1312" i="2" s="1"/>
  <c r="H1312" i="2"/>
  <c r="F1312" i="2"/>
  <c r="L1311" i="2"/>
  <c r="J1311" i="2"/>
  <c r="N1311" i="2" s="1"/>
  <c r="O1311" i="2" s="1"/>
  <c r="P1311" i="2" s="1"/>
  <c r="H1311" i="2"/>
  <c r="F1311" i="2"/>
  <c r="L1317" i="2"/>
  <c r="J1317" i="2"/>
  <c r="N1317" i="2" s="1"/>
  <c r="O1317" i="2" s="1"/>
  <c r="P1317" i="2" s="1"/>
  <c r="H1317" i="2"/>
  <c r="F1317" i="2"/>
  <c r="P1312" i="2" l="1"/>
  <c r="M1311" i="2"/>
  <c r="M1312" i="2"/>
  <c r="M1317" i="2"/>
  <c r="Q1298" i="2"/>
  <c r="R1298" i="2" s="1"/>
  <c r="F1298" i="2" l="1"/>
  <c r="H1298" i="2"/>
  <c r="J1298" i="2"/>
  <c r="N1298" i="2" s="1"/>
  <c r="O1298" i="2" s="1"/>
  <c r="P1298" i="2" s="1"/>
  <c r="L1298" i="2"/>
  <c r="M1298" i="2" l="1"/>
  <c r="Q733" i="2"/>
  <c r="L1318" i="2" l="1"/>
  <c r="J1318" i="2"/>
  <c r="N1318" i="2" s="1"/>
  <c r="O1318" i="2" s="1"/>
  <c r="P1318" i="2" s="1"/>
  <c r="H1318" i="2"/>
  <c r="F1318" i="2"/>
  <c r="I1303" i="2"/>
  <c r="I1302" i="2"/>
  <c r="Q1302" i="2"/>
  <c r="R1302" i="2" s="1"/>
  <c r="Q1303" i="2"/>
  <c r="R1303" i="2" s="1"/>
  <c r="M1318" i="2" l="1"/>
  <c r="Q1307" i="2" l="1"/>
  <c r="R1307" i="2" s="1"/>
  <c r="I1307" i="2"/>
  <c r="Q1300" i="2" l="1"/>
  <c r="R1300" i="2" s="1"/>
  <c r="I1320" i="2" l="1"/>
  <c r="I1301" i="2"/>
  <c r="Q1301" i="2"/>
  <c r="R1301" i="2" s="1"/>
  <c r="Q1320" i="2"/>
  <c r="R1320" i="2" s="1"/>
  <c r="L1302" i="2" l="1"/>
  <c r="J1302" i="2"/>
  <c r="N1302" i="2" s="1"/>
  <c r="O1302" i="2" s="1"/>
  <c r="P1302" i="2" s="1"/>
  <c r="H1302" i="2"/>
  <c r="F1302" i="2"/>
  <c r="L1303" i="2"/>
  <c r="J1303" i="2"/>
  <c r="N1303" i="2" s="1"/>
  <c r="O1303" i="2" s="1"/>
  <c r="P1303" i="2" s="1"/>
  <c r="H1303" i="2"/>
  <c r="F1303" i="2"/>
  <c r="P354" i="7"/>
  <c r="Q354" i="7" s="1"/>
  <c r="L1307" i="2"/>
  <c r="J1307" i="2"/>
  <c r="N1307" i="2" s="1"/>
  <c r="O1307" i="2" s="1"/>
  <c r="P1307" i="2" s="1"/>
  <c r="H1307" i="2"/>
  <c r="F1307" i="2"/>
  <c r="L1300" i="2"/>
  <c r="J1300" i="2"/>
  <c r="N1300" i="2" s="1"/>
  <c r="O1300" i="2" s="1"/>
  <c r="P1300" i="2" s="1"/>
  <c r="H1300" i="2"/>
  <c r="F1300" i="2"/>
  <c r="L1301" i="2"/>
  <c r="J1301" i="2"/>
  <c r="H1301" i="2"/>
  <c r="F1301" i="2"/>
  <c r="M10" i="8" l="1"/>
  <c r="N10" i="8" s="1"/>
  <c r="P260" i="7"/>
  <c r="Q260" i="7" s="1"/>
  <c r="M1301" i="2"/>
  <c r="N1301" i="2"/>
  <c r="O1301" i="2" s="1"/>
  <c r="P1301" i="2" s="1"/>
  <c r="M1303" i="2"/>
  <c r="M1300" i="2"/>
  <c r="M1302" i="2"/>
  <c r="M1307" i="2"/>
  <c r="I1304" i="2"/>
  <c r="Q1304" i="2"/>
  <c r="R1304" i="2" s="1"/>
  <c r="Q1305" i="2" l="1"/>
  <c r="R1305" i="2" s="1"/>
  <c r="L1320" i="2" l="1"/>
  <c r="J1320" i="2"/>
  <c r="N1320" i="2" s="1"/>
  <c r="O1320" i="2" s="1"/>
  <c r="P1320" i="2" s="1"/>
  <c r="H1320" i="2"/>
  <c r="F1320" i="2"/>
  <c r="L1304" i="2"/>
  <c r="J1304" i="2"/>
  <c r="N1304" i="2" s="1"/>
  <c r="O1304" i="2" s="1"/>
  <c r="P1304" i="2" s="1"/>
  <c r="H1304" i="2"/>
  <c r="F1304" i="2"/>
  <c r="L1305" i="2"/>
  <c r="J1305" i="2"/>
  <c r="N1305" i="2" s="1"/>
  <c r="O1305" i="2" s="1"/>
  <c r="P1305" i="2" s="1"/>
  <c r="H1305" i="2"/>
  <c r="F1305" i="2"/>
  <c r="M1320" i="2" l="1"/>
  <c r="M1305" i="2"/>
  <c r="M1304" i="2"/>
  <c r="Q1297" i="2" l="1"/>
  <c r="R1297" i="2" s="1"/>
  <c r="Q1308" i="2" l="1"/>
  <c r="R1308" i="2" s="1"/>
  <c r="I1309" i="2"/>
  <c r="Q1309" i="2"/>
  <c r="R1309" i="2" s="1"/>
  <c r="F1309" i="2" l="1"/>
  <c r="L1297" i="2"/>
  <c r="J1297" i="2"/>
  <c r="H1297" i="2"/>
  <c r="F1297" i="2"/>
  <c r="L1309" i="2"/>
  <c r="J1309" i="2"/>
  <c r="N1309" i="2" s="1"/>
  <c r="O1309" i="2" s="1"/>
  <c r="P1309" i="2" s="1"/>
  <c r="H1309" i="2"/>
  <c r="N1297" i="2" l="1"/>
  <c r="O1297" i="2" s="1"/>
  <c r="M1297" i="2"/>
  <c r="M1309" i="2"/>
  <c r="P1297" i="2" l="1"/>
  <c r="L1308" i="2" l="1"/>
  <c r="J1308" i="2"/>
  <c r="H1308" i="2"/>
  <c r="F1308" i="2"/>
  <c r="N1308" i="2" l="1"/>
  <c r="O1308" i="2" s="1"/>
  <c r="M1308" i="2"/>
  <c r="P1308" i="2" l="1"/>
  <c r="Q1310" i="2" l="1"/>
  <c r="R1310" i="2" s="1"/>
  <c r="L1310" i="2" l="1"/>
  <c r="J1310" i="2"/>
  <c r="H1310" i="2"/>
  <c r="F1310" i="2"/>
  <c r="N1310" i="2" l="1"/>
  <c r="O1310" i="2" s="1"/>
  <c r="M1310" i="2"/>
  <c r="P1310" i="2" l="1"/>
  <c r="T1258" i="2" l="1"/>
  <c r="Z1258" i="2" s="1"/>
  <c r="T1257" i="2"/>
  <c r="Z1257" i="2" s="1"/>
  <c r="T1256" i="2"/>
  <c r="Z1256" i="2" s="1"/>
  <c r="T1255" i="2"/>
  <c r="Z1255" i="2" s="1"/>
  <c r="T1254" i="2"/>
  <c r="Z1254" i="2" s="1"/>
  <c r="T1253" i="2"/>
  <c r="Z1253" i="2" s="1"/>
  <c r="T1252" i="2"/>
  <c r="Z1252" i="2" s="1"/>
  <c r="T1251" i="2"/>
  <c r="Z1251" i="2" s="1"/>
  <c r="T1250" i="2"/>
  <c r="Z1250" i="2" s="1"/>
  <c r="T1249" i="2"/>
  <c r="Z1249" i="2" s="1"/>
  <c r="T1248" i="2"/>
  <c r="Z1248" i="2" s="1"/>
  <c r="T1247" i="2"/>
  <c r="Z1247" i="2" s="1"/>
  <c r="T1246" i="2"/>
  <c r="Z1246" i="2" s="1"/>
  <c r="T1245" i="2"/>
  <c r="Z1245" i="2" s="1"/>
  <c r="T1244" i="2"/>
  <c r="Z1244" i="2" s="1"/>
  <c r="T1243" i="2"/>
  <c r="Z1243" i="2" s="1"/>
  <c r="T1242" i="2"/>
  <c r="Z1242" i="2" s="1"/>
  <c r="T1241" i="2"/>
  <c r="Z1241" i="2" s="1"/>
  <c r="T1259" i="2"/>
  <c r="Z1259" i="2" s="1"/>
  <c r="T1240" i="2"/>
  <c r="Z1240" i="2" s="1"/>
  <c r="I1258" i="2" l="1"/>
  <c r="Q1258" i="2"/>
  <c r="R1258" i="2" s="1"/>
  <c r="I1256" i="2" l="1"/>
  <c r="Q1256" i="2"/>
  <c r="R1256" i="2" s="1"/>
  <c r="Q1257" i="2" l="1"/>
  <c r="R1257" i="2" s="1"/>
  <c r="I1257" i="2"/>
  <c r="I1259" i="2" l="1"/>
  <c r="Q1259" i="2"/>
  <c r="R1259" i="2" s="1"/>
  <c r="I1253" i="2" l="1"/>
  <c r="Q1253" i="2"/>
  <c r="R1253" i="2" s="1"/>
  <c r="I1254" i="2" l="1"/>
  <c r="Q1254" i="2"/>
  <c r="R1254" i="2" s="1"/>
  <c r="U1256" i="2" l="1"/>
  <c r="L1256" i="2"/>
  <c r="J1256" i="2"/>
  <c r="N1256" i="2" s="1"/>
  <c r="O1256" i="2" s="1"/>
  <c r="P1256" i="2" s="1"/>
  <c r="H1256" i="2"/>
  <c r="F1256" i="2"/>
  <c r="M1256" i="2" l="1"/>
  <c r="I1252" i="2" l="1"/>
  <c r="Q1252" i="2"/>
  <c r="R1252" i="2" s="1"/>
  <c r="Q1255" i="2" l="1"/>
  <c r="R1255" i="2" s="1"/>
  <c r="U1257" i="2" l="1"/>
  <c r="L1257" i="2"/>
  <c r="J1257" i="2"/>
  <c r="N1257" i="2" s="1"/>
  <c r="O1257" i="2" s="1"/>
  <c r="P1257" i="2" s="1"/>
  <c r="H1257" i="2"/>
  <c r="F1257" i="2"/>
  <c r="U1258" i="2"/>
  <c r="L1258" i="2"/>
  <c r="J1258" i="2"/>
  <c r="N1258" i="2" s="1"/>
  <c r="O1258" i="2" s="1"/>
  <c r="P1258" i="2" s="1"/>
  <c r="H1258" i="2"/>
  <c r="F1258" i="2"/>
  <c r="U1253" i="2"/>
  <c r="L1253" i="2"/>
  <c r="J1253" i="2"/>
  <c r="N1253" i="2" s="1"/>
  <c r="O1253" i="2" s="1"/>
  <c r="P1253" i="2" s="1"/>
  <c r="H1253" i="2"/>
  <c r="F1253" i="2"/>
  <c r="U1252" i="2"/>
  <c r="L1252" i="2"/>
  <c r="J1252" i="2"/>
  <c r="N1252" i="2" s="1"/>
  <c r="O1252" i="2" s="1"/>
  <c r="P1252" i="2" s="1"/>
  <c r="H1252" i="2"/>
  <c r="F1252" i="2"/>
  <c r="M1253" i="2" l="1"/>
  <c r="M1257" i="2"/>
  <c r="M1252" i="2"/>
  <c r="M1258" i="2"/>
  <c r="Q1242" i="2"/>
  <c r="R1242" i="2" s="1"/>
  <c r="I1248" i="2" l="1"/>
  <c r="Q1248" i="2"/>
  <c r="R1248" i="2" s="1"/>
  <c r="I1250" i="2" l="1"/>
  <c r="Q1250" i="2"/>
  <c r="R1250" i="2" s="1"/>
  <c r="U1254" i="2" l="1"/>
  <c r="L1254" i="2"/>
  <c r="J1254" i="2"/>
  <c r="N1254" i="2" s="1"/>
  <c r="O1254" i="2" s="1"/>
  <c r="P1254" i="2" s="1"/>
  <c r="H1254" i="2"/>
  <c r="F1254" i="2"/>
  <c r="M1254" i="2" l="1"/>
  <c r="I1249" i="2"/>
  <c r="Q1249" i="2"/>
  <c r="R1249" i="2" s="1"/>
  <c r="I1246" i="2" l="1"/>
  <c r="Q1246" i="2"/>
  <c r="R1246" i="2" s="1"/>
  <c r="I1247" i="2"/>
  <c r="Q1247" i="2"/>
  <c r="R1247" i="2" s="1"/>
  <c r="U1259" i="2" l="1"/>
  <c r="L1259" i="2"/>
  <c r="J1259" i="2"/>
  <c r="N1259" i="2" s="1"/>
  <c r="O1259" i="2" s="1"/>
  <c r="P1259" i="2" s="1"/>
  <c r="H1259" i="2"/>
  <c r="F1259" i="2"/>
  <c r="U1242" i="2"/>
  <c r="L1242" i="2"/>
  <c r="J1242" i="2"/>
  <c r="N1242" i="2" s="1"/>
  <c r="O1242" i="2" s="1"/>
  <c r="P1242" i="2" s="1"/>
  <c r="H1242" i="2"/>
  <c r="F1242" i="2"/>
  <c r="U1250" i="2"/>
  <c r="L1250" i="2"/>
  <c r="J1250" i="2"/>
  <c r="N1250" i="2" s="1"/>
  <c r="O1250" i="2" s="1"/>
  <c r="P1250" i="2" s="1"/>
  <c r="H1250" i="2"/>
  <c r="F1250" i="2"/>
  <c r="M1250" i="2" l="1"/>
  <c r="M1242" i="2"/>
  <c r="M1259" i="2"/>
  <c r="I1245" i="2"/>
  <c r="Q1245" i="2"/>
  <c r="AU1244" i="2" l="1"/>
  <c r="AU1251" i="2"/>
  <c r="AX1241" i="2" l="1"/>
  <c r="AX1244" i="2"/>
  <c r="I1244" i="2" l="1"/>
  <c r="Q1244" i="2"/>
  <c r="R1244" i="2" s="1"/>
  <c r="Q1241" i="2"/>
  <c r="R1241" i="2" s="1"/>
  <c r="AV1244" i="2" l="1"/>
  <c r="AY1244" i="2"/>
  <c r="AY1241" i="2"/>
  <c r="AU30" i="2" l="1"/>
  <c r="AX1251" i="2" l="1"/>
  <c r="AX1243" i="2"/>
  <c r="AX1240" i="2"/>
  <c r="Q1251" i="2" l="1"/>
  <c r="R1251" i="2" s="1"/>
  <c r="Q1240" i="2"/>
  <c r="R1240" i="2" s="1"/>
  <c r="AY1251" i="2" l="1"/>
  <c r="AY1240" i="2"/>
  <c r="AY1243" i="2" l="1"/>
  <c r="I1243" i="2"/>
  <c r="U1243" i="2"/>
  <c r="Q1243" i="2"/>
  <c r="R1243" i="2" s="1"/>
  <c r="AV30" i="2" l="1"/>
  <c r="AX30" i="2"/>
  <c r="AY30" i="2" l="1"/>
  <c r="U1247" i="2"/>
  <c r="L1247" i="2"/>
  <c r="J1247" i="2"/>
  <c r="N1247" i="2" s="1"/>
  <c r="O1247" i="2" s="1"/>
  <c r="P1247" i="2" s="1"/>
  <c r="H1247" i="2"/>
  <c r="F1247" i="2"/>
  <c r="U1251" i="2"/>
  <c r="L1251" i="2"/>
  <c r="J1251" i="2"/>
  <c r="N1251" i="2" s="1"/>
  <c r="O1251" i="2" s="1"/>
  <c r="P1251" i="2" s="1"/>
  <c r="H1251" i="2"/>
  <c r="F1251" i="2"/>
  <c r="U1248" i="2"/>
  <c r="L1248" i="2"/>
  <c r="J1248" i="2"/>
  <c r="N1248" i="2" s="1"/>
  <c r="O1248" i="2" s="1"/>
  <c r="P1248" i="2" s="1"/>
  <c r="H1248" i="2"/>
  <c r="F1248" i="2"/>
  <c r="U1246" i="2"/>
  <c r="L1246" i="2"/>
  <c r="J1246" i="2"/>
  <c r="N1246" i="2" s="1"/>
  <c r="O1246" i="2" s="1"/>
  <c r="P1246" i="2" s="1"/>
  <c r="H1246" i="2"/>
  <c r="F1246" i="2"/>
  <c r="U1245" i="2"/>
  <c r="R1245" i="2"/>
  <c r="L1245" i="2"/>
  <c r="J1245" i="2"/>
  <c r="N1245" i="2" s="1"/>
  <c r="O1245" i="2" s="1"/>
  <c r="P1245" i="2" s="1"/>
  <c r="H1245" i="2"/>
  <c r="F1245" i="2"/>
  <c r="U1244" i="2"/>
  <c r="L1244" i="2"/>
  <c r="J1244" i="2"/>
  <c r="N1244" i="2" s="1"/>
  <c r="O1244" i="2" s="1"/>
  <c r="P1244" i="2" s="1"/>
  <c r="H1244" i="2"/>
  <c r="F1244" i="2"/>
  <c r="U1240" i="2"/>
  <c r="L1240" i="2"/>
  <c r="J1240" i="2"/>
  <c r="N1240" i="2" s="1"/>
  <c r="O1240" i="2" s="1"/>
  <c r="P1240" i="2" s="1"/>
  <c r="H1240" i="2"/>
  <c r="F1240" i="2"/>
  <c r="L1243" i="2"/>
  <c r="J1243" i="2"/>
  <c r="N1243" i="2" s="1"/>
  <c r="O1243" i="2" s="1"/>
  <c r="P1243" i="2" s="1"/>
  <c r="H1243" i="2"/>
  <c r="F1243" i="2"/>
  <c r="M1246" i="2" l="1"/>
  <c r="M1247" i="2"/>
  <c r="M1240" i="2"/>
  <c r="M1244" i="2"/>
  <c r="M1248" i="2"/>
  <c r="M1243" i="2"/>
  <c r="M1245" i="2"/>
  <c r="M1251" i="2"/>
  <c r="I1255" i="2" l="1"/>
  <c r="I1241" i="2"/>
  <c r="U1249" i="2" l="1"/>
  <c r="L1249" i="2"/>
  <c r="J1249" i="2"/>
  <c r="N1249" i="2" s="1"/>
  <c r="O1249" i="2" s="1"/>
  <c r="P1249" i="2" s="1"/>
  <c r="H1249" i="2"/>
  <c r="F1249" i="2"/>
  <c r="M1249" i="2" l="1"/>
  <c r="U1255" i="2" l="1"/>
  <c r="L1255" i="2"/>
  <c r="J1255" i="2"/>
  <c r="N1255" i="2" s="1"/>
  <c r="O1255" i="2" s="1"/>
  <c r="P1255" i="2" s="1"/>
  <c r="H1255" i="2"/>
  <c r="F1255" i="2"/>
  <c r="M1255" i="2" l="1"/>
  <c r="U1241" i="2" l="1"/>
  <c r="L1241" i="2"/>
  <c r="J1241" i="2"/>
  <c r="N1241" i="2" s="1"/>
  <c r="O1241" i="2" s="1"/>
  <c r="P1241" i="2" s="1"/>
  <c r="H1241" i="2"/>
  <c r="F1241" i="2"/>
  <c r="M1241" i="2" l="1"/>
  <c r="R1128" i="2" l="1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G9" i="6" l="1"/>
  <c r="B7" i="6"/>
  <c r="C8" i="6" s="1"/>
  <c r="J4" i="6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17" i="4"/>
  <c r="F8" i="4"/>
  <c r="P62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E34" i="3"/>
  <c r="D34" i="3"/>
  <c r="E33" i="3"/>
  <c r="D33" i="3"/>
  <c r="E32" i="3"/>
  <c r="D32" i="3"/>
  <c r="E31" i="3"/>
  <c r="D31" i="3"/>
  <c r="F30" i="3"/>
  <c r="E30" i="3"/>
  <c r="D30" i="3"/>
  <c r="G27" i="3"/>
  <c r="F27" i="3"/>
  <c r="E27" i="3"/>
  <c r="D27" i="3"/>
  <c r="G26" i="3"/>
  <c r="F26" i="3"/>
  <c r="E26" i="3"/>
  <c r="D26" i="3"/>
  <c r="P23" i="3"/>
  <c r="M22" i="3"/>
  <c r="L22" i="3"/>
  <c r="J22" i="3"/>
  <c r="I22" i="3"/>
  <c r="G22" i="3"/>
  <c r="F22" i="3"/>
  <c r="E22" i="3"/>
  <c r="D22" i="3"/>
  <c r="M21" i="3"/>
  <c r="L21" i="3"/>
  <c r="J21" i="3"/>
  <c r="I21" i="3"/>
  <c r="G21" i="3"/>
  <c r="F21" i="3"/>
  <c r="E21" i="3"/>
  <c r="D21" i="3"/>
  <c r="M20" i="3"/>
  <c r="L20" i="3"/>
  <c r="J20" i="3"/>
  <c r="I20" i="3"/>
  <c r="G20" i="3"/>
  <c r="F20" i="3"/>
  <c r="E20" i="3"/>
  <c r="D20" i="3"/>
  <c r="M19" i="3"/>
  <c r="L19" i="3"/>
  <c r="J19" i="3"/>
  <c r="I19" i="3"/>
  <c r="G19" i="3"/>
  <c r="F19" i="3"/>
  <c r="E19" i="3"/>
  <c r="D19" i="3"/>
  <c r="M18" i="3"/>
  <c r="L18" i="3"/>
  <c r="J18" i="3"/>
  <c r="I18" i="3"/>
  <c r="G18" i="3"/>
  <c r="F18" i="3"/>
  <c r="E18" i="3"/>
  <c r="D18" i="3"/>
  <c r="M17" i="3"/>
  <c r="L17" i="3"/>
  <c r="J17" i="3"/>
  <c r="I17" i="3"/>
  <c r="G17" i="3"/>
  <c r="F17" i="3"/>
  <c r="E17" i="3"/>
  <c r="D17" i="3"/>
  <c r="M16" i="3"/>
  <c r="L16" i="3"/>
  <c r="K16" i="3"/>
  <c r="J16" i="3"/>
  <c r="I16" i="3"/>
  <c r="G16" i="3"/>
  <c r="F16" i="3"/>
  <c r="E16" i="3"/>
  <c r="D16" i="3"/>
  <c r="M15" i="3"/>
  <c r="L15" i="3"/>
  <c r="J15" i="3"/>
  <c r="I15" i="3"/>
  <c r="G15" i="3"/>
  <c r="F15" i="3"/>
  <c r="E15" i="3"/>
  <c r="D15" i="3"/>
  <c r="M14" i="3"/>
  <c r="L14" i="3"/>
  <c r="J14" i="3"/>
  <c r="I14" i="3"/>
  <c r="G14" i="3"/>
  <c r="F14" i="3"/>
  <c r="E14" i="3"/>
  <c r="D14" i="3"/>
  <c r="M13" i="3"/>
  <c r="L13" i="3"/>
  <c r="K13" i="3"/>
  <c r="J13" i="3"/>
  <c r="I13" i="3"/>
  <c r="G13" i="3"/>
  <c r="F13" i="3"/>
  <c r="E13" i="3"/>
  <c r="D13" i="3"/>
  <c r="M12" i="3"/>
  <c r="L12" i="3"/>
  <c r="J12" i="3"/>
  <c r="I12" i="3"/>
  <c r="G12" i="3"/>
  <c r="F12" i="3"/>
  <c r="E12" i="3"/>
  <c r="D12" i="3"/>
  <c r="L11" i="3"/>
  <c r="J11" i="3"/>
  <c r="I11" i="3"/>
  <c r="G11" i="3"/>
  <c r="F11" i="3"/>
  <c r="E11" i="3"/>
  <c r="D11" i="3"/>
  <c r="M10" i="3"/>
  <c r="L10" i="3"/>
  <c r="J10" i="3"/>
  <c r="I10" i="3"/>
  <c r="G10" i="3"/>
  <c r="F10" i="3"/>
  <c r="E10" i="3"/>
  <c r="D10" i="3"/>
  <c r="M9" i="3"/>
  <c r="K9" i="3"/>
  <c r="J9" i="3"/>
  <c r="I9" i="3"/>
  <c r="G9" i="3"/>
  <c r="F9" i="3"/>
  <c r="E9" i="3"/>
  <c r="D9" i="3"/>
  <c r="L8" i="3"/>
  <c r="J8" i="3"/>
  <c r="G8" i="3"/>
  <c r="F8" i="3"/>
  <c r="E8" i="3"/>
  <c r="M7" i="3"/>
  <c r="L7" i="3"/>
  <c r="J7" i="3"/>
  <c r="I7" i="3"/>
  <c r="G7" i="3"/>
  <c r="F7" i="3"/>
  <c r="E7" i="3"/>
  <c r="D7" i="3"/>
  <c r="M6" i="3"/>
  <c r="L6" i="3"/>
  <c r="I6" i="3"/>
  <c r="G6" i="3"/>
  <c r="F6" i="3"/>
  <c r="R5" i="3"/>
  <c r="U1302" i="2"/>
  <c r="U1301" i="2"/>
  <c r="U1300" i="2"/>
  <c r="U1299" i="2"/>
  <c r="U1298" i="2"/>
  <c r="U1297" i="2"/>
  <c r="O1086" i="2"/>
  <c r="P1086" i="2" s="1"/>
  <c r="L1086" i="2"/>
  <c r="J1086" i="2"/>
  <c r="O1085" i="2"/>
  <c r="P1085" i="2" s="1"/>
  <c r="L1085" i="2"/>
  <c r="J1085" i="2"/>
  <c r="O1084" i="2"/>
  <c r="P1084" i="2" s="1"/>
  <c r="L1084" i="2"/>
  <c r="J1084" i="2"/>
  <c r="O1083" i="2"/>
  <c r="P1083" i="2" s="1"/>
  <c r="L1083" i="2"/>
  <c r="J1083" i="2"/>
  <c r="O1082" i="2"/>
  <c r="P1082" i="2" s="1"/>
  <c r="L1082" i="2"/>
  <c r="J1082" i="2"/>
  <c r="O1081" i="2"/>
  <c r="P1081" i="2" s="1"/>
  <c r="L1081" i="2"/>
  <c r="J1081" i="2"/>
  <c r="O1080" i="2"/>
  <c r="P1080" i="2" s="1"/>
  <c r="L1080" i="2"/>
  <c r="J1080" i="2"/>
  <c r="O1079" i="2"/>
  <c r="P1079" i="2" s="1"/>
  <c r="L1079" i="2"/>
  <c r="J1079" i="2"/>
  <c r="O1078" i="2"/>
  <c r="P1078" i="2" s="1"/>
  <c r="L1078" i="2"/>
  <c r="J1078" i="2"/>
  <c r="O1077" i="2"/>
  <c r="P1077" i="2" s="1"/>
  <c r="L1077" i="2"/>
  <c r="J1077" i="2"/>
  <c r="O1076" i="2"/>
  <c r="P1076" i="2" s="1"/>
  <c r="L1076" i="2"/>
  <c r="J1076" i="2"/>
  <c r="O1075" i="2"/>
  <c r="P1075" i="2" s="1"/>
  <c r="L1075" i="2"/>
  <c r="J1075" i="2"/>
  <c r="O1074" i="2"/>
  <c r="P1074" i="2" s="1"/>
  <c r="L1074" i="2"/>
  <c r="J1074" i="2"/>
  <c r="O1073" i="2"/>
  <c r="P1073" i="2" s="1"/>
  <c r="L1073" i="2"/>
  <c r="J1073" i="2"/>
  <c r="O1072" i="2"/>
  <c r="P1072" i="2" s="1"/>
  <c r="L1072" i="2"/>
  <c r="J1072" i="2"/>
  <c r="O1071" i="2"/>
  <c r="P1071" i="2" s="1"/>
  <c r="L1071" i="2"/>
  <c r="J1071" i="2"/>
  <c r="O1070" i="2"/>
  <c r="P1070" i="2" s="1"/>
  <c r="L1070" i="2"/>
  <c r="J1070" i="2"/>
  <c r="O1069" i="2"/>
  <c r="P1069" i="2" s="1"/>
  <c r="L1069" i="2"/>
  <c r="J1069" i="2"/>
  <c r="O1068" i="2"/>
  <c r="P1068" i="2" s="1"/>
  <c r="L1068" i="2"/>
  <c r="J1068" i="2"/>
  <c r="O1067" i="2"/>
  <c r="P1067" i="2" s="1"/>
  <c r="L1067" i="2"/>
  <c r="J1067" i="2"/>
  <c r="O1066" i="2"/>
  <c r="P1066" i="2" s="1"/>
  <c r="L1066" i="2"/>
  <c r="J1066" i="2"/>
  <c r="O1065" i="2"/>
  <c r="P1065" i="2" s="1"/>
  <c r="L1065" i="2"/>
  <c r="J1065" i="2"/>
  <c r="O1064" i="2"/>
  <c r="P1064" i="2" s="1"/>
  <c r="L1064" i="2"/>
  <c r="J1064" i="2"/>
  <c r="O1063" i="2"/>
  <c r="P1063" i="2" s="1"/>
  <c r="L1063" i="2"/>
  <c r="J1063" i="2"/>
  <c r="O1062" i="2"/>
  <c r="P1062" i="2" s="1"/>
  <c r="L1062" i="2"/>
  <c r="J1062" i="2"/>
  <c r="O1061" i="2"/>
  <c r="P1061" i="2" s="1"/>
  <c r="L1061" i="2"/>
  <c r="J1061" i="2"/>
  <c r="O1060" i="2"/>
  <c r="P1060" i="2" s="1"/>
  <c r="L1060" i="2"/>
  <c r="J1060" i="2"/>
  <c r="O1059" i="2"/>
  <c r="P1059" i="2" s="1"/>
  <c r="L1059" i="2"/>
  <c r="J1059" i="2"/>
  <c r="O1058" i="2"/>
  <c r="P1058" i="2" s="1"/>
  <c r="L1058" i="2"/>
  <c r="J1058" i="2"/>
  <c r="O1057" i="2"/>
  <c r="P1057" i="2" s="1"/>
  <c r="L1057" i="2"/>
  <c r="J1057" i="2"/>
  <c r="O1056" i="2"/>
  <c r="P1056" i="2" s="1"/>
  <c r="L1056" i="2"/>
  <c r="J1056" i="2"/>
  <c r="O1055" i="2"/>
  <c r="P1055" i="2" s="1"/>
  <c r="L1055" i="2"/>
  <c r="J1055" i="2"/>
  <c r="O1054" i="2"/>
  <c r="P1054" i="2" s="1"/>
  <c r="L1054" i="2"/>
  <c r="J1054" i="2"/>
  <c r="O1053" i="2"/>
  <c r="P1053" i="2" s="1"/>
  <c r="L1053" i="2"/>
  <c r="J1053" i="2"/>
  <c r="O1052" i="2"/>
  <c r="P1052" i="2" s="1"/>
  <c r="L1052" i="2"/>
  <c r="J1052" i="2"/>
  <c r="O1051" i="2"/>
  <c r="P1051" i="2" s="1"/>
  <c r="L1051" i="2"/>
  <c r="J1051" i="2"/>
  <c r="O1050" i="2"/>
  <c r="P1050" i="2" s="1"/>
  <c r="L1050" i="2"/>
  <c r="J1050" i="2"/>
  <c r="O1049" i="2"/>
  <c r="P1049" i="2" s="1"/>
  <c r="L1049" i="2"/>
  <c r="J1049" i="2"/>
  <c r="O1048" i="2"/>
  <c r="P1048" i="2" s="1"/>
  <c r="L1048" i="2"/>
  <c r="J1048" i="2"/>
  <c r="O1047" i="2"/>
  <c r="P1047" i="2" s="1"/>
  <c r="L1047" i="2"/>
  <c r="J1047" i="2"/>
  <c r="O1046" i="2"/>
  <c r="P1046" i="2" s="1"/>
  <c r="L1046" i="2"/>
  <c r="J1046" i="2"/>
  <c r="U1045" i="2"/>
  <c r="Q1045" i="2"/>
  <c r="R1045" i="2" s="1"/>
  <c r="L1045" i="2"/>
  <c r="I1045" i="2"/>
  <c r="J1045" i="2" s="1"/>
  <c r="H1045" i="2"/>
  <c r="F1045" i="2"/>
  <c r="U1044" i="2"/>
  <c r="Q1044" i="2"/>
  <c r="R1044" i="2" s="1"/>
  <c r="L1044" i="2"/>
  <c r="I1044" i="2"/>
  <c r="J1044" i="2" s="1"/>
  <c r="H1044" i="2"/>
  <c r="F1044" i="2"/>
  <c r="U1043" i="2"/>
  <c r="Q1043" i="2"/>
  <c r="R1043" i="2" s="1"/>
  <c r="L1043" i="2"/>
  <c r="J1043" i="2"/>
  <c r="N1043" i="2" s="1"/>
  <c r="O1043" i="2" s="1"/>
  <c r="P1043" i="2" s="1"/>
  <c r="H1043" i="2"/>
  <c r="F1043" i="2"/>
  <c r="U1042" i="2"/>
  <c r="Q1042" i="2"/>
  <c r="R1042" i="2" s="1"/>
  <c r="L1042" i="2"/>
  <c r="I1042" i="2"/>
  <c r="J1042" i="2" s="1"/>
  <c r="H1042" i="2"/>
  <c r="F1042" i="2"/>
  <c r="U1041" i="2"/>
  <c r="Q1041" i="2"/>
  <c r="R1041" i="2" s="1"/>
  <c r="L1041" i="2"/>
  <c r="J1041" i="2"/>
  <c r="N1041" i="2" s="1"/>
  <c r="O1041" i="2" s="1"/>
  <c r="P1041" i="2" s="1"/>
  <c r="H1041" i="2"/>
  <c r="F1041" i="2"/>
  <c r="U1040" i="2"/>
  <c r="Q1040" i="2"/>
  <c r="R1040" i="2" s="1"/>
  <c r="L1040" i="2"/>
  <c r="I1040" i="2"/>
  <c r="J1040" i="2" s="1"/>
  <c r="H1040" i="2"/>
  <c r="F1040" i="2"/>
  <c r="U1039" i="2"/>
  <c r="Q1039" i="2"/>
  <c r="R1039" i="2" s="1"/>
  <c r="L1039" i="2"/>
  <c r="I1039" i="2"/>
  <c r="H1039" i="2"/>
  <c r="F1039" i="2"/>
  <c r="U1038" i="2"/>
  <c r="Q1038" i="2"/>
  <c r="R1038" i="2" s="1"/>
  <c r="L1038" i="2"/>
  <c r="J1038" i="2"/>
  <c r="N1038" i="2" s="1"/>
  <c r="O1038" i="2" s="1"/>
  <c r="P1038" i="2" s="1"/>
  <c r="H1038" i="2"/>
  <c r="F1038" i="2"/>
  <c r="Q1037" i="2"/>
  <c r="R1037" i="2" s="1"/>
  <c r="L1037" i="2"/>
  <c r="I1037" i="2"/>
  <c r="J1037" i="2" s="1"/>
  <c r="H1037" i="2"/>
  <c r="F1037" i="2"/>
  <c r="Q1036" i="2"/>
  <c r="R1036" i="2" s="1"/>
  <c r="L1036" i="2"/>
  <c r="I1036" i="2"/>
  <c r="J1036" i="2" s="1"/>
  <c r="H1036" i="2"/>
  <c r="F1036" i="2"/>
  <c r="T1035" i="2"/>
  <c r="L1035" i="2"/>
  <c r="I1035" i="2"/>
  <c r="J1035" i="2" s="1"/>
  <c r="H1035" i="2"/>
  <c r="F1035" i="2"/>
  <c r="T1034" i="2"/>
  <c r="L1034" i="2"/>
  <c r="J1034" i="2"/>
  <c r="N1034" i="2" s="1"/>
  <c r="O1034" i="2" s="1"/>
  <c r="P1034" i="2" s="1"/>
  <c r="H1034" i="2"/>
  <c r="F1034" i="2"/>
  <c r="T1033" i="2"/>
  <c r="L1033" i="2"/>
  <c r="J1033" i="2"/>
  <c r="H1033" i="2"/>
  <c r="F1033" i="2"/>
  <c r="T1032" i="2"/>
  <c r="L1032" i="2"/>
  <c r="J1032" i="2"/>
  <c r="N1032" i="2" s="1"/>
  <c r="O1032" i="2" s="1"/>
  <c r="P1032" i="2" s="1"/>
  <c r="H1032" i="2"/>
  <c r="F1032" i="2"/>
  <c r="T1031" i="2"/>
  <c r="L1031" i="2"/>
  <c r="J1031" i="2"/>
  <c r="H1031" i="2"/>
  <c r="F1031" i="2"/>
  <c r="T1030" i="2"/>
  <c r="L1030" i="2"/>
  <c r="J1030" i="2"/>
  <c r="N1030" i="2" s="1"/>
  <c r="O1030" i="2" s="1"/>
  <c r="P1030" i="2" s="1"/>
  <c r="H1030" i="2"/>
  <c r="F1030" i="2"/>
  <c r="T1029" i="2"/>
  <c r="L1029" i="2"/>
  <c r="J1029" i="2"/>
  <c r="N1029" i="2" s="1"/>
  <c r="O1029" i="2" s="1"/>
  <c r="P1029" i="2" s="1"/>
  <c r="H1029" i="2"/>
  <c r="F1029" i="2"/>
  <c r="T1028" i="2"/>
  <c r="L1028" i="2"/>
  <c r="I1028" i="2"/>
  <c r="J1028" i="2" s="1"/>
  <c r="H1028" i="2"/>
  <c r="F1028" i="2"/>
  <c r="T1027" i="2"/>
  <c r="L1027" i="2"/>
  <c r="J1027" i="2"/>
  <c r="N1027" i="2" s="1"/>
  <c r="O1027" i="2" s="1"/>
  <c r="P1027" i="2" s="1"/>
  <c r="H1027" i="2"/>
  <c r="F1027" i="2"/>
  <c r="T1026" i="2"/>
  <c r="L1026" i="2"/>
  <c r="J1026" i="2"/>
  <c r="N1026" i="2" s="1"/>
  <c r="O1026" i="2" s="1"/>
  <c r="P1026" i="2" s="1"/>
  <c r="H1026" i="2"/>
  <c r="F1026" i="2"/>
  <c r="T1025" i="2"/>
  <c r="Z1025" i="2" s="1"/>
  <c r="L1025" i="2"/>
  <c r="I1025" i="2"/>
  <c r="J1025" i="2" s="1"/>
  <c r="N1025" i="2" s="1"/>
  <c r="O1025" i="2" s="1"/>
  <c r="P1025" i="2" s="1"/>
  <c r="H1025" i="2"/>
  <c r="F1025" i="2"/>
  <c r="T1024" i="2"/>
  <c r="L1024" i="2"/>
  <c r="I1024" i="2"/>
  <c r="J1024" i="2" s="1"/>
  <c r="H1024" i="2"/>
  <c r="F1024" i="2"/>
  <c r="T1023" i="2"/>
  <c r="L1023" i="2"/>
  <c r="I1023" i="2"/>
  <c r="J1023" i="2" s="1"/>
  <c r="H1023" i="2"/>
  <c r="F1023" i="2"/>
  <c r="T1022" i="2"/>
  <c r="Z1022" i="2" s="1"/>
  <c r="L1022" i="2"/>
  <c r="I1022" i="2"/>
  <c r="J1022" i="2" s="1"/>
  <c r="H1022" i="2"/>
  <c r="F1022" i="2"/>
  <c r="T1021" i="2"/>
  <c r="L1021" i="2"/>
  <c r="J1021" i="2"/>
  <c r="N1021" i="2" s="1"/>
  <c r="O1021" i="2" s="1"/>
  <c r="P1021" i="2" s="1"/>
  <c r="H1021" i="2"/>
  <c r="F1021" i="2"/>
  <c r="T1020" i="2"/>
  <c r="L1020" i="2"/>
  <c r="I1020" i="2"/>
  <c r="H1020" i="2"/>
  <c r="F1020" i="2"/>
  <c r="T1019" i="2"/>
  <c r="Z1019" i="2" s="1"/>
  <c r="L1019" i="2"/>
  <c r="I1019" i="2"/>
  <c r="J1019" i="2" s="1"/>
  <c r="H1019" i="2"/>
  <c r="F1019" i="2"/>
  <c r="U1018" i="2"/>
  <c r="Q1018" i="2"/>
  <c r="R1018" i="2" s="1"/>
  <c r="L1018" i="2"/>
  <c r="I1018" i="2"/>
  <c r="J1018" i="2" s="1"/>
  <c r="H1018" i="2"/>
  <c r="F1018" i="2"/>
  <c r="U1017" i="2"/>
  <c r="Q1017" i="2"/>
  <c r="R1017" i="2" s="1"/>
  <c r="L1017" i="2"/>
  <c r="I1017" i="2"/>
  <c r="J1017" i="2" s="1"/>
  <c r="H1017" i="2"/>
  <c r="F1017" i="2"/>
  <c r="U1016" i="2"/>
  <c r="Q1016" i="2"/>
  <c r="R1016" i="2" s="1"/>
  <c r="L1016" i="2"/>
  <c r="J1016" i="2"/>
  <c r="N1016" i="2" s="1"/>
  <c r="O1016" i="2" s="1"/>
  <c r="P1016" i="2" s="1"/>
  <c r="H1016" i="2"/>
  <c r="F1016" i="2"/>
  <c r="U1015" i="2"/>
  <c r="Q1015" i="2"/>
  <c r="R1015" i="2" s="1"/>
  <c r="L1015" i="2"/>
  <c r="I1015" i="2"/>
  <c r="H1015" i="2"/>
  <c r="F1015" i="2"/>
  <c r="U1014" i="2"/>
  <c r="Q1014" i="2"/>
  <c r="R1014" i="2" s="1"/>
  <c r="L1014" i="2"/>
  <c r="I1014" i="2"/>
  <c r="H1014" i="2"/>
  <c r="F1014" i="2"/>
  <c r="U1013" i="2"/>
  <c r="Q1013" i="2"/>
  <c r="R1013" i="2" s="1"/>
  <c r="L1013" i="2"/>
  <c r="I1013" i="2"/>
  <c r="J1013" i="2" s="1"/>
  <c r="H1013" i="2"/>
  <c r="F1013" i="2"/>
  <c r="U1012" i="2"/>
  <c r="Q1012" i="2"/>
  <c r="R1012" i="2" s="1"/>
  <c r="L1012" i="2"/>
  <c r="I1012" i="2"/>
  <c r="H1012" i="2"/>
  <c r="F1012" i="2"/>
  <c r="U1011" i="2"/>
  <c r="Q1011" i="2"/>
  <c r="R1011" i="2" s="1"/>
  <c r="L1011" i="2"/>
  <c r="I1011" i="2"/>
  <c r="J1011" i="2" s="1"/>
  <c r="H1011" i="2"/>
  <c r="F1011" i="2"/>
  <c r="U1010" i="2"/>
  <c r="Q1010" i="2"/>
  <c r="R1010" i="2" s="1"/>
  <c r="L1010" i="2"/>
  <c r="I1010" i="2"/>
  <c r="J1010" i="2" s="1"/>
  <c r="H1010" i="2"/>
  <c r="F1010" i="2"/>
  <c r="U1009" i="2"/>
  <c r="Q1009" i="2"/>
  <c r="R1009" i="2" s="1"/>
  <c r="L1009" i="2"/>
  <c r="I1009" i="2"/>
  <c r="J1009" i="2" s="1"/>
  <c r="H1009" i="2"/>
  <c r="F1009" i="2"/>
  <c r="U1008" i="2"/>
  <c r="Q1008" i="2"/>
  <c r="R1008" i="2" s="1"/>
  <c r="L1008" i="2"/>
  <c r="I1008" i="2"/>
  <c r="H1008" i="2"/>
  <c r="F1008" i="2"/>
  <c r="U1007" i="2"/>
  <c r="Q1007" i="2"/>
  <c r="R1007" i="2" s="1"/>
  <c r="L1007" i="2"/>
  <c r="I1007" i="2"/>
  <c r="J1007" i="2" s="1"/>
  <c r="H1007" i="2"/>
  <c r="F1007" i="2"/>
  <c r="U1006" i="2"/>
  <c r="Q1006" i="2"/>
  <c r="R1006" i="2" s="1"/>
  <c r="L1006" i="2"/>
  <c r="I1006" i="2"/>
  <c r="J1006" i="2" s="1"/>
  <c r="H1006" i="2"/>
  <c r="F1006" i="2"/>
  <c r="U1005" i="2"/>
  <c r="Q1005" i="2"/>
  <c r="R1005" i="2" s="1"/>
  <c r="L1005" i="2"/>
  <c r="J1005" i="2"/>
  <c r="H1005" i="2"/>
  <c r="F1005" i="2"/>
  <c r="U1004" i="2"/>
  <c r="Q1004" i="2"/>
  <c r="R1004" i="2" s="1"/>
  <c r="L1004" i="2"/>
  <c r="I1004" i="2"/>
  <c r="J1004" i="2" s="1"/>
  <c r="H1004" i="2"/>
  <c r="F1004" i="2"/>
  <c r="U1003" i="2"/>
  <c r="Q1003" i="2"/>
  <c r="R1003" i="2" s="1"/>
  <c r="O1003" i="2"/>
  <c r="P1003" i="2" s="1"/>
  <c r="L1003" i="2"/>
  <c r="J1003" i="2"/>
  <c r="H1003" i="2"/>
  <c r="F1003" i="2"/>
  <c r="U1002" i="2"/>
  <c r="Q1002" i="2"/>
  <c r="R1002" i="2" s="1"/>
  <c r="L1002" i="2"/>
  <c r="I1002" i="2"/>
  <c r="J1002" i="2" s="1"/>
  <c r="H1002" i="2"/>
  <c r="F1002" i="2"/>
  <c r="U1001" i="2"/>
  <c r="Q1001" i="2"/>
  <c r="R1001" i="2" s="1"/>
  <c r="L1001" i="2"/>
  <c r="I1001" i="2"/>
  <c r="J1001" i="2" s="1"/>
  <c r="H1001" i="2"/>
  <c r="F1001" i="2"/>
  <c r="U1000" i="2"/>
  <c r="Q1000" i="2"/>
  <c r="R1000" i="2" s="1"/>
  <c r="L1000" i="2"/>
  <c r="I1000" i="2"/>
  <c r="H1000" i="2"/>
  <c r="F1000" i="2"/>
  <c r="U999" i="2"/>
  <c r="Q999" i="2"/>
  <c r="R999" i="2" s="1"/>
  <c r="L999" i="2"/>
  <c r="I999" i="2"/>
  <c r="J999" i="2" s="1"/>
  <c r="H999" i="2"/>
  <c r="F999" i="2"/>
  <c r="U998" i="2"/>
  <c r="Q998" i="2"/>
  <c r="R998" i="2" s="1"/>
  <c r="L998" i="2"/>
  <c r="I998" i="2"/>
  <c r="J998" i="2" s="1"/>
  <c r="H998" i="2"/>
  <c r="F998" i="2"/>
  <c r="U997" i="2"/>
  <c r="Q997" i="2"/>
  <c r="R997" i="2" s="1"/>
  <c r="L997" i="2"/>
  <c r="I997" i="2"/>
  <c r="J997" i="2" s="1"/>
  <c r="H997" i="2"/>
  <c r="F997" i="2"/>
  <c r="U996" i="2"/>
  <c r="Q996" i="2"/>
  <c r="R996" i="2" s="1"/>
  <c r="L996" i="2"/>
  <c r="I996" i="2"/>
  <c r="H996" i="2"/>
  <c r="F996" i="2"/>
  <c r="U995" i="2"/>
  <c r="Q995" i="2"/>
  <c r="R995" i="2" s="1"/>
  <c r="L995" i="2"/>
  <c r="I995" i="2"/>
  <c r="J995" i="2" s="1"/>
  <c r="H995" i="2"/>
  <c r="F995" i="2"/>
  <c r="U994" i="2"/>
  <c r="Q994" i="2"/>
  <c r="R994" i="2" s="1"/>
  <c r="L994" i="2"/>
  <c r="I994" i="2"/>
  <c r="J994" i="2" s="1"/>
  <c r="H994" i="2"/>
  <c r="F994" i="2"/>
  <c r="U993" i="2"/>
  <c r="Q993" i="2"/>
  <c r="R993" i="2" s="1"/>
  <c r="L993" i="2"/>
  <c r="I993" i="2"/>
  <c r="J993" i="2" s="1"/>
  <c r="H993" i="2"/>
  <c r="F993" i="2"/>
  <c r="U992" i="2"/>
  <c r="Q992" i="2"/>
  <c r="R992" i="2" s="1"/>
  <c r="L992" i="2"/>
  <c r="I992" i="2"/>
  <c r="J992" i="2" s="1"/>
  <c r="H992" i="2"/>
  <c r="F992" i="2"/>
  <c r="U991" i="2"/>
  <c r="Q991" i="2"/>
  <c r="R991" i="2" s="1"/>
  <c r="L991" i="2"/>
  <c r="I991" i="2"/>
  <c r="J991" i="2" s="1"/>
  <c r="H991" i="2"/>
  <c r="F991" i="2"/>
  <c r="U990" i="2"/>
  <c r="Q990" i="2"/>
  <c r="R990" i="2" s="1"/>
  <c r="L990" i="2"/>
  <c r="I990" i="2"/>
  <c r="J990" i="2" s="1"/>
  <c r="H990" i="2"/>
  <c r="F990" i="2"/>
  <c r="U989" i="2"/>
  <c r="Q989" i="2"/>
  <c r="R989" i="2" s="1"/>
  <c r="L989" i="2"/>
  <c r="I989" i="2"/>
  <c r="J989" i="2" s="1"/>
  <c r="H989" i="2"/>
  <c r="F989" i="2"/>
  <c r="U988" i="2"/>
  <c r="Q988" i="2"/>
  <c r="R988" i="2" s="1"/>
  <c r="L988" i="2"/>
  <c r="I988" i="2"/>
  <c r="J988" i="2" s="1"/>
  <c r="H988" i="2"/>
  <c r="F988" i="2"/>
  <c r="U987" i="2"/>
  <c r="Q987" i="2"/>
  <c r="R987" i="2" s="1"/>
  <c r="L987" i="2"/>
  <c r="I987" i="2"/>
  <c r="J987" i="2" s="1"/>
  <c r="H987" i="2"/>
  <c r="F987" i="2"/>
  <c r="U986" i="2"/>
  <c r="Q986" i="2"/>
  <c r="R986" i="2" s="1"/>
  <c r="L986" i="2"/>
  <c r="I986" i="2"/>
  <c r="J986" i="2" s="1"/>
  <c r="H986" i="2"/>
  <c r="F986" i="2"/>
  <c r="U985" i="2"/>
  <c r="Q985" i="2"/>
  <c r="R985" i="2" s="1"/>
  <c r="O985" i="2"/>
  <c r="P985" i="2" s="1"/>
  <c r="L985" i="2"/>
  <c r="J985" i="2"/>
  <c r="U984" i="2"/>
  <c r="O984" i="2"/>
  <c r="P984" i="2" s="1"/>
  <c r="L984" i="2"/>
  <c r="J984" i="2"/>
  <c r="U983" i="2"/>
  <c r="O983" i="2"/>
  <c r="P983" i="2" s="1"/>
  <c r="L983" i="2"/>
  <c r="J983" i="2"/>
  <c r="U982" i="2"/>
  <c r="O982" i="2"/>
  <c r="P982" i="2" s="1"/>
  <c r="L982" i="2"/>
  <c r="J982" i="2"/>
  <c r="U981" i="2"/>
  <c r="O981" i="2"/>
  <c r="P981" i="2" s="1"/>
  <c r="L981" i="2"/>
  <c r="J981" i="2"/>
  <c r="U980" i="2"/>
  <c r="O980" i="2"/>
  <c r="P980" i="2" s="1"/>
  <c r="L980" i="2"/>
  <c r="J980" i="2"/>
  <c r="U979" i="2"/>
  <c r="O979" i="2"/>
  <c r="P979" i="2" s="1"/>
  <c r="L979" i="2"/>
  <c r="J979" i="2"/>
  <c r="U978" i="2"/>
  <c r="O978" i="2"/>
  <c r="P978" i="2" s="1"/>
  <c r="L978" i="2"/>
  <c r="J978" i="2"/>
  <c r="U977" i="2"/>
  <c r="O977" i="2"/>
  <c r="P977" i="2" s="1"/>
  <c r="L977" i="2"/>
  <c r="J977" i="2"/>
  <c r="U976" i="2"/>
  <c r="O976" i="2"/>
  <c r="P976" i="2" s="1"/>
  <c r="L976" i="2"/>
  <c r="J976" i="2"/>
  <c r="U975" i="2"/>
  <c r="O975" i="2"/>
  <c r="P975" i="2" s="1"/>
  <c r="L975" i="2"/>
  <c r="J975" i="2"/>
  <c r="U974" i="2"/>
  <c r="O974" i="2"/>
  <c r="P974" i="2" s="1"/>
  <c r="L974" i="2"/>
  <c r="J974" i="2"/>
  <c r="U973" i="2"/>
  <c r="O973" i="2"/>
  <c r="P973" i="2" s="1"/>
  <c r="L973" i="2"/>
  <c r="J973" i="2"/>
  <c r="U972" i="2"/>
  <c r="O972" i="2"/>
  <c r="P972" i="2" s="1"/>
  <c r="L972" i="2"/>
  <c r="J972" i="2"/>
  <c r="U971" i="2"/>
  <c r="O971" i="2"/>
  <c r="P971" i="2" s="1"/>
  <c r="L971" i="2"/>
  <c r="J971" i="2"/>
  <c r="U970" i="2"/>
  <c r="O970" i="2"/>
  <c r="P970" i="2" s="1"/>
  <c r="L970" i="2"/>
  <c r="J970" i="2"/>
  <c r="U969" i="2"/>
  <c r="O969" i="2"/>
  <c r="P969" i="2" s="1"/>
  <c r="L969" i="2"/>
  <c r="J969" i="2"/>
  <c r="U968" i="2"/>
  <c r="O968" i="2"/>
  <c r="P968" i="2" s="1"/>
  <c r="L968" i="2"/>
  <c r="J968" i="2"/>
  <c r="U967" i="2"/>
  <c r="O967" i="2"/>
  <c r="P967" i="2" s="1"/>
  <c r="L967" i="2"/>
  <c r="J967" i="2"/>
  <c r="U966" i="2"/>
  <c r="O966" i="2"/>
  <c r="P966" i="2" s="1"/>
  <c r="L966" i="2"/>
  <c r="J966" i="2"/>
  <c r="U965" i="2"/>
  <c r="Q965" i="2"/>
  <c r="R965" i="2" s="1"/>
  <c r="L965" i="2"/>
  <c r="J965" i="2"/>
  <c r="H965" i="2"/>
  <c r="F965" i="2"/>
  <c r="U964" i="2"/>
  <c r="Q964" i="2"/>
  <c r="R964" i="2" s="1"/>
  <c r="L964" i="2"/>
  <c r="J964" i="2"/>
  <c r="N964" i="2" s="1"/>
  <c r="O964" i="2" s="1"/>
  <c r="P964" i="2" s="1"/>
  <c r="H964" i="2"/>
  <c r="F964" i="2"/>
  <c r="U963" i="2"/>
  <c r="Q963" i="2"/>
  <c r="R963" i="2" s="1"/>
  <c r="L963" i="2"/>
  <c r="I963" i="2"/>
  <c r="H963" i="2"/>
  <c r="F963" i="2"/>
  <c r="U962" i="2"/>
  <c r="Q962" i="2"/>
  <c r="R962" i="2" s="1"/>
  <c r="L962" i="2"/>
  <c r="I962" i="2"/>
  <c r="H962" i="2"/>
  <c r="F962" i="2"/>
  <c r="U961" i="2"/>
  <c r="Q961" i="2"/>
  <c r="R961" i="2" s="1"/>
  <c r="L961" i="2"/>
  <c r="I961" i="2"/>
  <c r="H961" i="2"/>
  <c r="F961" i="2"/>
  <c r="U960" i="2"/>
  <c r="Q960" i="2"/>
  <c r="R960" i="2" s="1"/>
  <c r="L960" i="2"/>
  <c r="I960" i="2"/>
  <c r="H960" i="2"/>
  <c r="F960" i="2"/>
  <c r="U959" i="2"/>
  <c r="Q959" i="2"/>
  <c r="R959" i="2" s="1"/>
  <c r="L959" i="2"/>
  <c r="J959" i="2"/>
  <c r="H959" i="2"/>
  <c r="F959" i="2"/>
  <c r="U958" i="2"/>
  <c r="Q958" i="2"/>
  <c r="R958" i="2" s="1"/>
  <c r="L958" i="2"/>
  <c r="J958" i="2"/>
  <c r="N958" i="2" s="1"/>
  <c r="O958" i="2" s="1"/>
  <c r="P958" i="2" s="1"/>
  <c r="H958" i="2"/>
  <c r="F958" i="2"/>
  <c r="U957" i="2"/>
  <c r="Q957" i="2"/>
  <c r="R957" i="2" s="1"/>
  <c r="L957" i="2"/>
  <c r="I957" i="2"/>
  <c r="J957" i="2" s="1"/>
  <c r="H957" i="2"/>
  <c r="F957" i="2"/>
  <c r="U956" i="2"/>
  <c r="Q956" i="2"/>
  <c r="R956" i="2" s="1"/>
  <c r="L956" i="2"/>
  <c r="J956" i="2"/>
  <c r="N956" i="2" s="1"/>
  <c r="O956" i="2" s="1"/>
  <c r="P956" i="2" s="1"/>
  <c r="H956" i="2"/>
  <c r="F956" i="2"/>
  <c r="U955" i="2"/>
  <c r="Q955" i="2"/>
  <c r="R955" i="2" s="1"/>
  <c r="L955" i="2"/>
  <c r="I955" i="2"/>
  <c r="J955" i="2" s="1"/>
  <c r="H955" i="2"/>
  <c r="F955" i="2"/>
  <c r="U954" i="2"/>
  <c r="Q954" i="2"/>
  <c r="R954" i="2" s="1"/>
  <c r="L954" i="2"/>
  <c r="J954" i="2"/>
  <c r="N954" i="2" s="1"/>
  <c r="O954" i="2" s="1"/>
  <c r="P954" i="2" s="1"/>
  <c r="H954" i="2"/>
  <c r="F954" i="2"/>
  <c r="U953" i="2"/>
  <c r="Q953" i="2"/>
  <c r="R953" i="2" s="1"/>
  <c r="L953" i="2"/>
  <c r="J953" i="2"/>
  <c r="H953" i="2"/>
  <c r="F953" i="2"/>
  <c r="U952" i="2"/>
  <c r="Q952" i="2"/>
  <c r="R952" i="2" s="1"/>
  <c r="L952" i="2"/>
  <c r="J952" i="2"/>
  <c r="H952" i="2"/>
  <c r="F952" i="2"/>
  <c r="U951" i="2"/>
  <c r="Q951" i="2"/>
  <c r="R951" i="2" s="1"/>
  <c r="L951" i="2"/>
  <c r="I951" i="2"/>
  <c r="J951" i="2" s="1"/>
  <c r="H951" i="2"/>
  <c r="F951" i="2"/>
  <c r="U950" i="2"/>
  <c r="Q950" i="2"/>
  <c r="R950" i="2" s="1"/>
  <c r="L950" i="2"/>
  <c r="I950" i="2"/>
  <c r="J950" i="2" s="1"/>
  <c r="H950" i="2"/>
  <c r="F950" i="2"/>
  <c r="U949" i="2"/>
  <c r="Q949" i="2"/>
  <c r="R949" i="2" s="1"/>
  <c r="L949" i="2"/>
  <c r="I949" i="2"/>
  <c r="J949" i="2" s="1"/>
  <c r="H949" i="2"/>
  <c r="F949" i="2"/>
  <c r="U948" i="2"/>
  <c r="Q948" i="2"/>
  <c r="R948" i="2" s="1"/>
  <c r="L948" i="2"/>
  <c r="J948" i="2"/>
  <c r="H948" i="2"/>
  <c r="F948" i="2"/>
  <c r="U947" i="2"/>
  <c r="Q947" i="2"/>
  <c r="R947" i="2" s="1"/>
  <c r="L947" i="2"/>
  <c r="I947" i="2"/>
  <c r="J947" i="2" s="1"/>
  <c r="H947" i="2"/>
  <c r="F947" i="2"/>
  <c r="U946" i="2"/>
  <c r="Q946" i="2"/>
  <c r="R946" i="2" s="1"/>
  <c r="L946" i="2"/>
  <c r="I946" i="2"/>
  <c r="J946" i="2" s="1"/>
  <c r="H946" i="2"/>
  <c r="F946" i="2"/>
  <c r="U945" i="2"/>
  <c r="Q945" i="2"/>
  <c r="R945" i="2" s="1"/>
  <c r="L945" i="2"/>
  <c r="I945" i="2"/>
  <c r="J945" i="2" s="1"/>
  <c r="H945" i="2"/>
  <c r="F945" i="2"/>
  <c r="U944" i="2"/>
  <c r="Q944" i="2"/>
  <c r="R944" i="2" s="1"/>
  <c r="L944" i="2"/>
  <c r="J944" i="2"/>
  <c r="N944" i="2" s="1"/>
  <c r="O944" i="2" s="1"/>
  <c r="P944" i="2" s="1"/>
  <c r="H944" i="2"/>
  <c r="F944" i="2"/>
  <c r="U943" i="2"/>
  <c r="Q943" i="2"/>
  <c r="R943" i="2" s="1"/>
  <c r="L943" i="2"/>
  <c r="I943" i="2"/>
  <c r="J943" i="2" s="1"/>
  <c r="H943" i="2"/>
  <c r="F943" i="2"/>
  <c r="U942" i="2"/>
  <c r="Q942" i="2"/>
  <c r="R942" i="2" s="1"/>
  <c r="L942" i="2"/>
  <c r="J942" i="2"/>
  <c r="H942" i="2"/>
  <c r="F942" i="2"/>
  <c r="U941" i="2"/>
  <c r="Q941" i="2"/>
  <c r="R941" i="2" s="1"/>
  <c r="L941" i="2"/>
  <c r="J941" i="2"/>
  <c r="N941" i="2" s="1"/>
  <c r="O941" i="2" s="1"/>
  <c r="P941" i="2" s="1"/>
  <c r="H941" i="2"/>
  <c r="F941" i="2"/>
  <c r="U940" i="2"/>
  <c r="Q940" i="2"/>
  <c r="R940" i="2" s="1"/>
  <c r="L940" i="2"/>
  <c r="I940" i="2"/>
  <c r="J940" i="2" s="1"/>
  <c r="H940" i="2"/>
  <c r="F940" i="2"/>
  <c r="U939" i="2"/>
  <c r="Q939" i="2"/>
  <c r="R939" i="2" s="1"/>
  <c r="L939" i="2"/>
  <c r="J939" i="2"/>
  <c r="N939" i="2" s="1"/>
  <c r="O939" i="2" s="1"/>
  <c r="P939" i="2" s="1"/>
  <c r="H939" i="2"/>
  <c r="F939" i="2"/>
  <c r="U938" i="2"/>
  <c r="Q938" i="2"/>
  <c r="R938" i="2" s="1"/>
  <c r="L938" i="2"/>
  <c r="J938" i="2"/>
  <c r="N938" i="2" s="1"/>
  <c r="O938" i="2" s="1"/>
  <c r="P938" i="2" s="1"/>
  <c r="H938" i="2"/>
  <c r="F938" i="2"/>
  <c r="U937" i="2"/>
  <c r="Q937" i="2"/>
  <c r="R937" i="2" s="1"/>
  <c r="L937" i="2"/>
  <c r="I937" i="2"/>
  <c r="H937" i="2"/>
  <c r="F937" i="2"/>
  <c r="U936" i="2"/>
  <c r="Q936" i="2"/>
  <c r="R936" i="2" s="1"/>
  <c r="L936" i="2"/>
  <c r="I936" i="2"/>
  <c r="J936" i="2" s="1"/>
  <c r="H936" i="2"/>
  <c r="F936" i="2"/>
  <c r="U935" i="2"/>
  <c r="Q935" i="2"/>
  <c r="R935" i="2" s="1"/>
  <c r="L935" i="2"/>
  <c r="J935" i="2"/>
  <c r="H935" i="2"/>
  <c r="F935" i="2"/>
  <c r="U934" i="2"/>
  <c r="Q934" i="2"/>
  <c r="R934" i="2" s="1"/>
  <c r="L934" i="2"/>
  <c r="J934" i="2"/>
  <c r="H934" i="2"/>
  <c r="F934" i="2"/>
  <c r="U933" i="2"/>
  <c r="Q933" i="2"/>
  <c r="R933" i="2" s="1"/>
  <c r="L933" i="2"/>
  <c r="I933" i="2"/>
  <c r="J933" i="2" s="1"/>
  <c r="H933" i="2"/>
  <c r="F933" i="2"/>
  <c r="U932" i="2"/>
  <c r="Q932" i="2"/>
  <c r="R932" i="2" s="1"/>
  <c r="L932" i="2"/>
  <c r="I932" i="2"/>
  <c r="J932" i="2" s="1"/>
  <c r="H932" i="2"/>
  <c r="F932" i="2"/>
  <c r="U931" i="2"/>
  <c r="Q931" i="2"/>
  <c r="R931" i="2" s="1"/>
  <c r="L931" i="2"/>
  <c r="J931" i="2"/>
  <c r="N931" i="2" s="1"/>
  <c r="O931" i="2" s="1"/>
  <c r="P931" i="2" s="1"/>
  <c r="H931" i="2"/>
  <c r="F931" i="2"/>
  <c r="U930" i="2"/>
  <c r="Q930" i="2"/>
  <c r="R930" i="2" s="1"/>
  <c r="L930" i="2"/>
  <c r="I930" i="2"/>
  <c r="J930" i="2" s="1"/>
  <c r="H930" i="2"/>
  <c r="F930" i="2"/>
  <c r="U929" i="2"/>
  <c r="Q929" i="2"/>
  <c r="R929" i="2" s="1"/>
  <c r="L929" i="2"/>
  <c r="I929" i="2"/>
  <c r="J929" i="2" s="1"/>
  <c r="H929" i="2"/>
  <c r="F929" i="2"/>
  <c r="U928" i="2"/>
  <c r="Q928" i="2"/>
  <c r="R928" i="2" s="1"/>
  <c r="L928" i="2"/>
  <c r="I928" i="2"/>
  <c r="J928" i="2" s="1"/>
  <c r="H928" i="2"/>
  <c r="F928" i="2"/>
  <c r="U927" i="2"/>
  <c r="Q927" i="2"/>
  <c r="R927" i="2" s="1"/>
  <c r="L927" i="2"/>
  <c r="I927" i="2"/>
  <c r="H927" i="2"/>
  <c r="F927" i="2"/>
  <c r="U926" i="2"/>
  <c r="Q926" i="2"/>
  <c r="R926" i="2" s="1"/>
  <c r="L926" i="2"/>
  <c r="I926" i="2"/>
  <c r="J926" i="2" s="1"/>
  <c r="H926" i="2"/>
  <c r="F926" i="2"/>
  <c r="U925" i="2"/>
  <c r="Q925" i="2"/>
  <c r="R925" i="2" s="1"/>
  <c r="L925" i="2"/>
  <c r="I925" i="2"/>
  <c r="J925" i="2" s="1"/>
  <c r="H925" i="2"/>
  <c r="F925" i="2"/>
  <c r="U924" i="2"/>
  <c r="Q924" i="2"/>
  <c r="R924" i="2" s="1"/>
  <c r="L924" i="2"/>
  <c r="I924" i="2"/>
  <c r="J924" i="2" s="1"/>
  <c r="H924" i="2"/>
  <c r="F924" i="2"/>
  <c r="U923" i="2"/>
  <c r="Q923" i="2"/>
  <c r="R923" i="2" s="1"/>
  <c r="L923" i="2"/>
  <c r="I923" i="2"/>
  <c r="H923" i="2"/>
  <c r="F923" i="2"/>
  <c r="U922" i="2"/>
  <c r="Q922" i="2"/>
  <c r="R922" i="2" s="1"/>
  <c r="L922" i="2"/>
  <c r="I922" i="2"/>
  <c r="H922" i="2"/>
  <c r="F922" i="2"/>
  <c r="U921" i="2"/>
  <c r="Q921" i="2"/>
  <c r="R921" i="2" s="1"/>
  <c r="L921" i="2"/>
  <c r="I921" i="2"/>
  <c r="H921" i="2"/>
  <c r="F921" i="2"/>
  <c r="U920" i="2"/>
  <c r="Q920" i="2"/>
  <c r="R920" i="2" s="1"/>
  <c r="L920" i="2"/>
  <c r="I920" i="2"/>
  <c r="H920" i="2"/>
  <c r="F920" i="2"/>
  <c r="U919" i="2"/>
  <c r="Q919" i="2"/>
  <c r="R919" i="2" s="1"/>
  <c r="L919" i="2"/>
  <c r="I919" i="2"/>
  <c r="H919" i="2"/>
  <c r="F919" i="2"/>
  <c r="U918" i="2"/>
  <c r="Q918" i="2"/>
  <c r="R918" i="2" s="1"/>
  <c r="L918" i="2"/>
  <c r="I918" i="2"/>
  <c r="H918" i="2"/>
  <c r="F918" i="2"/>
  <c r="U917" i="2"/>
  <c r="Q917" i="2"/>
  <c r="R917" i="2" s="1"/>
  <c r="L917" i="2"/>
  <c r="I917" i="2"/>
  <c r="H917" i="2"/>
  <c r="F917" i="2"/>
  <c r="D917" i="2"/>
  <c r="U916" i="2"/>
  <c r="Q916" i="2"/>
  <c r="R916" i="2" s="1"/>
  <c r="L916" i="2"/>
  <c r="I916" i="2"/>
  <c r="J916" i="2" s="1"/>
  <c r="H916" i="2"/>
  <c r="F916" i="2"/>
  <c r="D916" i="2"/>
  <c r="U915" i="2"/>
  <c r="Q915" i="2"/>
  <c r="R915" i="2" s="1"/>
  <c r="L915" i="2"/>
  <c r="I915" i="2"/>
  <c r="J915" i="2" s="1"/>
  <c r="H915" i="2"/>
  <c r="F915" i="2"/>
  <c r="D915" i="2"/>
  <c r="U914" i="2"/>
  <c r="Q914" i="2"/>
  <c r="R914" i="2" s="1"/>
  <c r="L914" i="2"/>
  <c r="I914" i="2"/>
  <c r="J914" i="2" s="1"/>
  <c r="H914" i="2"/>
  <c r="F914" i="2"/>
  <c r="D914" i="2"/>
  <c r="U913" i="2"/>
  <c r="Q913" i="2"/>
  <c r="R913" i="2" s="1"/>
  <c r="L913" i="2"/>
  <c r="I913" i="2"/>
  <c r="J913" i="2" s="1"/>
  <c r="H913" i="2"/>
  <c r="F913" i="2"/>
  <c r="D913" i="2"/>
  <c r="U912" i="2"/>
  <c r="Q912" i="2"/>
  <c r="R912" i="2" s="1"/>
  <c r="L912" i="2"/>
  <c r="I912" i="2"/>
  <c r="H912" i="2"/>
  <c r="F912" i="2"/>
  <c r="D912" i="2"/>
  <c r="U911" i="2"/>
  <c r="Q911" i="2"/>
  <c r="R911" i="2" s="1"/>
  <c r="L911" i="2"/>
  <c r="I911" i="2"/>
  <c r="J911" i="2" s="1"/>
  <c r="H911" i="2"/>
  <c r="F911" i="2"/>
  <c r="D911" i="2"/>
  <c r="U910" i="2"/>
  <c r="Q910" i="2"/>
  <c r="R910" i="2" s="1"/>
  <c r="L910" i="2"/>
  <c r="I910" i="2"/>
  <c r="J910" i="2" s="1"/>
  <c r="H910" i="2"/>
  <c r="F910" i="2"/>
  <c r="D910" i="2"/>
  <c r="U909" i="2"/>
  <c r="Q909" i="2"/>
  <c r="R909" i="2" s="1"/>
  <c r="L909" i="2"/>
  <c r="I909" i="2"/>
  <c r="J909" i="2" s="1"/>
  <c r="H909" i="2"/>
  <c r="F909" i="2"/>
  <c r="D909" i="2"/>
  <c r="U908" i="2"/>
  <c r="Q908" i="2"/>
  <c r="R908" i="2" s="1"/>
  <c r="L908" i="2"/>
  <c r="I908" i="2"/>
  <c r="J908" i="2" s="1"/>
  <c r="H908" i="2"/>
  <c r="F908" i="2"/>
  <c r="D908" i="2"/>
  <c r="U907" i="2"/>
  <c r="Q907" i="2"/>
  <c r="R907" i="2" s="1"/>
  <c r="L907" i="2"/>
  <c r="I907" i="2"/>
  <c r="J907" i="2" s="1"/>
  <c r="H907" i="2"/>
  <c r="F907" i="2"/>
  <c r="D907" i="2"/>
  <c r="U906" i="2"/>
  <c r="Q906" i="2"/>
  <c r="R906" i="2" s="1"/>
  <c r="L906" i="2"/>
  <c r="I906" i="2"/>
  <c r="J906" i="2" s="1"/>
  <c r="H906" i="2"/>
  <c r="F906" i="2"/>
  <c r="D906" i="2"/>
  <c r="U905" i="2"/>
  <c r="Q905" i="2"/>
  <c r="R905" i="2" s="1"/>
  <c r="L905" i="2"/>
  <c r="I905" i="2"/>
  <c r="J905" i="2" s="1"/>
  <c r="H905" i="2"/>
  <c r="F905" i="2"/>
  <c r="D905" i="2"/>
  <c r="U904" i="2"/>
  <c r="Q904" i="2"/>
  <c r="R904" i="2" s="1"/>
  <c r="L904" i="2"/>
  <c r="I904" i="2"/>
  <c r="J904" i="2" s="1"/>
  <c r="H904" i="2"/>
  <c r="F904" i="2"/>
  <c r="D904" i="2"/>
  <c r="U903" i="2"/>
  <c r="Q903" i="2"/>
  <c r="R903" i="2" s="1"/>
  <c r="L903" i="2"/>
  <c r="I903" i="2"/>
  <c r="J903" i="2" s="1"/>
  <c r="H903" i="2"/>
  <c r="F903" i="2"/>
  <c r="D903" i="2"/>
  <c r="U902" i="2"/>
  <c r="Q902" i="2"/>
  <c r="R902" i="2" s="1"/>
  <c r="L902" i="2"/>
  <c r="I902" i="2"/>
  <c r="J902" i="2" s="1"/>
  <c r="H902" i="2"/>
  <c r="F902" i="2"/>
  <c r="D902" i="2"/>
  <c r="U901" i="2"/>
  <c r="Q901" i="2"/>
  <c r="R901" i="2" s="1"/>
  <c r="L901" i="2"/>
  <c r="I901" i="2"/>
  <c r="J901" i="2" s="1"/>
  <c r="H901" i="2"/>
  <c r="F901" i="2"/>
  <c r="D901" i="2"/>
  <c r="U900" i="2"/>
  <c r="Q900" i="2"/>
  <c r="R900" i="2" s="1"/>
  <c r="L900" i="2"/>
  <c r="J900" i="2"/>
  <c r="N900" i="2" s="1"/>
  <c r="O900" i="2" s="1"/>
  <c r="P900" i="2" s="1"/>
  <c r="H900" i="2"/>
  <c r="F900" i="2"/>
  <c r="D900" i="2"/>
  <c r="U899" i="2"/>
  <c r="Q899" i="2"/>
  <c r="R899" i="2" s="1"/>
  <c r="L899" i="2"/>
  <c r="I899" i="2"/>
  <c r="J899" i="2" s="1"/>
  <c r="H899" i="2"/>
  <c r="F899" i="2"/>
  <c r="D899" i="2"/>
  <c r="U898" i="2"/>
  <c r="Q898" i="2"/>
  <c r="R898" i="2" s="1"/>
  <c r="L898" i="2"/>
  <c r="I898" i="2"/>
  <c r="J898" i="2" s="1"/>
  <c r="H898" i="2"/>
  <c r="F898" i="2"/>
  <c r="D898" i="2"/>
  <c r="U897" i="2"/>
  <c r="Q897" i="2"/>
  <c r="R897" i="2" s="1"/>
  <c r="L897" i="2"/>
  <c r="J897" i="2"/>
  <c r="N897" i="2" s="1"/>
  <c r="O897" i="2" s="1"/>
  <c r="P897" i="2" s="1"/>
  <c r="H897" i="2"/>
  <c r="F897" i="2"/>
  <c r="D897" i="2"/>
  <c r="U896" i="2"/>
  <c r="Q896" i="2"/>
  <c r="R896" i="2" s="1"/>
  <c r="L896" i="2"/>
  <c r="I896" i="2"/>
  <c r="J896" i="2" s="1"/>
  <c r="H896" i="2"/>
  <c r="F896" i="2"/>
  <c r="D896" i="2"/>
  <c r="U895" i="2"/>
  <c r="Q895" i="2"/>
  <c r="R895" i="2" s="1"/>
  <c r="L895" i="2"/>
  <c r="J895" i="2"/>
  <c r="H895" i="2"/>
  <c r="F895" i="2"/>
  <c r="D895" i="2"/>
  <c r="U894" i="2"/>
  <c r="Q894" i="2"/>
  <c r="R894" i="2" s="1"/>
  <c r="L894" i="2"/>
  <c r="I894" i="2"/>
  <c r="H894" i="2"/>
  <c r="F894" i="2"/>
  <c r="U893" i="2"/>
  <c r="Q893" i="2"/>
  <c r="R893" i="2" s="1"/>
  <c r="L893" i="2"/>
  <c r="J893" i="2"/>
  <c r="H893" i="2"/>
  <c r="F893" i="2"/>
  <c r="U892" i="2"/>
  <c r="Q892" i="2"/>
  <c r="R892" i="2" s="1"/>
  <c r="L892" i="2"/>
  <c r="J892" i="2"/>
  <c r="H892" i="2"/>
  <c r="F892" i="2"/>
  <c r="U891" i="2"/>
  <c r="Q891" i="2"/>
  <c r="R891" i="2" s="1"/>
  <c r="L891" i="2"/>
  <c r="I891" i="2"/>
  <c r="H891" i="2"/>
  <c r="F891" i="2"/>
  <c r="U890" i="2"/>
  <c r="Q890" i="2"/>
  <c r="R890" i="2" s="1"/>
  <c r="L890" i="2"/>
  <c r="I890" i="2"/>
  <c r="H890" i="2"/>
  <c r="F890" i="2"/>
  <c r="U889" i="2"/>
  <c r="Q889" i="2"/>
  <c r="R889" i="2" s="1"/>
  <c r="L889" i="2"/>
  <c r="I889" i="2"/>
  <c r="H889" i="2"/>
  <c r="F889" i="2"/>
  <c r="U888" i="2"/>
  <c r="Q888" i="2"/>
  <c r="R888" i="2" s="1"/>
  <c r="L888" i="2"/>
  <c r="J888" i="2"/>
  <c r="N888" i="2" s="1"/>
  <c r="O888" i="2" s="1"/>
  <c r="P888" i="2" s="1"/>
  <c r="H888" i="2"/>
  <c r="U887" i="2"/>
  <c r="Q887" i="2"/>
  <c r="R887" i="2" s="1"/>
  <c r="L887" i="2"/>
  <c r="I887" i="2"/>
  <c r="J887" i="2" s="1"/>
  <c r="H887" i="2"/>
  <c r="F887" i="2"/>
  <c r="U886" i="2"/>
  <c r="Q886" i="2"/>
  <c r="R886" i="2" s="1"/>
  <c r="L886" i="2"/>
  <c r="J886" i="2"/>
  <c r="H886" i="2"/>
  <c r="F886" i="2"/>
  <c r="U885" i="2"/>
  <c r="Q885" i="2"/>
  <c r="R885" i="2" s="1"/>
  <c r="L885" i="2"/>
  <c r="I885" i="2"/>
  <c r="H885" i="2"/>
  <c r="F885" i="2"/>
  <c r="U884" i="2"/>
  <c r="Q884" i="2"/>
  <c r="R884" i="2" s="1"/>
  <c r="L884" i="2"/>
  <c r="J884" i="2"/>
  <c r="H884" i="2"/>
  <c r="F884" i="2"/>
  <c r="U883" i="2"/>
  <c r="Q883" i="2"/>
  <c r="R883" i="2" s="1"/>
  <c r="L883" i="2"/>
  <c r="I883" i="2"/>
  <c r="H883" i="2"/>
  <c r="F883" i="2"/>
  <c r="U882" i="2"/>
  <c r="Q882" i="2"/>
  <c r="R882" i="2" s="1"/>
  <c r="L882" i="2"/>
  <c r="J882" i="2"/>
  <c r="N882" i="2" s="1"/>
  <c r="O882" i="2" s="1"/>
  <c r="P882" i="2" s="1"/>
  <c r="H882" i="2"/>
  <c r="F882" i="2"/>
  <c r="U881" i="2"/>
  <c r="Q881" i="2"/>
  <c r="R881" i="2" s="1"/>
  <c r="L881" i="2"/>
  <c r="J881" i="2"/>
  <c r="N881" i="2" s="1"/>
  <c r="O881" i="2" s="1"/>
  <c r="P881" i="2" s="1"/>
  <c r="H881" i="2"/>
  <c r="F881" i="2"/>
  <c r="U880" i="2"/>
  <c r="Q880" i="2"/>
  <c r="R880" i="2" s="1"/>
  <c r="L880" i="2"/>
  <c r="J880" i="2"/>
  <c r="H880" i="2"/>
  <c r="F880" i="2"/>
  <c r="U879" i="2"/>
  <c r="Q879" i="2"/>
  <c r="R879" i="2" s="1"/>
  <c r="L879" i="2"/>
  <c r="I879" i="2"/>
  <c r="J879" i="2" s="1"/>
  <c r="H879" i="2"/>
  <c r="F879" i="2"/>
  <c r="U878" i="2"/>
  <c r="Q878" i="2"/>
  <c r="R878" i="2" s="1"/>
  <c r="L878" i="2"/>
  <c r="J878" i="2"/>
  <c r="H878" i="2"/>
  <c r="F878" i="2"/>
  <c r="U877" i="2"/>
  <c r="Q877" i="2"/>
  <c r="R877" i="2" s="1"/>
  <c r="L877" i="2"/>
  <c r="I877" i="2"/>
  <c r="H877" i="2"/>
  <c r="F877" i="2"/>
  <c r="U876" i="2"/>
  <c r="Q876" i="2"/>
  <c r="R876" i="2" s="1"/>
  <c r="L876" i="2"/>
  <c r="J876" i="2"/>
  <c r="N876" i="2" s="1"/>
  <c r="O876" i="2" s="1"/>
  <c r="P876" i="2" s="1"/>
  <c r="H876" i="2"/>
  <c r="F876" i="2"/>
  <c r="U875" i="2"/>
  <c r="Q875" i="2"/>
  <c r="R875" i="2" s="1"/>
  <c r="L875" i="2"/>
  <c r="J875" i="2"/>
  <c r="N875" i="2" s="1"/>
  <c r="O875" i="2" s="1"/>
  <c r="P875" i="2" s="1"/>
  <c r="H875" i="2"/>
  <c r="F875" i="2"/>
  <c r="U874" i="2"/>
  <c r="Q874" i="2"/>
  <c r="R874" i="2" s="1"/>
  <c r="L874" i="2"/>
  <c r="J874" i="2"/>
  <c r="H874" i="2"/>
  <c r="F874" i="2"/>
  <c r="U873" i="2"/>
  <c r="Q873" i="2"/>
  <c r="R873" i="2" s="1"/>
  <c r="L873" i="2"/>
  <c r="J873" i="2"/>
  <c r="N873" i="2" s="1"/>
  <c r="O873" i="2" s="1"/>
  <c r="P873" i="2" s="1"/>
  <c r="H873" i="2"/>
  <c r="F873" i="2"/>
  <c r="U872" i="2"/>
  <c r="Q872" i="2"/>
  <c r="R872" i="2" s="1"/>
  <c r="L872" i="2"/>
  <c r="I872" i="2"/>
  <c r="H872" i="2"/>
  <c r="F872" i="2"/>
  <c r="U871" i="2"/>
  <c r="Q871" i="2"/>
  <c r="R871" i="2" s="1"/>
  <c r="L871" i="2"/>
  <c r="J871" i="2"/>
  <c r="N871" i="2" s="1"/>
  <c r="O871" i="2" s="1"/>
  <c r="P871" i="2" s="1"/>
  <c r="H871" i="2"/>
  <c r="F871" i="2"/>
  <c r="U870" i="2"/>
  <c r="Q870" i="2"/>
  <c r="R870" i="2" s="1"/>
  <c r="L870" i="2"/>
  <c r="I870" i="2"/>
  <c r="J870" i="2" s="1"/>
  <c r="H870" i="2"/>
  <c r="F870" i="2"/>
  <c r="U869" i="2"/>
  <c r="Q869" i="2"/>
  <c r="R869" i="2" s="1"/>
  <c r="L869" i="2"/>
  <c r="I869" i="2"/>
  <c r="J869" i="2" s="1"/>
  <c r="H869" i="2"/>
  <c r="F869" i="2"/>
  <c r="U868" i="2"/>
  <c r="Q868" i="2"/>
  <c r="R868" i="2" s="1"/>
  <c r="L868" i="2"/>
  <c r="J868" i="2"/>
  <c r="N868" i="2" s="1"/>
  <c r="O868" i="2" s="1"/>
  <c r="P868" i="2" s="1"/>
  <c r="H868" i="2"/>
  <c r="F868" i="2"/>
  <c r="U867" i="2"/>
  <c r="Q867" i="2"/>
  <c r="R867" i="2" s="1"/>
  <c r="L867" i="2"/>
  <c r="J867" i="2"/>
  <c r="H867" i="2"/>
  <c r="F867" i="2"/>
  <c r="U866" i="2"/>
  <c r="Q866" i="2"/>
  <c r="R866" i="2" s="1"/>
  <c r="L866" i="2"/>
  <c r="J866" i="2"/>
  <c r="N866" i="2" s="1"/>
  <c r="O866" i="2" s="1"/>
  <c r="P866" i="2" s="1"/>
  <c r="H866" i="2"/>
  <c r="F866" i="2"/>
  <c r="U865" i="2"/>
  <c r="Q865" i="2"/>
  <c r="R865" i="2" s="1"/>
  <c r="L865" i="2"/>
  <c r="J865" i="2"/>
  <c r="N865" i="2" s="1"/>
  <c r="O865" i="2" s="1"/>
  <c r="P865" i="2" s="1"/>
  <c r="H865" i="2"/>
  <c r="F865" i="2"/>
  <c r="U864" i="2"/>
  <c r="Q864" i="2"/>
  <c r="R864" i="2" s="1"/>
  <c r="L864" i="2"/>
  <c r="J864" i="2"/>
  <c r="N864" i="2" s="1"/>
  <c r="O864" i="2" s="1"/>
  <c r="P864" i="2" s="1"/>
  <c r="H864" i="2"/>
  <c r="F864" i="2"/>
  <c r="U863" i="2"/>
  <c r="Q863" i="2"/>
  <c r="R863" i="2" s="1"/>
  <c r="L863" i="2"/>
  <c r="I863" i="2"/>
  <c r="J863" i="2" s="1"/>
  <c r="H863" i="2"/>
  <c r="F863" i="2"/>
  <c r="U862" i="2"/>
  <c r="Q862" i="2"/>
  <c r="R862" i="2" s="1"/>
  <c r="L862" i="2"/>
  <c r="I862" i="2"/>
  <c r="J862" i="2" s="1"/>
  <c r="H862" i="2"/>
  <c r="F862" i="2"/>
  <c r="U861" i="2"/>
  <c r="Q861" i="2"/>
  <c r="R861" i="2" s="1"/>
  <c r="L861" i="2"/>
  <c r="J861" i="2"/>
  <c r="H861" i="2"/>
  <c r="F861" i="2"/>
  <c r="U860" i="2"/>
  <c r="Q860" i="2"/>
  <c r="R860" i="2" s="1"/>
  <c r="L860" i="2"/>
  <c r="J860" i="2"/>
  <c r="N860" i="2" s="1"/>
  <c r="O860" i="2" s="1"/>
  <c r="P860" i="2" s="1"/>
  <c r="H860" i="2"/>
  <c r="F860" i="2"/>
  <c r="U859" i="2"/>
  <c r="Q859" i="2"/>
  <c r="R859" i="2" s="1"/>
  <c r="L859" i="2"/>
  <c r="I859" i="2"/>
  <c r="H859" i="2"/>
  <c r="F859" i="2"/>
  <c r="U858" i="2"/>
  <c r="Q858" i="2"/>
  <c r="R858" i="2" s="1"/>
  <c r="L858" i="2"/>
  <c r="I858" i="2"/>
  <c r="H858" i="2"/>
  <c r="F858" i="2"/>
  <c r="U857" i="2"/>
  <c r="Q857" i="2"/>
  <c r="R857" i="2" s="1"/>
  <c r="L857" i="2"/>
  <c r="J857" i="2"/>
  <c r="N857" i="2" s="1"/>
  <c r="O857" i="2" s="1"/>
  <c r="P857" i="2" s="1"/>
  <c r="H857" i="2"/>
  <c r="F857" i="2"/>
  <c r="U856" i="2"/>
  <c r="Q856" i="2"/>
  <c r="R856" i="2" s="1"/>
  <c r="L856" i="2"/>
  <c r="J856" i="2"/>
  <c r="H856" i="2"/>
  <c r="F856" i="2"/>
  <c r="U855" i="2"/>
  <c r="Q855" i="2"/>
  <c r="R855" i="2" s="1"/>
  <c r="L855" i="2"/>
  <c r="J855" i="2"/>
  <c r="H855" i="2"/>
  <c r="F855" i="2"/>
  <c r="U854" i="2"/>
  <c r="Q854" i="2"/>
  <c r="R854" i="2" s="1"/>
  <c r="L854" i="2"/>
  <c r="J854" i="2"/>
  <c r="N854" i="2" s="1"/>
  <c r="O854" i="2" s="1"/>
  <c r="P854" i="2" s="1"/>
  <c r="H854" i="2"/>
  <c r="F854" i="2"/>
  <c r="U853" i="2"/>
  <c r="Q853" i="2"/>
  <c r="R853" i="2" s="1"/>
  <c r="L853" i="2"/>
  <c r="J853" i="2"/>
  <c r="N853" i="2" s="1"/>
  <c r="O853" i="2" s="1"/>
  <c r="P853" i="2" s="1"/>
  <c r="H853" i="2"/>
  <c r="F853" i="2"/>
  <c r="U852" i="2"/>
  <c r="Q852" i="2"/>
  <c r="R852" i="2" s="1"/>
  <c r="L852" i="2"/>
  <c r="J852" i="2"/>
  <c r="H852" i="2"/>
  <c r="F852" i="2"/>
  <c r="U851" i="2"/>
  <c r="Q851" i="2"/>
  <c r="R851" i="2" s="1"/>
  <c r="L851" i="2"/>
  <c r="J851" i="2"/>
  <c r="H851" i="2"/>
  <c r="F851" i="2"/>
  <c r="U850" i="2"/>
  <c r="Q850" i="2"/>
  <c r="R850" i="2" s="1"/>
  <c r="L850" i="2"/>
  <c r="J850" i="2"/>
  <c r="N850" i="2" s="1"/>
  <c r="O850" i="2" s="1"/>
  <c r="P850" i="2" s="1"/>
  <c r="H850" i="2"/>
  <c r="F850" i="2"/>
  <c r="U849" i="2"/>
  <c r="Q849" i="2"/>
  <c r="R849" i="2" s="1"/>
  <c r="L849" i="2"/>
  <c r="J849" i="2"/>
  <c r="N849" i="2" s="1"/>
  <c r="O849" i="2" s="1"/>
  <c r="P849" i="2" s="1"/>
  <c r="H849" i="2"/>
  <c r="F849" i="2"/>
  <c r="U848" i="2"/>
  <c r="Q848" i="2"/>
  <c r="R848" i="2" s="1"/>
  <c r="L848" i="2"/>
  <c r="J848" i="2"/>
  <c r="N848" i="2" s="1"/>
  <c r="O848" i="2" s="1"/>
  <c r="P848" i="2" s="1"/>
  <c r="H848" i="2"/>
  <c r="F848" i="2"/>
  <c r="U847" i="2"/>
  <c r="Q847" i="2"/>
  <c r="R847" i="2" s="1"/>
  <c r="L847" i="2"/>
  <c r="I847" i="2"/>
  <c r="J847" i="2" s="1"/>
  <c r="H847" i="2"/>
  <c r="F847" i="2"/>
  <c r="U846" i="2"/>
  <c r="Q846" i="2"/>
  <c r="R846" i="2" s="1"/>
  <c r="L846" i="2"/>
  <c r="J846" i="2"/>
  <c r="H846" i="2"/>
  <c r="F846" i="2"/>
  <c r="U845" i="2"/>
  <c r="Q845" i="2"/>
  <c r="R845" i="2" s="1"/>
  <c r="L845" i="2"/>
  <c r="I845" i="2"/>
  <c r="J845" i="2" s="1"/>
  <c r="H845" i="2"/>
  <c r="F845" i="2"/>
  <c r="U844" i="2"/>
  <c r="Q844" i="2"/>
  <c r="R844" i="2" s="1"/>
  <c r="L844" i="2"/>
  <c r="J844" i="2"/>
  <c r="N844" i="2" s="1"/>
  <c r="O844" i="2" s="1"/>
  <c r="P844" i="2" s="1"/>
  <c r="H844" i="2"/>
  <c r="F844" i="2"/>
  <c r="U843" i="2"/>
  <c r="Q843" i="2"/>
  <c r="R843" i="2" s="1"/>
  <c r="L843" i="2"/>
  <c r="J843" i="2"/>
  <c r="H843" i="2"/>
  <c r="F843" i="2"/>
  <c r="U842" i="2"/>
  <c r="Q842" i="2"/>
  <c r="R842" i="2" s="1"/>
  <c r="L842" i="2"/>
  <c r="J842" i="2"/>
  <c r="H842" i="2"/>
  <c r="F842" i="2"/>
  <c r="U841" i="2"/>
  <c r="Q841" i="2"/>
  <c r="R841" i="2" s="1"/>
  <c r="L841" i="2"/>
  <c r="J841" i="2"/>
  <c r="H841" i="2"/>
  <c r="F841" i="2"/>
  <c r="U840" i="2"/>
  <c r="Q840" i="2"/>
  <c r="R840" i="2" s="1"/>
  <c r="L840" i="2"/>
  <c r="J840" i="2"/>
  <c r="N840" i="2" s="1"/>
  <c r="O840" i="2" s="1"/>
  <c r="P840" i="2" s="1"/>
  <c r="H840" i="2"/>
  <c r="F840" i="2"/>
  <c r="U839" i="2"/>
  <c r="Q839" i="2"/>
  <c r="R839" i="2" s="1"/>
  <c r="L839" i="2"/>
  <c r="J839" i="2"/>
  <c r="N839" i="2" s="1"/>
  <c r="O839" i="2" s="1"/>
  <c r="P839" i="2" s="1"/>
  <c r="H839" i="2"/>
  <c r="F839" i="2"/>
  <c r="U838" i="2"/>
  <c r="Q838" i="2"/>
  <c r="R838" i="2" s="1"/>
  <c r="L838" i="2"/>
  <c r="J838" i="2"/>
  <c r="H838" i="2"/>
  <c r="F838" i="2"/>
  <c r="U837" i="2"/>
  <c r="Q837" i="2"/>
  <c r="R837" i="2" s="1"/>
  <c r="L837" i="2"/>
  <c r="J837" i="2"/>
  <c r="H837" i="2"/>
  <c r="F837" i="2"/>
  <c r="U836" i="2"/>
  <c r="Q836" i="2"/>
  <c r="R836" i="2" s="1"/>
  <c r="L836" i="2"/>
  <c r="J836" i="2"/>
  <c r="N836" i="2" s="1"/>
  <c r="O836" i="2" s="1"/>
  <c r="P836" i="2" s="1"/>
  <c r="H836" i="2"/>
  <c r="F836" i="2"/>
  <c r="U835" i="2"/>
  <c r="Q835" i="2"/>
  <c r="R835" i="2" s="1"/>
  <c r="L835" i="2"/>
  <c r="J835" i="2"/>
  <c r="N835" i="2" s="1"/>
  <c r="O835" i="2" s="1"/>
  <c r="P835" i="2" s="1"/>
  <c r="H835" i="2"/>
  <c r="F835" i="2"/>
  <c r="U834" i="2"/>
  <c r="Q834" i="2"/>
  <c r="R834" i="2" s="1"/>
  <c r="L834" i="2"/>
  <c r="J834" i="2"/>
  <c r="N834" i="2" s="1"/>
  <c r="O834" i="2" s="1"/>
  <c r="P834" i="2" s="1"/>
  <c r="H834" i="2"/>
  <c r="F834" i="2"/>
  <c r="U833" i="2"/>
  <c r="Q833" i="2"/>
  <c r="R833" i="2" s="1"/>
  <c r="L833" i="2"/>
  <c r="J833" i="2"/>
  <c r="H833" i="2"/>
  <c r="F833" i="2"/>
  <c r="U832" i="2"/>
  <c r="Q832" i="2"/>
  <c r="R832" i="2" s="1"/>
  <c r="L832" i="2"/>
  <c r="J832" i="2"/>
  <c r="N832" i="2" s="1"/>
  <c r="O832" i="2" s="1"/>
  <c r="P832" i="2" s="1"/>
  <c r="H832" i="2"/>
  <c r="F832" i="2"/>
  <c r="U831" i="2"/>
  <c r="Q831" i="2"/>
  <c r="R831" i="2" s="1"/>
  <c r="L831" i="2"/>
  <c r="I831" i="2"/>
  <c r="J831" i="2" s="1"/>
  <c r="H831" i="2"/>
  <c r="F831" i="2"/>
  <c r="U830" i="2"/>
  <c r="Q830" i="2"/>
  <c r="R830" i="2" s="1"/>
  <c r="L830" i="2"/>
  <c r="J830" i="2"/>
  <c r="N830" i="2" s="1"/>
  <c r="O830" i="2" s="1"/>
  <c r="P830" i="2" s="1"/>
  <c r="H830" i="2"/>
  <c r="F830" i="2"/>
  <c r="U829" i="2"/>
  <c r="Q829" i="2"/>
  <c r="R829" i="2" s="1"/>
  <c r="L829" i="2"/>
  <c r="J829" i="2"/>
  <c r="N829" i="2" s="1"/>
  <c r="O829" i="2" s="1"/>
  <c r="P829" i="2" s="1"/>
  <c r="H829" i="2"/>
  <c r="F829" i="2"/>
  <c r="U828" i="2"/>
  <c r="Q828" i="2"/>
  <c r="R828" i="2" s="1"/>
  <c r="L828" i="2"/>
  <c r="J828" i="2"/>
  <c r="H828" i="2"/>
  <c r="F828" i="2"/>
  <c r="U827" i="2"/>
  <c r="Q827" i="2"/>
  <c r="R827" i="2" s="1"/>
  <c r="L827" i="2"/>
  <c r="J827" i="2"/>
  <c r="H827" i="2"/>
  <c r="F827" i="2"/>
  <c r="U826" i="2"/>
  <c r="Q826" i="2"/>
  <c r="R826" i="2" s="1"/>
  <c r="L826" i="2"/>
  <c r="J826" i="2"/>
  <c r="H826" i="2"/>
  <c r="F826" i="2"/>
  <c r="U825" i="2"/>
  <c r="Q825" i="2"/>
  <c r="R825" i="2" s="1"/>
  <c r="L825" i="2"/>
  <c r="J825" i="2"/>
  <c r="N825" i="2" s="1"/>
  <c r="O825" i="2" s="1"/>
  <c r="P825" i="2" s="1"/>
  <c r="H825" i="2"/>
  <c r="F825" i="2"/>
  <c r="U824" i="2"/>
  <c r="Q824" i="2"/>
  <c r="R824" i="2" s="1"/>
  <c r="L824" i="2"/>
  <c r="J824" i="2"/>
  <c r="H824" i="2"/>
  <c r="F824" i="2"/>
  <c r="U823" i="2"/>
  <c r="Q823" i="2"/>
  <c r="R823" i="2" s="1"/>
  <c r="L823" i="2"/>
  <c r="J823" i="2"/>
  <c r="N823" i="2" s="1"/>
  <c r="O823" i="2" s="1"/>
  <c r="P823" i="2" s="1"/>
  <c r="H823" i="2"/>
  <c r="F823" i="2"/>
  <c r="U822" i="2"/>
  <c r="Q822" i="2"/>
  <c r="R822" i="2" s="1"/>
  <c r="L822" i="2"/>
  <c r="I822" i="2"/>
  <c r="J822" i="2" s="1"/>
  <c r="H822" i="2"/>
  <c r="F822" i="2"/>
  <c r="U821" i="2"/>
  <c r="Q821" i="2"/>
  <c r="R821" i="2" s="1"/>
  <c r="L821" i="2"/>
  <c r="J821" i="2"/>
  <c r="N821" i="2" s="1"/>
  <c r="O821" i="2" s="1"/>
  <c r="P821" i="2" s="1"/>
  <c r="H821" i="2"/>
  <c r="F821" i="2"/>
  <c r="U820" i="2"/>
  <c r="Q820" i="2"/>
  <c r="R820" i="2" s="1"/>
  <c r="L820" i="2"/>
  <c r="J820" i="2"/>
  <c r="N820" i="2" s="1"/>
  <c r="O820" i="2" s="1"/>
  <c r="P820" i="2" s="1"/>
  <c r="H820" i="2"/>
  <c r="F820" i="2"/>
  <c r="U819" i="2"/>
  <c r="Q819" i="2"/>
  <c r="R819" i="2" s="1"/>
  <c r="L819" i="2"/>
  <c r="J819" i="2"/>
  <c r="H819" i="2"/>
  <c r="F819" i="2"/>
  <c r="U818" i="2"/>
  <c r="Q818" i="2"/>
  <c r="R818" i="2" s="1"/>
  <c r="L818" i="2"/>
  <c r="J818" i="2"/>
  <c r="H818" i="2"/>
  <c r="F818" i="2"/>
  <c r="U817" i="2"/>
  <c r="Q817" i="2"/>
  <c r="R817" i="2" s="1"/>
  <c r="L817" i="2"/>
  <c r="J817" i="2"/>
  <c r="N817" i="2" s="1"/>
  <c r="O817" i="2" s="1"/>
  <c r="P817" i="2" s="1"/>
  <c r="H817" i="2"/>
  <c r="F817" i="2"/>
  <c r="U816" i="2"/>
  <c r="Q816" i="2"/>
  <c r="R816" i="2" s="1"/>
  <c r="L816" i="2"/>
  <c r="J816" i="2"/>
  <c r="N816" i="2" s="1"/>
  <c r="O816" i="2" s="1"/>
  <c r="P816" i="2" s="1"/>
  <c r="H816" i="2"/>
  <c r="F816" i="2"/>
  <c r="U815" i="2"/>
  <c r="Q815" i="2"/>
  <c r="R815" i="2" s="1"/>
  <c r="L815" i="2"/>
  <c r="J815" i="2"/>
  <c r="H815" i="2"/>
  <c r="F815" i="2"/>
  <c r="U814" i="2"/>
  <c r="Q814" i="2"/>
  <c r="R814" i="2" s="1"/>
  <c r="L814" i="2"/>
  <c r="J814" i="2"/>
  <c r="H814" i="2"/>
  <c r="F814" i="2"/>
  <c r="U813" i="2"/>
  <c r="Q813" i="2"/>
  <c r="R813" i="2" s="1"/>
  <c r="L813" i="2"/>
  <c r="J813" i="2"/>
  <c r="N813" i="2" s="1"/>
  <c r="O813" i="2" s="1"/>
  <c r="P813" i="2" s="1"/>
  <c r="H813" i="2"/>
  <c r="F813" i="2"/>
  <c r="U812" i="2"/>
  <c r="Q812" i="2"/>
  <c r="R812" i="2" s="1"/>
  <c r="L812" i="2"/>
  <c r="J812" i="2"/>
  <c r="N812" i="2" s="1"/>
  <c r="O812" i="2" s="1"/>
  <c r="P812" i="2" s="1"/>
  <c r="H812" i="2"/>
  <c r="F812" i="2"/>
  <c r="U811" i="2"/>
  <c r="Q811" i="2"/>
  <c r="R811" i="2" s="1"/>
  <c r="L811" i="2"/>
  <c r="J811" i="2"/>
  <c r="H811" i="2"/>
  <c r="F811" i="2"/>
  <c r="U810" i="2"/>
  <c r="Q810" i="2"/>
  <c r="R810" i="2" s="1"/>
  <c r="L810" i="2"/>
  <c r="J810" i="2"/>
  <c r="H810" i="2"/>
  <c r="F810" i="2"/>
  <c r="U809" i="2"/>
  <c r="Q809" i="2"/>
  <c r="R809" i="2" s="1"/>
  <c r="L809" i="2"/>
  <c r="J809" i="2"/>
  <c r="N809" i="2" s="1"/>
  <c r="O809" i="2" s="1"/>
  <c r="P809" i="2" s="1"/>
  <c r="H809" i="2"/>
  <c r="F809" i="2"/>
  <c r="U808" i="2"/>
  <c r="Q808" i="2"/>
  <c r="R808" i="2" s="1"/>
  <c r="L808" i="2"/>
  <c r="J808" i="2"/>
  <c r="N808" i="2" s="1"/>
  <c r="O808" i="2" s="1"/>
  <c r="P808" i="2" s="1"/>
  <c r="H808" i="2"/>
  <c r="F808" i="2"/>
  <c r="U807" i="2"/>
  <c r="Q807" i="2"/>
  <c r="R807" i="2" s="1"/>
  <c r="L807" i="2"/>
  <c r="J807" i="2"/>
  <c r="N807" i="2" s="1"/>
  <c r="O807" i="2" s="1"/>
  <c r="P807" i="2" s="1"/>
  <c r="H807" i="2"/>
  <c r="F807" i="2"/>
  <c r="U806" i="2"/>
  <c r="Q806" i="2"/>
  <c r="R806" i="2" s="1"/>
  <c r="L806" i="2"/>
  <c r="J806" i="2"/>
  <c r="H806" i="2"/>
  <c r="F806" i="2"/>
  <c r="U805" i="2"/>
  <c r="Q805" i="2"/>
  <c r="R805" i="2" s="1"/>
  <c r="L805" i="2"/>
  <c r="J805" i="2"/>
  <c r="H805" i="2"/>
  <c r="F805" i="2"/>
  <c r="U804" i="2"/>
  <c r="Q804" i="2"/>
  <c r="R804" i="2" s="1"/>
  <c r="L804" i="2"/>
  <c r="J804" i="2"/>
  <c r="H804" i="2"/>
  <c r="F804" i="2"/>
  <c r="U803" i="2"/>
  <c r="Q803" i="2"/>
  <c r="R803" i="2" s="1"/>
  <c r="L803" i="2"/>
  <c r="J803" i="2"/>
  <c r="N803" i="2" s="1"/>
  <c r="O803" i="2" s="1"/>
  <c r="P803" i="2" s="1"/>
  <c r="H803" i="2"/>
  <c r="F803" i="2"/>
  <c r="U802" i="2"/>
  <c r="Q802" i="2"/>
  <c r="R802" i="2" s="1"/>
  <c r="L802" i="2"/>
  <c r="J802" i="2"/>
  <c r="H802" i="2"/>
  <c r="F802" i="2"/>
  <c r="U801" i="2"/>
  <c r="Q801" i="2"/>
  <c r="R801" i="2" s="1"/>
  <c r="L801" i="2"/>
  <c r="J801" i="2"/>
  <c r="H801" i="2"/>
  <c r="F801" i="2"/>
  <c r="U800" i="2"/>
  <c r="Q800" i="2"/>
  <c r="R800" i="2" s="1"/>
  <c r="L800" i="2"/>
  <c r="J800" i="2"/>
  <c r="N800" i="2" s="1"/>
  <c r="O800" i="2" s="1"/>
  <c r="P800" i="2" s="1"/>
  <c r="H800" i="2"/>
  <c r="F800" i="2"/>
  <c r="U799" i="2"/>
  <c r="Q799" i="2"/>
  <c r="R799" i="2" s="1"/>
  <c r="L799" i="2"/>
  <c r="J799" i="2"/>
  <c r="N799" i="2" s="1"/>
  <c r="O799" i="2" s="1"/>
  <c r="P799" i="2" s="1"/>
  <c r="H799" i="2"/>
  <c r="F799" i="2"/>
  <c r="U798" i="2"/>
  <c r="Q798" i="2"/>
  <c r="R798" i="2" s="1"/>
  <c r="L798" i="2"/>
  <c r="J798" i="2"/>
  <c r="H798" i="2"/>
  <c r="F798" i="2"/>
  <c r="U797" i="2"/>
  <c r="Q797" i="2"/>
  <c r="R797" i="2" s="1"/>
  <c r="L797" i="2"/>
  <c r="J797" i="2"/>
  <c r="N797" i="2" s="1"/>
  <c r="O797" i="2" s="1"/>
  <c r="P797" i="2" s="1"/>
  <c r="H797" i="2"/>
  <c r="F797" i="2"/>
  <c r="U796" i="2"/>
  <c r="Q796" i="2"/>
  <c r="R796" i="2" s="1"/>
  <c r="L796" i="2"/>
  <c r="J796" i="2"/>
  <c r="N796" i="2" s="1"/>
  <c r="O796" i="2" s="1"/>
  <c r="P796" i="2" s="1"/>
  <c r="H796" i="2"/>
  <c r="F796" i="2"/>
  <c r="U795" i="2"/>
  <c r="Q795" i="2"/>
  <c r="R795" i="2" s="1"/>
  <c r="L795" i="2"/>
  <c r="J795" i="2"/>
  <c r="N795" i="2" s="1"/>
  <c r="O795" i="2" s="1"/>
  <c r="P795" i="2" s="1"/>
  <c r="H795" i="2"/>
  <c r="F795" i="2"/>
  <c r="U794" i="2"/>
  <c r="Q794" i="2"/>
  <c r="R794" i="2" s="1"/>
  <c r="L794" i="2"/>
  <c r="J794" i="2"/>
  <c r="H794" i="2"/>
  <c r="F794" i="2"/>
  <c r="U793" i="2"/>
  <c r="Q793" i="2"/>
  <c r="R793" i="2" s="1"/>
  <c r="L793" i="2"/>
  <c r="J793" i="2"/>
  <c r="N793" i="2" s="1"/>
  <c r="O793" i="2" s="1"/>
  <c r="P793" i="2" s="1"/>
  <c r="H793" i="2"/>
  <c r="F793" i="2"/>
  <c r="U792" i="2"/>
  <c r="Q792" i="2"/>
  <c r="R792" i="2" s="1"/>
  <c r="L792" i="2"/>
  <c r="J792" i="2"/>
  <c r="N792" i="2" s="1"/>
  <c r="O792" i="2" s="1"/>
  <c r="P792" i="2" s="1"/>
  <c r="H792" i="2"/>
  <c r="F792" i="2"/>
  <c r="U791" i="2"/>
  <c r="Q791" i="2"/>
  <c r="R791" i="2" s="1"/>
  <c r="L791" i="2"/>
  <c r="J791" i="2"/>
  <c r="N791" i="2" s="1"/>
  <c r="O791" i="2" s="1"/>
  <c r="P791" i="2" s="1"/>
  <c r="H791" i="2"/>
  <c r="F791" i="2"/>
  <c r="U790" i="2"/>
  <c r="Q790" i="2"/>
  <c r="R790" i="2" s="1"/>
  <c r="L790" i="2"/>
  <c r="J790" i="2"/>
  <c r="H790" i="2"/>
  <c r="F790" i="2"/>
  <c r="U789" i="2"/>
  <c r="Q789" i="2"/>
  <c r="R789" i="2" s="1"/>
  <c r="L789" i="2"/>
  <c r="J789" i="2"/>
  <c r="H789" i="2"/>
  <c r="F789" i="2"/>
  <c r="U788" i="2"/>
  <c r="Q788" i="2"/>
  <c r="R788" i="2" s="1"/>
  <c r="L788" i="2"/>
  <c r="J788" i="2"/>
  <c r="H788" i="2"/>
  <c r="F788" i="2"/>
  <c r="U787" i="2"/>
  <c r="Q787" i="2"/>
  <c r="R787" i="2" s="1"/>
  <c r="L787" i="2"/>
  <c r="J787" i="2"/>
  <c r="N787" i="2" s="1"/>
  <c r="O787" i="2" s="1"/>
  <c r="P787" i="2" s="1"/>
  <c r="H787" i="2"/>
  <c r="F787" i="2"/>
  <c r="U786" i="2"/>
  <c r="Q786" i="2"/>
  <c r="R786" i="2" s="1"/>
  <c r="K786" i="2"/>
  <c r="I786" i="2"/>
  <c r="J786" i="2" s="1"/>
  <c r="H786" i="2"/>
  <c r="F786" i="2"/>
  <c r="U785" i="2"/>
  <c r="Q785" i="2"/>
  <c r="R785" i="2" s="1"/>
  <c r="L785" i="2"/>
  <c r="I785" i="2"/>
  <c r="H785" i="2"/>
  <c r="F785" i="2"/>
  <c r="U784" i="2"/>
  <c r="Q784" i="2"/>
  <c r="R784" i="2" s="1"/>
  <c r="K784" i="2"/>
  <c r="L784" i="2" s="1"/>
  <c r="I784" i="2"/>
  <c r="J784" i="2" s="1"/>
  <c r="H784" i="2"/>
  <c r="F784" i="2"/>
  <c r="U783" i="2"/>
  <c r="Q783" i="2"/>
  <c r="R783" i="2" s="1"/>
  <c r="K783" i="2"/>
  <c r="L783" i="2" s="1"/>
  <c r="I783" i="2"/>
  <c r="H783" i="2"/>
  <c r="F783" i="2"/>
  <c r="U782" i="2"/>
  <c r="Q782" i="2"/>
  <c r="R782" i="2" s="1"/>
  <c r="K782" i="2"/>
  <c r="L782" i="2" s="1"/>
  <c r="I782" i="2"/>
  <c r="J782" i="2" s="1"/>
  <c r="H782" i="2"/>
  <c r="F782" i="2"/>
  <c r="U781" i="2"/>
  <c r="Q781" i="2"/>
  <c r="R781" i="2" s="1"/>
  <c r="K781" i="2"/>
  <c r="I781" i="2"/>
  <c r="J781" i="2" s="1"/>
  <c r="H781" i="2"/>
  <c r="F781" i="2"/>
  <c r="U780" i="2"/>
  <c r="Q780" i="2"/>
  <c r="R780" i="2" s="1"/>
  <c r="K780" i="2"/>
  <c r="L780" i="2" s="1"/>
  <c r="I780" i="2"/>
  <c r="J780" i="2" s="1"/>
  <c r="H780" i="2"/>
  <c r="F780" i="2"/>
  <c r="U779" i="2"/>
  <c r="Q779" i="2"/>
  <c r="R779" i="2" s="1"/>
  <c r="K779" i="2"/>
  <c r="L779" i="2" s="1"/>
  <c r="I779" i="2"/>
  <c r="H779" i="2"/>
  <c r="F779" i="2"/>
  <c r="U778" i="2"/>
  <c r="Q778" i="2"/>
  <c r="R778" i="2" s="1"/>
  <c r="K778" i="2"/>
  <c r="L778" i="2" s="1"/>
  <c r="I778" i="2"/>
  <c r="J778" i="2" s="1"/>
  <c r="H778" i="2"/>
  <c r="F778" i="2"/>
  <c r="U777" i="2"/>
  <c r="Q777" i="2"/>
  <c r="R777" i="2" s="1"/>
  <c r="K777" i="2"/>
  <c r="I777" i="2"/>
  <c r="J777" i="2" s="1"/>
  <c r="H777" i="2"/>
  <c r="F777" i="2"/>
  <c r="U776" i="2"/>
  <c r="Q776" i="2"/>
  <c r="R776" i="2" s="1"/>
  <c r="K776" i="2"/>
  <c r="L776" i="2" s="1"/>
  <c r="I776" i="2"/>
  <c r="J776" i="2" s="1"/>
  <c r="H776" i="2"/>
  <c r="F776" i="2"/>
  <c r="U775" i="2"/>
  <c r="Q775" i="2"/>
  <c r="R775" i="2" s="1"/>
  <c r="L775" i="2"/>
  <c r="I775" i="2"/>
  <c r="J775" i="2" s="1"/>
  <c r="H775" i="2"/>
  <c r="F775" i="2"/>
  <c r="U774" i="2"/>
  <c r="Q774" i="2"/>
  <c r="R774" i="2" s="1"/>
  <c r="L774" i="2"/>
  <c r="J774" i="2"/>
  <c r="N774" i="2" s="1"/>
  <c r="O774" i="2" s="1"/>
  <c r="P774" i="2" s="1"/>
  <c r="H774" i="2"/>
  <c r="F774" i="2"/>
  <c r="U773" i="2"/>
  <c r="Q773" i="2"/>
  <c r="R773" i="2" s="1"/>
  <c r="L773" i="2"/>
  <c r="J773" i="2"/>
  <c r="N773" i="2" s="1"/>
  <c r="O773" i="2" s="1"/>
  <c r="P773" i="2" s="1"/>
  <c r="H773" i="2"/>
  <c r="F773" i="2"/>
  <c r="U772" i="2"/>
  <c r="Q772" i="2"/>
  <c r="R772" i="2" s="1"/>
  <c r="L772" i="2"/>
  <c r="J772" i="2"/>
  <c r="H772" i="2"/>
  <c r="F772" i="2"/>
  <c r="U771" i="2"/>
  <c r="Q771" i="2"/>
  <c r="R771" i="2" s="1"/>
  <c r="L771" i="2"/>
  <c r="J771" i="2"/>
  <c r="H771" i="2"/>
  <c r="F771" i="2"/>
  <c r="U770" i="2"/>
  <c r="Q770" i="2"/>
  <c r="R770" i="2" s="1"/>
  <c r="L770" i="2"/>
  <c r="I770" i="2"/>
  <c r="J770" i="2" s="1"/>
  <c r="H770" i="2"/>
  <c r="F770" i="2"/>
  <c r="U769" i="2"/>
  <c r="Q769" i="2"/>
  <c r="R769" i="2" s="1"/>
  <c r="L769" i="2"/>
  <c r="J769" i="2"/>
  <c r="N769" i="2" s="1"/>
  <c r="O769" i="2" s="1"/>
  <c r="P769" i="2" s="1"/>
  <c r="H769" i="2"/>
  <c r="F769" i="2"/>
  <c r="U768" i="2"/>
  <c r="Q768" i="2"/>
  <c r="R768" i="2" s="1"/>
  <c r="L768" i="2"/>
  <c r="J768" i="2"/>
  <c r="N768" i="2" s="1"/>
  <c r="O768" i="2" s="1"/>
  <c r="P768" i="2" s="1"/>
  <c r="H768" i="2"/>
  <c r="F768" i="2"/>
  <c r="U767" i="2"/>
  <c r="Q767" i="2"/>
  <c r="R767" i="2" s="1"/>
  <c r="L767" i="2"/>
  <c r="I767" i="2"/>
  <c r="J767" i="2" s="1"/>
  <c r="H767" i="2"/>
  <c r="F767" i="2"/>
  <c r="U766" i="2"/>
  <c r="Q766" i="2"/>
  <c r="R766" i="2" s="1"/>
  <c r="L766" i="2"/>
  <c r="J766" i="2"/>
  <c r="H766" i="2"/>
  <c r="F766" i="2"/>
  <c r="U765" i="2"/>
  <c r="Q765" i="2"/>
  <c r="R765" i="2" s="1"/>
  <c r="L765" i="2"/>
  <c r="J765" i="2"/>
  <c r="N765" i="2" s="1"/>
  <c r="O765" i="2" s="1"/>
  <c r="P765" i="2" s="1"/>
  <c r="H765" i="2"/>
  <c r="F765" i="2"/>
  <c r="U764" i="2"/>
  <c r="Q764" i="2"/>
  <c r="R764" i="2" s="1"/>
  <c r="L764" i="2"/>
  <c r="J764" i="2"/>
  <c r="N764" i="2" s="1"/>
  <c r="O764" i="2" s="1"/>
  <c r="P764" i="2" s="1"/>
  <c r="H764" i="2"/>
  <c r="F764" i="2"/>
  <c r="U763" i="2"/>
  <c r="Q763" i="2"/>
  <c r="R763" i="2" s="1"/>
  <c r="L763" i="2"/>
  <c r="J763" i="2"/>
  <c r="N763" i="2" s="1"/>
  <c r="O763" i="2" s="1"/>
  <c r="P763" i="2" s="1"/>
  <c r="H763" i="2"/>
  <c r="F763" i="2"/>
  <c r="U762" i="2"/>
  <c r="Q762" i="2"/>
  <c r="R762" i="2" s="1"/>
  <c r="L762" i="2"/>
  <c r="J762" i="2"/>
  <c r="H762" i="2"/>
  <c r="F762" i="2"/>
  <c r="D762" i="2"/>
  <c r="U761" i="2"/>
  <c r="Q761" i="2"/>
  <c r="R761" i="2" s="1"/>
  <c r="L761" i="2"/>
  <c r="I761" i="2"/>
  <c r="J761" i="2" s="1"/>
  <c r="H761" i="2"/>
  <c r="F761" i="2"/>
  <c r="D761" i="2"/>
  <c r="U760" i="2"/>
  <c r="Q760" i="2"/>
  <c r="R760" i="2" s="1"/>
  <c r="L760" i="2"/>
  <c r="I760" i="2"/>
  <c r="H760" i="2"/>
  <c r="F760" i="2"/>
  <c r="D760" i="2"/>
  <c r="U759" i="2"/>
  <c r="Q759" i="2"/>
  <c r="R759" i="2" s="1"/>
  <c r="L759" i="2"/>
  <c r="I759" i="2"/>
  <c r="J759" i="2" s="1"/>
  <c r="H759" i="2"/>
  <c r="F759" i="2"/>
  <c r="D759" i="2"/>
  <c r="U758" i="2"/>
  <c r="Q758" i="2"/>
  <c r="R758" i="2" s="1"/>
  <c r="L758" i="2"/>
  <c r="J758" i="2"/>
  <c r="N758" i="2" s="1"/>
  <c r="O758" i="2" s="1"/>
  <c r="P758" i="2" s="1"/>
  <c r="H758" i="2"/>
  <c r="F758" i="2"/>
  <c r="D758" i="2"/>
  <c r="U757" i="2"/>
  <c r="Q757" i="2"/>
  <c r="R757" i="2" s="1"/>
  <c r="L757" i="2"/>
  <c r="J757" i="2"/>
  <c r="N757" i="2" s="1"/>
  <c r="O757" i="2" s="1"/>
  <c r="P757" i="2" s="1"/>
  <c r="H757" i="2"/>
  <c r="F757" i="2"/>
  <c r="D757" i="2"/>
  <c r="U756" i="2"/>
  <c r="Q756" i="2"/>
  <c r="R756" i="2" s="1"/>
  <c r="L756" i="2"/>
  <c r="I756" i="2"/>
  <c r="H756" i="2"/>
  <c r="F756" i="2"/>
  <c r="D756" i="2"/>
  <c r="U755" i="2"/>
  <c r="Q755" i="2"/>
  <c r="R755" i="2" s="1"/>
  <c r="L755" i="2"/>
  <c r="I755" i="2"/>
  <c r="J755" i="2" s="1"/>
  <c r="H755" i="2"/>
  <c r="F755" i="2"/>
  <c r="D755" i="2"/>
  <c r="U754" i="2"/>
  <c r="Q754" i="2"/>
  <c r="R754" i="2" s="1"/>
  <c r="L754" i="2"/>
  <c r="I754" i="2"/>
  <c r="J754" i="2" s="1"/>
  <c r="H754" i="2"/>
  <c r="F754" i="2"/>
  <c r="D754" i="2"/>
  <c r="U753" i="2"/>
  <c r="Q753" i="2"/>
  <c r="R753" i="2" s="1"/>
  <c r="L753" i="2"/>
  <c r="I753" i="2"/>
  <c r="J753" i="2" s="1"/>
  <c r="H753" i="2"/>
  <c r="F753" i="2"/>
  <c r="D753" i="2"/>
  <c r="U752" i="2"/>
  <c r="Q752" i="2"/>
  <c r="R752" i="2" s="1"/>
  <c r="L752" i="2"/>
  <c r="I752" i="2"/>
  <c r="J752" i="2" s="1"/>
  <c r="H752" i="2"/>
  <c r="F752" i="2"/>
  <c r="D752" i="2"/>
  <c r="U751" i="2"/>
  <c r="Q751" i="2"/>
  <c r="R751" i="2" s="1"/>
  <c r="L751" i="2"/>
  <c r="I751" i="2"/>
  <c r="J751" i="2" s="1"/>
  <c r="H751" i="2"/>
  <c r="F751" i="2"/>
  <c r="D751" i="2"/>
  <c r="U750" i="2"/>
  <c r="Q750" i="2"/>
  <c r="R750" i="2" s="1"/>
  <c r="L750" i="2"/>
  <c r="I750" i="2"/>
  <c r="H750" i="2"/>
  <c r="F750" i="2"/>
  <c r="D750" i="2"/>
  <c r="U749" i="2"/>
  <c r="Q749" i="2"/>
  <c r="R749" i="2" s="1"/>
  <c r="L749" i="2"/>
  <c r="I749" i="2"/>
  <c r="J749" i="2" s="1"/>
  <c r="H749" i="2"/>
  <c r="F749" i="2"/>
  <c r="D749" i="2"/>
  <c r="U748" i="2"/>
  <c r="Q748" i="2"/>
  <c r="R748" i="2" s="1"/>
  <c r="L748" i="2"/>
  <c r="I748" i="2"/>
  <c r="H748" i="2"/>
  <c r="F748" i="2"/>
  <c r="D748" i="2"/>
  <c r="U747" i="2"/>
  <c r="Q747" i="2"/>
  <c r="R747" i="2" s="1"/>
  <c r="L747" i="2"/>
  <c r="I747" i="2"/>
  <c r="J747" i="2" s="1"/>
  <c r="H747" i="2"/>
  <c r="F747" i="2"/>
  <c r="D747" i="2"/>
  <c r="U746" i="2"/>
  <c r="Q746" i="2"/>
  <c r="R746" i="2" s="1"/>
  <c r="L746" i="2"/>
  <c r="I746" i="2"/>
  <c r="J746" i="2" s="1"/>
  <c r="H746" i="2"/>
  <c r="F746" i="2"/>
  <c r="D746" i="2"/>
  <c r="U745" i="2"/>
  <c r="Q745" i="2"/>
  <c r="R745" i="2" s="1"/>
  <c r="L745" i="2"/>
  <c r="I745" i="2"/>
  <c r="H745" i="2"/>
  <c r="F745" i="2"/>
  <c r="D745" i="2"/>
  <c r="U744" i="2"/>
  <c r="Q744" i="2"/>
  <c r="R744" i="2" s="1"/>
  <c r="L744" i="2"/>
  <c r="I744" i="2"/>
  <c r="J744" i="2" s="1"/>
  <c r="H744" i="2"/>
  <c r="F744" i="2"/>
  <c r="D744" i="2"/>
  <c r="U743" i="2"/>
  <c r="Q743" i="2"/>
  <c r="R743" i="2" s="1"/>
  <c r="L743" i="2"/>
  <c r="I743" i="2"/>
  <c r="H743" i="2"/>
  <c r="F743" i="2"/>
  <c r="D743" i="2"/>
  <c r="U742" i="2"/>
  <c r="Q742" i="2"/>
  <c r="R742" i="2" s="1"/>
  <c r="L742" i="2"/>
  <c r="I742" i="2"/>
  <c r="J742" i="2" s="1"/>
  <c r="H742" i="2"/>
  <c r="F742" i="2"/>
  <c r="D742" i="2"/>
  <c r="U741" i="2"/>
  <c r="Q741" i="2"/>
  <c r="R741" i="2" s="1"/>
  <c r="L741" i="2"/>
  <c r="I741" i="2"/>
  <c r="J741" i="2" s="1"/>
  <c r="H741" i="2"/>
  <c r="F741" i="2"/>
  <c r="D741" i="2"/>
  <c r="U740" i="2"/>
  <c r="Q740" i="2"/>
  <c r="R740" i="2" s="1"/>
  <c r="L740" i="2"/>
  <c r="I740" i="2"/>
  <c r="J740" i="2" s="1"/>
  <c r="H740" i="2"/>
  <c r="F740" i="2"/>
  <c r="D740" i="2"/>
  <c r="U739" i="2"/>
  <c r="Q739" i="2"/>
  <c r="R739" i="2" s="1"/>
  <c r="L739" i="2"/>
  <c r="I739" i="2"/>
  <c r="H739" i="2"/>
  <c r="F739" i="2"/>
  <c r="D739" i="2"/>
  <c r="U738" i="2"/>
  <c r="Q738" i="2"/>
  <c r="R738" i="2" s="1"/>
  <c r="L738" i="2"/>
  <c r="I738" i="2"/>
  <c r="J738" i="2" s="1"/>
  <c r="H738" i="2"/>
  <c r="F738" i="2"/>
  <c r="D738" i="2"/>
  <c r="U737" i="2"/>
  <c r="Q737" i="2"/>
  <c r="R737" i="2" s="1"/>
  <c r="L737" i="2"/>
  <c r="I737" i="2"/>
  <c r="J737" i="2" s="1"/>
  <c r="H737" i="2"/>
  <c r="F737" i="2"/>
  <c r="D737" i="2"/>
  <c r="U736" i="2"/>
  <c r="Q736" i="2"/>
  <c r="R736" i="2" s="1"/>
  <c r="L736" i="2"/>
  <c r="I736" i="2"/>
  <c r="J736" i="2" s="1"/>
  <c r="H736" i="2"/>
  <c r="F736" i="2"/>
  <c r="U735" i="2"/>
  <c r="Q735" i="2"/>
  <c r="R735" i="2" s="1"/>
  <c r="L735" i="2"/>
  <c r="I735" i="2"/>
  <c r="H735" i="2"/>
  <c r="F735" i="2"/>
  <c r="U734" i="2"/>
  <c r="Q734" i="2"/>
  <c r="R734" i="2" s="1"/>
  <c r="L734" i="2"/>
  <c r="I734" i="2"/>
  <c r="J734" i="2" s="1"/>
  <c r="H734" i="2"/>
  <c r="F734" i="2"/>
  <c r="U733" i="2"/>
  <c r="R733" i="2"/>
  <c r="L733" i="2"/>
  <c r="I733" i="2"/>
  <c r="H733" i="2"/>
  <c r="F733" i="2"/>
  <c r="U732" i="2"/>
  <c r="Q732" i="2"/>
  <c r="R732" i="2" s="1"/>
  <c r="L732" i="2"/>
  <c r="I732" i="2"/>
  <c r="J732" i="2" s="1"/>
  <c r="H732" i="2"/>
  <c r="F732" i="2"/>
  <c r="U731" i="2"/>
  <c r="Q731" i="2"/>
  <c r="R731" i="2" s="1"/>
  <c r="L731" i="2"/>
  <c r="I731" i="2"/>
  <c r="H731" i="2"/>
  <c r="F731" i="2"/>
  <c r="U730" i="2"/>
  <c r="Q730" i="2"/>
  <c r="R730" i="2" s="1"/>
  <c r="L730" i="2"/>
  <c r="I730" i="2"/>
  <c r="J730" i="2" s="1"/>
  <c r="H730" i="2"/>
  <c r="F730" i="2"/>
  <c r="U729" i="2"/>
  <c r="Q729" i="2"/>
  <c r="R729" i="2" s="1"/>
  <c r="L729" i="2"/>
  <c r="I729" i="2"/>
  <c r="H729" i="2"/>
  <c r="F729" i="2"/>
  <c r="U728" i="2"/>
  <c r="Q728" i="2"/>
  <c r="R728" i="2" s="1"/>
  <c r="L728" i="2"/>
  <c r="I728" i="2"/>
  <c r="J728" i="2" s="1"/>
  <c r="H728" i="2"/>
  <c r="F728" i="2"/>
  <c r="U727" i="2"/>
  <c r="Q727" i="2"/>
  <c r="R727" i="2" s="1"/>
  <c r="L727" i="2"/>
  <c r="I727" i="2"/>
  <c r="H727" i="2"/>
  <c r="F727" i="2"/>
  <c r="U726" i="2"/>
  <c r="Q726" i="2"/>
  <c r="R726" i="2" s="1"/>
  <c r="L726" i="2"/>
  <c r="I726" i="2"/>
  <c r="J726" i="2" s="1"/>
  <c r="H726" i="2"/>
  <c r="F726" i="2"/>
  <c r="U725" i="2"/>
  <c r="Q725" i="2"/>
  <c r="R725" i="2" s="1"/>
  <c r="L725" i="2"/>
  <c r="I725" i="2"/>
  <c r="H725" i="2"/>
  <c r="F725" i="2"/>
  <c r="U724" i="2"/>
  <c r="Q724" i="2"/>
  <c r="R724" i="2" s="1"/>
  <c r="L724" i="2"/>
  <c r="I724" i="2"/>
  <c r="J724" i="2" s="1"/>
  <c r="H724" i="2"/>
  <c r="F724" i="2"/>
  <c r="U723" i="2"/>
  <c r="Q723" i="2"/>
  <c r="R723" i="2" s="1"/>
  <c r="L723" i="2"/>
  <c r="I723" i="2"/>
  <c r="H723" i="2"/>
  <c r="F723" i="2"/>
  <c r="U722" i="2"/>
  <c r="Q722" i="2"/>
  <c r="R722" i="2" s="1"/>
  <c r="L722" i="2"/>
  <c r="I722" i="2"/>
  <c r="J722" i="2" s="1"/>
  <c r="H722" i="2"/>
  <c r="F722" i="2"/>
  <c r="U721" i="2"/>
  <c r="Q721" i="2"/>
  <c r="R721" i="2" s="1"/>
  <c r="L721" i="2"/>
  <c r="I721" i="2"/>
  <c r="H721" i="2"/>
  <c r="F721" i="2"/>
  <c r="U720" i="2"/>
  <c r="Q720" i="2"/>
  <c r="R720" i="2" s="1"/>
  <c r="L720" i="2"/>
  <c r="I720" i="2"/>
  <c r="J720" i="2" s="1"/>
  <c r="H720" i="2"/>
  <c r="F720" i="2"/>
  <c r="U719" i="2"/>
  <c r="Q719" i="2"/>
  <c r="R719" i="2" s="1"/>
  <c r="L719" i="2"/>
  <c r="I719" i="2"/>
  <c r="H719" i="2"/>
  <c r="F719" i="2"/>
  <c r="U718" i="2"/>
  <c r="Q718" i="2"/>
  <c r="R718" i="2" s="1"/>
  <c r="L718" i="2"/>
  <c r="I718" i="2"/>
  <c r="J718" i="2" s="1"/>
  <c r="H718" i="2"/>
  <c r="F718" i="2"/>
  <c r="U717" i="2"/>
  <c r="Q717" i="2"/>
  <c r="R717" i="2" s="1"/>
  <c r="L717" i="2"/>
  <c r="I717" i="2"/>
  <c r="H717" i="2"/>
  <c r="F717" i="2"/>
  <c r="U716" i="2"/>
  <c r="Q716" i="2"/>
  <c r="R716" i="2" s="1"/>
  <c r="L716" i="2"/>
  <c r="I716" i="2"/>
  <c r="J716" i="2" s="1"/>
  <c r="H716" i="2"/>
  <c r="F716" i="2"/>
  <c r="U715" i="2"/>
  <c r="Q715" i="2"/>
  <c r="R715" i="2" s="1"/>
  <c r="L715" i="2"/>
  <c r="I715" i="2"/>
  <c r="H715" i="2"/>
  <c r="F715" i="2"/>
  <c r="U714" i="2"/>
  <c r="Q714" i="2"/>
  <c r="R714" i="2" s="1"/>
  <c r="L714" i="2"/>
  <c r="I714" i="2"/>
  <c r="J714" i="2" s="1"/>
  <c r="H714" i="2"/>
  <c r="F714" i="2"/>
  <c r="U713" i="2"/>
  <c r="Q713" i="2"/>
  <c r="R713" i="2" s="1"/>
  <c r="L713" i="2"/>
  <c r="I713" i="2"/>
  <c r="H713" i="2"/>
  <c r="F713" i="2"/>
  <c r="U712" i="2"/>
  <c r="Q712" i="2"/>
  <c r="R712" i="2" s="1"/>
  <c r="L712" i="2"/>
  <c r="I712" i="2"/>
  <c r="J712" i="2" s="1"/>
  <c r="H712" i="2"/>
  <c r="F712" i="2"/>
  <c r="U711" i="2"/>
  <c r="Q711" i="2"/>
  <c r="R711" i="2" s="1"/>
  <c r="L711" i="2"/>
  <c r="I711" i="2"/>
  <c r="H711" i="2"/>
  <c r="F711" i="2"/>
  <c r="U710" i="2"/>
  <c r="Q710" i="2"/>
  <c r="R710" i="2" s="1"/>
  <c r="L710" i="2"/>
  <c r="I710" i="2"/>
  <c r="J710" i="2" s="1"/>
  <c r="H710" i="2"/>
  <c r="F710" i="2"/>
  <c r="U709" i="2"/>
  <c r="Q709" i="2"/>
  <c r="R709" i="2" s="1"/>
  <c r="L709" i="2"/>
  <c r="I709" i="2"/>
  <c r="J709" i="2" s="1"/>
  <c r="H709" i="2"/>
  <c r="F709" i="2"/>
  <c r="U708" i="2"/>
  <c r="Q708" i="2"/>
  <c r="R708" i="2" s="1"/>
  <c r="L708" i="2"/>
  <c r="I708" i="2"/>
  <c r="J708" i="2" s="1"/>
  <c r="H708" i="2"/>
  <c r="F708" i="2"/>
  <c r="U707" i="2"/>
  <c r="Q707" i="2"/>
  <c r="R707" i="2" s="1"/>
  <c r="L707" i="2"/>
  <c r="I707" i="2"/>
  <c r="J707" i="2" s="1"/>
  <c r="H707" i="2"/>
  <c r="F707" i="2"/>
  <c r="U706" i="2"/>
  <c r="Q706" i="2"/>
  <c r="R706" i="2" s="1"/>
  <c r="L706" i="2"/>
  <c r="I706" i="2"/>
  <c r="J706" i="2" s="1"/>
  <c r="H706" i="2"/>
  <c r="F706" i="2"/>
  <c r="U705" i="2"/>
  <c r="Q705" i="2"/>
  <c r="R705" i="2" s="1"/>
  <c r="L705" i="2"/>
  <c r="I705" i="2"/>
  <c r="J705" i="2" s="1"/>
  <c r="H705" i="2"/>
  <c r="F705" i="2"/>
  <c r="U704" i="2"/>
  <c r="Q704" i="2"/>
  <c r="R704" i="2" s="1"/>
  <c r="L704" i="2"/>
  <c r="I704" i="2"/>
  <c r="J704" i="2" s="1"/>
  <c r="H704" i="2"/>
  <c r="F704" i="2"/>
  <c r="U703" i="2"/>
  <c r="Q703" i="2"/>
  <c r="R703" i="2" s="1"/>
  <c r="L703" i="2"/>
  <c r="I703" i="2"/>
  <c r="J703" i="2" s="1"/>
  <c r="H703" i="2"/>
  <c r="F703" i="2"/>
  <c r="U702" i="2"/>
  <c r="Q702" i="2"/>
  <c r="R702" i="2" s="1"/>
  <c r="L702" i="2"/>
  <c r="I702" i="2"/>
  <c r="J702" i="2" s="1"/>
  <c r="H702" i="2"/>
  <c r="F702" i="2"/>
  <c r="U701" i="2"/>
  <c r="Q701" i="2"/>
  <c r="R701" i="2" s="1"/>
  <c r="L701" i="2"/>
  <c r="I701" i="2"/>
  <c r="J701" i="2" s="1"/>
  <c r="H701" i="2"/>
  <c r="U700" i="2"/>
  <c r="Q700" i="2"/>
  <c r="R700" i="2" s="1"/>
  <c r="L700" i="2"/>
  <c r="I700" i="2"/>
  <c r="J700" i="2" s="1"/>
  <c r="H700" i="2"/>
  <c r="F700" i="2"/>
  <c r="U699" i="2"/>
  <c r="Q699" i="2"/>
  <c r="R699" i="2" s="1"/>
  <c r="L699" i="2"/>
  <c r="I699" i="2"/>
  <c r="J699" i="2" s="1"/>
  <c r="H699" i="2"/>
  <c r="F699" i="2"/>
  <c r="U698" i="2"/>
  <c r="Q698" i="2"/>
  <c r="R698" i="2" s="1"/>
  <c r="L698" i="2"/>
  <c r="I698" i="2"/>
  <c r="J698" i="2" s="1"/>
  <c r="H698" i="2"/>
  <c r="F698" i="2"/>
  <c r="U697" i="2"/>
  <c r="Q697" i="2"/>
  <c r="R697" i="2" s="1"/>
  <c r="L697" i="2"/>
  <c r="I697" i="2"/>
  <c r="J697" i="2" s="1"/>
  <c r="H697" i="2"/>
  <c r="F697" i="2"/>
  <c r="U696" i="2"/>
  <c r="Q696" i="2"/>
  <c r="R696" i="2" s="1"/>
  <c r="L696" i="2"/>
  <c r="I696" i="2"/>
  <c r="J696" i="2" s="1"/>
  <c r="H696" i="2"/>
  <c r="F696" i="2"/>
  <c r="U695" i="2"/>
  <c r="Q695" i="2"/>
  <c r="R695" i="2" s="1"/>
  <c r="L695" i="2"/>
  <c r="I695" i="2"/>
  <c r="J695" i="2" s="1"/>
  <c r="H695" i="2"/>
  <c r="F695" i="2"/>
  <c r="U694" i="2"/>
  <c r="Q694" i="2"/>
  <c r="R694" i="2" s="1"/>
  <c r="L694" i="2"/>
  <c r="I694" i="2"/>
  <c r="J694" i="2" s="1"/>
  <c r="H694" i="2"/>
  <c r="F694" i="2"/>
  <c r="U693" i="2"/>
  <c r="Q693" i="2"/>
  <c r="R693" i="2" s="1"/>
  <c r="L693" i="2"/>
  <c r="I693" i="2"/>
  <c r="J693" i="2" s="1"/>
  <c r="H693" i="2"/>
  <c r="F693" i="2"/>
  <c r="U692" i="2"/>
  <c r="Q692" i="2"/>
  <c r="R692" i="2" s="1"/>
  <c r="L692" i="2"/>
  <c r="I692" i="2"/>
  <c r="J692" i="2" s="1"/>
  <c r="H692" i="2"/>
  <c r="F692" i="2"/>
  <c r="U691" i="2"/>
  <c r="Q691" i="2"/>
  <c r="R691" i="2" s="1"/>
  <c r="L691" i="2"/>
  <c r="I691" i="2"/>
  <c r="J691" i="2" s="1"/>
  <c r="H691" i="2"/>
  <c r="F691" i="2"/>
  <c r="U690" i="2"/>
  <c r="Q690" i="2"/>
  <c r="R690" i="2" s="1"/>
  <c r="L690" i="2"/>
  <c r="I690" i="2"/>
  <c r="J690" i="2" s="1"/>
  <c r="H690" i="2"/>
  <c r="U689" i="2"/>
  <c r="Q689" i="2"/>
  <c r="R689" i="2" s="1"/>
  <c r="L689" i="2"/>
  <c r="I689" i="2"/>
  <c r="H689" i="2"/>
  <c r="F689" i="2"/>
  <c r="U688" i="2"/>
  <c r="Q688" i="2"/>
  <c r="R688" i="2" s="1"/>
  <c r="L688" i="2"/>
  <c r="I688" i="2"/>
  <c r="H688" i="2"/>
  <c r="F688" i="2"/>
  <c r="U687" i="2"/>
  <c r="Q687" i="2"/>
  <c r="R687" i="2" s="1"/>
  <c r="L687" i="2"/>
  <c r="I687" i="2"/>
  <c r="H687" i="2"/>
  <c r="U686" i="2"/>
  <c r="Q686" i="2"/>
  <c r="R686" i="2" s="1"/>
  <c r="L686" i="2"/>
  <c r="I686" i="2"/>
  <c r="H686" i="2"/>
  <c r="F686" i="2"/>
  <c r="U685" i="2"/>
  <c r="Q685" i="2"/>
  <c r="R685" i="2" s="1"/>
  <c r="L685" i="2"/>
  <c r="I685" i="2"/>
  <c r="J685" i="2" s="1"/>
  <c r="H685" i="2"/>
  <c r="F685" i="2"/>
  <c r="U684" i="2"/>
  <c r="Q684" i="2"/>
  <c r="R684" i="2" s="1"/>
  <c r="L684" i="2"/>
  <c r="I684" i="2"/>
  <c r="J684" i="2" s="1"/>
  <c r="H684" i="2"/>
  <c r="F684" i="2"/>
  <c r="U683" i="2"/>
  <c r="Q683" i="2"/>
  <c r="R683" i="2" s="1"/>
  <c r="L683" i="2"/>
  <c r="I683" i="2"/>
  <c r="J683" i="2" s="1"/>
  <c r="H683" i="2"/>
  <c r="F683" i="2"/>
  <c r="U682" i="2"/>
  <c r="Q682" i="2"/>
  <c r="R682" i="2" s="1"/>
  <c r="L682" i="2"/>
  <c r="I682" i="2"/>
  <c r="H682" i="2"/>
  <c r="F682" i="2"/>
  <c r="U681" i="2"/>
  <c r="Q681" i="2"/>
  <c r="R681" i="2" s="1"/>
  <c r="L681" i="2"/>
  <c r="I681" i="2"/>
  <c r="J681" i="2" s="1"/>
  <c r="H681" i="2"/>
  <c r="F681" i="2"/>
  <c r="U680" i="2"/>
  <c r="Q680" i="2"/>
  <c r="R680" i="2" s="1"/>
  <c r="L680" i="2"/>
  <c r="I680" i="2"/>
  <c r="J680" i="2" s="1"/>
  <c r="H680" i="2"/>
  <c r="F680" i="2"/>
  <c r="U679" i="2"/>
  <c r="Q679" i="2"/>
  <c r="R679" i="2" s="1"/>
  <c r="L679" i="2"/>
  <c r="I679" i="2"/>
  <c r="J679" i="2" s="1"/>
  <c r="H679" i="2"/>
  <c r="F679" i="2"/>
  <c r="U678" i="2"/>
  <c r="Q678" i="2"/>
  <c r="R678" i="2" s="1"/>
  <c r="L678" i="2"/>
  <c r="I678" i="2"/>
  <c r="H678" i="2"/>
  <c r="F678" i="2"/>
  <c r="U677" i="2"/>
  <c r="Q677" i="2"/>
  <c r="R677" i="2" s="1"/>
  <c r="L677" i="2"/>
  <c r="I677" i="2"/>
  <c r="J677" i="2" s="1"/>
  <c r="H677" i="2"/>
  <c r="F677" i="2"/>
  <c r="U676" i="2"/>
  <c r="Q676" i="2"/>
  <c r="R676" i="2" s="1"/>
  <c r="L676" i="2"/>
  <c r="I676" i="2"/>
  <c r="J676" i="2" s="1"/>
  <c r="H676" i="2"/>
  <c r="F676" i="2"/>
  <c r="U675" i="2"/>
  <c r="Q675" i="2"/>
  <c r="R675" i="2" s="1"/>
  <c r="L675" i="2"/>
  <c r="I675" i="2"/>
  <c r="J675" i="2" s="1"/>
  <c r="H675" i="2"/>
  <c r="F675" i="2"/>
  <c r="U674" i="2"/>
  <c r="Q674" i="2"/>
  <c r="R674" i="2" s="1"/>
  <c r="L674" i="2"/>
  <c r="I674" i="2"/>
  <c r="H674" i="2"/>
  <c r="F674" i="2"/>
  <c r="U673" i="2"/>
  <c r="Q673" i="2"/>
  <c r="R673" i="2" s="1"/>
  <c r="L673" i="2"/>
  <c r="I673" i="2"/>
  <c r="J673" i="2" s="1"/>
  <c r="H673" i="2"/>
  <c r="F673" i="2"/>
  <c r="U672" i="2"/>
  <c r="Q672" i="2"/>
  <c r="R672" i="2" s="1"/>
  <c r="L672" i="2"/>
  <c r="I672" i="2"/>
  <c r="J672" i="2" s="1"/>
  <c r="H672" i="2"/>
  <c r="F672" i="2"/>
  <c r="U671" i="2"/>
  <c r="Q671" i="2"/>
  <c r="R671" i="2" s="1"/>
  <c r="L671" i="2"/>
  <c r="I671" i="2"/>
  <c r="J671" i="2" s="1"/>
  <c r="H671" i="2"/>
  <c r="F671" i="2"/>
  <c r="U670" i="2"/>
  <c r="Q670" i="2"/>
  <c r="R670" i="2" s="1"/>
  <c r="L670" i="2"/>
  <c r="I670" i="2"/>
  <c r="H670" i="2"/>
  <c r="F670" i="2"/>
  <c r="U669" i="2"/>
  <c r="Q669" i="2"/>
  <c r="R669" i="2" s="1"/>
  <c r="L669" i="2"/>
  <c r="I669" i="2"/>
  <c r="J669" i="2" s="1"/>
  <c r="H669" i="2"/>
  <c r="F669" i="2"/>
  <c r="U668" i="2"/>
  <c r="Q668" i="2"/>
  <c r="R668" i="2" s="1"/>
  <c r="L668" i="2"/>
  <c r="I668" i="2"/>
  <c r="J668" i="2" s="1"/>
  <c r="H668" i="2"/>
  <c r="F668" i="2"/>
  <c r="U667" i="2"/>
  <c r="Q667" i="2"/>
  <c r="R667" i="2" s="1"/>
  <c r="L667" i="2"/>
  <c r="I667" i="2"/>
  <c r="J667" i="2" s="1"/>
  <c r="H667" i="2"/>
  <c r="F667" i="2"/>
  <c r="U666" i="2"/>
  <c r="Q666" i="2"/>
  <c r="R666" i="2" s="1"/>
  <c r="L666" i="2"/>
  <c r="I666" i="2"/>
  <c r="H666" i="2"/>
  <c r="F666" i="2"/>
  <c r="U665" i="2"/>
  <c r="Q665" i="2"/>
  <c r="R665" i="2" s="1"/>
  <c r="L665" i="2"/>
  <c r="I665" i="2"/>
  <c r="J665" i="2" s="1"/>
  <c r="H665" i="2"/>
  <c r="F665" i="2"/>
  <c r="U664" i="2"/>
  <c r="Q664" i="2"/>
  <c r="R664" i="2" s="1"/>
  <c r="L664" i="2"/>
  <c r="I664" i="2"/>
  <c r="J664" i="2" s="1"/>
  <c r="H664" i="2"/>
  <c r="F664" i="2"/>
  <c r="U663" i="2"/>
  <c r="Q663" i="2"/>
  <c r="R663" i="2" s="1"/>
  <c r="L663" i="2"/>
  <c r="I663" i="2"/>
  <c r="J663" i="2" s="1"/>
  <c r="H663" i="2"/>
  <c r="F663" i="2"/>
  <c r="U662" i="2"/>
  <c r="Q662" i="2"/>
  <c r="R662" i="2" s="1"/>
  <c r="L662" i="2"/>
  <c r="I662" i="2"/>
  <c r="H662" i="2"/>
  <c r="F662" i="2"/>
  <c r="U661" i="2"/>
  <c r="Q661" i="2"/>
  <c r="R661" i="2" s="1"/>
  <c r="L661" i="2"/>
  <c r="I661" i="2"/>
  <c r="J661" i="2" s="1"/>
  <c r="H661" i="2"/>
  <c r="F661" i="2"/>
  <c r="U660" i="2"/>
  <c r="Q660" i="2"/>
  <c r="R660" i="2" s="1"/>
  <c r="L660" i="2"/>
  <c r="I660" i="2"/>
  <c r="J660" i="2" s="1"/>
  <c r="H660" i="2"/>
  <c r="F660" i="2"/>
  <c r="U659" i="2"/>
  <c r="Q659" i="2"/>
  <c r="R659" i="2" s="1"/>
  <c r="L659" i="2"/>
  <c r="I659" i="2"/>
  <c r="J659" i="2" s="1"/>
  <c r="H659" i="2"/>
  <c r="F659" i="2"/>
  <c r="U658" i="2"/>
  <c r="Q658" i="2"/>
  <c r="R658" i="2" s="1"/>
  <c r="L658" i="2"/>
  <c r="I658" i="2"/>
  <c r="H658" i="2"/>
  <c r="F658" i="2"/>
  <c r="U657" i="2"/>
  <c r="Q657" i="2"/>
  <c r="R657" i="2" s="1"/>
  <c r="L657" i="2"/>
  <c r="I657" i="2"/>
  <c r="J657" i="2" s="1"/>
  <c r="H657" i="2"/>
  <c r="F657" i="2"/>
  <c r="U656" i="2"/>
  <c r="Q656" i="2"/>
  <c r="R656" i="2" s="1"/>
  <c r="O656" i="2"/>
  <c r="P656" i="2" s="1"/>
  <c r="L656" i="2"/>
  <c r="I656" i="2"/>
  <c r="J656" i="2" s="1"/>
  <c r="H656" i="2"/>
  <c r="F656" i="2"/>
  <c r="U655" i="2"/>
  <c r="Q655" i="2"/>
  <c r="R655" i="2" s="1"/>
  <c r="L655" i="2"/>
  <c r="I655" i="2"/>
  <c r="J655" i="2" s="1"/>
  <c r="H655" i="2"/>
  <c r="F655" i="2"/>
  <c r="U654" i="2"/>
  <c r="Q654" i="2"/>
  <c r="R654" i="2" s="1"/>
  <c r="L654" i="2"/>
  <c r="I654" i="2"/>
  <c r="J654" i="2" s="1"/>
  <c r="H654" i="2"/>
  <c r="F654" i="2"/>
  <c r="U653" i="2"/>
  <c r="Q653" i="2"/>
  <c r="R653" i="2" s="1"/>
  <c r="L653" i="2"/>
  <c r="I653" i="2"/>
  <c r="J653" i="2" s="1"/>
  <c r="H653" i="2"/>
  <c r="F653" i="2"/>
  <c r="U652" i="2"/>
  <c r="Q652" i="2"/>
  <c r="R652" i="2" s="1"/>
  <c r="O652" i="2"/>
  <c r="P652" i="2" s="1"/>
  <c r="L652" i="2"/>
  <c r="I652" i="2"/>
  <c r="J652" i="2" s="1"/>
  <c r="H652" i="2"/>
  <c r="F652" i="2"/>
  <c r="U651" i="2"/>
  <c r="Q651" i="2"/>
  <c r="R651" i="2" s="1"/>
  <c r="L651" i="2"/>
  <c r="I651" i="2"/>
  <c r="J651" i="2" s="1"/>
  <c r="H651" i="2"/>
  <c r="F651" i="2"/>
  <c r="U650" i="2"/>
  <c r="Q650" i="2"/>
  <c r="R650" i="2" s="1"/>
  <c r="L650" i="2"/>
  <c r="I650" i="2"/>
  <c r="J650" i="2" s="1"/>
  <c r="H650" i="2"/>
  <c r="F650" i="2"/>
  <c r="U649" i="2"/>
  <c r="Q649" i="2"/>
  <c r="R649" i="2" s="1"/>
  <c r="L649" i="2"/>
  <c r="I649" i="2"/>
  <c r="J649" i="2" s="1"/>
  <c r="H649" i="2"/>
  <c r="F649" i="2"/>
  <c r="U648" i="2"/>
  <c r="Q648" i="2"/>
  <c r="R648" i="2" s="1"/>
  <c r="L648" i="2"/>
  <c r="I648" i="2"/>
  <c r="J648" i="2" s="1"/>
  <c r="H648" i="2"/>
  <c r="F648" i="2"/>
  <c r="U647" i="2"/>
  <c r="Q647" i="2"/>
  <c r="R647" i="2" s="1"/>
  <c r="O647" i="2"/>
  <c r="P647" i="2" s="1"/>
  <c r="L647" i="2"/>
  <c r="I647" i="2"/>
  <c r="J647" i="2" s="1"/>
  <c r="H647" i="2"/>
  <c r="F647" i="2"/>
  <c r="U646" i="2"/>
  <c r="Q646" i="2"/>
  <c r="R646" i="2" s="1"/>
  <c r="L646" i="2"/>
  <c r="I646" i="2"/>
  <c r="J646" i="2" s="1"/>
  <c r="H646" i="2"/>
  <c r="F646" i="2"/>
  <c r="U645" i="2"/>
  <c r="Q645" i="2"/>
  <c r="R645" i="2" s="1"/>
  <c r="L645" i="2"/>
  <c r="I645" i="2"/>
  <c r="J645" i="2" s="1"/>
  <c r="H645" i="2"/>
  <c r="F645" i="2"/>
  <c r="U644" i="2"/>
  <c r="Q644" i="2"/>
  <c r="R644" i="2" s="1"/>
  <c r="O644" i="2"/>
  <c r="P644" i="2" s="1"/>
  <c r="L644" i="2"/>
  <c r="I644" i="2"/>
  <c r="J644" i="2" s="1"/>
  <c r="H644" i="2"/>
  <c r="F644" i="2"/>
  <c r="U643" i="2"/>
  <c r="Q643" i="2"/>
  <c r="R643" i="2" s="1"/>
  <c r="L643" i="2"/>
  <c r="I643" i="2"/>
  <c r="J643" i="2" s="1"/>
  <c r="H643" i="2"/>
  <c r="F643" i="2"/>
  <c r="U642" i="2"/>
  <c r="Q642" i="2"/>
  <c r="R642" i="2" s="1"/>
  <c r="L642" i="2"/>
  <c r="I642" i="2"/>
  <c r="J642" i="2" s="1"/>
  <c r="H642" i="2"/>
  <c r="F642" i="2"/>
  <c r="U641" i="2"/>
  <c r="Q641" i="2"/>
  <c r="R641" i="2" s="1"/>
  <c r="L641" i="2"/>
  <c r="I641" i="2"/>
  <c r="J641" i="2" s="1"/>
  <c r="H641" i="2"/>
  <c r="F641" i="2"/>
  <c r="U640" i="2"/>
  <c r="Q640" i="2"/>
  <c r="R640" i="2" s="1"/>
  <c r="L640" i="2"/>
  <c r="I640" i="2"/>
  <c r="J640" i="2" s="1"/>
  <c r="H640" i="2"/>
  <c r="F640" i="2"/>
  <c r="U639" i="2"/>
  <c r="Q639" i="2"/>
  <c r="R639" i="2" s="1"/>
  <c r="O639" i="2"/>
  <c r="P639" i="2" s="1"/>
  <c r="L639" i="2"/>
  <c r="I639" i="2"/>
  <c r="J639" i="2" s="1"/>
  <c r="H639" i="2"/>
  <c r="F639" i="2"/>
  <c r="U638" i="2"/>
  <c r="Q638" i="2"/>
  <c r="R638" i="2" s="1"/>
  <c r="O638" i="2"/>
  <c r="P638" i="2" s="1"/>
  <c r="L638" i="2"/>
  <c r="I638" i="2"/>
  <c r="J638" i="2" s="1"/>
  <c r="H638" i="2"/>
  <c r="F638" i="2"/>
  <c r="U637" i="2"/>
  <c r="Q637" i="2"/>
  <c r="R637" i="2" s="1"/>
  <c r="L637" i="2"/>
  <c r="I637" i="2"/>
  <c r="J637" i="2" s="1"/>
  <c r="H637" i="2"/>
  <c r="F637" i="2"/>
  <c r="U636" i="2"/>
  <c r="Q636" i="2"/>
  <c r="R636" i="2" s="1"/>
  <c r="O636" i="2"/>
  <c r="P636" i="2" s="1"/>
  <c r="L636" i="2"/>
  <c r="I636" i="2"/>
  <c r="J636" i="2" s="1"/>
  <c r="H636" i="2"/>
  <c r="F636" i="2"/>
  <c r="U635" i="2"/>
  <c r="Q635" i="2"/>
  <c r="R635" i="2" s="1"/>
  <c r="L635" i="2"/>
  <c r="I635" i="2"/>
  <c r="H635" i="2"/>
  <c r="F635" i="2"/>
  <c r="U634" i="2"/>
  <c r="Q634" i="2"/>
  <c r="R634" i="2" s="1"/>
  <c r="L634" i="2"/>
  <c r="I634" i="2"/>
  <c r="J634" i="2" s="1"/>
  <c r="H634" i="2"/>
  <c r="F634" i="2"/>
  <c r="U633" i="2"/>
  <c r="Q633" i="2"/>
  <c r="R633" i="2" s="1"/>
  <c r="L633" i="2"/>
  <c r="I633" i="2"/>
  <c r="H633" i="2"/>
  <c r="F633" i="2"/>
  <c r="U632" i="2"/>
  <c r="Q632" i="2"/>
  <c r="R632" i="2" s="1"/>
  <c r="L632" i="2"/>
  <c r="I632" i="2"/>
  <c r="J632" i="2" s="1"/>
  <c r="H632" i="2"/>
  <c r="F632" i="2"/>
  <c r="U631" i="2"/>
  <c r="Q631" i="2"/>
  <c r="R631" i="2" s="1"/>
  <c r="O631" i="2"/>
  <c r="P631" i="2" s="1"/>
  <c r="L631" i="2"/>
  <c r="I631" i="2"/>
  <c r="J631" i="2" s="1"/>
  <c r="H631" i="2"/>
  <c r="F631" i="2"/>
  <c r="U630" i="2"/>
  <c r="Q630" i="2"/>
  <c r="R630" i="2" s="1"/>
  <c r="L630" i="2"/>
  <c r="I630" i="2"/>
  <c r="H630" i="2"/>
  <c r="F630" i="2"/>
  <c r="U629" i="2"/>
  <c r="Q629" i="2"/>
  <c r="R629" i="2" s="1"/>
  <c r="L629" i="2"/>
  <c r="I629" i="2"/>
  <c r="J629" i="2" s="1"/>
  <c r="H629" i="2"/>
  <c r="F629" i="2"/>
  <c r="U628" i="2"/>
  <c r="Q628" i="2"/>
  <c r="R628" i="2" s="1"/>
  <c r="L628" i="2"/>
  <c r="I628" i="2"/>
  <c r="J628" i="2" s="1"/>
  <c r="H628" i="2"/>
  <c r="F628" i="2"/>
  <c r="U627" i="2"/>
  <c r="Q627" i="2"/>
  <c r="R627" i="2" s="1"/>
  <c r="L627" i="2"/>
  <c r="I627" i="2"/>
  <c r="H627" i="2"/>
  <c r="F627" i="2"/>
  <c r="U626" i="2"/>
  <c r="Q626" i="2"/>
  <c r="R626" i="2" s="1"/>
  <c r="L626" i="2"/>
  <c r="I626" i="2"/>
  <c r="J626" i="2" s="1"/>
  <c r="H626" i="2"/>
  <c r="F626" i="2"/>
  <c r="U625" i="2"/>
  <c r="Q625" i="2"/>
  <c r="R625" i="2" s="1"/>
  <c r="L625" i="2"/>
  <c r="I625" i="2"/>
  <c r="J625" i="2" s="1"/>
  <c r="H625" i="2"/>
  <c r="F625" i="2"/>
  <c r="U624" i="2"/>
  <c r="Q624" i="2"/>
  <c r="R624" i="2" s="1"/>
  <c r="L624" i="2"/>
  <c r="I624" i="2"/>
  <c r="J624" i="2" s="1"/>
  <c r="H624" i="2"/>
  <c r="F624" i="2"/>
  <c r="U623" i="2"/>
  <c r="Q623" i="2"/>
  <c r="R623" i="2" s="1"/>
  <c r="O623" i="2"/>
  <c r="P623" i="2" s="1"/>
  <c r="L623" i="2"/>
  <c r="I623" i="2"/>
  <c r="J623" i="2" s="1"/>
  <c r="H623" i="2"/>
  <c r="F623" i="2"/>
  <c r="U622" i="2"/>
  <c r="Q622" i="2"/>
  <c r="R622" i="2" s="1"/>
  <c r="L622" i="2"/>
  <c r="I622" i="2"/>
  <c r="J622" i="2" s="1"/>
  <c r="H622" i="2"/>
  <c r="F622" i="2"/>
  <c r="U621" i="2"/>
  <c r="Q621" i="2"/>
  <c r="R621" i="2" s="1"/>
  <c r="L621" i="2"/>
  <c r="I621" i="2"/>
  <c r="J621" i="2" s="1"/>
  <c r="H621" i="2"/>
  <c r="F621" i="2"/>
  <c r="U620" i="2"/>
  <c r="Q620" i="2"/>
  <c r="R620" i="2" s="1"/>
  <c r="L620" i="2"/>
  <c r="I620" i="2"/>
  <c r="J620" i="2" s="1"/>
  <c r="H620" i="2"/>
  <c r="F620" i="2"/>
  <c r="U619" i="2"/>
  <c r="Q619" i="2"/>
  <c r="R619" i="2" s="1"/>
  <c r="L619" i="2"/>
  <c r="I619" i="2"/>
  <c r="J619" i="2" s="1"/>
  <c r="H619" i="2"/>
  <c r="F619" i="2"/>
  <c r="U618" i="2"/>
  <c r="Q618" i="2"/>
  <c r="R618" i="2" s="1"/>
  <c r="L618" i="2"/>
  <c r="I618" i="2"/>
  <c r="J618" i="2" s="1"/>
  <c r="H618" i="2"/>
  <c r="F618" i="2"/>
  <c r="U617" i="2"/>
  <c r="Q617" i="2"/>
  <c r="R617" i="2" s="1"/>
  <c r="L617" i="2"/>
  <c r="I617" i="2"/>
  <c r="J617" i="2" s="1"/>
  <c r="H617" i="2"/>
  <c r="F617" i="2"/>
  <c r="U616" i="2"/>
  <c r="Q616" i="2"/>
  <c r="R616" i="2" s="1"/>
  <c r="L616" i="2"/>
  <c r="I616" i="2"/>
  <c r="H616" i="2"/>
  <c r="F616" i="2"/>
  <c r="U615" i="2"/>
  <c r="Q615" i="2"/>
  <c r="R615" i="2" s="1"/>
  <c r="L615" i="2"/>
  <c r="I615" i="2"/>
  <c r="J615" i="2" s="1"/>
  <c r="H615" i="2"/>
  <c r="F615" i="2"/>
  <c r="U614" i="2"/>
  <c r="Q614" i="2"/>
  <c r="R614" i="2" s="1"/>
  <c r="L614" i="2"/>
  <c r="I614" i="2"/>
  <c r="J614" i="2" s="1"/>
  <c r="H614" i="2"/>
  <c r="F614" i="2"/>
  <c r="U613" i="2"/>
  <c r="Q613" i="2"/>
  <c r="R613" i="2" s="1"/>
  <c r="L613" i="2"/>
  <c r="I613" i="2"/>
  <c r="J613" i="2" s="1"/>
  <c r="H613" i="2"/>
  <c r="F613" i="2"/>
  <c r="U612" i="2"/>
  <c r="Q612" i="2"/>
  <c r="R612" i="2" s="1"/>
  <c r="L612" i="2"/>
  <c r="I612" i="2"/>
  <c r="H612" i="2"/>
  <c r="F612" i="2"/>
  <c r="U611" i="2"/>
  <c r="Q611" i="2"/>
  <c r="R611" i="2" s="1"/>
  <c r="L611" i="2"/>
  <c r="I611" i="2"/>
  <c r="J611" i="2" s="1"/>
  <c r="H611" i="2"/>
  <c r="F611" i="2"/>
  <c r="U610" i="2"/>
  <c r="Q610" i="2"/>
  <c r="R610" i="2" s="1"/>
  <c r="L610" i="2"/>
  <c r="I610" i="2"/>
  <c r="J610" i="2" s="1"/>
  <c r="H610" i="2"/>
  <c r="F610" i="2"/>
  <c r="U609" i="2"/>
  <c r="Q609" i="2"/>
  <c r="R609" i="2" s="1"/>
  <c r="L609" i="2"/>
  <c r="J609" i="2"/>
  <c r="H609" i="2"/>
  <c r="F609" i="2"/>
  <c r="U608" i="2"/>
  <c r="Q608" i="2"/>
  <c r="R608" i="2" s="1"/>
  <c r="L608" i="2"/>
  <c r="J608" i="2"/>
  <c r="H608" i="2"/>
  <c r="F608" i="2"/>
  <c r="U607" i="2"/>
  <c r="Q607" i="2"/>
  <c r="R607" i="2" s="1"/>
  <c r="L607" i="2"/>
  <c r="I607" i="2"/>
  <c r="J607" i="2" s="1"/>
  <c r="H607" i="2"/>
  <c r="F607" i="2"/>
  <c r="U606" i="2"/>
  <c r="Q606" i="2"/>
  <c r="R606" i="2" s="1"/>
  <c r="L606" i="2"/>
  <c r="I606" i="2"/>
  <c r="J606" i="2" s="1"/>
  <c r="H606" i="2"/>
  <c r="F606" i="2"/>
  <c r="U605" i="2"/>
  <c r="Q605" i="2"/>
  <c r="R605" i="2" s="1"/>
  <c r="L605" i="2"/>
  <c r="I605" i="2"/>
  <c r="J605" i="2" s="1"/>
  <c r="H605" i="2"/>
  <c r="F605" i="2"/>
  <c r="U604" i="2"/>
  <c r="Q604" i="2"/>
  <c r="R604" i="2" s="1"/>
  <c r="L604" i="2"/>
  <c r="I604" i="2"/>
  <c r="J604" i="2" s="1"/>
  <c r="H604" i="2"/>
  <c r="F604" i="2"/>
  <c r="U603" i="2"/>
  <c r="Q603" i="2"/>
  <c r="R603" i="2" s="1"/>
  <c r="L603" i="2"/>
  <c r="I603" i="2"/>
  <c r="J603" i="2" s="1"/>
  <c r="H603" i="2"/>
  <c r="F603" i="2"/>
  <c r="U602" i="2"/>
  <c r="Q602" i="2"/>
  <c r="R602" i="2" s="1"/>
  <c r="L602" i="2"/>
  <c r="I602" i="2"/>
  <c r="J602" i="2" s="1"/>
  <c r="H602" i="2"/>
  <c r="F602" i="2"/>
  <c r="U601" i="2"/>
  <c r="Q601" i="2"/>
  <c r="R601" i="2" s="1"/>
  <c r="L601" i="2"/>
  <c r="I601" i="2"/>
  <c r="J601" i="2" s="1"/>
  <c r="H601" i="2"/>
  <c r="F601" i="2"/>
  <c r="U600" i="2"/>
  <c r="Q600" i="2"/>
  <c r="R600" i="2" s="1"/>
  <c r="L600" i="2"/>
  <c r="I600" i="2"/>
  <c r="J600" i="2" s="1"/>
  <c r="H600" i="2"/>
  <c r="F600" i="2"/>
  <c r="U599" i="2"/>
  <c r="Q599" i="2"/>
  <c r="R599" i="2" s="1"/>
  <c r="L599" i="2"/>
  <c r="I599" i="2"/>
  <c r="J599" i="2" s="1"/>
  <c r="H599" i="2"/>
  <c r="F599" i="2"/>
  <c r="U598" i="2"/>
  <c r="Q598" i="2"/>
  <c r="R598" i="2" s="1"/>
  <c r="L598" i="2"/>
  <c r="I598" i="2"/>
  <c r="J598" i="2" s="1"/>
  <c r="H598" i="2"/>
  <c r="F598" i="2"/>
  <c r="U597" i="2"/>
  <c r="Q597" i="2"/>
  <c r="R597" i="2" s="1"/>
  <c r="L597" i="2"/>
  <c r="I597" i="2"/>
  <c r="J597" i="2" s="1"/>
  <c r="H597" i="2"/>
  <c r="F597" i="2"/>
  <c r="U596" i="2"/>
  <c r="Q596" i="2"/>
  <c r="R596" i="2" s="1"/>
  <c r="L596" i="2"/>
  <c r="I596" i="2"/>
  <c r="J596" i="2" s="1"/>
  <c r="H596" i="2"/>
  <c r="F596" i="2"/>
  <c r="U595" i="2"/>
  <c r="Q595" i="2"/>
  <c r="R595" i="2" s="1"/>
  <c r="L595" i="2"/>
  <c r="I595" i="2"/>
  <c r="J595" i="2" s="1"/>
  <c r="H595" i="2"/>
  <c r="F595" i="2"/>
  <c r="U594" i="2"/>
  <c r="Q594" i="2"/>
  <c r="R594" i="2" s="1"/>
  <c r="L594" i="2"/>
  <c r="I594" i="2"/>
  <c r="J594" i="2" s="1"/>
  <c r="H594" i="2"/>
  <c r="F594" i="2"/>
  <c r="U593" i="2"/>
  <c r="Q593" i="2"/>
  <c r="R593" i="2" s="1"/>
  <c r="L593" i="2"/>
  <c r="J593" i="2"/>
  <c r="N593" i="2" s="1"/>
  <c r="O593" i="2" s="1"/>
  <c r="P593" i="2" s="1"/>
  <c r="H593" i="2"/>
  <c r="F593" i="2"/>
  <c r="U592" i="2"/>
  <c r="Q592" i="2"/>
  <c r="R592" i="2" s="1"/>
  <c r="L592" i="2"/>
  <c r="J592" i="2"/>
  <c r="N592" i="2" s="1"/>
  <c r="O592" i="2" s="1"/>
  <c r="P592" i="2" s="1"/>
  <c r="H592" i="2"/>
  <c r="F592" i="2"/>
  <c r="U591" i="2"/>
  <c r="Q591" i="2"/>
  <c r="R591" i="2" s="1"/>
  <c r="L591" i="2"/>
  <c r="I591" i="2"/>
  <c r="J591" i="2" s="1"/>
  <c r="H591" i="2"/>
  <c r="F591" i="2"/>
  <c r="U590" i="2"/>
  <c r="Q590" i="2"/>
  <c r="R590" i="2" s="1"/>
  <c r="L590" i="2"/>
  <c r="I590" i="2"/>
  <c r="H590" i="2"/>
  <c r="F590" i="2"/>
  <c r="U589" i="2"/>
  <c r="Q589" i="2"/>
  <c r="R589" i="2" s="1"/>
  <c r="L589" i="2"/>
  <c r="I589" i="2"/>
  <c r="H589" i="2"/>
  <c r="F589" i="2"/>
  <c r="U588" i="2"/>
  <c r="Q588" i="2"/>
  <c r="R588" i="2" s="1"/>
  <c r="L588" i="2"/>
  <c r="I588" i="2"/>
  <c r="J588" i="2" s="1"/>
  <c r="H588" i="2"/>
  <c r="F588" i="2"/>
  <c r="U587" i="2"/>
  <c r="Q587" i="2"/>
  <c r="R587" i="2" s="1"/>
  <c r="L587" i="2"/>
  <c r="I587" i="2"/>
  <c r="H587" i="2"/>
  <c r="F587" i="2"/>
  <c r="U586" i="2"/>
  <c r="Q586" i="2"/>
  <c r="R586" i="2" s="1"/>
  <c r="L586" i="2"/>
  <c r="I586" i="2"/>
  <c r="J586" i="2" s="1"/>
  <c r="H586" i="2"/>
  <c r="F586" i="2"/>
  <c r="U585" i="2"/>
  <c r="Q585" i="2"/>
  <c r="R585" i="2" s="1"/>
  <c r="L585" i="2"/>
  <c r="I585" i="2"/>
  <c r="H585" i="2"/>
  <c r="F585" i="2"/>
  <c r="U584" i="2"/>
  <c r="Q584" i="2"/>
  <c r="R584" i="2" s="1"/>
  <c r="L584" i="2"/>
  <c r="I584" i="2"/>
  <c r="J584" i="2" s="1"/>
  <c r="H584" i="2"/>
  <c r="F584" i="2"/>
  <c r="U583" i="2"/>
  <c r="Q583" i="2"/>
  <c r="R583" i="2" s="1"/>
  <c r="L583" i="2"/>
  <c r="I583" i="2"/>
  <c r="H583" i="2"/>
  <c r="F583" i="2"/>
  <c r="U582" i="2"/>
  <c r="Q582" i="2"/>
  <c r="R582" i="2" s="1"/>
  <c r="L582" i="2"/>
  <c r="I582" i="2"/>
  <c r="J582" i="2" s="1"/>
  <c r="H582" i="2"/>
  <c r="F582" i="2"/>
  <c r="U581" i="2"/>
  <c r="Q581" i="2"/>
  <c r="R581" i="2" s="1"/>
  <c r="L581" i="2"/>
  <c r="I581" i="2"/>
  <c r="H581" i="2"/>
  <c r="F581" i="2"/>
  <c r="U580" i="2"/>
  <c r="Q580" i="2"/>
  <c r="R580" i="2" s="1"/>
  <c r="L580" i="2"/>
  <c r="I580" i="2"/>
  <c r="J580" i="2" s="1"/>
  <c r="H580" i="2"/>
  <c r="F580" i="2"/>
  <c r="U579" i="2"/>
  <c r="Q579" i="2"/>
  <c r="R579" i="2" s="1"/>
  <c r="L579" i="2"/>
  <c r="I579" i="2"/>
  <c r="H579" i="2"/>
  <c r="F579" i="2"/>
  <c r="U578" i="2"/>
  <c r="Q578" i="2"/>
  <c r="R578" i="2" s="1"/>
  <c r="L578" i="2"/>
  <c r="I578" i="2"/>
  <c r="J578" i="2" s="1"/>
  <c r="H578" i="2"/>
  <c r="F578" i="2"/>
  <c r="U577" i="2"/>
  <c r="Q577" i="2"/>
  <c r="R577" i="2" s="1"/>
  <c r="L577" i="2"/>
  <c r="J577" i="2"/>
  <c r="H577" i="2"/>
  <c r="F577" i="2"/>
  <c r="U576" i="2"/>
  <c r="Q576" i="2"/>
  <c r="R576" i="2" s="1"/>
  <c r="L576" i="2"/>
  <c r="I576" i="2"/>
  <c r="J576" i="2" s="1"/>
  <c r="H576" i="2"/>
  <c r="F576" i="2"/>
  <c r="U575" i="2"/>
  <c r="Q575" i="2"/>
  <c r="R575" i="2" s="1"/>
  <c r="L575" i="2"/>
  <c r="I575" i="2"/>
  <c r="J575" i="2" s="1"/>
  <c r="H575" i="2"/>
  <c r="F575" i="2"/>
  <c r="U574" i="2"/>
  <c r="Q574" i="2"/>
  <c r="R574" i="2" s="1"/>
  <c r="L574" i="2"/>
  <c r="I574" i="2"/>
  <c r="J574" i="2" s="1"/>
  <c r="H574" i="2"/>
  <c r="F574" i="2"/>
  <c r="U573" i="2"/>
  <c r="Q573" i="2"/>
  <c r="R573" i="2" s="1"/>
  <c r="L573" i="2"/>
  <c r="I573" i="2"/>
  <c r="J573" i="2" s="1"/>
  <c r="H573" i="2"/>
  <c r="F573" i="2"/>
  <c r="U572" i="2"/>
  <c r="Q572" i="2"/>
  <c r="R572" i="2" s="1"/>
  <c r="L572" i="2"/>
  <c r="J572" i="2"/>
  <c r="N572" i="2" s="1"/>
  <c r="O572" i="2" s="1"/>
  <c r="P572" i="2" s="1"/>
  <c r="H572" i="2"/>
  <c r="F572" i="2"/>
  <c r="U571" i="2"/>
  <c r="Q571" i="2"/>
  <c r="R571" i="2" s="1"/>
  <c r="L571" i="2"/>
  <c r="I571" i="2"/>
  <c r="J571" i="2" s="1"/>
  <c r="H571" i="2"/>
  <c r="F571" i="2"/>
  <c r="U570" i="2"/>
  <c r="Q570" i="2"/>
  <c r="R570" i="2" s="1"/>
  <c r="L570" i="2"/>
  <c r="I570" i="2"/>
  <c r="J570" i="2" s="1"/>
  <c r="H570" i="2"/>
  <c r="F570" i="2"/>
  <c r="U569" i="2"/>
  <c r="Q569" i="2"/>
  <c r="R569" i="2" s="1"/>
  <c r="L569" i="2"/>
  <c r="I569" i="2"/>
  <c r="J569" i="2" s="1"/>
  <c r="H569" i="2"/>
  <c r="F569" i="2"/>
  <c r="U568" i="2"/>
  <c r="Q568" i="2"/>
  <c r="R568" i="2" s="1"/>
  <c r="L568" i="2"/>
  <c r="I568" i="2"/>
  <c r="J568" i="2" s="1"/>
  <c r="H568" i="2"/>
  <c r="F568" i="2"/>
  <c r="U567" i="2"/>
  <c r="Q567" i="2"/>
  <c r="R567" i="2" s="1"/>
  <c r="L567" i="2"/>
  <c r="I567" i="2"/>
  <c r="J567" i="2" s="1"/>
  <c r="H567" i="2"/>
  <c r="F567" i="2"/>
  <c r="U566" i="2"/>
  <c r="Q566" i="2"/>
  <c r="R566" i="2" s="1"/>
  <c r="L566" i="2"/>
  <c r="I566" i="2"/>
  <c r="J566" i="2" s="1"/>
  <c r="H566" i="2"/>
  <c r="F566" i="2"/>
  <c r="U565" i="2"/>
  <c r="Q565" i="2"/>
  <c r="R565" i="2" s="1"/>
  <c r="L565" i="2"/>
  <c r="I565" i="2"/>
  <c r="J565" i="2" s="1"/>
  <c r="H565" i="2"/>
  <c r="F565" i="2"/>
  <c r="U564" i="2"/>
  <c r="Q564" i="2"/>
  <c r="R564" i="2" s="1"/>
  <c r="L564" i="2"/>
  <c r="I564" i="2"/>
  <c r="J564" i="2" s="1"/>
  <c r="H564" i="2"/>
  <c r="F564" i="2"/>
  <c r="U563" i="2"/>
  <c r="Q563" i="2"/>
  <c r="R563" i="2" s="1"/>
  <c r="L563" i="2"/>
  <c r="J563" i="2"/>
  <c r="H563" i="2"/>
  <c r="F563" i="2"/>
  <c r="U562" i="2"/>
  <c r="Q562" i="2"/>
  <c r="R562" i="2" s="1"/>
  <c r="L562" i="2"/>
  <c r="I562" i="2"/>
  <c r="J562" i="2" s="1"/>
  <c r="H562" i="2"/>
  <c r="F562" i="2"/>
  <c r="U561" i="2"/>
  <c r="Q561" i="2"/>
  <c r="R561" i="2" s="1"/>
  <c r="L561" i="2"/>
  <c r="J561" i="2"/>
  <c r="N561" i="2" s="1"/>
  <c r="O561" i="2" s="1"/>
  <c r="P561" i="2" s="1"/>
  <c r="H561" i="2"/>
  <c r="F561" i="2"/>
  <c r="U560" i="2"/>
  <c r="Q560" i="2"/>
  <c r="R560" i="2" s="1"/>
  <c r="L560" i="2"/>
  <c r="I560" i="2"/>
  <c r="J560" i="2" s="1"/>
  <c r="H560" i="2"/>
  <c r="F560" i="2"/>
  <c r="U559" i="2"/>
  <c r="Q559" i="2"/>
  <c r="R559" i="2" s="1"/>
  <c r="L559" i="2"/>
  <c r="I559" i="2"/>
  <c r="J559" i="2" s="1"/>
  <c r="U558" i="2"/>
  <c r="Q558" i="2"/>
  <c r="R558" i="2" s="1"/>
  <c r="L558" i="2"/>
  <c r="I558" i="2"/>
  <c r="J558" i="2" s="1"/>
  <c r="U557" i="2"/>
  <c r="Q557" i="2"/>
  <c r="R557" i="2" s="1"/>
  <c r="L557" i="2"/>
  <c r="I557" i="2"/>
  <c r="J557" i="2" s="1"/>
  <c r="U556" i="2"/>
  <c r="Q556" i="2"/>
  <c r="R556" i="2" s="1"/>
  <c r="L556" i="2"/>
  <c r="I556" i="2"/>
  <c r="J556" i="2" s="1"/>
  <c r="U555" i="2"/>
  <c r="Q555" i="2"/>
  <c r="R555" i="2" s="1"/>
  <c r="L555" i="2"/>
  <c r="I555" i="2"/>
  <c r="J555" i="2" s="1"/>
  <c r="U554" i="2"/>
  <c r="Q554" i="2"/>
  <c r="R554" i="2" s="1"/>
  <c r="L554" i="2"/>
  <c r="I554" i="2"/>
  <c r="J554" i="2" s="1"/>
  <c r="U553" i="2"/>
  <c r="Q553" i="2"/>
  <c r="R553" i="2" s="1"/>
  <c r="L553" i="2"/>
  <c r="J553" i="2"/>
  <c r="U552" i="2"/>
  <c r="Q552" i="2"/>
  <c r="R552" i="2" s="1"/>
  <c r="L552" i="2"/>
  <c r="I552" i="2"/>
  <c r="J552" i="2" s="1"/>
  <c r="U551" i="2"/>
  <c r="Q551" i="2"/>
  <c r="R551" i="2" s="1"/>
  <c r="L551" i="2"/>
  <c r="I551" i="2"/>
  <c r="J551" i="2" s="1"/>
  <c r="U550" i="2"/>
  <c r="Q550" i="2"/>
  <c r="R550" i="2" s="1"/>
  <c r="L550" i="2"/>
  <c r="I550" i="2"/>
  <c r="J550" i="2" s="1"/>
  <c r="U549" i="2"/>
  <c r="Q549" i="2"/>
  <c r="R549" i="2" s="1"/>
  <c r="L549" i="2"/>
  <c r="J549" i="2"/>
  <c r="N549" i="2" s="1"/>
  <c r="O549" i="2" s="1"/>
  <c r="P549" i="2" s="1"/>
  <c r="U548" i="2"/>
  <c r="Q548" i="2"/>
  <c r="R548" i="2" s="1"/>
  <c r="L548" i="2"/>
  <c r="I548" i="2"/>
  <c r="U547" i="2"/>
  <c r="Q547" i="2"/>
  <c r="R547" i="2" s="1"/>
  <c r="O547" i="2"/>
  <c r="P547" i="2" s="1"/>
  <c r="L547" i="2"/>
  <c r="I547" i="2"/>
  <c r="J547" i="2" s="1"/>
  <c r="U546" i="2"/>
  <c r="Q546" i="2"/>
  <c r="R546" i="2" s="1"/>
  <c r="L546" i="2"/>
  <c r="I546" i="2"/>
  <c r="J546" i="2" s="1"/>
  <c r="U545" i="2"/>
  <c r="Q545" i="2"/>
  <c r="R545" i="2" s="1"/>
  <c r="L545" i="2"/>
  <c r="I545" i="2"/>
  <c r="J545" i="2" s="1"/>
  <c r="U544" i="2"/>
  <c r="Q544" i="2"/>
  <c r="R544" i="2" s="1"/>
  <c r="O544" i="2"/>
  <c r="P544" i="2" s="1"/>
  <c r="L544" i="2"/>
  <c r="I544" i="2"/>
  <c r="J544" i="2" s="1"/>
  <c r="U543" i="2"/>
  <c r="Q543" i="2"/>
  <c r="R543" i="2" s="1"/>
  <c r="O543" i="2"/>
  <c r="P543" i="2" s="1"/>
  <c r="L543" i="2"/>
  <c r="J543" i="2"/>
  <c r="U542" i="2"/>
  <c r="Q542" i="2"/>
  <c r="R542" i="2" s="1"/>
  <c r="L542" i="2"/>
  <c r="I542" i="2"/>
  <c r="J542" i="2" s="1"/>
  <c r="U541" i="2"/>
  <c r="Q541" i="2"/>
  <c r="R541" i="2" s="1"/>
  <c r="L541" i="2"/>
  <c r="J541" i="2"/>
  <c r="U540" i="2"/>
  <c r="Q540" i="2"/>
  <c r="R540" i="2" s="1"/>
  <c r="L540" i="2"/>
  <c r="J540" i="2"/>
  <c r="N540" i="2" s="1"/>
  <c r="O540" i="2" s="1"/>
  <c r="P540" i="2" s="1"/>
  <c r="U539" i="2"/>
  <c r="Q539" i="2"/>
  <c r="R539" i="2" s="1"/>
  <c r="L539" i="2"/>
  <c r="I539" i="2"/>
  <c r="J539" i="2" s="1"/>
  <c r="U538" i="2"/>
  <c r="Q538" i="2"/>
  <c r="R538" i="2" s="1"/>
  <c r="L538" i="2"/>
  <c r="J538" i="2"/>
  <c r="U537" i="2"/>
  <c r="Q537" i="2"/>
  <c r="R537" i="2" s="1"/>
  <c r="O537" i="2"/>
  <c r="P537" i="2" s="1"/>
  <c r="L537" i="2"/>
  <c r="I537" i="2"/>
  <c r="J537" i="2" s="1"/>
  <c r="U536" i="2"/>
  <c r="Q536" i="2"/>
  <c r="R536" i="2" s="1"/>
  <c r="L536" i="2"/>
  <c r="J536" i="2"/>
  <c r="U535" i="2"/>
  <c r="Q535" i="2"/>
  <c r="R535" i="2" s="1"/>
  <c r="L535" i="2"/>
  <c r="J535" i="2"/>
  <c r="N535" i="2" s="1"/>
  <c r="O535" i="2" s="1"/>
  <c r="P535" i="2" s="1"/>
  <c r="U534" i="2"/>
  <c r="Q534" i="2"/>
  <c r="R534" i="2" s="1"/>
  <c r="O534" i="2"/>
  <c r="P534" i="2" s="1"/>
  <c r="L534" i="2"/>
  <c r="I534" i="2"/>
  <c r="J534" i="2" s="1"/>
  <c r="U533" i="2"/>
  <c r="Q533" i="2"/>
  <c r="R533" i="2" s="1"/>
  <c r="L533" i="2"/>
  <c r="J533" i="2"/>
  <c r="N533" i="2" s="1"/>
  <c r="O533" i="2" s="1"/>
  <c r="P533" i="2" s="1"/>
  <c r="U532" i="2"/>
  <c r="Q532" i="2"/>
  <c r="R532" i="2" s="1"/>
  <c r="L532" i="2"/>
  <c r="J532" i="2"/>
  <c r="U531" i="2"/>
  <c r="Q531" i="2"/>
  <c r="R531" i="2" s="1"/>
  <c r="L531" i="2"/>
  <c r="J531" i="2"/>
  <c r="U530" i="2"/>
  <c r="Q530" i="2"/>
  <c r="R530" i="2" s="1"/>
  <c r="L530" i="2"/>
  <c r="J530" i="2"/>
  <c r="N530" i="2" s="1"/>
  <c r="O530" i="2" s="1"/>
  <c r="P530" i="2" s="1"/>
  <c r="U529" i="2"/>
  <c r="Q529" i="2"/>
  <c r="R529" i="2" s="1"/>
  <c r="L529" i="2"/>
  <c r="J529" i="2"/>
  <c r="N529" i="2" s="1"/>
  <c r="O529" i="2" s="1"/>
  <c r="P529" i="2" s="1"/>
  <c r="U528" i="2"/>
  <c r="Q528" i="2"/>
  <c r="R528" i="2" s="1"/>
  <c r="L528" i="2"/>
  <c r="J528" i="2"/>
  <c r="U527" i="2"/>
  <c r="Q527" i="2"/>
  <c r="R527" i="2" s="1"/>
  <c r="L527" i="2"/>
  <c r="J527" i="2"/>
  <c r="N527" i="2" s="1"/>
  <c r="O527" i="2" s="1"/>
  <c r="P527" i="2" s="1"/>
  <c r="U526" i="2"/>
  <c r="Q526" i="2"/>
  <c r="R526" i="2" s="1"/>
  <c r="L526" i="2"/>
  <c r="J526" i="2"/>
  <c r="N526" i="2" s="1"/>
  <c r="O526" i="2" s="1"/>
  <c r="P526" i="2" s="1"/>
  <c r="U525" i="2"/>
  <c r="Q525" i="2"/>
  <c r="R525" i="2" s="1"/>
  <c r="L525" i="2"/>
  <c r="J525" i="2"/>
  <c r="U524" i="2"/>
  <c r="Q524" i="2"/>
  <c r="R524" i="2" s="1"/>
  <c r="O524" i="2"/>
  <c r="P524" i="2" s="1"/>
  <c r="L524" i="2"/>
  <c r="J524" i="2"/>
  <c r="U523" i="2"/>
  <c r="Q523" i="2"/>
  <c r="R523" i="2" s="1"/>
  <c r="L523" i="2"/>
  <c r="J523" i="2"/>
  <c r="U522" i="2"/>
  <c r="Q522" i="2"/>
  <c r="R522" i="2" s="1"/>
  <c r="L522" i="2"/>
  <c r="J522" i="2"/>
  <c r="N522" i="2" s="1"/>
  <c r="O522" i="2" s="1"/>
  <c r="P522" i="2" s="1"/>
  <c r="U521" i="2"/>
  <c r="Q521" i="2"/>
  <c r="R521" i="2" s="1"/>
  <c r="L521" i="2"/>
  <c r="J521" i="2"/>
  <c r="N521" i="2" s="1"/>
  <c r="O521" i="2" s="1"/>
  <c r="P521" i="2" s="1"/>
  <c r="U520" i="2"/>
  <c r="Q520" i="2"/>
  <c r="R520" i="2" s="1"/>
  <c r="L520" i="2"/>
  <c r="J520" i="2"/>
  <c r="U519" i="2"/>
  <c r="Q519" i="2"/>
  <c r="R519" i="2" s="1"/>
  <c r="L519" i="2"/>
  <c r="J519" i="2"/>
  <c r="U518" i="2"/>
  <c r="Q518" i="2"/>
  <c r="R518" i="2" s="1"/>
  <c r="L518" i="2"/>
  <c r="J518" i="2"/>
  <c r="N518" i="2" s="1"/>
  <c r="O518" i="2" s="1"/>
  <c r="P518" i="2" s="1"/>
  <c r="U517" i="2"/>
  <c r="Q517" i="2"/>
  <c r="R517" i="2" s="1"/>
  <c r="L517" i="2"/>
  <c r="J517" i="2"/>
  <c r="U516" i="2"/>
  <c r="Q516" i="2"/>
  <c r="R516" i="2" s="1"/>
  <c r="L516" i="2"/>
  <c r="J516" i="2"/>
  <c r="N516" i="2" s="1"/>
  <c r="O516" i="2" s="1"/>
  <c r="P516" i="2" s="1"/>
  <c r="U515" i="2"/>
  <c r="Q515" i="2"/>
  <c r="R515" i="2" s="1"/>
  <c r="L515" i="2"/>
  <c r="J515" i="2"/>
  <c r="U514" i="2"/>
  <c r="Q514" i="2"/>
  <c r="R514" i="2" s="1"/>
  <c r="L514" i="2"/>
  <c r="J514" i="2"/>
  <c r="N514" i="2" s="1"/>
  <c r="O514" i="2" s="1"/>
  <c r="P514" i="2" s="1"/>
  <c r="U513" i="2"/>
  <c r="Q513" i="2"/>
  <c r="R513" i="2" s="1"/>
  <c r="L513" i="2"/>
  <c r="J513" i="2"/>
  <c r="N513" i="2" s="1"/>
  <c r="O513" i="2" s="1"/>
  <c r="P513" i="2" s="1"/>
  <c r="U512" i="2"/>
  <c r="Q512" i="2"/>
  <c r="R512" i="2" s="1"/>
  <c r="L512" i="2"/>
  <c r="J512" i="2"/>
  <c r="N512" i="2" s="1"/>
  <c r="O512" i="2" s="1"/>
  <c r="P512" i="2" s="1"/>
  <c r="U511" i="2"/>
  <c r="Q511" i="2"/>
  <c r="R511" i="2" s="1"/>
  <c r="L511" i="2"/>
  <c r="J511" i="2"/>
  <c r="U510" i="2"/>
  <c r="Q510" i="2"/>
  <c r="R510" i="2" s="1"/>
  <c r="L510" i="2"/>
  <c r="J510" i="2"/>
  <c r="N510" i="2" s="1"/>
  <c r="O510" i="2" s="1"/>
  <c r="P510" i="2" s="1"/>
  <c r="U509" i="2"/>
  <c r="Q509" i="2"/>
  <c r="R509" i="2" s="1"/>
  <c r="L509" i="2"/>
  <c r="J509" i="2"/>
  <c r="N509" i="2" s="1"/>
  <c r="O509" i="2" s="1"/>
  <c r="P509" i="2" s="1"/>
  <c r="U508" i="2"/>
  <c r="Q508" i="2"/>
  <c r="R508" i="2" s="1"/>
  <c r="L508" i="2"/>
  <c r="J508" i="2"/>
  <c r="U507" i="2"/>
  <c r="Q507" i="2"/>
  <c r="R507" i="2" s="1"/>
  <c r="L507" i="2"/>
  <c r="J507" i="2"/>
  <c r="U506" i="2"/>
  <c r="Q506" i="2"/>
  <c r="R506" i="2" s="1"/>
  <c r="L506" i="2"/>
  <c r="J506" i="2"/>
  <c r="N506" i="2" s="1"/>
  <c r="O506" i="2" s="1"/>
  <c r="P506" i="2" s="1"/>
  <c r="U505" i="2"/>
  <c r="Q505" i="2"/>
  <c r="R505" i="2" s="1"/>
  <c r="L505" i="2"/>
  <c r="J505" i="2"/>
  <c r="N505" i="2" s="1"/>
  <c r="O505" i="2" s="1"/>
  <c r="P505" i="2" s="1"/>
  <c r="U504" i="2"/>
  <c r="Q504" i="2"/>
  <c r="R504" i="2" s="1"/>
  <c r="L504" i="2"/>
  <c r="J504" i="2"/>
  <c r="N504" i="2" s="1"/>
  <c r="O504" i="2" s="1"/>
  <c r="P504" i="2" s="1"/>
  <c r="U503" i="2"/>
  <c r="Q503" i="2"/>
  <c r="R503" i="2" s="1"/>
  <c r="L503" i="2"/>
  <c r="J503" i="2"/>
  <c r="U502" i="2"/>
  <c r="Q502" i="2"/>
  <c r="R502" i="2" s="1"/>
  <c r="L502" i="2"/>
  <c r="J502" i="2"/>
  <c r="N502" i="2" s="1"/>
  <c r="O502" i="2" s="1"/>
  <c r="P502" i="2" s="1"/>
  <c r="U501" i="2"/>
  <c r="Q501" i="2"/>
  <c r="R501" i="2" s="1"/>
  <c r="L501" i="2"/>
  <c r="J501" i="2"/>
  <c r="U500" i="2"/>
  <c r="Q500" i="2"/>
  <c r="R500" i="2" s="1"/>
  <c r="L500" i="2"/>
  <c r="J500" i="2"/>
  <c r="N500" i="2" s="1"/>
  <c r="O500" i="2" s="1"/>
  <c r="P500" i="2" s="1"/>
  <c r="U499" i="2"/>
  <c r="Q499" i="2"/>
  <c r="R499" i="2" s="1"/>
  <c r="L499" i="2"/>
  <c r="J499" i="2"/>
  <c r="U498" i="2"/>
  <c r="Q498" i="2"/>
  <c r="R498" i="2" s="1"/>
  <c r="L498" i="2"/>
  <c r="J498" i="2"/>
  <c r="N498" i="2" s="1"/>
  <c r="O498" i="2" s="1"/>
  <c r="P498" i="2" s="1"/>
  <c r="U497" i="2"/>
  <c r="Q497" i="2"/>
  <c r="R497" i="2" s="1"/>
  <c r="L497" i="2"/>
  <c r="J497" i="2"/>
  <c r="U496" i="2"/>
  <c r="Q496" i="2"/>
  <c r="R496" i="2" s="1"/>
  <c r="L496" i="2"/>
  <c r="J496" i="2"/>
  <c r="N496" i="2" s="1"/>
  <c r="O496" i="2" s="1"/>
  <c r="P496" i="2" s="1"/>
  <c r="U495" i="2"/>
  <c r="Q495" i="2"/>
  <c r="R495" i="2" s="1"/>
  <c r="L495" i="2"/>
  <c r="J495" i="2"/>
  <c r="U494" i="2"/>
  <c r="Q494" i="2"/>
  <c r="R494" i="2" s="1"/>
  <c r="L494" i="2"/>
  <c r="J494" i="2"/>
  <c r="N494" i="2" s="1"/>
  <c r="O494" i="2" s="1"/>
  <c r="P494" i="2" s="1"/>
  <c r="U493" i="2"/>
  <c r="Q493" i="2"/>
  <c r="R493" i="2" s="1"/>
  <c r="O493" i="2"/>
  <c r="P493" i="2" s="1"/>
  <c r="L493" i="2"/>
  <c r="J493" i="2"/>
  <c r="U492" i="2"/>
  <c r="Q492" i="2"/>
  <c r="R492" i="2" s="1"/>
  <c r="L492" i="2"/>
  <c r="J492" i="2"/>
  <c r="U491" i="2"/>
  <c r="Q491" i="2"/>
  <c r="R491" i="2" s="1"/>
  <c r="L491" i="2"/>
  <c r="J491" i="2"/>
  <c r="N491" i="2" s="1"/>
  <c r="O491" i="2" s="1"/>
  <c r="P491" i="2" s="1"/>
  <c r="U490" i="2"/>
  <c r="Q490" i="2"/>
  <c r="R490" i="2" s="1"/>
  <c r="L490" i="2"/>
  <c r="J490" i="2"/>
  <c r="U489" i="2"/>
  <c r="Q489" i="2"/>
  <c r="R489" i="2" s="1"/>
  <c r="L489" i="2"/>
  <c r="J489" i="2"/>
  <c r="N489" i="2" s="1"/>
  <c r="O489" i="2" s="1"/>
  <c r="P489" i="2" s="1"/>
  <c r="U488" i="2"/>
  <c r="Q488" i="2"/>
  <c r="R488" i="2" s="1"/>
  <c r="L488" i="2"/>
  <c r="J488" i="2"/>
  <c r="U487" i="2"/>
  <c r="Q487" i="2"/>
  <c r="R487" i="2" s="1"/>
  <c r="L487" i="2"/>
  <c r="J487" i="2"/>
  <c r="N487" i="2" s="1"/>
  <c r="O487" i="2" s="1"/>
  <c r="P487" i="2" s="1"/>
  <c r="U486" i="2"/>
  <c r="Q486" i="2"/>
  <c r="R486" i="2" s="1"/>
  <c r="L486" i="2"/>
  <c r="J486" i="2"/>
  <c r="U485" i="2"/>
  <c r="Q485" i="2"/>
  <c r="R485" i="2" s="1"/>
  <c r="L485" i="2"/>
  <c r="J485" i="2"/>
  <c r="U484" i="2"/>
  <c r="Q484" i="2"/>
  <c r="R484" i="2" s="1"/>
  <c r="L484" i="2"/>
  <c r="J484" i="2"/>
  <c r="N484" i="2" s="1"/>
  <c r="O484" i="2" s="1"/>
  <c r="P484" i="2" s="1"/>
  <c r="U483" i="2"/>
  <c r="Q483" i="2"/>
  <c r="R483" i="2" s="1"/>
  <c r="O483" i="2"/>
  <c r="P483" i="2" s="1"/>
  <c r="L483" i="2"/>
  <c r="J483" i="2"/>
  <c r="U482" i="2"/>
  <c r="Q482" i="2"/>
  <c r="R482" i="2" s="1"/>
  <c r="L482" i="2"/>
  <c r="J482" i="2"/>
  <c r="N482" i="2" s="1"/>
  <c r="O482" i="2" s="1"/>
  <c r="P482" i="2" s="1"/>
  <c r="U481" i="2"/>
  <c r="Q481" i="2"/>
  <c r="R481" i="2" s="1"/>
  <c r="L481" i="2"/>
  <c r="J481" i="2"/>
  <c r="U480" i="2"/>
  <c r="Q480" i="2"/>
  <c r="R480" i="2" s="1"/>
  <c r="L480" i="2"/>
  <c r="J480" i="2"/>
  <c r="N480" i="2" s="1"/>
  <c r="O480" i="2" s="1"/>
  <c r="P480" i="2" s="1"/>
  <c r="U479" i="2"/>
  <c r="Q479" i="2"/>
  <c r="R479" i="2" s="1"/>
  <c r="L479" i="2"/>
  <c r="J479" i="2"/>
  <c r="N479" i="2" s="1"/>
  <c r="O479" i="2" s="1"/>
  <c r="P479" i="2" s="1"/>
  <c r="U478" i="2"/>
  <c r="Q478" i="2"/>
  <c r="R478" i="2" s="1"/>
  <c r="L478" i="2"/>
  <c r="J478" i="2"/>
  <c r="N478" i="2" s="1"/>
  <c r="O478" i="2" s="1"/>
  <c r="P478" i="2" s="1"/>
  <c r="U477" i="2"/>
  <c r="Q477" i="2"/>
  <c r="R477" i="2" s="1"/>
  <c r="O477" i="2"/>
  <c r="P477" i="2" s="1"/>
  <c r="L477" i="2"/>
  <c r="J477" i="2"/>
  <c r="U476" i="2"/>
  <c r="Q476" i="2"/>
  <c r="R476" i="2" s="1"/>
  <c r="L476" i="2"/>
  <c r="J476" i="2"/>
  <c r="U475" i="2"/>
  <c r="Q475" i="2"/>
  <c r="R475" i="2" s="1"/>
  <c r="L475" i="2"/>
  <c r="J475" i="2"/>
  <c r="N475" i="2" s="1"/>
  <c r="O475" i="2" s="1"/>
  <c r="P475" i="2" s="1"/>
  <c r="U474" i="2"/>
  <c r="Q474" i="2"/>
  <c r="R474" i="2" s="1"/>
  <c r="L474" i="2"/>
  <c r="J474" i="2"/>
  <c r="N474" i="2" s="1"/>
  <c r="O474" i="2" s="1"/>
  <c r="P474" i="2" s="1"/>
  <c r="U473" i="2"/>
  <c r="Q473" i="2"/>
  <c r="R473" i="2" s="1"/>
  <c r="L473" i="2"/>
  <c r="J473" i="2"/>
  <c r="U472" i="2"/>
  <c r="Q472" i="2"/>
  <c r="R472" i="2" s="1"/>
  <c r="L472" i="2"/>
  <c r="J472" i="2"/>
  <c r="U471" i="2"/>
  <c r="Q471" i="2"/>
  <c r="R471" i="2" s="1"/>
  <c r="O471" i="2"/>
  <c r="P471" i="2" s="1"/>
  <c r="L471" i="2"/>
  <c r="J471" i="2"/>
  <c r="U470" i="2"/>
  <c r="Q470" i="2"/>
  <c r="R470" i="2" s="1"/>
  <c r="L470" i="2"/>
  <c r="J470" i="2"/>
  <c r="N470" i="2" s="1"/>
  <c r="O470" i="2" s="1"/>
  <c r="P470" i="2" s="1"/>
  <c r="U469" i="2"/>
  <c r="Q469" i="2"/>
  <c r="R469" i="2" s="1"/>
  <c r="L469" i="2"/>
  <c r="J469" i="2"/>
  <c r="N469" i="2" s="1"/>
  <c r="O469" i="2" s="1"/>
  <c r="P469" i="2" s="1"/>
  <c r="U468" i="2"/>
  <c r="Q468" i="2"/>
  <c r="R468" i="2" s="1"/>
  <c r="L468" i="2"/>
  <c r="J468" i="2"/>
  <c r="N468" i="2" s="1"/>
  <c r="O468" i="2" s="1"/>
  <c r="P468" i="2" s="1"/>
  <c r="U467" i="2"/>
  <c r="Q467" i="2"/>
  <c r="R467" i="2" s="1"/>
  <c r="L467" i="2"/>
  <c r="J467" i="2"/>
  <c r="U466" i="2"/>
  <c r="Q466" i="2"/>
  <c r="R466" i="2" s="1"/>
  <c r="L466" i="2"/>
  <c r="J466" i="2"/>
  <c r="U465" i="2"/>
  <c r="Q465" i="2"/>
  <c r="R465" i="2" s="1"/>
  <c r="L465" i="2"/>
  <c r="J465" i="2"/>
  <c r="N465" i="2" s="1"/>
  <c r="O465" i="2" s="1"/>
  <c r="P465" i="2" s="1"/>
  <c r="U464" i="2"/>
  <c r="Q464" i="2"/>
  <c r="R464" i="2" s="1"/>
  <c r="L464" i="2"/>
  <c r="J464" i="2"/>
  <c r="U463" i="2"/>
  <c r="Q463" i="2"/>
  <c r="R463" i="2" s="1"/>
  <c r="L463" i="2"/>
  <c r="J463" i="2"/>
  <c r="U462" i="2"/>
  <c r="Q462" i="2"/>
  <c r="R462" i="2" s="1"/>
  <c r="L462" i="2"/>
  <c r="J462" i="2"/>
  <c r="N462" i="2" s="1"/>
  <c r="O462" i="2" s="1"/>
  <c r="P462" i="2" s="1"/>
  <c r="U461" i="2"/>
  <c r="Q461" i="2"/>
  <c r="R461" i="2" s="1"/>
  <c r="L461" i="2"/>
  <c r="J461" i="2"/>
  <c r="N461" i="2" s="1"/>
  <c r="O461" i="2" s="1"/>
  <c r="P461" i="2" s="1"/>
  <c r="U460" i="2"/>
  <c r="Q460" i="2"/>
  <c r="R460" i="2" s="1"/>
  <c r="L460" i="2"/>
  <c r="J460" i="2"/>
  <c r="U459" i="2"/>
  <c r="Q459" i="2"/>
  <c r="R459" i="2" s="1"/>
  <c r="O459" i="2"/>
  <c r="P459" i="2" s="1"/>
  <c r="L459" i="2"/>
  <c r="J459" i="2"/>
  <c r="U458" i="2"/>
  <c r="Q458" i="2"/>
  <c r="R458" i="2" s="1"/>
  <c r="L458" i="2"/>
  <c r="J458" i="2"/>
  <c r="U457" i="2"/>
  <c r="Q457" i="2"/>
  <c r="R457" i="2" s="1"/>
  <c r="L457" i="2"/>
  <c r="J457" i="2"/>
  <c r="N457" i="2" s="1"/>
  <c r="O457" i="2" s="1"/>
  <c r="P457" i="2" s="1"/>
  <c r="U456" i="2"/>
  <c r="Q456" i="2"/>
  <c r="R456" i="2" s="1"/>
  <c r="L456" i="2"/>
  <c r="J456" i="2"/>
  <c r="N456" i="2" s="1"/>
  <c r="O456" i="2" s="1"/>
  <c r="P456" i="2" s="1"/>
  <c r="U455" i="2"/>
  <c r="Q455" i="2"/>
  <c r="R455" i="2" s="1"/>
  <c r="L455" i="2"/>
  <c r="J455" i="2"/>
  <c r="N455" i="2" s="1"/>
  <c r="O455" i="2" s="1"/>
  <c r="P455" i="2" s="1"/>
  <c r="U454" i="2"/>
  <c r="Q454" i="2"/>
  <c r="R454" i="2" s="1"/>
  <c r="L454" i="2"/>
  <c r="J454" i="2"/>
  <c r="U453" i="2"/>
  <c r="Q453" i="2"/>
  <c r="R453" i="2" s="1"/>
  <c r="L453" i="2"/>
  <c r="J453" i="2"/>
  <c r="N453" i="2" s="1"/>
  <c r="O453" i="2" s="1"/>
  <c r="P453" i="2" s="1"/>
  <c r="U452" i="2"/>
  <c r="Q452" i="2"/>
  <c r="R452" i="2" s="1"/>
  <c r="O452" i="2"/>
  <c r="P452" i="2" s="1"/>
  <c r="L452" i="2"/>
  <c r="J452" i="2"/>
  <c r="U451" i="2"/>
  <c r="Q451" i="2"/>
  <c r="R451" i="2" s="1"/>
  <c r="L451" i="2"/>
  <c r="J451" i="2"/>
  <c r="N451" i="2" s="1"/>
  <c r="O451" i="2" s="1"/>
  <c r="P451" i="2" s="1"/>
  <c r="U450" i="2"/>
  <c r="Q450" i="2"/>
  <c r="R450" i="2" s="1"/>
  <c r="L450" i="2"/>
  <c r="J450" i="2"/>
  <c r="U449" i="2"/>
  <c r="Q449" i="2"/>
  <c r="R449" i="2" s="1"/>
  <c r="L449" i="2"/>
  <c r="J449" i="2"/>
  <c r="U448" i="2"/>
  <c r="Q448" i="2"/>
  <c r="R448" i="2" s="1"/>
  <c r="L448" i="2"/>
  <c r="J448" i="2"/>
  <c r="N448" i="2" s="1"/>
  <c r="O448" i="2" s="1"/>
  <c r="P448" i="2" s="1"/>
  <c r="U447" i="2"/>
  <c r="Q447" i="2"/>
  <c r="R447" i="2" s="1"/>
  <c r="O447" i="2"/>
  <c r="P447" i="2" s="1"/>
  <c r="L447" i="2"/>
  <c r="J447" i="2"/>
  <c r="U446" i="2"/>
  <c r="Q446" i="2"/>
  <c r="R446" i="2" s="1"/>
  <c r="O446" i="2"/>
  <c r="P446" i="2" s="1"/>
  <c r="L446" i="2"/>
  <c r="J446" i="2"/>
  <c r="U445" i="2"/>
  <c r="Q445" i="2"/>
  <c r="R445" i="2" s="1"/>
  <c r="O445" i="2"/>
  <c r="P445" i="2" s="1"/>
  <c r="L445" i="2"/>
  <c r="J445" i="2"/>
  <c r="U444" i="2"/>
  <c r="Q444" i="2"/>
  <c r="R444" i="2" s="1"/>
  <c r="O444" i="2"/>
  <c r="P444" i="2" s="1"/>
  <c r="L444" i="2"/>
  <c r="J444" i="2"/>
  <c r="U443" i="2"/>
  <c r="Q443" i="2"/>
  <c r="R443" i="2" s="1"/>
  <c r="O443" i="2"/>
  <c r="P443" i="2" s="1"/>
  <c r="L443" i="2"/>
  <c r="J443" i="2"/>
  <c r="U442" i="2"/>
  <c r="Q442" i="2"/>
  <c r="R442" i="2" s="1"/>
  <c r="L442" i="2"/>
  <c r="J442" i="2"/>
  <c r="N442" i="2" s="1"/>
  <c r="O442" i="2" s="1"/>
  <c r="P442" i="2" s="1"/>
  <c r="U441" i="2"/>
  <c r="Q441" i="2"/>
  <c r="R441" i="2" s="1"/>
  <c r="O441" i="2"/>
  <c r="P441" i="2" s="1"/>
  <c r="L441" i="2"/>
  <c r="J441" i="2"/>
  <c r="U440" i="2"/>
  <c r="Q440" i="2"/>
  <c r="R440" i="2" s="1"/>
  <c r="O440" i="2"/>
  <c r="P440" i="2" s="1"/>
  <c r="L440" i="2"/>
  <c r="J440" i="2"/>
  <c r="U439" i="2"/>
  <c r="Q439" i="2"/>
  <c r="R439" i="2" s="1"/>
  <c r="O439" i="2"/>
  <c r="P439" i="2" s="1"/>
  <c r="L439" i="2"/>
  <c r="J439" i="2"/>
  <c r="U438" i="2"/>
  <c r="Q438" i="2"/>
  <c r="R438" i="2" s="1"/>
  <c r="O438" i="2"/>
  <c r="P438" i="2" s="1"/>
  <c r="L438" i="2"/>
  <c r="J438" i="2"/>
  <c r="U437" i="2"/>
  <c r="Q437" i="2"/>
  <c r="R437" i="2" s="1"/>
  <c r="O437" i="2"/>
  <c r="P437" i="2" s="1"/>
  <c r="L437" i="2"/>
  <c r="J437" i="2"/>
  <c r="U436" i="2"/>
  <c r="Q436" i="2"/>
  <c r="R436" i="2" s="1"/>
  <c r="O436" i="2"/>
  <c r="P436" i="2" s="1"/>
  <c r="L436" i="2"/>
  <c r="J436" i="2"/>
  <c r="U435" i="2"/>
  <c r="Q435" i="2"/>
  <c r="R435" i="2" s="1"/>
  <c r="L435" i="2"/>
  <c r="J435" i="2"/>
  <c r="U434" i="2"/>
  <c r="Q434" i="2"/>
  <c r="R434" i="2" s="1"/>
  <c r="L434" i="2"/>
  <c r="J434" i="2"/>
  <c r="U433" i="2"/>
  <c r="Q433" i="2"/>
  <c r="R433" i="2" s="1"/>
  <c r="L433" i="2"/>
  <c r="J433" i="2"/>
  <c r="N433" i="2" s="1"/>
  <c r="O433" i="2" s="1"/>
  <c r="P433" i="2" s="1"/>
  <c r="U432" i="2"/>
  <c r="Q432" i="2"/>
  <c r="R432" i="2" s="1"/>
  <c r="L432" i="2"/>
  <c r="J432" i="2"/>
  <c r="N432" i="2" s="1"/>
  <c r="O432" i="2" s="1"/>
  <c r="P432" i="2" s="1"/>
  <c r="U431" i="2"/>
  <c r="Q431" i="2"/>
  <c r="R431" i="2" s="1"/>
  <c r="L431" i="2"/>
  <c r="J431" i="2"/>
  <c r="U430" i="2"/>
  <c r="Q430" i="2"/>
  <c r="R430" i="2" s="1"/>
  <c r="L430" i="2"/>
  <c r="J430" i="2"/>
  <c r="U429" i="2"/>
  <c r="Q429" i="2"/>
  <c r="R429" i="2" s="1"/>
  <c r="L429" i="2"/>
  <c r="J429" i="2"/>
  <c r="N429" i="2" s="1"/>
  <c r="O429" i="2" s="1"/>
  <c r="P429" i="2" s="1"/>
  <c r="U428" i="2"/>
  <c r="Q428" i="2"/>
  <c r="R428" i="2" s="1"/>
  <c r="L428" i="2"/>
  <c r="J428" i="2"/>
  <c r="N428" i="2" s="1"/>
  <c r="O428" i="2" s="1"/>
  <c r="P428" i="2" s="1"/>
  <c r="U427" i="2"/>
  <c r="Q427" i="2"/>
  <c r="R427" i="2" s="1"/>
  <c r="L427" i="2"/>
  <c r="J427" i="2"/>
  <c r="N427" i="2" s="1"/>
  <c r="O427" i="2" s="1"/>
  <c r="P427" i="2" s="1"/>
  <c r="U426" i="2"/>
  <c r="Q426" i="2"/>
  <c r="R426" i="2" s="1"/>
  <c r="L426" i="2"/>
  <c r="J426" i="2"/>
  <c r="U425" i="2"/>
  <c r="Q425" i="2"/>
  <c r="R425" i="2" s="1"/>
  <c r="L425" i="2"/>
  <c r="J425" i="2"/>
  <c r="U424" i="2"/>
  <c r="Q424" i="2"/>
  <c r="R424" i="2" s="1"/>
  <c r="L424" i="2"/>
  <c r="J424" i="2"/>
  <c r="N424" i="2" s="1"/>
  <c r="O424" i="2" s="1"/>
  <c r="P424" i="2" s="1"/>
  <c r="U423" i="2"/>
  <c r="Q423" i="2"/>
  <c r="R423" i="2" s="1"/>
  <c r="L423" i="2"/>
  <c r="J423" i="2"/>
  <c r="U422" i="2"/>
  <c r="Q422" i="2"/>
  <c r="R422" i="2" s="1"/>
  <c r="L422" i="2"/>
  <c r="J422" i="2"/>
  <c r="U421" i="2"/>
  <c r="Q421" i="2"/>
  <c r="R421" i="2" s="1"/>
  <c r="L421" i="2"/>
  <c r="J421" i="2"/>
  <c r="N421" i="2" s="1"/>
  <c r="O421" i="2" s="1"/>
  <c r="P421" i="2" s="1"/>
  <c r="U420" i="2"/>
  <c r="Q420" i="2"/>
  <c r="R420" i="2" s="1"/>
  <c r="L420" i="2"/>
  <c r="J420" i="2"/>
  <c r="N420" i="2" s="1"/>
  <c r="O420" i="2" s="1"/>
  <c r="P420" i="2" s="1"/>
  <c r="U419" i="2"/>
  <c r="Q419" i="2"/>
  <c r="R419" i="2" s="1"/>
  <c r="L419" i="2"/>
  <c r="J419" i="2"/>
  <c r="U418" i="2"/>
  <c r="Q418" i="2"/>
  <c r="R418" i="2" s="1"/>
  <c r="L418" i="2"/>
  <c r="J418" i="2"/>
  <c r="U417" i="2"/>
  <c r="Q417" i="2"/>
  <c r="R417" i="2" s="1"/>
  <c r="L417" i="2"/>
  <c r="J417" i="2"/>
  <c r="N417" i="2" s="1"/>
  <c r="O417" i="2" s="1"/>
  <c r="P417" i="2" s="1"/>
  <c r="U416" i="2"/>
  <c r="Q416" i="2"/>
  <c r="R416" i="2" s="1"/>
  <c r="L416" i="2"/>
  <c r="J416" i="2"/>
  <c r="N416" i="2" s="1"/>
  <c r="O416" i="2" s="1"/>
  <c r="P416" i="2" s="1"/>
  <c r="U415" i="2"/>
  <c r="Q415" i="2"/>
  <c r="R415" i="2" s="1"/>
  <c r="L415" i="2"/>
  <c r="J415" i="2"/>
  <c r="N415" i="2" s="1"/>
  <c r="O415" i="2" s="1"/>
  <c r="P415" i="2" s="1"/>
  <c r="U414" i="2"/>
  <c r="Q414" i="2"/>
  <c r="R414" i="2" s="1"/>
  <c r="L414" i="2"/>
  <c r="J414" i="2"/>
  <c r="U413" i="2"/>
  <c r="Q413" i="2"/>
  <c r="R413" i="2" s="1"/>
  <c r="L413" i="2"/>
  <c r="J413" i="2"/>
  <c r="U412" i="2"/>
  <c r="Q412" i="2"/>
  <c r="R412" i="2" s="1"/>
  <c r="L412" i="2"/>
  <c r="J412" i="2"/>
  <c r="N412" i="2" s="1"/>
  <c r="O412" i="2" s="1"/>
  <c r="P412" i="2" s="1"/>
  <c r="U411" i="2"/>
  <c r="Q411" i="2"/>
  <c r="R411" i="2" s="1"/>
  <c r="L411" i="2"/>
  <c r="J411" i="2"/>
  <c r="U410" i="2"/>
  <c r="Q410" i="2"/>
  <c r="R410" i="2" s="1"/>
  <c r="L410" i="2"/>
  <c r="J410" i="2"/>
  <c r="U409" i="2"/>
  <c r="Q409" i="2"/>
  <c r="R409" i="2" s="1"/>
  <c r="L409" i="2"/>
  <c r="J409" i="2"/>
  <c r="N409" i="2" s="1"/>
  <c r="O409" i="2" s="1"/>
  <c r="P409" i="2" s="1"/>
  <c r="U408" i="2"/>
  <c r="Q408" i="2"/>
  <c r="R408" i="2" s="1"/>
  <c r="L408" i="2"/>
  <c r="J408" i="2"/>
  <c r="N408" i="2" s="1"/>
  <c r="O408" i="2" s="1"/>
  <c r="P408" i="2" s="1"/>
  <c r="U407" i="2"/>
  <c r="Q407" i="2"/>
  <c r="R407" i="2" s="1"/>
  <c r="L407" i="2"/>
  <c r="J407" i="2"/>
  <c r="N407" i="2" s="1"/>
  <c r="O407" i="2" s="1"/>
  <c r="P407" i="2" s="1"/>
  <c r="U406" i="2"/>
  <c r="Q406" i="2"/>
  <c r="R406" i="2" s="1"/>
  <c r="L406" i="2"/>
  <c r="J406" i="2"/>
  <c r="U405" i="2"/>
  <c r="Q405" i="2"/>
  <c r="R405" i="2" s="1"/>
  <c r="L405" i="2"/>
  <c r="J405" i="2"/>
  <c r="N405" i="2" s="1"/>
  <c r="O405" i="2" s="1"/>
  <c r="P405" i="2" s="1"/>
  <c r="U404" i="2"/>
  <c r="Q404" i="2"/>
  <c r="R404" i="2" s="1"/>
  <c r="L404" i="2"/>
  <c r="J404" i="2"/>
  <c r="N404" i="2" s="1"/>
  <c r="O404" i="2" s="1"/>
  <c r="P404" i="2" s="1"/>
  <c r="U403" i="2"/>
  <c r="Q403" i="2"/>
  <c r="R403" i="2" s="1"/>
  <c r="L403" i="2"/>
  <c r="J403" i="2"/>
  <c r="N403" i="2" s="1"/>
  <c r="O403" i="2" s="1"/>
  <c r="P403" i="2" s="1"/>
  <c r="U402" i="2"/>
  <c r="Q402" i="2"/>
  <c r="R402" i="2" s="1"/>
  <c r="L402" i="2"/>
  <c r="J402" i="2"/>
  <c r="U401" i="2"/>
  <c r="Q401" i="2"/>
  <c r="R401" i="2" s="1"/>
  <c r="L401" i="2"/>
  <c r="J401" i="2"/>
  <c r="N401" i="2" s="1"/>
  <c r="O401" i="2" s="1"/>
  <c r="P401" i="2" s="1"/>
  <c r="U400" i="2"/>
  <c r="Q400" i="2"/>
  <c r="R400" i="2" s="1"/>
  <c r="L400" i="2"/>
  <c r="J400" i="2"/>
  <c r="N400" i="2" s="1"/>
  <c r="O400" i="2" s="1"/>
  <c r="P400" i="2" s="1"/>
  <c r="U399" i="2"/>
  <c r="Q399" i="2"/>
  <c r="R399" i="2" s="1"/>
  <c r="L399" i="2"/>
  <c r="J399" i="2"/>
  <c r="U398" i="2"/>
  <c r="Q398" i="2"/>
  <c r="R398" i="2" s="1"/>
  <c r="L398" i="2"/>
  <c r="J398" i="2"/>
  <c r="U397" i="2"/>
  <c r="Q397" i="2"/>
  <c r="R397" i="2" s="1"/>
  <c r="L397" i="2"/>
  <c r="J397" i="2"/>
  <c r="N397" i="2" s="1"/>
  <c r="O397" i="2" s="1"/>
  <c r="P397" i="2" s="1"/>
  <c r="U396" i="2"/>
  <c r="Q396" i="2"/>
  <c r="R396" i="2" s="1"/>
  <c r="L396" i="2"/>
  <c r="J396" i="2"/>
  <c r="N396" i="2" s="1"/>
  <c r="O396" i="2" s="1"/>
  <c r="P396" i="2" s="1"/>
  <c r="U395" i="2"/>
  <c r="Q395" i="2"/>
  <c r="R395" i="2" s="1"/>
  <c r="L395" i="2"/>
  <c r="J395" i="2"/>
  <c r="N395" i="2" s="1"/>
  <c r="O395" i="2" s="1"/>
  <c r="P395" i="2" s="1"/>
  <c r="U394" i="2"/>
  <c r="Q394" i="2"/>
  <c r="R394" i="2" s="1"/>
  <c r="L394" i="2"/>
  <c r="J394" i="2"/>
  <c r="U393" i="2"/>
  <c r="Q393" i="2"/>
  <c r="R393" i="2" s="1"/>
  <c r="L393" i="2"/>
  <c r="J393" i="2"/>
  <c r="N393" i="2" s="1"/>
  <c r="O393" i="2" s="1"/>
  <c r="P393" i="2" s="1"/>
  <c r="U392" i="2"/>
  <c r="Q392" i="2"/>
  <c r="R392" i="2" s="1"/>
  <c r="L392" i="2"/>
  <c r="J392" i="2"/>
  <c r="N392" i="2" s="1"/>
  <c r="O392" i="2" s="1"/>
  <c r="P392" i="2" s="1"/>
  <c r="U391" i="2"/>
  <c r="Q391" i="2"/>
  <c r="R391" i="2" s="1"/>
  <c r="L391" i="2"/>
  <c r="J391" i="2"/>
  <c r="U390" i="2"/>
  <c r="Q390" i="2"/>
  <c r="R390" i="2" s="1"/>
  <c r="L390" i="2"/>
  <c r="J390" i="2"/>
  <c r="U389" i="2"/>
  <c r="Q389" i="2"/>
  <c r="R389" i="2" s="1"/>
  <c r="L389" i="2"/>
  <c r="J389" i="2"/>
  <c r="N389" i="2" s="1"/>
  <c r="O389" i="2" s="1"/>
  <c r="P389" i="2" s="1"/>
  <c r="U388" i="2"/>
  <c r="Q388" i="2"/>
  <c r="R388" i="2" s="1"/>
  <c r="L388" i="2"/>
  <c r="J388" i="2"/>
  <c r="N388" i="2" s="1"/>
  <c r="O388" i="2" s="1"/>
  <c r="P388" i="2" s="1"/>
  <c r="U387" i="2"/>
  <c r="Q387" i="2"/>
  <c r="R387" i="2" s="1"/>
  <c r="L387" i="2"/>
  <c r="J387" i="2"/>
  <c r="N387" i="2" s="1"/>
  <c r="O387" i="2" s="1"/>
  <c r="P387" i="2" s="1"/>
  <c r="U386" i="2"/>
  <c r="Q386" i="2"/>
  <c r="R386" i="2" s="1"/>
  <c r="L386" i="2"/>
  <c r="J386" i="2"/>
  <c r="U385" i="2"/>
  <c r="Q385" i="2"/>
  <c r="R385" i="2" s="1"/>
  <c r="L385" i="2"/>
  <c r="J385" i="2"/>
  <c r="N385" i="2" s="1"/>
  <c r="O385" i="2" s="1"/>
  <c r="P385" i="2" s="1"/>
  <c r="U384" i="2"/>
  <c r="Q384" i="2"/>
  <c r="R384" i="2" s="1"/>
  <c r="L384" i="2"/>
  <c r="J384" i="2"/>
  <c r="N384" i="2" s="1"/>
  <c r="O384" i="2" s="1"/>
  <c r="P384" i="2" s="1"/>
  <c r="U383" i="2"/>
  <c r="Q383" i="2"/>
  <c r="R383" i="2" s="1"/>
  <c r="L383" i="2"/>
  <c r="J383" i="2"/>
  <c r="N383" i="2" s="1"/>
  <c r="O383" i="2" s="1"/>
  <c r="P383" i="2" s="1"/>
  <c r="U382" i="2"/>
  <c r="Q382" i="2"/>
  <c r="R382" i="2" s="1"/>
  <c r="L382" i="2"/>
  <c r="J382" i="2"/>
  <c r="U381" i="2"/>
  <c r="Q381" i="2"/>
  <c r="R381" i="2" s="1"/>
  <c r="L381" i="2"/>
  <c r="J381" i="2"/>
  <c r="U380" i="2"/>
  <c r="Q380" i="2"/>
  <c r="R380" i="2" s="1"/>
  <c r="O380" i="2"/>
  <c r="P380" i="2" s="1"/>
  <c r="L380" i="2"/>
  <c r="J380" i="2"/>
  <c r="U379" i="2"/>
  <c r="Q379" i="2"/>
  <c r="R379" i="2" s="1"/>
  <c r="L379" i="2"/>
  <c r="J379" i="2"/>
  <c r="U378" i="2"/>
  <c r="Q378" i="2"/>
  <c r="R378" i="2" s="1"/>
  <c r="L378" i="2"/>
  <c r="J378" i="2"/>
  <c r="N378" i="2" s="1"/>
  <c r="O378" i="2" s="1"/>
  <c r="P378" i="2" s="1"/>
  <c r="U377" i="2"/>
  <c r="Q377" i="2"/>
  <c r="R377" i="2" s="1"/>
  <c r="L377" i="2"/>
  <c r="J377" i="2"/>
  <c r="N377" i="2" s="1"/>
  <c r="O377" i="2" s="1"/>
  <c r="P377" i="2" s="1"/>
  <c r="U376" i="2"/>
  <c r="Q376" i="2"/>
  <c r="R376" i="2" s="1"/>
  <c r="L376" i="2"/>
  <c r="J376" i="2"/>
  <c r="N376" i="2" s="1"/>
  <c r="O376" i="2" s="1"/>
  <c r="P376" i="2" s="1"/>
  <c r="U375" i="2"/>
  <c r="Q375" i="2"/>
  <c r="R375" i="2" s="1"/>
  <c r="L375" i="2"/>
  <c r="J375" i="2"/>
  <c r="U374" i="2"/>
  <c r="Q374" i="2"/>
  <c r="R374" i="2" s="1"/>
  <c r="L374" i="2"/>
  <c r="J374" i="2"/>
  <c r="N374" i="2" s="1"/>
  <c r="O374" i="2" s="1"/>
  <c r="P374" i="2" s="1"/>
  <c r="U373" i="2"/>
  <c r="Q373" i="2"/>
  <c r="R373" i="2" s="1"/>
  <c r="L373" i="2"/>
  <c r="J373" i="2"/>
  <c r="N373" i="2" s="1"/>
  <c r="O373" i="2" s="1"/>
  <c r="P373" i="2" s="1"/>
  <c r="U372" i="2"/>
  <c r="Q372" i="2"/>
  <c r="R372" i="2" s="1"/>
  <c r="L372" i="2"/>
  <c r="J372" i="2"/>
  <c r="U371" i="2"/>
  <c r="Q371" i="2"/>
  <c r="R371" i="2" s="1"/>
  <c r="L371" i="2"/>
  <c r="J371" i="2"/>
  <c r="U370" i="2"/>
  <c r="Q370" i="2"/>
  <c r="R370" i="2" s="1"/>
  <c r="L370" i="2"/>
  <c r="J370" i="2"/>
  <c r="N370" i="2" s="1"/>
  <c r="O370" i="2" s="1"/>
  <c r="P370" i="2" s="1"/>
  <c r="U369" i="2"/>
  <c r="Q369" i="2"/>
  <c r="R369" i="2" s="1"/>
  <c r="L369" i="2"/>
  <c r="J369" i="2"/>
  <c r="U368" i="2"/>
  <c r="Q368" i="2"/>
  <c r="R368" i="2" s="1"/>
  <c r="L368" i="2"/>
  <c r="J368" i="2"/>
  <c r="N368" i="2" s="1"/>
  <c r="O368" i="2" s="1"/>
  <c r="P368" i="2" s="1"/>
  <c r="U367" i="2"/>
  <c r="Q367" i="2"/>
  <c r="R367" i="2" s="1"/>
  <c r="L367" i="2"/>
  <c r="J367" i="2"/>
  <c r="U366" i="2"/>
  <c r="Q366" i="2"/>
  <c r="R366" i="2" s="1"/>
  <c r="L366" i="2"/>
  <c r="J366" i="2"/>
  <c r="N366" i="2" s="1"/>
  <c r="O366" i="2" s="1"/>
  <c r="P366" i="2" s="1"/>
  <c r="U365" i="2"/>
  <c r="Q365" i="2"/>
  <c r="R365" i="2" s="1"/>
  <c r="L365" i="2"/>
  <c r="J365" i="2"/>
  <c r="N365" i="2" s="1"/>
  <c r="O365" i="2" s="1"/>
  <c r="P365" i="2" s="1"/>
  <c r="U364" i="2"/>
  <c r="Q364" i="2"/>
  <c r="R364" i="2" s="1"/>
  <c r="L364" i="2"/>
  <c r="J364" i="2"/>
  <c r="N364" i="2" s="1"/>
  <c r="O364" i="2" s="1"/>
  <c r="P364" i="2" s="1"/>
  <c r="U363" i="2"/>
  <c r="Q363" i="2"/>
  <c r="R363" i="2" s="1"/>
  <c r="L363" i="2"/>
  <c r="J363" i="2"/>
  <c r="U362" i="2"/>
  <c r="Q362" i="2"/>
  <c r="R362" i="2" s="1"/>
  <c r="L362" i="2"/>
  <c r="J362" i="2"/>
  <c r="N362" i="2" s="1"/>
  <c r="O362" i="2" s="1"/>
  <c r="P362" i="2" s="1"/>
  <c r="U361" i="2"/>
  <c r="Q361" i="2"/>
  <c r="R361" i="2" s="1"/>
  <c r="L361" i="2"/>
  <c r="J361" i="2"/>
  <c r="N361" i="2" s="1"/>
  <c r="O361" i="2" s="1"/>
  <c r="P361" i="2" s="1"/>
  <c r="U360" i="2"/>
  <c r="Q360" i="2"/>
  <c r="R360" i="2" s="1"/>
  <c r="L360" i="2"/>
  <c r="J360" i="2"/>
  <c r="N360" i="2" s="1"/>
  <c r="O360" i="2" s="1"/>
  <c r="P360" i="2" s="1"/>
  <c r="U359" i="2"/>
  <c r="Q359" i="2"/>
  <c r="R359" i="2" s="1"/>
  <c r="L359" i="2"/>
  <c r="J359" i="2"/>
  <c r="U358" i="2"/>
  <c r="Q358" i="2"/>
  <c r="R358" i="2" s="1"/>
  <c r="L358" i="2"/>
  <c r="J358" i="2"/>
  <c r="N358" i="2" s="1"/>
  <c r="O358" i="2" s="1"/>
  <c r="P358" i="2" s="1"/>
  <c r="U357" i="2"/>
  <c r="Q357" i="2"/>
  <c r="R357" i="2" s="1"/>
  <c r="L357" i="2"/>
  <c r="J357" i="2"/>
  <c r="N357" i="2" s="1"/>
  <c r="O357" i="2" s="1"/>
  <c r="P357" i="2" s="1"/>
  <c r="U356" i="2"/>
  <c r="Q356" i="2"/>
  <c r="R356" i="2" s="1"/>
  <c r="L356" i="2"/>
  <c r="J356" i="2"/>
  <c r="U355" i="2"/>
  <c r="Q355" i="2"/>
  <c r="R355" i="2" s="1"/>
  <c r="L355" i="2"/>
  <c r="J355" i="2"/>
  <c r="U354" i="2"/>
  <c r="Q354" i="2"/>
  <c r="R354" i="2" s="1"/>
  <c r="L354" i="2"/>
  <c r="J354" i="2"/>
  <c r="N354" i="2" s="1"/>
  <c r="O354" i="2" s="1"/>
  <c r="P354" i="2" s="1"/>
  <c r="U353" i="2"/>
  <c r="Q353" i="2"/>
  <c r="R353" i="2" s="1"/>
  <c r="L353" i="2"/>
  <c r="J353" i="2"/>
  <c r="N353" i="2" s="1"/>
  <c r="O353" i="2" s="1"/>
  <c r="P353" i="2" s="1"/>
  <c r="U352" i="2"/>
  <c r="Q352" i="2"/>
  <c r="R352" i="2" s="1"/>
  <c r="L352" i="2"/>
  <c r="J352" i="2"/>
  <c r="N352" i="2" s="1"/>
  <c r="O352" i="2" s="1"/>
  <c r="P352" i="2" s="1"/>
  <c r="U351" i="2"/>
  <c r="Q351" i="2"/>
  <c r="R351" i="2" s="1"/>
  <c r="L351" i="2"/>
  <c r="J351" i="2"/>
  <c r="U350" i="2"/>
  <c r="Q350" i="2"/>
  <c r="R350" i="2" s="1"/>
  <c r="L350" i="2"/>
  <c r="J350" i="2"/>
  <c r="N350" i="2" s="1"/>
  <c r="O350" i="2" s="1"/>
  <c r="P350" i="2" s="1"/>
  <c r="U349" i="2"/>
  <c r="Q349" i="2"/>
  <c r="R349" i="2" s="1"/>
  <c r="L349" i="2"/>
  <c r="J349" i="2"/>
  <c r="N349" i="2" s="1"/>
  <c r="O349" i="2" s="1"/>
  <c r="P349" i="2" s="1"/>
  <c r="U348" i="2"/>
  <c r="Q348" i="2"/>
  <c r="R348" i="2" s="1"/>
  <c r="L348" i="2"/>
  <c r="J348" i="2"/>
  <c r="N348" i="2" s="1"/>
  <c r="O348" i="2" s="1"/>
  <c r="P348" i="2" s="1"/>
  <c r="U347" i="2"/>
  <c r="Q347" i="2"/>
  <c r="R347" i="2" s="1"/>
  <c r="L347" i="2"/>
  <c r="J347" i="2"/>
  <c r="U346" i="2"/>
  <c r="Q346" i="2"/>
  <c r="R346" i="2" s="1"/>
  <c r="L346" i="2"/>
  <c r="J346" i="2"/>
  <c r="N346" i="2" s="1"/>
  <c r="O346" i="2" s="1"/>
  <c r="P346" i="2" s="1"/>
  <c r="U345" i="2"/>
  <c r="Q345" i="2"/>
  <c r="R345" i="2" s="1"/>
  <c r="L345" i="2"/>
  <c r="J345" i="2"/>
  <c r="N345" i="2" s="1"/>
  <c r="O345" i="2" s="1"/>
  <c r="P345" i="2" s="1"/>
  <c r="U344" i="2"/>
  <c r="Q344" i="2"/>
  <c r="R344" i="2" s="1"/>
  <c r="L344" i="2"/>
  <c r="J344" i="2"/>
  <c r="N344" i="2" s="1"/>
  <c r="O344" i="2" s="1"/>
  <c r="P344" i="2" s="1"/>
  <c r="U343" i="2"/>
  <c r="Q343" i="2"/>
  <c r="R343" i="2" s="1"/>
  <c r="L343" i="2"/>
  <c r="J343" i="2"/>
  <c r="U342" i="2"/>
  <c r="Q342" i="2"/>
  <c r="R342" i="2" s="1"/>
  <c r="L342" i="2"/>
  <c r="J342" i="2"/>
  <c r="N342" i="2" s="1"/>
  <c r="O342" i="2" s="1"/>
  <c r="P342" i="2" s="1"/>
  <c r="U341" i="2"/>
  <c r="Q341" i="2"/>
  <c r="R341" i="2" s="1"/>
  <c r="L341" i="2"/>
  <c r="J341" i="2"/>
  <c r="N341" i="2" s="1"/>
  <c r="O341" i="2" s="1"/>
  <c r="P341" i="2" s="1"/>
  <c r="U340" i="2"/>
  <c r="Q340" i="2"/>
  <c r="R340" i="2" s="1"/>
  <c r="L340" i="2"/>
  <c r="J340" i="2"/>
  <c r="N340" i="2" s="1"/>
  <c r="O340" i="2" s="1"/>
  <c r="P340" i="2" s="1"/>
  <c r="U339" i="2"/>
  <c r="Q339" i="2"/>
  <c r="R339" i="2" s="1"/>
  <c r="L339" i="2"/>
  <c r="J339" i="2"/>
  <c r="U338" i="2"/>
  <c r="Q338" i="2"/>
  <c r="R338" i="2" s="1"/>
  <c r="L338" i="2"/>
  <c r="J338" i="2"/>
  <c r="N338" i="2" s="1"/>
  <c r="O338" i="2" s="1"/>
  <c r="P338" i="2" s="1"/>
  <c r="U337" i="2"/>
  <c r="Q337" i="2"/>
  <c r="R337" i="2" s="1"/>
  <c r="L337" i="2"/>
  <c r="J337" i="2"/>
  <c r="U336" i="2"/>
  <c r="Q336" i="2"/>
  <c r="R336" i="2" s="1"/>
  <c r="L336" i="2"/>
  <c r="J336" i="2"/>
  <c r="N336" i="2" s="1"/>
  <c r="O336" i="2" s="1"/>
  <c r="P336" i="2" s="1"/>
  <c r="U335" i="2"/>
  <c r="Q335" i="2"/>
  <c r="R335" i="2" s="1"/>
  <c r="L335" i="2"/>
  <c r="J335" i="2"/>
  <c r="U334" i="2"/>
  <c r="Q334" i="2"/>
  <c r="R334" i="2" s="1"/>
  <c r="L334" i="2"/>
  <c r="J334" i="2"/>
  <c r="N334" i="2" s="1"/>
  <c r="O334" i="2" s="1"/>
  <c r="P334" i="2" s="1"/>
  <c r="U333" i="2"/>
  <c r="Q333" i="2"/>
  <c r="R333" i="2" s="1"/>
  <c r="L333" i="2"/>
  <c r="J333" i="2"/>
  <c r="N333" i="2" s="1"/>
  <c r="O333" i="2" s="1"/>
  <c r="P333" i="2" s="1"/>
  <c r="U332" i="2"/>
  <c r="S332" i="2"/>
  <c r="Q332" i="2"/>
  <c r="R332" i="2" s="1"/>
  <c r="L332" i="2"/>
  <c r="J332" i="2"/>
  <c r="U331" i="2"/>
  <c r="Q331" i="2"/>
  <c r="R331" i="2" s="1"/>
  <c r="L331" i="2"/>
  <c r="J331" i="2"/>
  <c r="N331" i="2" s="1"/>
  <c r="O331" i="2" s="1"/>
  <c r="P331" i="2" s="1"/>
  <c r="U330" i="2"/>
  <c r="Q330" i="2"/>
  <c r="R330" i="2" s="1"/>
  <c r="L330" i="2"/>
  <c r="J330" i="2"/>
  <c r="N330" i="2" s="1"/>
  <c r="O330" i="2" s="1"/>
  <c r="P330" i="2" s="1"/>
  <c r="U329" i="2"/>
  <c r="S329" i="2"/>
  <c r="K20" i="3" s="1"/>
  <c r="Q329" i="2"/>
  <c r="R329" i="2" s="1"/>
  <c r="L329" i="2"/>
  <c r="J329" i="2"/>
  <c r="U328" i="2"/>
  <c r="S328" i="2"/>
  <c r="K19" i="3" s="1"/>
  <c r="Q328" i="2"/>
  <c r="R328" i="2" s="1"/>
  <c r="L328" i="2"/>
  <c r="J328" i="2"/>
  <c r="U327" i="2"/>
  <c r="S327" i="2"/>
  <c r="N1685" i="7" s="1"/>
  <c r="Q327" i="2"/>
  <c r="R327" i="2" s="1"/>
  <c r="L327" i="2"/>
  <c r="J327" i="2"/>
  <c r="U326" i="2"/>
  <c r="S326" i="2"/>
  <c r="Q326" i="2"/>
  <c r="R326" i="2" s="1"/>
  <c r="L326" i="2"/>
  <c r="J326" i="2"/>
  <c r="N326" i="2" s="1"/>
  <c r="O326" i="2" s="1"/>
  <c r="P326" i="2" s="1"/>
  <c r="U325" i="2"/>
  <c r="S325" i="2"/>
  <c r="Q325" i="2"/>
  <c r="R325" i="2" s="1"/>
  <c r="L325" i="2"/>
  <c r="J325" i="2"/>
  <c r="U324" i="2"/>
  <c r="S324" i="2"/>
  <c r="Q324" i="2"/>
  <c r="R324" i="2" s="1"/>
  <c r="L324" i="2"/>
  <c r="J324" i="2"/>
  <c r="N324" i="2" s="1"/>
  <c r="O324" i="2" s="1"/>
  <c r="P324" i="2" s="1"/>
  <c r="U323" i="2"/>
  <c r="S323" i="2"/>
  <c r="Q323" i="2"/>
  <c r="R323" i="2" s="1"/>
  <c r="L323" i="2"/>
  <c r="J323" i="2"/>
  <c r="F323" i="2"/>
  <c r="U322" i="2"/>
  <c r="S322" i="2"/>
  <c r="K11" i="3" s="1"/>
  <c r="Q322" i="2"/>
  <c r="R322" i="2" s="1"/>
  <c r="L322" i="2"/>
  <c r="J322" i="2"/>
  <c r="N322" i="2" s="1"/>
  <c r="O322" i="2" s="1"/>
  <c r="P322" i="2" s="1"/>
  <c r="F322" i="2"/>
  <c r="U321" i="2"/>
  <c r="S321" i="2"/>
  <c r="K15" i="3" s="1"/>
  <c r="Q321" i="2"/>
  <c r="R321" i="2" s="1"/>
  <c r="L321" i="2"/>
  <c r="J321" i="2"/>
  <c r="N321" i="2" s="1"/>
  <c r="O321" i="2" s="1"/>
  <c r="P321" i="2" s="1"/>
  <c r="U320" i="2"/>
  <c r="S320" i="2"/>
  <c r="K6" i="3" s="1"/>
  <c r="Q320" i="2"/>
  <c r="R320" i="2" s="1"/>
  <c r="L320" i="2"/>
  <c r="J320" i="2"/>
  <c r="U319" i="2"/>
  <c r="S319" i="2"/>
  <c r="K21" i="3" s="1"/>
  <c r="Q319" i="2"/>
  <c r="R319" i="2" s="1"/>
  <c r="L319" i="2"/>
  <c r="J319" i="2"/>
  <c r="N319" i="2" s="1"/>
  <c r="O319" i="2" s="1"/>
  <c r="P319" i="2" s="1"/>
  <c r="U318" i="2"/>
  <c r="S318" i="2"/>
  <c r="K7" i="3" s="1"/>
  <c r="Q318" i="2"/>
  <c r="R318" i="2" s="1"/>
  <c r="L318" i="2"/>
  <c r="J318" i="2"/>
  <c r="U317" i="2"/>
  <c r="S317" i="2"/>
  <c r="K8" i="3" s="1"/>
  <c r="Q317" i="2"/>
  <c r="R317" i="2" s="1"/>
  <c r="L317" i="2"/>
  <c r="J317" i="2"/>
  <c r="U316" i="2"/>
  <c r="S316" i="2"/>
  <c r="K14" i="3" s="1"/>
  <c r="Q316" i="2"/>
  <c r="R316" i="2" s="1"/>
  <c r="L316" i="2"/>
  <c r="J316" i="2"/>
  <c r="U315" i="2"/>
  <c r="S315" i="2"/>
  <c r="Q315" i="2"/>
  <c r="R315" i="2" s="1"/>
  <c r="L315" i="2"/>
  <c r="J315" i="2"/>
  <c r="N315" i="2" s="1"/>
  <c r="O315" i="2" s="1"/>
  <c r="P315" i="2" s="1"/>
  <c r="U314" i="2"/>
  <c r="S314" i="2"/>
  <c r="Q314" i="2"/>
  <c r="R314" i="2" s="1"/>
  <c r="L314" i="2"/>
  <c r="J314" i="2"/>
  <c r="U313" i="2"/>
  <c r="S313" i="2"/>
  <c r="Q313" i="2"/>
  <c r="R313" i="2" s="1"/>
  <c r="L313" i="2"/>
  <c r="J313" i="2"/>
  <c r="N313" i="2" s="1"/>
  <c r="O313" i="2" s="1"/>
  <c r="P313" i="2" s="1"/>
  <c r="U312" i="2"/>
  <c r="S312" i="2"/>
  <c r="N1936" i="7" s="1"/>
  <c r="Q312" i="2"/>
  <c r="R312" i="2" s="1"/>
  <c r="L312" i="2"/>
  <c r="J312" i="2"/>
  <c r="U311" i="2"/>
  <c r="S311" i="2"/>
  <c r="K18" i="3" s="1"/>
  <c r="Q311" i="2"/>
  <c r="R311" i="2" s="1"/>
  <c r="L311" i="2"/>
  <c r="J311" i="2"/>
  <c r="N311" i="2" s="1"/>
  <c r="O311" i="2" s="1"/>
  <c r="P311" i="2" s="1"/>
  <c r="F311" i="2"/>
  <c r="U310" i="2"/>
  <c r="S310" i="2"/>
  <c r="K17" i="3" s="1"/>
  <c r="Q310" i="2"/>
  <c r="R310" i="2" s="1"/>
  <c r="L310" i="2"/>
  <c r="J310" i="2"/>
  <c r="N310" i="2" s="1"/>
  <c r="O310" i="2" s="1"/>
  <c r="P310" i="2" s="1"/>
  <c r="U309" i="2"/>
  <c r="S309" i="2"/>
  <c r="N1357" i="7" s="1"/>
  <c r="Q309" i="2"/>
  <c r="R309" i="2" s="1"/>
  <c r="L309" i="2"/>
  <c r="J309" i="2"/>
  <c r="N309" i="2" s="1"/>
  <c r="O309" i="2" s="1"/>
  <c r="P309" i="2" s="1"/>
  <c r="U308" i="2"/>
  <c r="S308" i="2"/>
  <c r="Q308" i="2"/>
  <c r="R308" i="2" s="1"/>
  <c r="L308" i="2"/>
  <c r="J308" i="2"/>
  <c r="N308" i="2" s="1"/>
  <c r="O308" i="2" s="1"/>
  <c r="P308" i="2" s="1"/>
  <c r="U307" i="2"/>
  <c r="S307" i="2"/>
  <c r="Q307" i="2"/>
  <c r="R307" i="2" s="1"/>
  <c r="L307" i="2"/>
  <c r="J307" i="2"/>
  <c r="N307" i="2" s="1"/>
  <c r="O307" i="2" s="1"/>
  <c r="P307" i="2" s="1"/>
  <c r="U306" i="2"/>
  <c r="S306" i="2"/>
  <c r="Q306" i="2"/>
  <c r="R306" i="2" s="1"/>
  <c r="L306" i="2"/>
  <c r="J306" i="2"/>
  <c r="N306" i="2" s="1"/>
  <c r="O306" i="2" s="1"/>
  <c r="P306" i="2" s="1"/>
  <c r="U305" i="2"/>
  <c r="S305" i="2"/>
  <c r="Q305" i="2"/>
  <c r="R305" i="2" s="1"/>
  <c r="L305" i="2"/>
  <c r="J305" i="2"/>
  <c r="N305" i="2" s="1"/>
  <c r="O305" i="2" s="1"/>
  <c r="P305" i="2" s="1"/>
  <c r="U304" i="2"/>
  <c r="S304" i="2"/>
  <c r="Q304" i="2"/>
  <c r="R304" i="2" s="1"/>
  <c r="L304" i="2"/>
  <c r="J304" i="2"/>
  <c r="N304" i="2" s="1"/>
  <c r="O304" i="2" s="1"/>
  <c r="P304" i="2" s="1"/>
  <c r="U303" i="2"/>
  <c r="S303" i="2"/>
  <c r="Q303" i="2"/>
  <c r="R303" i="2" s="1"/>
  <c r="L303" i="2"/>
  <c r="J303" i="2"/>
  <c r="N303" i="2" s="1"/>
  <c r="O303" i="2" s="1"/>
  <c r="P303" i="2" s="1"/>
  <c r="U302" i="2"/>
  <c r="S302" i="2"/>
  <c r="N1779" i="7" s="1"/>
  <c r="Q302" i="2"/>
  <c r="R302" i="2" s="1"/>
  <c r="L302" i="2"/>
  <c r="J302" i="2"/>
  <c r="N302" i="2" s="1"/>
  <c r="O302" i="2" s="1"/>
  <c r="P302" i="2" s="1"/>
  <c r="U301" i="2"/>
  <c r="S301" i="2"/>
  <c r="Q301" i="2"/>
  <c r="R301" i="2" s="1"/>
  <c r="L301" i="2"/>
  <c r="J301" i="2"/>
  <c r="N301" i="2" s="1"/>
  <c r="O301" i="2" s="1"/>
  <c r="P301" i="2" s="1"/>
  <c r="U300" i="2"/>
  <c r="Q300" i="2"/>
  <c r="R300" i="2" s="1"/>
  <c r="L300" i="2"/>
  <c r="J300" i="2"/>
  <c r="U299" i="2"/>
  <c r="Q299" i="2"/>
  <c r="R299" i="2" s="1"/>
  <c r="L299" i="2"/>
  <c r="J299" i="2"/>
  <c r="N299" i="2" s="1"/>
  <c r="O299" i="2" s="1"/>
  <c r="P299" i="2" s="1"/>
  <c r="F299" i="2"/>
  <c r="U298" i="2"/>
  <c r="Q298" i="2"/>
  <c r="R298" i="2" s="1"/>
  <c r="L298" i="2"/>
  <c r="J298" i="2"/>
  <c r="N298" i="2" s="1"/>
  <c r="O298" i="2" s="1"/>
  <c r="P298" i="2" s="1"/>
  <c r="U297" i="2"/>
  <c r="Q297" i="2"/>
  <c r="R297" i="2" s="1"/>
  <c r="L297" i="2"/>
  <c r="J297" i="2"/>
  <c r="U296" i="2"/>
  <c r="Q296" i="2"/>
  <c r="R296" i="2" s="1"/>
  <c r="L296" i="2"/>
  <c r="J296" i="2"/>
  <c r="N296" i="2" s="1"/>
  <c r="O296" i="2" s="1"/>
  <c r="P296" i="2" s="1"/>
  <c r="U295" i="2"/>
  <c r="Q295" i="2"/>
  <c r="R295" i="2" s="1"/>
  <c r="L295" i="2"/>
  <c r="J295" i="2"/>
  <c r="N295" i="2" s="1"/>
  <c r="O295" i="2" s="1"/>
  <c r="P295" i="2" s="1"/>
  <c r="F295" i="2"/>
  <c r="U294" i="2"/>
  <c r="Q294" i="2"/>
  <c r="R294" i="2" s="1"/>
  <c r="L294" i="2"/>
  <c r="J294" i="2"/>
  <c r="U293" i="2"/>
  <c r="Q293" i="2"/>
  <c r="R293" i="2" s="1"/>
  <c r="L293" i="2"/>
  <c r="J293" i="2"/>
  <c r="N293" i="2" s="1"/>
  <c r="O293" i="2" s="1"/>
  <c r="P293" i="2" s="1"/>
  <c r="U292" i="2"/>
  <c r="Q292" i="2"/>
  <c r="R292" i="2" s="1"/>
  <c r="L292" i="2"/>
  <c r="J292" i="2"/>
  <c r="N292" i="2" s="1"/>
  <c r="O292" i="2" s="1"/>
  <c r="P292" i="2" s="1"/>
  <c r="U291" i="2"/>
  <c r="Q291" i="2"/>
  <c r="R291" i="2" s="1"/>
  <c r="L291" i="2"/>
  <c r="J291" i="2"/>
  <c r="N291" i="2" s="1"/>
  <c r="O291" i="2" s="1"/>
  <c r="P291" i="2" s="1"/>
  <c r="U290" i="2"/>
  <c r="Q290" i="2"/>
  <c r="R290" i="2" s="1"/>
  <c r="L290" i="2"/>
  <c r="J290" i="2"/>
  <c r="U289" i="2"/>
  <c r="Q289" i="2"/>
  <c r="R289" i="2" s="1"/>
  <c r="L289" i="2"/>
  <c r="J289" i="2"/>
  <c r="N289" i="2" s="1"/>
  <c r="O289" i="2" s="1"/>
  <c r="P289" i="2" s="1"/>
  <c r="U288" i="2"/>
  <c r="Q288" i="2"/>
  <c r="R288" i="2" s="1"/>
  <c r="L288" i="2"/>
  <c r="J288" i="2"/>
  <c r="N288" i="2" s="1"/>
  <c r="O288" i="2" s="1"/>
  <c r="P288" i="2" s="1"/>
  <c r="U287" i="2"/>
  <c r="Q287" i="2"/>
  <c r="R287" i="2" s="1"/>
  <c r="L287" i="2"/>
  <c r="J287" i="2"/>
  <c r="N287" i="2" s="1"/>
  <c r="O287" i="2" s="1"/>
  <c r="P287" i="2" s="1"/>
  <c r="U286" i="2"/>
  <c r="Q286" i="2"/>
  <c r="R286" i="2" s="1"/>
  <c r="L286" i="2"/>
  <c r="J286" i="2"/>
  <c r="U285" i="2"/>
  <c r="Q285" i="2"/>
  <c r="R285" i="2" s="1"/>
  <c r="L285" i="2"/>
  <c r="J285" i="2"/>
  <c r="N285" i="2" s="1"/>
  <c r="O285" i="2" s="1"/>
  <c r="P285" i="2" s="1"/>
  <c r="F285" i="2"/>
  <c r="U284" i="2"/>
  <c r="Q284" i="2"/>
  <c r="R284" i="2" s="1"/>
  <c r="L284" i="2"/>
  <c r="J284" i="2"/>
  <c r="N284" i="2" s="1"/>
  <c r="O284" i="2" s="1"/>
  <c r="P284" i="2" s="1"/>
  <c r="U283" i="2"/>
  <c r="Q283" i="2"/>
  <c r="R283" i="2" s="1"/>
  <c r="L283" i="2"/>
  <c r="J283" i="2"/>
  <c r="U282" i="2"/>
  <c r="Q282" i="2"/>
  <c r="R282" i="2" s="1"/>
  <c r="L282" i="2"/>
  <c r="J282" i="2"/>
  <c r="U281" i="2"/>
  <c r="Q281" i="2"/>
  <c r="R281" i="2" s="1"/>
  <c r="L281" i="2"/>
  <c r="J281" i="2"/>
  <c r="N281" i="2" s="1"/>
  <c r="O281" i="2" s="1"/>
  <c r="P281" i="2" s="1"/>
  <c r="U280" i="2"/>
  <c r="Q280" i="2"/>
  <c r="R280" i="2" s="1"/>
  <c r="L280" i="2"/>
  <c r="J280" i="2"/>
  <c r="N280" i="2" s="1"/>
  <c r="O280" i="2" s="1"/>
  <c r="P280" i="2" s="1"/>
  <c r="U279" i="2"/>
  <c r="Q279" i="2"/>
  <c r="R279" i="2" s="1"/>
  <c r="L279" i="2"/>
  <c r="J279" i="2"/>
  <c r="U278" i="2"/>
  <c r="Q278" i="2"/>
  <c r="R278" i="2" s="1"/>
  <c r="L278" i="2"/>
  <c r="J278" i="2"/>
  <c r="N278" i="2" s="1"/>
  <c r="O278" i="2" s="1"/>
  <c r="P278" i="2" s="1"/>
  <c r="U277" i="2"/>
  <c r="Q277" i="2"/>
  <c r="R277" i="2" s="1"/>
  <c r="L277" i="2"/>
  <c r="J277" i="2"/>
  <c r="N277" i="2" s="1"/>
  <c r="O277" i="2" s="1"/>
  <c r="P277" i="2" s="1"/>
  <c r="U276" i="2"/>
  <c r="Q276" i="2"/>
  <c r="R276" i="2" s="1"/>
  <c r="L276" i="2"/>
  <c r="J276" i="2"/>
  <c r="N276" i="2" s="1"/>
  <c r="O276" i="2" s="1"/>
  <c r="P276" i="2" s="1"/>
  <c r="F276" i="2"/>
  <c r="U275" i="2"/>
  <c r="Q275" i="2"/>
  <c r="R275" i="2" s="1"/>
  <c r="L275" i="2"/>
  <c r="J275" i="2"/>
  <c r="U274" i="2"/>
  <c r="Q274" i="2"/>
  <c r="R274" i="2" s="1"/>
  <c r="L274" i="2"/>
  <c r="J274" i="2"/>
  <c r="N274" i="2" s="1"/>
  <c r="O274" i="2" s="1"/>
  <c r="P274" i="2" s="1"/>
  <c r="U273" i="2"/>
  <c r="Q273" i="2"/>
  <c r="R273" i="2" s="1"/>
  <c r="L273" i="2"/>
  <c r="J273" i="2"/>
  <c r="N273" i="2" s="1"/>
  <c r="O273" i="2" s="1"/>
  <c r="P273" i="2" s="1"/>
  <c r="U272" i="2"/>
  <c r="Q272" i="2"/>
  <c r="R272" i="2" s="1"/>
  <c r="L272" i="2"/>
  <c r="J272" i="2"/>
  <c r="U271" i="2"/>
  <c r="Q271" i="2"/>
  <c r="R271" i="2" s="1"/>
  <c r="L271" i="2"/>
  <c r="J271" i="2"/>
  <c r="N271" i="2" s="1"/>
  <c r="O271" i="2" s="1"/>
  <c r="P271" i="2" s="1"/>
  <c r="U270" i="2"/>
  <c r="Q270" i="2"/>
  <c r="R270" i="2" s="1"/>
  <c r="L270" i="2"/>
  <c r="J270" i="2"/>
  <c r="N270" i="2" s="1"/>
  <c r="O270" i="2" s="1"/>
  <c r="P270" i="2" s="1"/>
  <c r="U269" i="2"/>
  <c r="Q269" i="2"/>
  <c r="R269" i="2" s="1"/>
  <c r="L269" i="2"/>
  <c r="J269" i="2"/>
  <c r="N269" i="2" s="1"/>
  <c r="O269" i="2" s="1"/>
  <c r="P269" i="2" s="1"/>
  <c r="U268" i="2"/>
  <c r="Q268" i="2"/>
  <c r="R268" i="2" s="1"/>
  <c r="L268" i="2"/>
  <c r="J268" i="2"/>
  <c r="U267" i="2"/>
  <c r="Q267" i="2"/>
  <c r="R267" i="2" s="1"/>
  <c r="L267" i="2"/>
  <c r="J267" i="2"/>
  <c r="N267" i="2" s="1"/>
  <c r="O267" i="2" s="1"/>
  <c r="P267" i="2" s="1"/>
  <c r="U266" i="2"/>
  <c r="Q266" i="2"/>
  <c r="R266" i="2" s="1"/>
  <c r="L266" i="2"/>
  <c r="J266" i="2"/>
  <c r="U265" i="2"/>
  <c r="Q265" i="2"/>
  <c r="R265" i="2" s="1"/>
  <c r="L265" i="2"/>
  <c r="J265" i="2"/>
  <c r="N265" i="2" s="1"/>
  <c r="O265" i="2" s="1"/>
  <c r="P265" i="2" s="1"/>
  <c r="U264" i="2"/>
  <c r="Q264" i="2"/>
  <c r="R264" i="2" s="1"/>
  <c r="L264" i="2"/>
  <c r="J264" i="2"/>
  <c r="F264" i="2"/>
  <c r="U263" i="2"/>
  <c r="Q263" i="2"/>
  <c r="R263" i="2" s="1"/>
  <c r="L263" i="2"/>
  <c r="J263" i="2"/>
  <c r="N263" i="2" s="1"/>
  <c r="O263" i="2" s="1"/>
  <c r="P263" i="2" s="1"/>
  <c r="U262" i="2"/>
  <c r="Q262" i="2"/>
  <c r="R262" i="2" s="1"/>
  <c r="L262" i="2"/>
  <c r="J262" i="2"/>
  <c r="N262" i="2" s="1"/>
  <c r="O262" i="2" s="1"/>
  <c r="P262" i="2" s="1"/>
  <c r="U261" i="2"/>
  <c r="Q261" i="2"/>
  <c r="R261" i="2" s="1"/>
  <c r="L261" i="2"/>
  <c r="J261" i="2"/>
  <c r="U260" i="2"/>
  <c r="Q260" i="2"/>
  <c r="R260" i="2" s="1"/>
  <c r="L260" i="2"/>
  <c r="J260" i="2"/>
  <c r="N260" i="2" s="1"/>
  <c r="O260" i="2" s="1"/>
  <c r="P260" i="2" s="1"/>
  <c r="U259" i="2"/>
  <c r="Q259" i="2"/>
  <c r="R259" i="2" s="1"/>
  <c r="L259" i="2"/>
  <c r="J259" i="2"/>
  <c r="N259" i="2" s="1"/>
  <c r="O259" i="2" s="1"/>
  <c r="P259" i="2" s="1"/>
  <c r="U258" i="2"/>
  <c r="Q258" i="2"/>
  <c r="R258" i="2" s="1"/>
  <c r="L258" i="2"/>
  <c r="J258" i="2"/>
  <c r="N258" i="2" s="1"/>
  <c r="O258" i="2" s="1"/>
  <c r="P258" i="2" s="1"/>
  <c r="F258" i="2"/>
  <c r="U257" i="2"/>
  <c r="Q257" i="2"/>
  <c r="R257" i="2" s="1"/>
  <c r="L257" i="2"/>
  <c r="J257" i="2"/>
  <c r="N257" i="2" s="1"/>
  <c r="O257" i="2" s="1"/>
  <c r="P257" i="2" s="1"/>
  <c r="U256" i="2"/>
  <c r="Q256" i="2"/>
  <c r="R256" i="2" s="1"/>
  <c r="O256" i="2"/>
  <c r="P256" i="2" s="1"/>
  <c r="L256" i="2"/>
  <c r="J256" i="2"/>
  <c r="U255" i="2"/>
  <c r="Q255" i="2"/>
  <c r="R255" i="2" s="1"/>
  <c r="L255" i="2"/>
  <c r="J255" i="2"/>
  <c r="N255" i="2" s="1"/>
  <c r="O255" i="2" s="1"/>
  <c r="P255" i="2" s="1"/>
  <c r="U254" i="2"/>
  <c r="Q254" i="2"/>
  <c r="R254" i="2" s="1"/>
  <c r="L254" i="2"/>
  <c r="J254" i="2"/>
  <c r="N254" i="2" s="1"/>
  <c r="O254" i="2" s="1"/>
  <c r="P254" i="2" s="1"/>
  <c r="U253" i="2"/>
  <c r="Q253" i="2"/>
  <c r="R253" i="2" s="1"/>
  <c r="L253" i="2"/>
  <c r="J253" i="2"/>
  <c r="U252" i="2"/>
  <c r="Q252" i="2"/>
  <c r="R252" i="2" s="1"/>
  <c r="L252" i="2"/>
  <c r="J252" i="2"/>
  <c r="N252" i="2" s="1"/>
  <c r="O252" i="2" s="1"/>
  <c r="P252" i="2" s="1"/>
  <c r="U251" i="2"/>
  <c r="Q251" i="2"/>
  <c r="R251" i="2" s="1"/>
  <c r="L251" i="2"/>
  <c r="J251" i="2"/>
  <c r="N251" i="2" s="1"/>
  <c r="O251" i="2" s="1"/>
  <c r="P251" i="2" s="1"/>
  <c r="H251" i="2"/>
  <c r="F251" i="2"/>
  <c r="U250" i="2"/>
  <c r="Q250" i="2"/>
  <c r="R250" i="2" s="1"/>
  <c r="L250" i="2"/>
  <c r="J250" i="2"/>
  <c r="N250" i="2" s="1"/>
  <c r="O250" i="2" s="1"/>
  <c r="P250" i="2" s="1"/>
  <c r="H250" i="2"/>
  <c r="F250" i="2"/>
  <c r="U249" i="2"/>
  <c r="Q249" i="2"/>
  <c r="R249" i="2" s="1"/>
  <c r="O249" i="2"/>
  <c r="P249" i="2" s="1"/>
  <c r="L249" i="2"/>
  <c r="J249" i="2"/>
  <c r="U248" i="2"/>
  <c r="Q248" i="2"/>
  <c r="R248" i="2" s="1"/>
  <c r="L248" i="2"/>
  <c r="J248" i="2"/>
  <c r="H248" i="2"/>
  <c r="F248" i="2"/>
  <c r="U247" i="2"/>
  <c r="Q247" i="2"/>
  <c r="R247" i="2" s="1"/>
  <c r="L247" i="2"/>
  <c r="J247" i="2"/>
  <c r="N247" i="2" s="1"/>
  <c r="O247" i="2" s="1"/>
  <c r="P247" i="2" s="1"/>
  <c r="U246" i="2"/>
  <c r="Q246" i="2"/>
  <c r="R246" i="2" s="1"/>
  <c r="L246" i="2"/>
  <c r="J246" i="2"/>
  <c r="H246" i="2"/>
  <c r="F246" i="2"/>
  <c r="U245" i="2"/>
  <c r="Q245" i="2"/>
  <c r="R245" i="2" s="1"/>
  <c r="L245" i="2"/>
  <c r="J245" i="2"/>
  <c r="N245" i="2" s="1"/>
  <c r="O245" i="2" s="1"/>
  <c r="P245" i="2" s="1"/>
  <c r="H245" i="2"/>
  <c r="F245" i="2"/>
  <c r="U244" i="2"/>
  <c r="Q244" i="2"/>
  <c r="R244" i="2" s="1"/>
  <c r="L244" i="2"/>
  <c r="J244" i="2"/>
  <c r="N244" i="2" s="1"/>
  <c r="O244" i="2" s="1"/>
  <c r="P244" i="2" s="1"/>
  <c r="U243" i="2"/>
  <c r="Q243" i="2"/>
  <c r="R243" i="2" s="1"/>
  <c r="O243" i="2"/>
  <c r="P243" i="2" s="1"/>
  <c r="L243" i="2"/>
  <c r="J243" i="2"/>
  <c r="U242" i="2"/>
  <c r="Q242" i="2"/>
  <c r="R242" i="2" s="1"/>
  <c r="L242" i="2"/>
  <c r="J242" i="2"/>
  <c r="N242" i="2" s="1"/>
  <c r="O242" i="2" s="1"/>
  <c r="P242" i="2" s="1"/>
  <c r="U241" i="2"/>
  <c r="Q241" i="2"/>
  <c r="R241" i="2" s="1"/>
  <c r="L241" i="2"/>
  <c r="J241" i="2"/>
  <c r="U240" i="2"/>
  <c r="Q240" i="2"/>
  <c r="R240" i="2" s="1"/>
  <c r="L240" i="2"/>
  <c r="J240" i="2"/>
  <c r="N240" i="2" s="1"/>
  <c r="O240" i="2" s="1"/>
  <c r="P240" i="2" s="1"/>
  <c r="H240" i="2"/>
  <c r="F240" i="2"/>
  <c r="U239" i="2"/>
  <c r="Q239" i="2"/>
  <c r="R239" i="2" s="1"/>
  <c r="L239" i="2"/>
  <c r="J239" i="2"/>
  <c r="H239" i="2"/>
  <c r="F239" i="2"/>
  <c r="U238" i="2"/>
  <c r="Q238" i="2"/>
  <c r="R238" i="2" s="1"/>
  <c r="L238" i="2"/>
  <c r="J238" i="2"/>
  <c r="N238" i="2" s="1"/>
  <c r="O238" i="2" s="1"/>
  <c r="P238" i="2" s="1"/>
  <c r="H238" i="2"/>
  <c r="U237" i="2"/>
  <c r="Q237" i="2"/>
  <c r="R237" i="2" s="1"/>
  <c r="L237" i="2"/>
  <c r="J237" i="2"/>
  <c r="N237" i="2" s="1"/>
  <c r="O237" i="2" s="1"/>
  <c r="P237" i="2" s="1"/>
  <c r="U236" i="2"/>
  <c r="Q236" i="2"/>
  <c r="R236" i="2" s="1"/>
  <c r="L236" i="2"/>
  <c r="J236" i="2"/>
  <c r="N236" i="2" s="1"/>
  <c r="O236" i="2" s="1"/>
  <c r="P236" i="2" s="1"/>
  <c r="H236" i="2"/>
  <c r="U235" i="2"/>
  <c r="Q235" i="2"/>
  <c r="R235" i="2" s="1"/>
  <c r="L235" i="2"/>
  <c r="J235" i="2"/>
  <c r="H235" i="2"/>
  <c r="F235" i="2"/>
  <c r="U234" i="2"/>
  <c r="Q234" i="2"/>
  <c r="R234" i="2" s="1"/>
  <c r="L234" i="2"/>
  <c r="J234" i="2"/>
  <c r="N234" i="2" s="1"/>
  <c r="O234" i="2" s="1"/>
  <c r="P234" i="2" s="1"/>
  <c r="H234" i="2"/>
  <c r="F234" i="2"/>
  <c r="U233" i="2"/>
  <c r="Q233" i="2"/>
  <c r="R233" i="2" s="1"/>
  <c r="L233" i="2"/>
  <c r="J233" i="2"/>
  <c r="N233" i="2" s="1"/>
  <c r="O233" i="2" s="1"/>
  <c r="P233" i="2" s="1"/>
  <c r="H233" i="2"/>
  <c r="U232" i="2"/>
  <c r="Q232" i="2"/>
  <c r="R232" i="2" s="1"/>
  <c r="L232" i="2"/>
  <c r="J232" i="2"/>
  <c r="H232" i="2"/>
  <c r="F232" i="2"/>
  <c r="U231" i="2"/>
  <c r="Q231" i="2"/>
  <c r="R231" i="2" s="1"/>
  <c r="L231" i="2"/>
  <c r="J231" i="2"/>
  <c r="N231" i="2" s="1"/>
  <c r="O231" i="2" s="1"/>
  <c r="P231" i="2" s="1"/>
  <c r="H231" i="2"/>
  <c r="F231" i="2"/>
  <c r="U230" i="2"/>
  <c r="Q230" i="2"/>
  <c r="R230" i="2" s="1"/>
  <c r="L230" i="2"/>
  <c r="J230" i="2"/>
  <c r="N230" i="2" s="1"/>
  <c r="O230" i="2" s="1"/>
  <c r="P230" i="2" s="1"/>
  <c r="F230" i="2"/>
  <c r="U229" i="2"/>
  <c r="Q229" i="2"/>
  <c r="R229" i="2" s="1"/>
  <c r="L229" i="2"/>
  <c r="J229" i="2"/>
  <c r="H229" i="2"/>
  <c r="F229" i="2"/>
  <c r="U228" i="2"/>
  <c r="Q228" i="2"/>
  <c r="R228" i="2" s="1"/>
  <c r="L228" i="2"/>
  <c r="J228" i="2"/>
  <c r="N228" i="2" s="1"/>
  <c r="O228" i="2" s="1"/>
  <c r="P228" i="2" s="1"/>
  <c r="H228" i="2"/>
  <c r="U227" i="2"/>
  <c r="Q227" i="2"/>
  <c r="R227" i="2" s="1"/>
  <c r="L227" i="2"/>
  <c r="J227" i="2"/>
  <c r="H227" i="2"/>
  <c r="F227" i="2"/>
  <c r="U226" i="2"/>
  <c r="Q226" i="2"/>
  <c r="R226" i="2" s="1"/>
  <c r="L226" i="2"/>
  <c r="J226" i="2"/>
  <c r="F226" i="2"/>
  <c r="U225" i="2"/>
  <c r="Q225" i="2"/>
  <c r="R225" i="2" s="1"/>
  <c r="L225" i="2"/>
  <c r="J225" i="2"/>
  <c r="H225" i="2"/>
  <c r="U224" i="2"/>
  <c r="Q224" i="2"/>
  <c r="R224" i="2" s="1"/>
  <c r="L224" i="2"/>
  <c r="J224" i="2"/>
  <c r="H224" i="2"/>
  <c r="F224" i="2"/>
  <c r="U223" i="2"/>
  <c r="Q223" i="2"/>
  <c r="R223" i="2" s="1"/>
  <c r="L223" i="2"/>
  <c r="J223" i="2"/>
  <c r="N223" i="2" s="1"/>
  <c r="O223" i="2" s="1"/>
  <c r="P223" i="2" s="1"/>
  <c r="H223" i="2"/>
  <c r="F223" i="2"/>
  <c r="U222" i="2"/>
  <c r="Q222" i="2"/>
  <c r="R222" i="2" s="1"/>
  <c r="L222" i="2"/>
  <c r="J222" i="2"/>
  <c r="H222" i="2"/>
  <c r="F222" i="2"/>
  <c r="U221" i="2"/>
  <c r="Q221" i="2"/>
  <c r="R221" i="2" s="1"/>
  <c r="L221" i="2"/>
  <c r="J221" i="2"/>
  <c r="H221" i="2"/>
  <c r="U220" i="2"/>
  <c r="Q220" i="2"/>
  <c r="R220" i="2" s="1"/>
  <c r="L220" i="2"/>
  <c r="J220" i="2"/>
  <c r="N220" i="2" s="1"/>
  <c r="O220" i="2" s="1"/>
  <c r="P220" i="2" s="1"/>
  <c r="H220" i="2"/>
  <c r="U219" i="2"/>
  <c r="Q219" i="2"/>
  <c r="R219" i="2" s="1"/>
  <c r="L219" i="2"/>
  <c r="J219" i="2"/>
  <c r="N219" i="2" s="1"/>
  <c r="O219" i="2" s="1"/>
  <c r="P219" i="2" s="1"/>
  <c r="H219" i="2"/>
  <c r="U218" i="2"/>
  <c r="Q218" i="2"/>
  <c r="R218" i="2" s="1"/>
  <c r="L218" i="2"/>
  <c r="J218" i="2"/>
  <c r="N218" i="2" s="1"/>
  <c r="O218" i="2" s="1"/>
  <c r="P218" i="2" s="1"/>
  <c r="H218" i="2"/>
  <c r="U217" i="2"/>
  <c r="Q217" i="2"/>
  <c r="R217" i="2" s="1"/>
  <c r="L217" i="2"/>
  <c r="J217" i="2"/>
  <c r="H217" i="2"/>
  <c r="F217" i="2"/>
  <c r="U216" i="2"/>
  <c r="Q216" i="2"/>
  <c r="R216" i="2" s="1"/>
  <c r="L216" i="2"/>
  <c r="J216" i="2"/>
  <c r="H216" i="2"/>
  <c r="F216" i="2"/>
  <c r="U215" i="2"/>
  <c r="Q215" i="2"/>
  <c r="R215" i="2" s="1"/>
  <c r="L215" i="2"/>
  <c r="J215" i="2"/>
  <c r="N215" i="2" s="1"/>
  <c r="O215" i="2" s="1"/>
  <c r="P215" i="2" s="1"/>
  <c r="H215" i="2"/>
  <c r="U214" i="2"/>
  <c r="Q214" i="2"/>
  <c r="R214" i="2" s="1"/>
  <c r="L214" i="2"/>
  <c r="J214" i="2"/>
  <c r="N214" i="2" s="1"/>
  <c r="O214" i="2" s="1"/>
  <c r="P214" i="2" s="1"/>
  <c r="H214" i="2"/>
  <c r="F214" i="2"/>
  <c r="U213" i="2"/>
  <c r="Q213" i="2"/>
  <c r="R213" i="2" s="1"/>
  <c r="L213" i="2"/>
  <c r="J213" i="2"/>
  <c r="H213" i="2"/>
  <c r="F213" i="2"/>
  <c r="U212" i="2"/>
  <c r="Q212" i="2"/>
  <c r="R212" i="2" s="1"/>
  <c r="L212" i="2"/>
  <c r="J212" i="2"/>
  <c r="N212" i="2" s="1"/>
  <c r="O212" i="2" s="1"/>
  <c r="P212" i="2" s="1"/>
  <c r="H212" i="2"/>
  <c r="F212" i="2"/>
  <c r="U211" i="2"/>
  <c r="Q211" i="2"/>
  <c r="R211" i="2" s="1"/>
  <c r="L211" i="2"/>
  <c r="J211" i="2"/>
  <c r="N211" i="2" s="1"/>
  <c r="O211" i="2" s="1"/>
  <c r="P211" i="2" s="1"/>
  <c r="H211" i="2"/>
  <c r="F211" i="2"/>
  <c r="U210" i="2"/>
  <c r="Q210" i="2"/>
  <c r="R210" i="2" s="1"/>
  <c r="L210" i="2"/>
  <c r="J210" i="2"/>
  <c r="N210" i="2" s="1"/>
  <c r="O210" i="2" s="1"/>
  <c r="P210" i="2" s="1"/>
  <c r="H210" i="2"/>
  <c r="F210" i="2"/>
  <c r="U209" i="2"/>
  <c r="Q209" i="2"/>
  <c r="R209" i="2" s="1"/>
  <c r="L209" i="2"/>
  <c r="J209" i="2"/>
  <c r="H209" i="2"/>
  <c r="F209" i="2"/>
  <c r="U208" i="2"/>
  <c r="Q208" i="2"/>
  <c r="R208" i="2" s="1"/>
  <c r="L208" i="2"/>
  <c r="J208" i="2"/>
  <c r="N208" i="2" s="1"/>
  <c r="O208" i="2" s="1"/>
  <c r="P208" i="2" s="1"/>
  <c r="H208" i="2"/>
  <c r="F208" i="2"/>
  <c r="U207" i="2"/>
  <c r="Q207" i="2"/>
  <c r="R207" i="2" s="1"/>
  <c r="L207" i="2"/>
  <c r="J207" i="2"/>
  <c r="H207" i="2"/>
  <c r="F207" i="2"/>
  <c r="U206" i="2"/>
  <c r="Q206" i="2"/>
  <c r="R206" i="2" s="1"/>
  <c r="L206" i="2"/>
  <c r="J206" i="2"/>
  <c r="N206" i="2" s="1"/>
  <c r="O206" i="2" s="1"/>
  <c r="P206" i="2" s="1"/>
  <c r="H206" i="2"/>
  <c r="F206" i="2"/>
  <c r="U205" i="2"/>
  <c r="Q205" i="2"/>
  <c r="R205" i="2" s="1"/>
  <c r="L205" i="2"/>
  <c r="J205" i="2"/>
  <c r="H205" i="2"/>
  <c r="F205" i="2"/>
  <c r="U204" i="2"/>
  <c r="Q204" i="2"/>
  <c r="R204" i="2" s="1"/>
  <c r="L204" i="2"/>
  <c r="J204" i="2"/>
  <c r="N204" i="2" s="1"/>
  <c r="O204" i="2" s="1"/>
  <c r="P204" i="2" s="1"/>
  <c r="H204" i="2"/>
  <c r="U203" i="2"/>
  <c r="Q203" i="2"/>
  <c r="R203" i="2" s="1"/>
  <c r="L203" i="2"/>
  <c r="J203" i="2"/>
  <c r="N203" i="2" s="1"/>
  <c r="O203" i="2" s="1"/>
  <c r="P203" i="2" s="1"/>
  <c r="H203" i="2"/>
  <c r="F203" i="2"/>
  <c r="U202" i="2"/>
  <c r="Q202" i="2"/>
  <c r="R202" i="2" s="1"/>
  <c r="L202" i="2"/>
  <c r="J202" i="2"/>
  <c r="H202" i="2"/>
  <c r="F202" i="2"/>
  <c r="U201" i="2"/>
  <c r="Q201" i="2"/>
  <c r="R201" i="2" s="1"/>
  <c r="L201" i="2"/>
  <c r="J201" i="2"/>
  <c r="N201" i="2" s="1"/>
  <c r="O201" i="2" s="1"/>
  <c r="P201" i="2" s="1"/>
  <c r="H201" i="2"/>
  <c r="U200" i="2"/>
  <c r="Q200" i="2"/>
  <c r="R200" i="2" s="1"/>
  <c r="L200" i="2"/>
  <c r="J200" i="2"/>
  <c r="N200" i="2" s="1"/>
  <c r="O200" i="2" s="1"/>
  <c r="P200" i="2" s="1"/>
  <c r="H200" i="2"/>
  <c r="F200" i="2"/>
  <c r="U199" i="2"/>
  <c r="Q199" i="2"/>
  <c r="R199" i="2" s="1"/>
  <c r="L199" i="2"/>
  <c r="J199" i="2"/>
  <c r="U198" i="2"/>
  <c r="Q198" i="2"/>
  <c r="R198" i="2" s="1"/>
  <c r="L198" i="2"/>
  <c r="J198" i="2"/>
  <c r="N198" i="2" s="1"/>
  <c r="O198" i="2" s="1"/>
  <c r="P198" i="2" s="1"/>
  <c r="H198" i="2"/>
  <c r="F198" i="2"/>
  <c r="U197" i="2"/>
  <c r="Q197" i="2"/>
  <c r="R197" i="2" s="1"/>
  <c r="L197" i="2"/>
  <c r="J197" i="2"/>
  <c r="H197" i="2"/>
  <c r="F197" i="2"/>
  <c r="U196" i="2"/>
  <c r="Q196" i="2"/>
  <c r="R196" i="2" s="1"/>
  <c r="L196" i="2"/>
  <c r="J196" i="2"/>
  <c r="N196" i="2" s="1"/>
  <c r="O196" i="2" s="1"/>
  <c r="P196" i="2" s="1"/>
  <c r="H196" i="2"/>
  <c r="F196" i="2"/>
  <c r="U195" i="2"/>
  <c r="Q195" i="2"/>
  <c r="R195" i="2" s="1"/>
  <c r="L195" i="2"/>
  <c r="J195" i="2"/>
  <c r="H195" i="2"/>
  <c r="F195" i="2"/>
  <c r="U194" i="2"/>
  <c r="Q194" i="2"/>
  <c r="R194" i="2" s="1"/>
  <c r="L194" i="2"/>
  <c r="J194" i="2"/>
  <c r="H194" i="2"/>
  <c r="F194" i="2"/>
  <c r="U193" i="2"/>
  <c r="Q193" i="2"/>
  <c r="R193" i="2" s="1"/>
  <c r="L193" i="2"/>
  <c r="J193" i="2"/>
  <c r="H193" i="2"/>
  <c r="F193" i="2"/>
  <c r="U192" i="2"/>
  <c r="Q192" i="2"/>
  <c r="R192" i="2" s="1"/>
  <c r="L192" i="2"/>
  <c r="J192" i="2"/>
  <c r="N192" i="2" s="1"/>
  <c r="O192" i="2" s="1"/>
  <c r="P192" i="2" s="1"/>
  <c r="H192" i="2"/>
  <c r="F192" i="2"/>
  <c r="U191" i="2"/>
  <c r="Q191" i="2"/>
  <c r="R191" i="2" s="1"/>
  <c r="L191" i="2"/>
  <c r="J191" i="2"/>
  <c r="N191" i="2" s="1"/>
  <c r="O191" i="2" s="1"/>
  <c r="P191" i="2" s="1"/>
  <c r="H191" i="2"/>
  <c r="F191" i="2"/>
  <c r="U190" i="2"/>
  <c r="Q190" i="2"/>
  <c r="R190" i="2" s="1"/>
  <c r="L190" i="2"/>
  <c r="J190" i="2"/>
  <c r="N190" i="2" s="1"/>
  <c r="O190" i="2" s="1"/>
  <c r="P190" i="2" s="1"/>
  <c r="H190" i="2"/>
  <c r="F190" i="2"/>
  <c r="U189" i="2"/>
  <c r="Q189" i="2"/>
  <c r="R189" i="2" s="1"/>
  <c r="L189" i="2"/>
  <c r="J189" i="2"/>
  <c r="H189" i="2"/>
  <c r="F189" i="2"/>
  <c r="U188" i="2"/>
  <c r="Q188" i="2"/>
  <c r="R188" i="2" s="1"/>
  <c r="L188" i="2"/>
  <c r="J188" i="2"/>
  <c r="N188" i="2" s="1"/>
  <c r="O188" i="2" s="1"/>
  <c r="P188" i="2" s="1"/>
  <c r="H188" i="2"/>
  <c r="F188" i="2"/>
  <c r="U187" i="2"/>
  <c r="Q187" i="2"/>
  <c r="R187" i="2" s="1"/>
  <c r="L187" i="2"/>
  <c r="J187" i="2"/>
  <c r="N187" i="2" s="1"/>
  <c r="O187" i="2" s="1"/>
  <c r="P187" i="2" s="1"/>
  <c r="H187" i="2"/>
  <c r="F187" i="2"/>
  <c r="U186" i="2"/>
  <c r="Q186" i="2"/>
  <c r="R186" i="2" s="1"/>
  <c r="L186" i="2"/>
  <c r="J186" i="2"/>
  <c r="N186" i="2" s="1"/>
  <c r="O186" i="2" s="1"/>
  <c r="P186" i="2" s="1"/>
  <c r="H186" i="2"/>
  <c r="F186" i="2"/>
  <c r="U185" i="2"/>
  <c r="Q185" i="2"/>
  <c r="R185" i="2" s="1"/>
  <c r="L185" i="2"/>
  <c r="J185" i="2"/>
  <c r="H185" i="2"/>
  <c r="F185" i="2"/>
  <c r="U184" i="2"/>
  <c r="Q184" i="2"/>
  <c r="R184" i="2" s="1"/>
  <c r="L184" i="2"/>
  <c r="J184" i="2"/>
  <c r="N184" i="2" s="1"/>
  <c r="O184" i="2" s="1"/>
  <c r="P184" i="2" s="1"/>
  <c r="H184" i="2"/>
  <c r="F184" i="2"/>
  <c r="U183" i="2"/>
  <c r="Q183" i="2"/>
  <c r="R183" i="2" s="1"/>
  <c r="L183" i="2"/>
  <c r="J183" i="2"/>
  <c r="H183" i="2"/>
  <c r="U182" i="2"/>
  <c r="Q182" i="2"/>
  <c r="R182" i="2" s="1"/>
  <c r="L182" i="2"/>
  <c r="J182" i="2"/>
  <c r="H182" i="2"/>
  <c r="F182" i="2"/>
  <c r="U181" i="2"/>
  <c r="Q181" i="2"/>
  <c r="R181" i="2" s="1"/>
  <c r="L181" i="2"/>
  <c r="J181" i="2"/>
  <c r="N181" i="2" s="1"/>
  <c r="O181" i="2" s="1"/>
  <c r="P181" i="2" s="1"/>
  <c r="H181" i="2"/>
  <c r="F181" i="2"/>
  <c r="U180" i="2"/>
  <c r="Q180" i="2"/>
  <c r="R180" i="2" s="1"/>
  <c r="L180" i="2"/>
  <c r="J180" i="2"/>
  <c r="H180" i="2"/>
  <c r="F180" i="2"/>
  <c r="U179" i="2"/>
  <c r="Q179" i="2"/>
  <c r="R179" i="2" s="1"/>
  <c r="L179" i="2"/>
  <c r="J179" i="2"/>
  <c r="U178" i="2"/>
  <c r="Q178" i="2"/>
  <c r="R178" i="2" s="1"/>
  <c r="L178" i="2"/>
  <c r="J178" i="2"/>
  <c r="N178" i="2" s="1"/>
  <c r="O178" i="2" s="1"/>
  <c r="P178" i="2" s="1"/>
  <c r="H178" i="2"/>
  <c r="F178" i="2"/>
  <c r="U177" i="2"/>
  <c r="Q177" i="2"/>
  <c r="R177" i="2" s="1"/>
  <c r="L177" i="2"/>
  <c r="J177" i="2"/>
  <c r="N177" i="2" s="1"/>
  <c r="O177" i="2" s="1"/>
  <c r="P177" i="2" s="1"/>
  <c r="U176" i="2"/>
  <c r="Q176" i="2"/>
  <c r="R176" i="2" s="1"/>
  <c r="L176" i="2"/>
  <c r="J176" i="2"/>
  <c r="N176" i="2" s="1"/>
  <c r="O176" i="2" s="1"/>
  <c r="P176" i="2" s="1"/>
  <c r="H176" i="2"/>
  <c r="F176" i="2"/>
  <c r="U175" i="2"/>
  <c r="Q175" i="2"/>
  <c r="R175" i="2" s="1"/>
  <c r="L175" i="2"/>
  <c r="J175" i="2"/>
  <c r="N175" i="2" s="1"/>
  <c r="O175" i="2" s="1"/>
  <c r="P175" i="2" s="1"/>
  <c r="H175" i="2"/>
  <c r="F175" i="2"/>
  <c r="U174" i="2"/>
  <c r="Q174" i="2"/>
  <c r="R174" i="2" s="1"/>
  <c r="L174" i="2"/>
  <c r="J174" i="2"/>
  <c r="H174" i="2"/>
  <c r="F174" i="2"/>
  <c r="U173" i="2"/>
  <c r="Q173" i="2"/>
  <c r="R173" i="2" s="1"/>
  <c r="L173" i="2"/>
  <c r="J173" i="2"/>
  <c r="N173" i="2" s="1"/>
  <c r="O173" i="2" s="1"/>
  <c r="P173" i="2" s="1"/>
  <c r="H173" i="2"/>
  <c r="F173" i="2"/>
  <c r="U172" i="2"/>
  <c r="Q172" i="2"/>
  <c r="R172" i="2" s="1"/>
  <c r="L172" i="2"/>
  <c r="J172" i="2"/>
  <c r="N172" i="2" s="1"/>
  <c r="O172" i="2" s="1"/>
  <c r="P172" i="2" s="1"/>
  <c r="H172" i="2"/>
  <c r="F172" i="2"/>
  <c r="U171" i="2"/>
  <c r="Q171" i="2"/>
  <c r="R171" i="2" s="1"/>
  <c r="L171" i="2"/>
  <c r="J171" i="2"/>
  <c r="N171" i="2" s="1"/>
  <c r="O171" i="2" s="1"/>
  <c r="P171" i="2" s="1"/>
  <c r="H171" i="2"/>
  <c r="F171" i="2"/>
  <c r="U170" i="2"/>
  <c r="Q170" i="2"/>
  <c r="R170" i="2" s="1"/>
  <c r="L170" i="2"/>
  <c r="J170" i="2"/>
  <c r="H170" i="2"/>
  <c r="F170" i="2"/>
  <c r="U169" i="2"/>
  <c r="Q169" i="2"/>
  <c r="R169" i="2" s="1"/>
  <c r="L169" i="2"/>
  <c r="J169" i="2"/>
  <c r="N169" i="2" s="1"/>
  <c r="O169" i="2" s="1"/>
  <c r="P169" i="2" s="1"/>
  <c r="H169" i="2"/>
  <c r="F169" i="2"/>
  <c r="U168" i="2"/>
  <c r="Q168" i="2"/>
  <c r="R168" i="2" s="1"/>
  <c r="L168" i="2"/>
  <c r="J168" i="2"/>
  <c r="H168" i="2"/>
  <c r="F168" i="2"/>
  <c r="U167" i="2"/>
  <c r="Q167" i="2"/>
  <c r="R167" i="2" s="1"/>
  <c r="L167" i="2"/>
  <c r="J167" i="2"/>
  <c r="H167" i="2"/>
  <c r="F167" i="2"/>
  <c r="U166" i="2"/>
  <c r="Q166" i="2"/>
  <c r="R166" i="2" s="1"/>
  <c r="L166" i="2"/>
  <c r="J166" i="2"/>
  <c r="H166" i="2"/>
  <c r="F166" i="2"/>
  <c r="U165" i="2"/>
  <c r="Q165" i="2"/>
  <c r="R165" i="2" s="1"/>
  <c r="L165" i="2"/>
  <c r="J165" i="2"/>
  <c r="N165" i="2" s="1"/>
  <c r="O165" i="2" s="1"/>
  <c r="P165" i="2" s="1"/>
  <c r="H165" i="2"/>
  <c r="F165" i="2"/>
  <c r="U164" i="2"/>
  <c r="Q164" i="2"/>
  <c r="R164" i="2" s="1"/>
  <c r="L164" i="2"/>
  <c r="J164" i="2"/>
  <c r="N164" i="2" s="1"/>
  <c r="O164" i="2" s="1"/>
  <c r="P164" i="2" s="1"/>
  <c r="H164" i="2"/>
  <c r="F164" i="2"/>
  <c r="U163" i="2"/>
  <c r="Q163" i="2"/>
  <c r="R163" i="2" s="1"/>
  <c r="L163" i="2"/>
  <c r="J163" i="2"/>
  <c r="N163" i="2" s="1"/>
  <c r="O163" i="2" s="1"/>
  <c r="P163" i="2" s="1"/>
  <c r="H163" i="2"/>
  <c r="F163" i="2"/>
  <c r="U162" i="2"/>
  <c r="Q162" i="2"/>
  <c r="R162" i="2" s="1"/>
  <c r="O162" i="2"/>
  <c r="P162" i="2" s="1"/>
  <c r="L162" i="2"/>
  <c r="J162" i="2"/>
  <c r="H162" i="2"/>
  <c r="F162" i="2"/>
  <c r="U161" i="2"/>
  <c r="Q161" i="2"/>
  <c r="R161" i="2" s="1"/>
  <c r="L161" i="2"/>
  <c r="J161" i="2"/>
  <c r="H161" i="2"/>
  <c r="F161" i="2"/>
  <c r="U160" i="2"/>
  <c r="Q160" i="2"/>
  <c r="R160" i="2" s="1"/>
  <c r="O160" i="2"/>
  <c r="P160" i="2" s="1"/>
  <c r="L160" i="2"/>
  <c r="J160" i="2"/>
  <c r="H160" i="2"/>
  <c r="F160" i="2"/>
  <c r="U159" i="2"/>
  <c r="Q159" i="2"/>
  <c r="R159" i="2" s="1"/>
  <c r="L159" i="2"/>
  <c r="J159" i="2"/>
  <c r="N159" i="2" s="1"/>
  <c r="O159" i="2" s="1"/>
  <c r="P159" i="2" s="1"/>
  <c r="H159" i="2"/>
  <c r="F159" i="2"/>
  <c r="U158" i="2"/>
  <c r="Q158" i="2"/>
  <c r="R158" i="2" s="1"/>
  <c r="L158" i="2"/>
  <c r="J158" i="2"/>
  <c r="H158" i="2"/>
  <c r="F158" i="2"/>
  <c r="U157" i="2"/>
  <c r="Q157" i="2"/>
  <c r="R157" i="2" s="1"/>
  <c r="L157" i="2"/>
  <c r="J157" i="2"/>
  <c r="N157" i="2" s="1"/>
  <c r="O157" i="2" s="1"/>
  <c r="P157" i="2" s="1"/>
  <c r="H157" i="2"/>
  <c r="F157" i="2"/>
  <c r="U156" i="2"/>
  <c r="Q156" i="2"/>
  <c r="R156" i="2" s="1"/>
  <c r="L156" i="2"/>
  <c r="J156" i="2"/>
  <c r="H156" i="2"/>
  <c r="F156" i="2"/>
  <c r="U155" i="2"/>
  <c r="Q155" i="2"/>
  <c r="R155" i="2" s="1"/>
  <c r="L155" i="2"/>
  <c r="J155" i="2"/>
  <c r="N155" i="2" s="1"/>
  <c r="O155" i="2" s="1"/>
  <c r="P155" i="2" s="1"/>
  <c r="H155" i="2"/>
  <c r="F155" i="2"/>
  <c r="U154" i="2"/>
  <c r="Q154" i="2"/>
  <c r="R154" i="2" s="1"/>
  <c r="L154" i="2"/>
  <c r="J154" i="2"/>
  <c r="N154" i="2" s="1"/>
  <c r="O154" i="2" s="1"/>
  <c r="P154" i="2" s="1"/>
  <c r="H154" i="2"/>
  <c r="F154" i="2"/>
  <c r="U153" i="2"/>
  <c r="Q153" i="2"/>
  <c r="R153" i="2" s="1"/>
  <c r="L153" i="2"/>
  <c r="J153" i="2"/>
  <c r="N153" i="2" s="1"/>
  <c r="O153" i="2" s="1"/>
  <c r="P153" i="2" s="1"/>
  <c r="H153" i="2"/>
  <c r="F153" i="2"/>
  <c r="U152" i="2"/>
  <c r="Q152" i="2"/>
  <c r="R152" i="2" s="1"/>
  <c r="L152" i="2"/>
  <c r="J152" i="2"/>
  <c r="H152" i="2"/>
  <c r="F152" i="2"/>
  <c r="U151" i="2"/>
  <c r="Q151" i="2"/>
  <c r="R151" i="2" s="1"/>
  <c r="L151" i="2"/>
  <c r="J151" i="2"/>
  <c r="H151" i="2"/>
  <c r="F151" i="2"/>
  <c r="U150" i="2"/>
  <c r="Q150" i="2"/>
  <c r="R150" i="2" s="1"/>
  <c r="L150" i="2"/>
  <c r="J150" i="2"/>
  <c r="N150" i="2" s="1"/>
  <c r="O150" i="2" s="1"/>
  <c r="P150" i="2" s="1"/>
  <c r="H150" i="2"/>
  <c r="F150" i="2"/>
  <c r="U149" i="2"/>
  <c r="Q149" i="2"/>
  <c r="R149" i="2" s="1"/>
  <c r="L149" i="2"/>
  <c r="J149" i="2"/>
  <c r="N149" i="2" s="1"/>
  <c r="O149" i="2" s="1"/>
  <c r="P149" i="2" s="1"/>
  <c r="H149" i="2"/>
  <c r="F149" i="2"/>
  <c r="U148" i="2"/>
  <c r="Q148" i="2"/>
  <c r="R148" i="2" s="1"/>
  <c r="L148" i="2"/>
  <c r="J148" i="2"/>
  <c r="H148" i="2"/>
  <c r="F148" i="2"/>
  <c r="U147" i="2"/>
  <c r="Q147" i="2"/>
  <c r="R147" i="2" s="1"/>
  <c r="L147" i="2"/>
  <c r="J147" i="2"/>
  <c r="H147" i="2"/>
  <c r="F147" i="2"/>
  <c r="U146" i="2"/>
  <c r="Q146" i="2"/>
  <c r="R146" i="2" s="1"/>
  <c r="L146" i="2"/>
  <c r="J146" i="2"/>
  <c r="N146" i="2" s="1"/>
  <c r="O146" i="2" s="1"/>
  <c r="P146" i="2" s="1"/>
  <c r="H146" i="2"/>
  <c r="F146" i="2"/>
  <c r="U145" i="2"/>
  <c r="Q145" i="2"/>
  <c r="R145" i="2" s="1"/>
  <c r="L145" i="2"/>
  <c r="J145" i="2"/>
  <c r="N145" i="2" s="1"/>
  <c r="O145" i="2" s="1"/>
  <c r="P145" i="2" s="1"/>
  <c r="H145" i="2"/>
  <c r="F145" i="2"/>
  <c r="U144" i="2"/>
  <c r="Q144" i="2"/>
  <c r="R144" i="2" s="1"/>
  <c r="L144" i="2"/>
  <c r="J144" i="2"/>
  <c r="H144" i="2"/>
  <c r="F144" i="2"/>
  <c r="U143" i="2"/>
  <c r="Q143" i="2"/>
  <c r="R143" i="2" s="1"/>
  <c r="L143" i="2"/>
  <c r="J143" i="2"/>
  <c r="H143" i="2"/>
  <c r="F143" i="2"/>
  <c r="U142" i="2"/>
  <c r="Q142" i="2"/>
  <c r="R142" i="2" s="1"/>
  <c r="L142" i="2"/>
  <c r="J142" i="2"/>
  <c r="N142" i="2" s="1"/>
  <c r="O142" i="2" s="1"/>
  <c r="P142" i="2" s="1"/>
  <c r="H142" i="2"/>
  <c r="F142" i="2"/>
  <c r="U141" i="2"/>
  <c r="Q141" i="2"/>
  <c r="R141" i="2" s="1"/>
  <c r="L141" i="2"/>
  <c r="J141" i="2"/>
  <c r="N141" i="2" s="1"/>
  <c r="O141" i="2" s="1"/>
  <c r="P141" i="2" s="1"/>
  <c r="H141" i="2"/>
  <c r="F141" i="2"/>
  <c r="U140" i="2"/>
  <c r="Q140" i="2"/>
  <c r="R140" i="2" s="1"/>
  <c r="L140" i="2"/>
  <c r="J140" i="2"/>
  <c r="H140" i="2"/>
  <c r="F140" i="2"/>
  <c r="U139" i="2"/>
  <c r="Q139" i="2"/>
  <c r="R139" i="2" s="1"/>
  <c r="L139" i="2"/>
  <c r="J139" i="2"/>
  <c r="H139" i="2"/>
  <c r="F139" i="2"/>
  <c r="U138" i="2"/>
  <c r="Q138" i="2"/>
  <c r="R138" i="2" s="1"/>
  <c r="L138" i="2"/>
  <c r="J138" i="2"/>
  <c r="N138" i="2" s="1"/>
  <c r="O138" i="2" s="1"/>
  <c r="P138" i="2" s="1"/>
  <c r="H138" i="2"/>
  <c r="F138" i="2"/>
  <c r="U137" i="2"/>
  <c r="Q137" i="2"/>
  <c r="R137" i="2" s="1"/>
  <c r="L137" i="2"/>
  <c r="J137" i="2"/>
  <c r="N137" i="2" s="1"/>
  <c r="O137" i="2" s="1"/>
  <c r="P137" i="2" s="1"/>
  <c r="H137" i="2"/>
  <c r="F137" i="2"/>
  <c r="U136" i="2"/>
  <c r="Q136" i="2"/>
  <c r="R136" i="2" s="1"/>
  <c r="L136" i="2"/>
  <c r="J136" i="2"/>
  <c r="H136" i="2"/>
  <c r="F136" i="2"/>
  <c r="U135" i="2"/>
  <c r="Q135" i="2"/>
  <c r="R135" i="2" s="1"/>
  <c r="L135" i="2"/>
  <c r="J135" i="2"/>
  <c r="N135" i="2" s="1"/>
  <c r="O135" i="2" s="1"/>
  <c r="P135" i="2" s="1"/>
  <c r="H135" i="2"/>
  <c r="F135" i="2"/>
  <c r="U134" i="2"/>
  <c r="Q134" i="2"/>
  <c r="R134" i="2" s="1"/>
  <c r="L134" i="2"/>
  <c r="J134" i="2"/>
  <c r="N134" i="2" s="1"/>
  <c r="O134" i="2" s="1"/>
  <c r="P134" i="2" s="1"/>
  <c r="H134" i="2"/>
  <c r="F134" i="2"/>
  <c r="U133" i="2"/>
  <c r="Q133" i="2"/>
  <c r="R133" i="2" s="1"/>
  <c r="L133" i="2"/>
  <c r="J133" i="2"/>
  <c r="N133" i="2" s="1"/>
  <c r="O133" i="2" s="1"/>
  <c r="P133" i="2" s="1"/>
  <c r="H133" i="2"/>
  <c r="F133" i="2"/>
  <c r="U132" i="2"/>
  <c r="Q132" i="2"/>
  <c r="R132" i="2" s="1"/>
  <c r="L132" i="2"/>
  <c r="J132" i="2"/>
  <c r="H132" i="2"/>
  <c r="F132" i="2"/>
  <c r="U131" i="2"/>
  <c r="Q131" i="2"/>
  <c r="R131" i="2" s="1"/>
  <c r="L131" i="2"/>
  <c r="J131" i="2"/>
  <c r="H131" i="2"/>
  <c r="F131" i="2"/>
  <c r="U130" i="2"/>
  <c r="Q130" i="2"/>
  <c r="R130" i="2" s="1"/>
  <c r="L130" i="2"/>
  <c r="J130" i="2"/>
  <c r="N130" i="2" s="1"/>
  <c r="O130" i="2" s="1"/>
  <c r="P130" i="2" s="1"/>
  <c r="H130" i="2"/>
  <c r="F130" i="2"/>
  <c r="U129" i="2"/>
  <c r="Q129" i="2"/>
  <c r="R129" i="2" s="1"/>
  <c r="L129" i="2"/>
  <c r="J129" i="2"/>
  <c r="H129" i="2"/>
  <c r="F129" i="2"/>
  <c r="U128" i="2"/>
  <c r="Q128" i="2"/>
  <c r="R128" i="2" s="1"/>
  <c r="L128" i="2"/>
  <c r="J128" i="2"/>
  <c r="H128" i="2"/>
  <c r="F128" i="2"/>
  <c r="U127" i="2"/>
  <c r="Q127" i="2"/>
  <c r="R127" i="2" s="1"/>
  <c r="L127" i="2"/>
  <c r="J127" i="2"/>
  <c r="H127" i="2"/>
  <c r="F127" i="2"/>
  <c r="U126" i="2"/>
  <c r="Q126" i="2"/>
  <c r="R126" i="2" s="1"/>
  <c r="L126" i="2"/>
  <c r="J126" i="2"/>
  <c r="N126" i="2" s="1"/>
  <c r="O126" i="2" s="1"/>
  <c r="P126" i="2" s="1"/>
  <c r="H126" i="2"/>
  <c r="F126" i="2"/>
  <c r="U125" i="2"/>
  <c r="Q125" i="2"/>
  <c r="R125" i="2" s="1"/>
  <c r="L125" i="2"/>
  <c r="J125" i="2"/>
  <c r="N125" i="2" s="1"/>
  <c r="O125" i="2" s="1"/>
  <c r="P125" i="2" s="1"/>
  <c r="H125" i="2"/>
  <c r="F125" i="2"/>
  <c r="U124" i="2"/>
  <c r="Q124" i="2"/>
  <c r="R124" i="2" s="1"/>
  <c r="L124" i="2"/>
  <c r="J124" i="2"/>
  <c r="H124" i="2"/>
  <c r="F124" i="2"/>
  <c r="U123" i="2"/>
  <c r="Q123" i="2"/>
  <c r="R123" i="2" s="1"/>
  <c r="L123" i="2"/>
  <c r="J123" i="2"/>
  <c r="N123" i="2" s="1"/>
  <c r="O123" i="2" s="1"/>
  <c r="P123" i="2" s="1"/>
  <c r="H123" i="2"/>
  <c r="F123" i="2"/>
  <c r="U122" i="2"/>
  <c r="Q122" i="2"/>
  <c r="R122" i="2" s="1"/>
  <c r="L122" i="2"/>
  <c r="J122" i="2"/>
  <c r="N122" i="2" s="1"/>
  <c r="O122" i="2" s="1"/>
  <c r="P122" i="2" s="1"/>
  <c r="H122" i="2"/>
  <c r="F122" i="2"/>
  <c r="U121" i="2"/>
  <c r="Q121" i="2"/>
  <c r="R121" i="2" s="1"/>
  <c r="L121" i="2"/>
  <c r="J121" i="2"/>
  <c r="N121" i="2" s="1"/>
  <c r="O121" i="2" s="1"/>
  <c r="P121" i="2" s="1"/>
  <c r="H121" i="2"/>
  <c r="F121" i="2"/>
  <c r="U120" i="2"/>
  <c r="Q120" i="2"/>
  <c r="R120" i="2" s="1"/>
  <c r="L120" i="2"/>
  <c r="J120" i="2"/>
  <c r="H120" i="2"/>
  <c r="F120" i="2"/>
  <c r="U119" i="2"/>
  <c r="Q119" i="2"/>
  <c r="R119" i="2" s="1"/>
  <c r="L119" i="2"/>
  <c r="J119" i="2"/>
  <c r="N119" i="2" s="1"/>
  <c r="O119" i="2" s="1"/>
  <c r="P119" i="2" s="1"/>
  <c r="H119" i="2"/>
  <c r="F119" i="2"/>
  <c r="U118" i="2"/>
  <c r="Q118" i="2"/>
  <c r="R118" i="2" s="1"/>
  <c r="L118" i="2"/>
  <c r="J118" i="2"/>
  <c r="N118" i="2" s="1"/>
  <c r="O118" i="2" s="1"/>
  <c r="P118" i="2" s="1"/>
  <c r="H118" i="2"/>
  <c r="F118" i="2"/>
  <c r="U117" i="2"/>
  <c r="Q117" i="2"/>
  <c r="R117" i="2" s="1"/>
  <c r="L117" i="2"/>
  <c r="J117" i="2"/>
  <c r="N117" i="2" s="1"/>
  <c r="O117" i="2" s="1"/>
  <c r="P117" i="2" s="1"/>
  <c r="H117" i="2"/>
  <c r="F117" i="2"/>
  <c r="U116" i="2"/>
  <c r="Q116" i="2"/>
  <c r="R116" i="2" s="1"/>
  <c r="L116" i="2"/>
  <c r="J116" i="2"/>
  <c r="H116" i="2"/>
  <c r="F116" i="2"/>
  <c r="U115" i="2"/>
  <c r="Q115" i="2"/>
  <c r="R115" i="2" s="1"/>
  <c r="L115" i="2"/>
  <c r="J115" i="2"/>
  <c r="H115" i="2"/>
  <c r="F115" i="2"/>
  <c r="U114" i="2"/>
  <c r="Q114" i="2"/>
  <c r="R114" i="2" s="1"/>
  <c r="L114" i="2"/>
  <c r="J114" i="2"/>
  <c r="N114" i="2" s="1"/>
  <c r="O114" i="2" s="1"/>
  <c r="P114" i="2" s="1"/>
  <c r="H114" i="2"/>
  <c r="F114" i="2"/>
  <c r="U113" i="2"/>
  <c r="Q113" i="2"/>
  <c r="R113" i="2" s="1"/>
  <c r="L113" i="2"/>
  <c r="J113" i="2"/>
  <c r="N113" i="2" s="1"/>
  <c r="O113" i="2" s="1"/>
  <c r="P113" i="2" s="1"/>
  <c r="H113" i="2"/>
  <c r="F113" i="2"/>
  <c r="U112" i="2"/>
  <c r="Q112" i="2"/>
  <c r="R112" i="2" s="1"/>
  <c r="L112" i="2"/>
  <c r="J112" i="2"/>
  <c r="H112" i="2"/>
  <c r="F112" i="2"/>
  <c r="U111" i="2"/>
  <c r="Q111" i="2"/>
  <c r="R111" i="2" s="1"/>
  <c r="L111" i="2"/>
  <c r="J111" i="2"/>
  <c r="H111" i="2"/>
  <c r="F111" i="2"/>
  <c r="U110" i="2"/>
  <c r="Q110" i="2"/>
  <c r="R110" i="2" s="1"/>
  <c r="L110" i="2"/>
  <c r="J110" i="2"/>
  <c r="N110" i="2" s="1"/>
  <c r="O110" i="2" s="1"/>
  <c r="P110" i="2" s="1"/>
  <c r="H110" i="2"/>
  <c r="F110" i="2"/>
  <c r="U109" i="2"/>
  <c r="Q109" i="2"/>
  <c r="R109" i="2" s="1"/>
  <c r="L109" i="2"/>
  <c r="J109" i="2"/>
  <c r="N109" i="2" s="1"/>
  <c r="O109" i="2" s="1"/>
  <c r="P109" i="2" s="1"/>
  <c r="H109" i="2"/>
  <c r="F109" i="2"/>
  <c r="U108" i="2"/>
  <c r="Q108" i="2"/>
  <c r="R108" i="2" s="1"/>
  <c r="L108" i="2"/>
  <c r="J108" i="2"/>
  <c r="H108" i="2"/>
  <c r="F108" i="2"/>
  <c r="U107" i="2"/>
  <c r="Q107" i="2"/>
  <c r="R107" i="2" s="1"/>
  <c r="L107" i="2"/>
  <c r="J107" i="2"/>
  <c r="H107" i="2"/>
  <c r="F107" i="2"/>
  <c r="U106" i="2"/>
  <c r="Q106" i="2"/>
  <c r="R106" i="2" s="1"/>
  <c r="L106" i="2"/>
  <c r="J106" i="2"/>
  <c r="N106" i="2" s="1"/>
  <c r="O106" i="2" s="1"/>
  <c r="P106" i="2" s="1"/>
  <c r="H106" i="2"/>
  <c r="F106" i="2"/>
  <c r="U105" i="2"/>
  <c r="Q105" i="2"/>
  <c r="R105" i="2" s="1"/>
  <c r="L105" i="2"/>
  <c r="J105" i="2"/>
  <c r="N105" i="2" s="1"/>
  <c r="O105" i="2" s="1"/>
  <c r="P105" i="2" s="1"/>
  <c r="H105" i="2"/>
  <c r="F105" i="2"/>
  <c r="U104" i="2"/>
  <c r="Q104" i="2"/>
  <c r="R104" i="2" s="1"/>
  <c r="L104" i="2"/>
  <c r="J104" i="2"/>
  <c r="H104" i="2"/>
  <c r="F104" i="2"/>
  <c r="U103" i="2"/>
  <c r="Q103" i="2"/>
  <c r="R103" i="2" s="1"/>
  <c r="L103" i="2"/>
  <c r="J103" i="2"/>
  <c r="H103" i="2"/>
  <c r="F103" i="2"/>
  <c r="U102" i="2"/>
  <c r="Q102" i="2"/>
  <c r="R102" i="2" s="1"/>
  <c r="L102" i="2"/>
  <c r="J102" i="2"/>
  <c r="N102" i="2" s="1"/>
  <c r="O102" i="2" s="1"/>
  <c r="P102" i="2" s="1"/>
  <c r="H102" i="2"/>
  <c r="F102" i="2"/>
  <c r="U101" i="2"/>
  <c r="Q101" i="2"/>
  <c r="R101" i="2" s="1"/>
  <c r="L101" i="2"/>
  <c r="J101" i="2"/>
  <c r="N101" i="2" s="1"/>
  <c r="O101" i="2" s="1"/>
  <c r="P101" i="2" s="1"/>
  <c r="H101" i="2"/>
  <c r="F101" i="2"/>
  <c r="U100" i="2"/>
  <c r="Q100" i="2"/>
  <c r="R100" i="2" s="1"/>
  <c r="L100" i="2"/>
  <c r="J100" i="2"/>
  <c r="H100" i="2"/>
  <c r="F100" i="2"/>
  <c r="U99" i="2"/>
  <c r="Q99" i="2"/>
  <c r="R99" i="2" s="1"/>
  <c r="L99" i="2"/>
  <c r="J99" i="2"/>
  <c r="H99" i="2"/>
  <c r="F99" i="2"/>
  <c r="U98" i="2"/>
  <c r="Q98" i="2"/>
  <c r="R98" i="2" s="1"/>
  <c r="L98" i="2"/>
  <c r="J98" i="2"/>
  <c r="H98" i="2"/>
  <c r="F98" i="2"/>
  <c r="U97" i="2"/>
  <c r="Q97" i="2"/>
  <c r="R97" i="2" s="1"/>
  <c r="L97" i="2"/>
  <c r="J97" i="2"/>
  <c r="N97" i="2" s="1"/>
  <c r="O97" i="2" s="1"/>
  <c r="P97" i="2" s="1"/>
  <c r="H97" i="2"/>
  <c r="F97" i="2"/>
  <c r="U96" i="2"/>
  <c r="Q96" i="2"/>
  <c r="R96" i="2" s="1"/>
  <c r="L96" i="2"/>
  <c r="J96" i="2"/>
  <c r="H96" i="2"/>
  <c r="F96" i="2"/>
  <c r="U95" i="2"/>
  <c r="Q95" i="2"/>
  <c r="R95" i="2" s="1"/>
  <c r="L95" i="2"/>
  <c r="J95" i="2"/>
  <c r="H95" i="2"/>
  <c r="F95" i="2"/>
  <c r="U94" i="2"/>
  <c r="Q94" i="2"/>
  <c r="R94" i="2" s="1"/>
  <c r="L94" i="2"/>
  <c r="J94" i="2"/>
  <c r="N94" i="2" s="1"/>
  <c r="O94" i="2" s="1"/>
  <c r="P94" i="2" s="1"/>
  <c r="H94" i="2"/>
  <c r="F94" i="2"/>
  <c r="U93" i="2"/>
  <c r="Q93" i="2"/>
  <c r="R93" i="2" s="1"/>
  <c r="L93" i="2"/>
  <c r="J93" i="2"/>
  <c r="N93" i="2" s="1"/>
  <c r="O93" i="2" s="1"/>
  <c r="P93" i="2" s="1"/>
  <c r="H93" i="2"/>
  <c r="F93" i="2"/>
  <c r="U92" i="2"/>
  <c r="Q92" i="2"/>
  <c r="R92" i="2" s="1"/>
  <c r="L92" i="2"/>
  <c r="J92" i="2"/>
  <c r="H92" i="2"/>
  <c r="F92" i="2"/>
  <c r="U91" i="2"/>
  <c r="Q91" i="2"/>
  <c r="R91" i="2" s="1"/>
  <c r="L91" i="2"/>
  <c r="J91" i="2"/>
  <c r="H91" i="2"/>
  <c r="F91" i="2"/>
  <c r="U90" i="2"/>
  <c r="Q90" i="2"/>
  <c r="R90" i="2" s="1"/>
  <c r="L90" i="2"/>
  <c r="J90" i="2"/>
  <c r="N90" i="2" s="1"/>
  <c r="O90" i="2" s="1"/>
  <c r="P90" i="2" s="1"/>
  <c r="H90" i="2"/>
  <c r="F90" i="2"/>
  <c r="U89" i="2"/>
  <c r="Q89" i="2"/>
  <c r="R89" i="2" s="1"/>
  <c r="L89" i="2"/>
  <c r="J89" i="2"/>
  <c r="N89" i="2" s="1"/>
  <c r="O89" i="2" s="1"/>
  <c r="P89" i="2" s="1"/>
  <c r="H89" i="2"/>
  <c r="F89" i="2"/>
  <c r="U88" i="2"/>
  <c r="Q88" i="2"/>
  <c r="R88" i="2" s="1"/>
  <c r="L88" i="2"/>
  <c r="J88" i="2"/>
  <c r="H88" i="2"/>
  <c r="F88" i="2"/>
  <c r="U87" i="2"/>
  <c r="Q87" i="2"/>
  <c r="R87" i="2" s="1"/>
  <c r="L87" i="2"/>
  <c r="J87" i="2"/>
  <c r="N87" i="2" s="1"/>
  <c r="O87" i="2" s="1"/>
  <c r="P87" i="2" s="1"/>
  <c r="H87" i="2"/>
  <c r="F87" i="2"/>
  <c r="U86" i="2"/>
  <c r="Q86" i="2"/>
  <c r="R86" i="2" s="1"/>
  <c r="L86" i="2"/>
  <c r="J86" i="2"/>
  <c r="H86" i="2"/>
  <c r="F86" i="2"/>
  <c r="U85" i="2"/>
  <c r="Q85" i="2"/>
  <c r="R85" i="2" s="1"/>
  <c r="L85" i="2"/>
  <c r="J85" i="2"/>
  <c r="N85" i="2" s="1"/>
  <c r="O85" i="2" s="1"/>
  <c r="P85" i="2" s="1"/>
  <c r="H85" i="2"/>
  <c r="F85" i="2"/>
  <c r="U84" i="2"/>
  <c r="Q84" i="2"/>
  <c r="R84" i="2" s="1"/>
  <c r="L84" i="2"/>
  <c r="J84" i="2"/>
  <c r="H84" i="2"/>
  <c r="F84" i="2"/>
  <c r="U83" i="2"/>
  <c r="Q83" i="2"/>
  <c r="R83" i="2" s="1"/>
  <c r="L83" i="2"/>
  <c r="J83" i="2"/>
  <c r="H83" i="2"/>
  <c r="F83" i="2"/>
  <c r="U82" i="2"/>
  <c r="Q82" i="2"/>
  <c r="R82" i="2" s="1"/>
  <c r="O82" i="2"/>
  <c r="P82" i="2" s="1"/>
  <c r="L82" i="2"/>
  <c r="J82" i="2"/>
  <c r="H82" i="2"/>
  <c r="F82" i="2"/>
  <c r="U81" i="2"/>
  <c r="Q81" i="2"/>
  <c r="R81" i="2" s="1"/>
  <c r="O81" i="2"/>
  <c r="P81" i="2" s="1"/>
  <c r="L81" i="2"/>
  <c r="J81" i="2"/>
  <c r="H81" i="2"/>
  <c r="F81" i="2"/>
  <c r="U80" i="2"/>
  <c r="Q80" i="2"/>
  <c r="R80" i="2" s="1"/>
  <c r="O80" i="2"/>
  <c r="P80" i="2" s="1"/>
  <c r="L80" i="2"/>
  <c r="J80" i="2"/>
  <c r="H80" i="2"/>
  <c r="F80" i="2"/>
  <c r="U79" i="2"/>
  <c r="Q79" i="2"/>
  <c r="R79" i="2" s="1"/>
  <c r="O79" i="2"/>
  <c r="P79" i="2" s="1"/>
  <c r="L79" i="2"/>
  <c r="J79" i="2"/>
  <c r="H79" i="2"/>
  <c r="F79" i="2"/>
  <c r="U78" i="2"/>
  <c r="Q78" i="2"/>
  <c r="R78" i="2" s="1"/>
  <c r="O78" i="2"/>
  <c r="P78" i="2" s="1"/>
  <c r="L78" i="2"/>
  <c r="J78" i="2"/>
  <c r="H78" i="2"/>
  <c r="F78" i="2"/>
  <c r="U77" i="2"/>
  <c r="Q77" i="2"/>
  <c r="R77" i="2" s="1"/>
  <c r="O77" i="2"/>
  <c r="P77" i="2" s="1"/>
  <c r="L77" i="2"/>
  <c r="J77" i="2"/>
  <c r="H77" i="2"/>
  <c r="F77" i="2"/>
  <c r="U76" i="2"/>
  <c r="Q76" i="2"/>
  <c r="R76" i="2" s="1"/>
  <c r="O76" i="2"/>
  <c r="P76" i="2" s="1"/>
  <c r="L76" i="2"/>
  <c r="J76" i="2"/>
  <c r="H76" i="2"/>
  <c r="F76" i="2"/>
  <c r="U75" i="2"/>
  <c r="Q75" i="2"/>
  <c r="R75" i="2" s="1"/>
  <c r="O75" i="2"/>
  <c r="P75" i="2" s="1"/>
  <c r="L75" i="2"/>
  <c r="J75" i="2"/>
  <c r="H75" i="2"/>
  <c r="F75" i="2"/>
  <c r="U74" i="2"/>
  <c r="Q74" i="2"/>
  <c r="R74" i="2" s="1"/>
  <c r="O74" i="2"/>
  <c r="P74" i="2" s="1"/>
  <c r="L74" i="2"/>
  <c r="J74" i="2"/>
  <c r="H74" i="2"/>
  <c r="F74" i="2"/>
  <c r="U73" i="2"/>
  <c r="Q73" i="2"/>
  <c r="R73" i="2" s="1"/>
  <c r="O73" i="2"/>
  <c r="L73" i="2"/>
  <c r="J73" i="2"/>
  <c r="H73" i="2"/>
  <c r="F73" i="2"/>
  <c r="E4" i="2"/>
  <c r="AB69" i="2" s="1"/>
  <c r="AB39" i="1"/>
  <c r="AB38" i="1"/>
  <c r="AB37" i="1"/>
  <c r="AB36" i="1"/>
  <c r="AB35" i="1"/>
  <c r="AB34" i="1"/>
  <c r="S34" i="1"/>
  <c r="R34" i="1"/>
  <c r="Q34" i="1"/>
  <c r="P34" i="1"/>
  <c r="AB33" i="1"/>
  <c r="S33" i="1"/>
  <c r="R33" i="1"/>
  <c r="Q33" i="1"/>
  <c r="P33" i="1"/>
  <c r="AB32" i="1"/>
  <c r="S32" i="1"/>
  <c r="R32" i="1"/>
  <c r="Q32" i="1"/>
  <c r="P32" i="1"/>
  <c r="AB31" i="1"/>
  <c r="S31" i="1"/>
  <c r="R31" i="1"/>
  <c r="Q31" i="1"/>
  <c r="P31" i="1"/>
  <c r="AB30" i="1"/>
  <c r="S30" i="1"/>
  <c r="Q30" i="1"/>
  <c r="P30" i="1"/>
  <c r="AB29" i="1"/>
  <c r="S29" i="1"/>
  <c r="R29" i="1"/>
  <c r="Q29" i="1"/>
  <c r="P29" i="1"/>
  <c r="AB28" i="1"/>
  <c r="S28" i="1"/>
  <c r="R28" i="1"/>
  <c r="Q28" i="1"/>
  <c r="P28" i="1"/>
  <c r="AB27" i="1"/>
  <c r="V27" i="1"/>
  <c r="S27" i="1"/>
  <c r="R27" i="1"/>
  <c r="Q27" i="1"/>
  <c r="P27" i="1"/>
  <c r="AB26" i="1"/>
  <c r="S26" i="1"/>
  <c r="Q26" i="1"/>
  <c r="P26" i="1"/>
  <c r="AB25" i="1"/>
  <c r="S25" i="1"/>
  <c r="R25" i="1"/>
  <c r="Q25" i="1"/>
  <c r="P25" i="1"/>
  <c r="AB24" i="1"/>
  <c r="S24" i="1"/>
  <c r="Q24" i="1"/>
  <c r="P24" i="1"/>
  <c r="AB23" i="1"/>
  <c r="S23" i="1"/>
  <c r="R23" i="1"/>
  <c r="Q23" i="1"/>
  <c r="P23" i="1"/>
  <c r="AB22" i="1"/>
  <c r="S22" i="1"/>
  <c r="R22" i="1"/>
  <c r="Q22" i="1"/>
  <c r="P22" i="1"/>
  <c r="AB21" i="1"/>
  <c r="S21" i="1"/>
  <c r="R21" i="1"/>
  <c r="Q21" i="1"/>
  <c r="P21" i="1"/>
  <c r="AB20" i="1"/>
  <c r="AD20" i="1" s="1"/>
  <c r="S20" i="1"/>
  <c r="R20" i="1"/>
  <c r="Q20" i="1"/>
  <c r="P20" i="1"/>
  <c r="AB19" i="1"/>
  <c r="AD19" i="1" s="1"/>
  <c r="S19" i="1"/>
  <c r="R19" i="1"/>
  <c r="Q19" i="1"/>
  <c r="P19" i="1"/>
  <c r="AB18" i="1"/>
  <c r="AD18" i="1" s="1"/>
  <c r="S18" i="1"/>
  <c r="Q18" i="1"/>
  <c r="P18" i="1"/>
  <c r="AB17" i="1"/>
  <c r="AD17" i="1" s="1"/>
  <c r="S17" i="1"/>
  <c r="R17" i="1"/>
  <c r="Q17" i="1"/>
  <c r="P17" i="1"/>
  <c r="AB16" i="1"/>
  <c r="S16" i="1"/>
  <c r="R16" i="1"/>
  <c r="Q16" i="1"/>
  <c r="P16" i="1"/>
  <c r="S15" i="1"/>
  <c r="R15" i="1"/>
  <c r="Q15" i="1"/>
  <c r="P15" i="1"/>
  <c r="S14" i="1"/>
  <c r="R14" i="1"/>
  <c r="Q14" i="1"/>
  <c r="P14" i="1"/>
  <c r="Z13" i="1"/>
  <c r="X13" i="1"/>
  <c r="W13" i="1"/>
  <c r="V13" i="1"/>
  <c r="AB13" i="1" s="1"/>
  <c r="S13" i="1"/>
  <c r="R13" i="1"/>
  <c r="Q13" i="1"/>
  <c r="P13" i="1"/>
  <c r="Z12" i="1"/>
  <c r="X12" i="1"/>
  <c r="W12" i="1"/>
  <c r="V12" i="1"/>
  <c r="AB12" i="1" s="1"/>
  <c r="S12" i="1"/>
  <c r="R12" i="1"/>
  <c r="Q12" i="1"/>
  <c r="P12" i="1"/>
  <c r="Z11" i="1"/>
  <c r="X11" i="1"/>
  <c r="W11" i="1"/>
  <c r="V11" i="1"/>
  <c r="AB11" i="1" s="1"/>
  <c r="S11" i="1"/>
  <c r="R11" i="1"/>
  <c r="Q11" i="1"/>
  <c r="P11" i="1"/>
  <c r="Z10" i="1"/>
  <c r="X10" i="1"/>
  <c r="W10" i="1"/>
  <c r="V10" i="1"/>
  <c r="AB10" i="1" s="1"/>
  <c r="S10" i="1"/>
  <c r="R10" i="1"/>
  <c r="Q10" i="1"/>
  <c r="P10" i="1"/>
  <c r="Z9" i="1"/>
  <c r="X9" i="1"/>
  <c r="W9" i="1"/>
  <c r="V9" i="1"/>
  <c r="AB9" i="1" s="1"/>
  <c r="S9" i="1"/>
  <c r="R9" i="1"/>
  <c r="Q9" i="1"/>
  <c r="P9" i="1"/>
  <c r="Z8" i="1"/>
  <c r="X8" i="1"/>
  <c r="W8" i="1"/>
  <c r="V8" i="1"/>
  <c r="AB8" i="1" s="1"/>
  <c r="R8" i="1"/>
  <c r="Q8" i="1"/>
  <c r="P8" i="1"/>
  <c r="Z7" i="1"/>
  <c r="X7" i="1"/>
  <c r="W7" i="1"/>
  <c r="V7" i="1"/>
  <c r="AB7" i="1" s="1"/>
  <c r="Z6" i="1"/>
  <c r="X6" i="1"/>
  <c r="W6" i="1"/>
  <c r="V6" i="1"/>
  <c r="AB6" i="1" s="1"/>
  <c r="Z5" i="1"/>
  <c r="X5" i="1"/>
  <c r="W5" i="1"/>
  <c r="V5" i="1"/>
  <c r="R38" i="1"/>
  <c r="Q5" i="1"/>
  <c r="P5" i="1"/>
  <c r="Z4" i="1"/>
  <c r="X4" i="1"/>
  <c r="W4" i="1"/>
  <c r="V4" i="1"/>
  <c r="AB4" i="1" s="1"/>
  <c r="D1932" i="7" l="1"/>
  <c r="Q1932" i="7" s="1"/>
  <c r="D1942" i="7"/>
  <c r="Q1942" i="7" s="1"/>
  <c r="AB67" i="2"/>
  <c r="AB62" i="2"/>
  <c r="N1693" i="7"/>
  <c r="N1924" i="7"/>
  <c r="AB61" i="2"/>
  <c r="AB58" i="2"/>
  <c r="D1882" i="7"/>
  <c r="Q1882" i="7" s="1"/>
  <c r="D1737" i="7"/>
  <c r="Q1737" i="7" s="1"/>
  <c r="D1712" i="7"/>
  <c r="Q1712" i="7" s="1"/>
  <c r="D1735" i="7"/>
  <c r="Q1735" i="7" s="1"/>
  <c r="D1710" i="7"/>
  <c r="Q1710" i="7" s="1"/>
  <c r="D1792" i="7"/>
  <c r="Q1792" i="7" s="1"/>
  <c r="D1774" i="7"/>
  <c r="Q1774" i="7" s="1"/>
  <c r="D1745" i="7"/>
  <c r="Q1745" i="7" s="1"/>
  <c r="D1722" i="7"/>
  <c r="Q1722" i="7" s="1"/>
  <c r="D1762" i="7"/>
  <c r="Q1762" i="7" s="1"/>
  <c r="D1754" i="7"/>
  <c r="Q1754" i="7" s="1"/>
  <c r="D1860" i="7"/>
  <c r="Q1860" i="7" s="1"/>
  <c r="D1540" i="7"/>
  <c r="Q1540" i="7" s="1"/>
  <c r="D1513" i="7"/>
  <c r="Q1513" i="7" s="1"/>
  <c r="D1502" i="7"/>
  <c r="Q1502" i="7" s="1"/>
  <c r="D1519" i="7"/>
  <c r="Q1519" i="7" s="1"/>
  <c r="D1607" i="7"/>
  <c r="Q1607" i="7" s="1"/>
  <c r="D1582" i="7"/>
  <c r="Q1582" i="7" s="1"/>
  <c r="D1251" i="7"/>
  <c r="Q1251" i="7" s="1"/>
  <c r="D1218" i="7"/>
  <c r="Q1218" i="7" s="1"/>
  <c r="D1158" i="7"/>
  <c r="Q1158" i="7" s="1"/>
  <c r="D1132" i="7"/>
  <c r="Q1132" i="7" s="1"/>
  <c r="D1171" i="7"/>
  <c r="Q1171" i="7" s="1"/>
  <c r="D1145" i="7"/>
  <c r="Q1145" i="7" s="1"/>
  <c r="D1137" i="7"/>
  <c r="Q1137" i="7" s="1"/>
  <c r="AB66" i="2"/>
  <c r="AB59" i="2"/>
  <c r="AB60" i="2"/>
  <c r="AB52" i="2"/>
  <c r="AB53" i="2"/>
  <c r="AB46" i="2"/>
  <c r="K10" i="3"/>
  <c r="N1803" i="7"/>
  <c r="AB45" i="2"/>
  <c r="AB65" i="2"/>
  <c r="AB47" i="2"/>
  <c r="AB48" i="2"/>
  <c r="AB49" i="2"/>
  <c r="N1751" i="7"/>
  <c r="N1769" i="7"/>
  <c r="AB24" i="2"/>
  <c r="N1463" i="7"/>
  <c r="N1744" i="7"/>
  <c r="AB43" i="2"/>
  <c r="N1670" i="7"/>
  <c r="N1683" i="7"/>
  <c r="AB63" i="2"/>
  <c r="AB55" i="2"/>
  <c r="AB21" i="2"/>
  <c r="AB50" i="2"/>
  <c r="AB54" i="2"/>
  <c r="AB20" i="2"/>
  <c r="AB23" i="2"/>
  <c r="AB40" i="2"/>
  <c r="AB19" i="2"/>
  <c r="AB39" i="2"/>
  <c r="AB18" i="2"/>
  <c r="AB38" i="2"/>
  <c r="AB37" i="2"/>
  <c r="AB1395" i="2"/>
  <c r="AB42" i="2"/>
  <c r="AB34" i="2"/>
  <c r="AB28" i="2"/>
  <c r="AB41" i="2"/>
  <c r="AB25" i="2"/>
  <c r="K12" i="3"/>
  <c r="N1669" i="7"/>
  <c r="N1414" i="7"/>
  <c r="N1659" i="7"/>
  <c r="Q1027" i="2"/>
  <c r="R1027" i="2" s="1"/>
  <c r="Z1027" i="2"/>
  <c r="Q1035" i="2"/>
  <c r="R1035" i="2" s="1"/>
  <c r="Z1035" i="2"/>
  <c r="Q1024" i="2"/>
  <c r="R1024" i="2" s="1"/>
  <c r="Z1024" i="2"/>
  <c r="Q1032" i="2"/>
  <c r="R1032" i="2" s="1"/>
  <c r="Z1032" i="2"/>
  <c r="Q1021" i="2"/>
  <c r="R1021" i="2" s="1"/>
  <c r="Z1021" i="2"/>
  <c r="Q1029" i="2"/>
  <c r="R1029" i="2" s="1"/>
  <c r="Z1029" i="2"/>
  <c r="Q1026" i="2"/>
  <c r="R1026" i="2" s="1"/>
  <c r="Z1026" i="2"/>
  <c r="Q1034" i="2"/>
  <c r="R1034" i="2" s="1"/>
  <c r="Z1034" i="2"/>
  <c r="U1030" i="2"/>
  <c r="Z1030" i="2"/>
  <c r="U1023" i="2"/>
  <c r="Z1023" i="2"/>
  <c r="Q1031" i="2"/>
  <c r="R1031" i="2" s="1"/>
  <c r="Z1031" i="2"/>
  <c r="Q1020" i="2"/>
  <c r="R1020" i="2" s="1"/>
  <c r="Z1020" i="2"/>
  <c r="Q1028" i="2"/>
  <c r="R1028" i="2" s="1"/>
  <c r="Z1028" i="2"/>
  <c r="Q1033" i="2"/>
  <c r="R1033" i="2" s="1"/>
  <c r="Z1033" i="2"/>
  <c r="D1104" i="7"/>
  <c r="Q1104" i="7" s="1"/>
  <c r="D968" i="7"/>
  <c r="Q968" i="7" s="1"/>
  <c r="D977" i="7"/>
  <c r="Q977" i="7" s="1"/>
  <c r="D1046" i="7"/>
  <c r="Q1046" i="7" s="1"/>
  <c r="D969" i="7"/>
  <c r="Q969" i="7" s="1"/>
  <c r="D983" i="7"/>
  <c r="Q983" i="7" s="1"/>
  <c r="D943" i="7"/>
  <c r="Q943" i="7" s="1"/>
  <c r="D552" i="7"/>
  <c r="Q552" i="7" s="1"/>
  <c r="D453" i="7"/>
  <c r="Q453" i="7" s="1"/>
  <c r="D441" i="7"/>
  <c r="Q441" i="7" s="1"/>
  <c r="D517" i="7"/>
  <c r="Q517" i="7" s="1"/>
  <c r="D423" i="7"/>
  <c r="Q423" i="7" s="1"/>
  <c r="N1397" i="7"/>
  <c r="N1462" i="7"/>
  <c r="D1255" i="7"/>
  <c r="Q1255" i="7" s="1"/>
  <c r="D1283" i="7"/>
  <c r="Q1283" i="7" s="1"/>
  <c r="D1370" i="7"/>
  <c r="Q1370" i="7" s="1"/>
  <c r="D1151" i="7"/>
  <c r="Q1151" i="7" s="1"/>
  <c r="D1106" i="7"/>
  <c r="Q1106" i="7" s="1"/>
  <c r="D1131" i="7"/>
  <c r="Q1131" i="7" s="1"/>
  <c r="D1095" i="7"/>
  <c r="Q1095" i="7" s="1"/>
  <c r="D980" i="7"/>
  <c r="Q980" i="7" s="1"/>
  <c r="D1081" i="7"/>
  <c r="Q1081" i="7" s="1"/>
  <c r="D878" i="7"/>
  <c r="Q878" i="7" s="1"/>
  <c r="D940" i="7"/>
  <c r="Q940" i="7" s="1"/>
  <c r="D916" i="7"/>
  <c r="Q916" i="7" s="1"/>
  <c r="D826" i="7"/>
  <c r="Q826" i="7" s="1"/>
  <c r="D851" i="7"/>
  <c r="Q851" i="7" s="1"/>
  <c r="D775" i="7"/>
  <c r="Q775" i="7" s="1"/>
  <c r="D747" i="7"/>
  <c r="Q747" i="7" s="1"/>
  <c r="D1444" i="7"/>
  <c r="Q1444" i="7" s="1"/>
  <c r="D1313" i="7"/>
  <c r="Q1313" i="7" s="1"/>
  <c r="D1334" i="7"/>
  <c r="Q1334" i="7" s="1"/>
  <c r="D1346" i="7"/>
  <c r="Q1346" i="7" s="1"/>
  <c r="D723" i="7"/>
  <c r="Q723" i="7" s="1"/>
  <c r="D611" i="7"/>
  <c r="Q611" i="7" s="1"/>
  <c r="D635" i="7"/>
  <c r="Q635" i="7" s="1"/>
  <c r="D510" i="7"/>
  <c r="Q510" i="7" s="1"/>
  <c r="D464" i="7"/>
  <c r="Q464" i="7" s="1"/>
  <c r="D483" i="7"/>
  <c r="Q483" i="7" s="1"/>
  <c r="D440" i="7"/>
  <c r="Q440" i="7" s="1"/>
  <c r="D452" i="7"/>
  <c r="Q452" i="7" s="1"/>
  <c r="D424" i="7"/>
  <c r="Q424" i="7" s="1"/>
  <c r="D412" i="7"/>
  <c r="Q412" i="7" s="1"/>
  <c r="D1390" i="7"/>
  <c r="Q1390" i="7" s="1"/>
  <c r="D1057" i="7"/>
  <c r="Q1057" i="7" s="1"/>
  <c r="D952" i="7"/>
  <c r="Q952" i="7" s="1"/>
  <c r="D800" i="7"/>
  <c r="Q800" i="7" s="1"/>
  <c r="D729" i="7"/>
  <c r="Q729" i="7" s="1"/>
  <c r="D705" i="7"/>
  <c r="Q705" i="7" s="1"/>
  <c r="D670" i="7"/>
  <c r="Q670" i="7" s="1"/>
  <c r="D644" i="7"/>
  <c r="Q644" i="7" s="1"/>
  <c r="D604" i="7"/>
  <c r="Q604" i="7" s="1"/>
  <c r="D333" i="7"/>
  <c r="Q333" i="7" s="1"/>
  <c r="D334" i="7"/>
  <c r="Q334" i="7" s="1"/>
  <c r="D271" i="7"/>
  <c r="Q271" i="7" s="1"/>
  <c r="D278" i="7"/>
  <c r="Q278" i="7" s="1"/>
  <c r="D277" i="7"/>
  <c r="Q277" i="7" s="1"/>
  <c r="D298" i="7"/>
  <c r="Q298" i="7" s="1"/>
  <c r="D297" i="7"/>
  <c r="Q297" i="7" s="1"/>
  <c r="D256" i="7"/>
  <c r="Q256" i="7" s="1"/>
  <c r="D255" i="7"/>
  <c r="Q255" i="7" s="1"/>
  <c r="D213" i="7"/>
  <c r="Q213" i="7" s="1"/>
  <c r="D226" i="7"/>
  <c r="Q226" i="7" s="1"/>
  <c r="D214" i="7"/>
  <c r="Q214" i="7" s="1"/>
  <c r="D227" i="7"/>
  <c r="Q227" i="7" s="1"/>
  <c r="D198" i="7"/>
  <c r="Q198" i="7" s="1"/>
  <c r="D199" i="7"/>
  <c r="Q199" i="7" s="1"/>
  <c r="D163" i="7"/>
  <c r="Q163" i="7" s="1"/>
  <c r="D162" i="7"/>
  <c r="Q162" i="7" s="1"/>
  <c r="D182" i="7"/>
  <c r="Q182" i="7" s="1"/>
  <c r="D156" i="7"/>
  <c r="Q156" i="7" s="1"/>
  <c r="D181" i="7"/>
  <c r="Q181" i="7" s="1"/>
  <c r="D155" i="7"/>
  <c r="Q155" i="7" s="1"/>
  <c r="N1196" i="7"/>
  <c r="N1398" i="7"/>
  <c r="N1372" i="7"/>
  <c r="N1396" i="7"/>
  <c r="N1242" i="7"/>
  <c r="N1373" i="7"/>
  <c r="N1280" i="7"/>
  <c r="N1296" i="7"/>
  <c r="N1324" i="7"/>
  <c r="N1300" i="7"/>
  <c r="K22" i="3"/>
  <c r="N1265" i="7"/>
  <c r="N758" i="7"/>
  <c r="N1210" i="7"/>
  <c r="N1167" i="7"/>
  <c r="N1181" i="7"/>
  <c r="D455" i="7"/>
  <c r="Q455" i="7" s="1"/>
  <c r="D409" i="7"/>
  <c r="Q409" i="7" s="1"/>
  <c r="D322" i="7"/>
  <c r="Q322" i="7" s="1"/>
  <c r="D366" i="7"/>
  <c r="Q366" i="7" s="1"/>
  <c r="D349" i="7"/>
  <c r="Q349" i="7" s="1"/>
  <c r="D303" i="7"/>
  <c r="Q303" i="7" s="1"/>
  <c r="D100" i="7"/>
  <c r="Q100" i="7" s="1"/>
  <c r="D87" i="7"/>
  <c r="Q87" i="7" s="1"/>
  <c r="D39" i="7"/>
  <c r="Q39" i="7" s="1"/>
  <c r="D31" i="7"/>
  <c r="Q31" i="7" s="1"/>
  <c r="D8" i="7"/>
  <c r="Q8" i="7" s="1"/>
  <c r="D50" i="7"/>
  <c r="Q50" i="7" s="1"/>
  <c r="N387" i="7"/>
  <c r="N402" i="7"/>
  <c r="N355" i="7"/>
  <c r="N270" i="7"/>
  <c r="N196" i="7"/>
  <c r="N117" i="7"/>
  <c r="N38" i="7"/>
  <c r="D777" i="7"/>
  <c r="Q777" i="7" s="1"/>
  <c r="D728" i="7"/>
  <c r="Q728" i="7" s="1"/>
  <c r="D551" i="7"/>
  <c r="Q551" i="7" s="1"/>
  <c r="D581" i="7"/>
  <c r="Q581" i="7" s="1"/>
  <c r="D511" i="7"/>
  <c r="Q511" i="7" s="1"/>
  <c r="D411" i="7"/>
  <c r="Q411" i="7" s="1"/>
  <c r="D365" i="7"/>
  <c r="Q365" i="7" s="1"/>
  <c r="D352" i="7"/>
  <c r="Q352" i="7" s="1"/>
  <c r="D382" i="7"/>
  <c r="Q382" i="7" s="1"/>
  <c r="D317" i="7"/>
  <c r="Q317" i="7" s="1"/>
  <c r="N821" i="7"/>
  <c r="N845" i="7"/>
  <c r="N779" i="7"/>
  <c r="N812" i="7"/>
  <c r="N292" i="7"/>
  <c r="N759" i="7"/>
  <c r="N710" i="7"/>
  <c r="N715" i="7"/>
  <c r="N432" i="7"/>
  <c r="N461" i="7"/>
  <c r="N235" i="7"/>
  <c r="N446" i="7"/>
  <c r="N429" i="7"/>
  <c r="N95" i="7"/>
  <c r="N413" i="7"/>
  <c r="D329" i="7"/>
  <c r="Q329" i="7" s="1"/>
  <c r="D99" i="7"/>
  <c r="Q99" i="7" s="1"/>
  <c r="D14" i="7"/>
  <c r="Q14" i="7" s="1"/>
  <c r="D27" i="7"/>
  <c r="Q27" i="7" s="1"/>
  <c r="N240" i="7"/>
  <c r="N251" i="7"/>
  <c r="N241" i="7"/>
  <c r="N252" i="7"/>
  <c r="N222" i="7"/>
  <c r="N239" i="7"/>
  <c r="N204" i="7"/>
  <c r="N217" i="7"/>
  <c r="N61" i="7"/>
  <c r="N52" i="7"/>
  <c r="J8" i="1"/>
  <c r="S36" i="1" s="1"/>
  <c r="P73" i="2"/>
  <c r="P64" i="3"/>
  <c r="E7" i="6"/>
  <c r="E9" i="6" s="1"/>
  <c r="M1043" i="2"/>
  <c r="M1064" i="2"/>
  <c r="H18" i="3"/>
  <c r="H20" i="3"/>
  <c r="M438" i="2"/>
  <c r="H22" i="3"/>
  <c r="M77" i="2"/>
  <c r="M81" i="2"/>
  <c r="M369" i="2"/>
  <c r="M668" i="2"/>
  <c r="M847" i="2"/>
  <c r="M552" i="2"/>
  <c r="M554" i="2"/>
  <c r="M555" i="2"/>
  <c r="M601" i="2"/>
  <c r="M603" i="2"/>
  <c r="M605" i="2"/>
  <c r="M607" i="2"/>
  <c r="M632" i="2"/>
  <c r="M804" i="2"/>
  <c r="M378" i="2"/>
  <c r="M423" i="2"/>
  <c r="M425" i="2"/>
  <c r="M541" i="2"/>
  <c r="M643" i="2"/>
  <c r="M648" i="2"/>
  <c r="M657" i="2"/>
  <c r="M659" i="2"/>
  <c r="M661" i="2"/>
  <c r="M663" i="2"/>
  <c r="M737" i="2"/>
  <c r="M741" i="2"/>
  <c r="M580" i="2"/>
  <c r="M582" i="2"/>
  <c r="M584" i="2"/>
  <c r="M588" i="2"/>
  <c r="M724" i="2"/>
  <c r="M726" i="2"/>
  <c r="M728" i="2"/>
  <c r="M752" i="2"/>
  <c r="M943" i="2"/>
  <c r="M1019" i="2"/>
  <c r="U1021" i="2"/>
  <c r="M1056" i="2"/>
  <c r="M388" i="2"/>
  <c r="M928" i="2"/>
  <c r="M965" i="2"/>
  <c r="M1006" i="2"/>
  <c r="M412" i="2"/>
  <c r="M236" i="2"/>
  <c r="H14" i="3"/>
  <c r="H16" i="3"/>
  <c r="R26" i="1"/>
  <c r="M127" i="2"/>
  <c r="M129" i="2"/>
  <c r="M460" i="2"/>
  <c r="M618" i="2"/>
  <c r="M622" i="2"/>
  <c r="M769" i="2"/>
  <c r="M974" i="2"/>
  <c r="M1080" i="2"/>
  <c r="U1024" i="2"/>
  <c r="U1026" i="2"/>
  <c r="M1060" i="2"/>
  <c r="M1084" i="2"/>
  <c r="M857" i="2"/>
  <c r="M940" i="2"/>
  <c r="M1048" i="2"/>
  <c r="H11" i="3"/>
  <c r="M82" i="2"/>
  <c r="M86" i="2"/>
  <c r="M99" i="2"/>
  <c r="M353" i="2"/>
  <c r="M372" i="2"/>
  <c r="M473" i="2"/>
  <c r="M502" i="2"/>
  <c r="M613" i="2"/>
  <c r="M645" i="2"/>
  <c r="N712" i="2"/>
  <c r="O712" i="2" s="1"/>
  <c r="P712" i="2" s="1"/>
  <c r="M801" i="2"/>
  <c r="M856" i="2"/>
  <c r="M878" i="2"/>
  <c r="M901" i="2"/>
  <c r="M905" i="2"/>
  <c r="M925" i="2"/>
  <c r="M972" i="2"/>
  <c r="M975" i="2"/>
  <c r="M979" i="2"/>
  <c r="M1007" i="2"/>
  <c r="M1052" i="2"/>
  <c r="M1072" i="2"/>
  <c r="M98" i="2"/>
  <c r="M107" i="2"/>
  <c r="M483" i="2"/>
  <c r="N541" i="2"/>
  <c r="O541" i="2" s="1"/>
  <c r="P541" i="2" s="1"/>
  <c r="M544" i="2"/>
  <c r="M563" i="2"/>
  <c r="M571" i="2"/>
  <c r="M642" i="2"/>
  <c r="M664" i="2"/>
  <c r="M671" i="2"/>
  <c r="M673" i="2"/>
  <c r="M675" i="2"/>
  <c r="M677" i="2"/>
  <c r="M679" i="2"/>
  <c r="M755" i="2"/>
  <c r="M805" i="2"/>
  <c r="M826" i="2"/>
  <c r="M258" i="2"/>
  <c r="M397" i="2"/>
  <c r="M506" i="2"/>
  <c r="M909" i="2"/>
  <c r="M932" i="2"/>
  <c r="M934" i="2"/>
  <c r="M982" i="2"/>
  <c r="M983" i="2"/>
  <c r="H9" i="3"/>
  <c r="H12" i="3"/>
  <c r="M76" i="2"/>
  <c r="M178" i="2"/>
  <c r="M432" i="2"/>
  <c r="M602" i="2"/>
  <c r="M604" i="2"/>
  <c r="M606" i="2"/>
  <c r="M608" i="2"/>
  <c r="M610" i="2"/>
  <c r="M617" i="2"/>
  <c r="M634" i="2"/>
  <c r="M636" i="2"/>
  <c r="M649" i="2"/>
  <c r="M665" i="2"/>
  <c r="M672" i="2"/>
  <c r="M681" i="2"/>
  <c r="M730" i="2"/>
  <c r="N801" i="2"/>
  <c r="O801" i="2" s="1"/>
  <c r="P801" i="2" s="1"/>
  <c r="M822" i="2"/>
  <c r="M827" i="2"/>
  <c r="M849" i="2"/>
  <c r="N856" i="2"/>
  <c r="O856" i="2" s="1"/>
  <c r="P856" i="2" s="1"/>
  <c r="N1001" i="2"/>
  <c r="O1001" i="2" s="1"/>
  <c r="P1001" i="2" s="1"/>
  <c r="M1040" i="2"/>
  <c r="M1041" i="2"/>
  <c r="M1076" i="2"/>
  <c r="N107" i="2"/>
  <c r="O107" i="2" s="1"/>
  <c r="P107" i="2" s="1"/>
  <c r="M265" i="2"/>
  <c r="M270" i="2"/>
  <c r="M419" i="2"/>
  <c r="M465" i="2"/>
  <c r="M505" i="2"/>
  <c r="M560" i="2"/>
  <c r="M660" i="2"/>
  <c r="M667" i="2"/>
  <c r="M669" i="2"/>
  <c r="M676" i="2"/>
  <c r="M683" i="2"/>
  <c r="M685" i="2"/>
  <c r="M706" i="2"/>
  <c r="M758" i="2"/>
  <c r="M759" i="2"/>
  <c r="M767" i="2"/>
  <c r="M782" i="2"/>
  <c r="M784" i="2"/>
  <c r="M796" i="2"/>
  <c r="M831" i="2"/>
  <c r="M929" i="2"/>
  <c r="M1022" i="2"/>
  <c r="M1068" i="2"/>
  <c r="H7" i="3"/>
  <c r="H26" i="3"/>
  <c r="M121" i="2"/>
  <c r="M133" i="2"/>
  <c r="M134" i="2"/>
  <c r="M145" i="2"/>
  <c r="M210" i="2"/>
  <c r="M215" i="2"/>
  <c r="M242" i="2"/>
  <c r="M284" i="2"/>
  <c r="M288" i="2"/>
  <c r="M344" i="2"/>
  <c r="M345" i="2"/>
  <c r="M368" i="2"/>
  <c r="M399" i="2"/>
  <c r="M440" i="2"/>
  <c r="M461" i="2"/>
  <c r="M464" i="2"/>
  <c r="M501" i="2"/>
  <c r="M513" i="2"/>
  <c r="M514" i="2"/>
  <c r="M516" i="2"/>
  <c r="M534" i="2"/>
  <c r="M539" i="2"/>
  <c r="M629" i="2"/>
  <c r="M640" i="2"/>
  <c r="N369" i="2"/>
  <c r="O369" i="2" s="1"/>
  <c r="P369" i="2" s="1"/>
  <c r="M90" i="2"/>
  <c r="M93" i="2"/>
  <c r="M125" i="2"/>
  <c r="M153" i="2"/>
  <c r="M154" i="2"/>
  <c r="M223" i="2"/>
  <c r="M247" i="2"/>
  <c r="M282" i="2"/>
  <c r="M336" i="2"/>
  <c r="M361" i="2"/>
  <c r="M380" i="2"/>
  <c r="M392" i="2"/>
  <c r="M435" i="2"/>
  <c r="M436" i="2"/>
  <c r="M446" i="2"/>
  <c r="M474" i="2"/>
  <c r="M477" i="2"/>
  <c r="M533" i="2"/>
  <c r="M537" i="2"/>
  <c r="M542" i="2"/>
  <c r="M591" i="2"/>
  <c r="M614" i="2"/>
  <c r="M646" i="2"/>
  <c r="M776" i="2"/>
  <c r="N98" i="2"/>
  <c r="O98" i="2" s="1"/>
  <c r="P98" i="2" s="1"/>
  <c r="M146" i="2"/>
  <c r="M162" i="2"/>
  <c r="M233" i="2"/>
  <c r="M543" i="2"/>
  <c r="M556" i="2"/>
  <c r="M557" i="2"/>
  <c r="M570" i="2"/>
  <c r="M576" i="2"/>
  <c r="M578" i="2"/>
  <c r="M611" i="2"/>
  <c r="M619" i="2"/>
  <c r="M621" i="2"/>
  <c r="M625" i="2"/>
  <c r="M697" i="2"/>
  <c r="M710" i="2"/>
  <c r="M712" i="2"/>
  <c r="N716" i="2"/>
  <c r="O716" i="2" s="1"/>
  <c r="P716" i="2" s="1"/>
  <c r="M722" i="2"/>
  <c r="M749" i="2"/>
  <c r="M753" i="2"/>
  <c r="M770" i="2"/>
  <c r="M793" i="2"/>
  <c r="M797" i="2"/>
  <c r="M820" i="2"/>
  <c r="M832" i="2"/>
  <c r="M838" i="2"/>
  <c r="M863" i="2"/>
  <c r="N879" i="2"/>
  <c r="O879" i="2" s="1"/>
  <c r="P879" i="2" s="1"/>
  <c r="M892" i="2"/>
  <c r="M900" i="2"/>
  <c r="M908" i="2"/>
  <c r="M915" i="2"/>
  <c r="M931" i="2"/>
  <c r="M948" i="2"/>
  <c r="M1013" i="2"/>
  <c r="Q1023" i="2"/>
  <c r="R1023" i="2" s="1"/>
  <c r="Q1030" i="2"/>
  <c r="R1030" i="2" s="1"/>
  <c r="M1031" i="2"/>
  <c r="M1035" i="2"/>
  <c r="M1046" i="2"/>
  <c r="M1047" i="2"/>
  <c r="M1054" i="2"/>
  <c r="M1055" i="2"/>
  <c r="M1062" i="2"/>
  <c r="M1063" i="2"/>
  <c r="M1070" i="2"/>
  <c r="M1071" i="2"/>
  <c r="M1078" i="2"/>
  <c r="M1079" i="2"/>
  <c r="M1086" i="2"/>
  <c r="N724" i="2"/>
  <c r="O724" i="2" s="1"/>
  <c r="P724" i="2" s="1"/>
  <c r="N736" i="2"/>
  <c r="O736" i="2" s="1"/>
  <c r="P736" i="2" s="1"/>
  <c r="N878" i="2"/>
  <c r="O878" i="2" s="1"/>
  <c r="P878" i="2" s="1"/>
  <c r="M884" i="2"/>
  <c r="N902" i="2"/>
  <c r="O902" i="2" s="1"/>
  <c r="P902" i="2" s="1"/>
  <c r="N1002" i="2"/>
  <c r="O1002" i="2" s="1"/>
  <c r="P1002" i="2" s="1"/>
  <c r="M586" i="2"/>
  <c r="M593" i="2"/>
  <c r="M615" i="2"/>
  <c r="M623" i="2"/>
  <c r="M641" i="2"/>
  <c r="M644" i="2"/>
  <c r="M647" i="2"/>
  <c r="M655" i="2"/>
  <c r="M700" i="2"/>
  <c r="M702" i="2"/>
  <c r="M714" i="2"/>
  <c r="M747" i="2"/>
  <c r="M751" i="2"/>
  <c r="M771" i="2"/>
  <c r="M808" i="2"/>
  <c r="M862" i="2"/>
  <c r="M936" i="2"/>
  <c r="M1003" i="2"/>
  <c r="M1037" i="2"/>
  <c r="M1044" i="2"/>
  <c r="M1050" i="2"/>
  <c r="M1051" i="2"/>
  <c r="M1058" i="2"/>
  <c r="M1059" i="2"/>
  <c r="M1066" i="2"/>
  <c r="M1067" i="2"/>
  <c r="M1074" i="2"/>
  <c r="M1075" i="2"/>
  <c r="M1082" i="2"/>
  <c r="M1083" i="2"/>
  <c r="N86" i="2"/>
  <c r="O86" i="2" s="1"/>
  <c r="P86" i="2" s="1"/>
  <c r="M94" i="2"/>
  <c r="N129" i="2"/>
  <c r="O129" i="2" s="1"/>
  <c r="P129" i="2" s="1"/>
  <c r="M176" i="2"/>
  <c r="M187" i="2"/>
  <c r="M230" i="2"/>
  <c r="M251" i="2"/>
  <c r="M356" i="2"/>
  <c r="N356" i="2"/>
  <c r="O356" i="2" s="1"/>
  <c r="P356" i="2" s="1"/>
  <c r="M80" i="2"/>
  <c r="M95" i="2"/>
  <c r="M97" i="2"/>
  <c r="M101" i="2"/>
  <c r="M103" i="2"/>
  <c r="M122" i="2"/>
  <c r="M130" i="2"/>
  <c r="M131" i="2"/>
  <c r="M139" i="2"/>
  <c r="M142" i="2"/>
  <c r="M165" i="2"/>
  <c r="M172" i="2"/>
  <c r="M192" i="2"/>
  <c r="M200" i="2"/>
  <c r="M211" i="2"/>
  <c r="M218" i="2"/>
  <c r="M243" i="2"/>
  <c r="M245" i="2"/>
  <c r="N266" i="2"/>
  <c r="O266" i="2" s="1"/>
  <c r="P266" i="2" s="1"/>
  <c r="M266" i="2"/>
  <c r="N328" i="2"/>
  <c r="O328" i="2" s="1"/>
  <c r="P328" i="2" s="1"/>
  <c r="M328" i="2"/>
  <c r="M337" i="2"/>
  <c r="N337" i="2"/>
  <c r="O337" i="2" s="1"/>
  <c r="P337" i="2" s="1"/>
  <c r="M73" i="2"/>
  <c r="M74" i="2"/>
  <c r="M89" i="2"/>
  <c r="M106" i="2"/>
  <c r="M118" i="2"/>
  <c r="M135" i="2"/>
  <c r="M159" i="2"/>
  <c r="M173" i="2"/>
  <c r="M186" i="2"/>
  <c r="M191" i="2"/>
  <c r="M204" i="2"/>
  <c r="N317" i="2"/>
  <c r="O317" i="2" s="1"/>
  <c r="P317" i="2" s="1"/>
  <c r="M317" i="2"/>
  <c r="M260" i="2"/>
  <c r="M263" i="2"/>
  <c r="M277" i="2"/>
  <c r="M292" i="2"/>
  <c r="M299" i="2"/>
  <c r="M304" i="2"/>
  <c r="M308" i="2"/>
  <c r="M315" i="2"/>
  <c r="M326" i="2"/>
  <c r="M348" i="2"/>
  <c r="M373" i="2"/>
  <c r="M411" i="2"/>
  <c r="M413" i="2"/>
  <c r="N435" i="2"/>
  <c r="O435" i="2" s="1"/>
  <c r="P435" i="2" s="1"/>
  <c r="M451" i="2"/>
  <c r="M470" i="2"/>
  <c r="N501" i="2"/>
  <c r="O501" i="2" s="1"/>
  <c r="P501" i="2" s="1"/>
  <c r="M509" i="2"/>
  <c r="M526" i="2"/>
  <c r="N563" i="2"/>
  <c r="O563" i="2" s="1"/>
  <c r="P563" i="2" s="1"/>
  <c r="N621" i="2"/>
  <c r="O621" i="2" s="1"/>
  <c r="P621" i="2" s="1"/>
  <c r="N728" i="2"/>
  <c r="O728" i="2" s="1"/>
  <c r="P728" i="2" s="1"/>
  <c r="M420" i="2"/>
  <c r="M431" i="2"/>
  <c r="M437" i="2"/>
  <c r="M439" i="2"/>
  <c r="M441" i="2"/>
  <c r="M450" i="2"/>
  <c r="M455" i="2"/>
  <c r="M471" i="2"/>
  <c r="M484" i="2"/>
  <c r="M491" i="2"/>
  <c r="M498" i="2"/>
  <c r="M551" i="2"/>
  <c r="M558" i="2"/>
  <c r="M559" i="2"/>
  <c r="M566" i="2"/>
  <c r="M595" i="2"/>
  <c r="M597" i="2"/>
  <c r="M599" i="2"/>
  <c r="N620" i="2"/>
  <c r="O620" i="2" s="1"/>
  <c r="P620" i="2" s="1"/>
  <c r="M631" i="2"/>
  <c r="M638" i="2"/>
  <c r="M651" i="2"/>
  <c r="M680" i="2"/>
  <c r="M262" i="2"/>
  <c r="M276" i="2"/>
  <c r="M301" i="2"/>
  <c r="M330" i="2"/>
  <c r="M352" i="2"/>
  <c r="M383" i="2"/>
  <c r="M393" i="2"/>
  <c r="N771" i="2"/>
  <c r="O771" i="2" s="1"/>
  <c r="P771" i="2" s="1"/>
  <c r="M775" i="2"/>
  <c r="M227" i="2"/>
  <c r="M249" i="2"/>
  <c r="M254" i="2"/>
  <c r="M256" i="2"/>
  <c r="M275" i="2"/>
  <c r="M287" i="2"/>
  <c r="M298" i="2"/>
  <c r="M303" i="2"/>
  <c r="M307" i="2"/>
  <c r="M340" i="2"/>
  <c r="M360" i="2"/>
  <c r="M391" i="2"/>
  <c r="M400" i="2"/>
  <c r="M424" i="2"/>
  <c r="M466" i="2"/>
  <c r="M496" i="2"/>
  <c r="M521" i="2"/>
  <c r="M524" i="2"/>
  <c r="M549" i="2"/>
  <c r="M567" i="2"/>
  <c r="M574" i="2"/>
  <c r="M594" i="2"/>
  <c r="M596" i="2"/>
  <c r="M598" i="2"/>
  <c r="M600" i="2"/>
  <c r="M620" i="2"/>
  <c r="M637" i="2"/>
  <c r="M650" i="2"/>
  <c r="M652" i="2"/>
  <c r="M653" i="2"/>
  <c r="M684" i="2"/>
  <c r="M692" i="2"/>
  <c r="M696" i="2"/>
  <c r="M708" i="2"/>
  <c r="M716" i="2"/>
  <c r="N720" i="2"/>
  <c r="O720" i="2" s="1"/>
  <c r="P720" i="2" s="1"/>
  <c r="N732" i="2"/>
  <c r="O732" i="2" s="1"/>
  <c r="P732" i="2" s="1"/>
  <c r="M734" i="2"/>
  <c r="M736" i="2"/>
  <c r="N740" i="2"/>
  <c r="O740" i="2" s="1"/>
  <c r="P740" i="2" s="1"/>
  <c r="M788" i="2"/>
  <c r="M813" i="2"/>
  <c r="N826" i="2"/>
  <c r="O826" i="2" s="1"/>
  <c r="P826" i="2" s="1"/>
  <c r="M876" i="2"/>
  <c r="M887" i="2"/>
  <c r="M898" i="2"/>
  <c r="M906" i="2"/>
  <c r="M907" i="2"/>
  <c r="N925" i="2"/>
  <c r="O925" i="2" s="1"/>
  <c r="P925" i="2" s="1"/>
  <c r="M933" i="2"/>
  <c r="M952" i="2"/>
  <c r="M955" i="2"/>
  <c r="M957" i="2"/>
  <c r="M967" i="2"/>
  <c r="M971" i="2"/>
  <c r="M981" i="2"/>
  <c r="M1018" i="2"/>
  <c r="M1024" i="2"/>
  <c r="N948" i="2"/>
  <c r="O948" i="2" s="1"/>
  <c r="P948" i="2" s="1"/>
  <c r="N995" i="2"/>
  <c r="O995" i="2" s="1"/>
  <c r="P995" i="2" s="1"/>
  <c r="M997" i="2"/>
  <c r="N998" i="2"/>
  <c r="O998" i="2" s="1"/>
  <c r="P998" i="2" s="1"/>
  <c r="N1004" i="2"/>
  <c r="O1004" i="2" s="1"/>
  <c r="P1004" i="2" s="1"/>
  <c r="U1020" i="2"/>
  <c r="M1030" i="2"/>
  <c r="N1031" i="2"/>
  <c r="O1031" i="2" s="1"/>
  <c r="P1031" i="2" s="1"/>
  <c r="J1039" i="2"/>
  <c r="M1039" i="2" s="1"/>
  <c r="M693" i="2"/>
  <c r="M704" i="2"/>
  <c r="M718" i="2"/>
  <c r="M720" i="2"/>
  <c r="M732" i="2"/>
  <c r="M740" i="2"/>
  <c r="M765" i="2"/>
  <c r="M789" i="2"/>
  <c r="M792" i="2"/>
  <c r="M800" i="2"/>
  <c r="M809" i="2"/>
  <c r="M839" i="2"/>
  <c r="M844" i="2"/>
  <c r="M879" i="2"/>
  <c r="M888" i="2"/>
  <c r="N896" i="2"/>
  <c r="O896" i="2" s="1"/>
  <c r="P896" i="2" s="1"/>
  <c r="M903" i="2"/>
  <c r="M910" i="2"/>
  <c r="M911" i="2"/>
  <c r="N914" i="2"/>
  <c r="O914" i="2" s="1"/>
  <c r="P914" i="2" s="1"/>
  <c r="M938" i="2"/>
  <c r="M951" i="2"/>
  <c r="M958" i="2"/>
  <c r="M969" i="2"/>
  <c r="M973" i="2"/>
  <c r="M989" i="2"/>
  <c r="M993" i="2"/>
  <c r="N994" i="2"/>
  <c r="O994" i="2" s="1"/>
  <c r="P994" i="2" s="1"/>
  <c r="N997" i="2"/>
  <c r="O997" i="2" s="1"/>
  <c r="P997" i="2" s="1"/>
  <c r="M1009" i="2"/>
  <c r="M1010" i="2"/>
  <c r="M1016" i="2"/>
  <c r="N1023" i="2"/>
  <c r="O1023" i="2" s="1"/>
  <c r="P1023" i="2" s="1"/>
  <c r="M1032" i="2"/>
  <c r="U1034" i="2"/>
  <c r="M1045" i="2"/>
  <c r="M1049" i="2"/>
  <c r="M1053" i="2"/>
  <c r="M1057" i="2"/>
  <c r="M1061" i="2"/>
  <c r="M1065" i="2"/>
  <c r="M1069" i="2"/>
  <c r="M1073" i="2"/>
  <c r="M1077" i="2"/>
  <c r="M1081" i="2"/>
  <c r="M1085" i="2"/>
  <c r="H6" i="3"/>
  <c r="N827" i="2"/>
  <c r="O827" i="2" s="1"/>
  <c r="P827" i="2" s="1"/>
  <c r="M830" i="2"/>
  <c r="M865" i="2"/>
  <c r="N892" i="2"/>
  <c r="O892" i="2" s="1"/>
  <c r="P892" i="2" s="1"/>
  <c r="R18" i="1"/>
  <c r="R39" i="1" s="1"/>
  <c r="R40" i="1" s="1"/>
  <c r="M79" i="2"/>
  <c r="M85" i="2"/>
  <c r="M91" i="2"/>
  <c r="M109" i="2"/>
  <c r="M110" i="2"/>
  <c r="M115" i="2"/>
  <c r="M119" i="2"/>
  <c r="M137" i="2"/>
  <c r="M143" i="2"/>
  <c r="M149" i="2"/>
  <c r="M157" i="2"/>
  <c r="M160" i="2"/>
  <c r="N161" i="2"/>
  <c r="O161" i="2" s="1"/>
  <c r="P161" i="2" s="1"/>
  <c r="M161" i="2"/>
  <c r="M164" i="2"/>
  <c r="M169" i="2"/>
  <c r="M181" i="2"/>
  <c r="N183" i="2"/>
  <c r="O183" i="2" s="1"/>
  <c r="P183" i="2" s="1"/>
  <c r="M183" i="2"/>
  <c r="M188" i="2"/>
  <c r="N195" i="2"/>
  <c r="O195" i="2" s="1"/>
  <c r="P195" i="2" s="1"/>
  <c r="M195" i="2"/>
  <c r="N207" i="2"/>
  <c r="O207" i="2" s="1"/>
  <c r="P207" i="2" s="1"/>
  <c r="M207" i="2"/>
  <c r="M217" i="2"/>
  <c r="N217" i="2"/>
  <c r="O217" i="2" s="1"/>
  <c r="P217" i="2" s="1"/>
  <c r="M221" i="2"/>
  <c r="N221" i="2"/>
  <c r="O221" i="2" s="1"/>
  <c r="P221" i="2" s="1"/>
  <c r="M102" i="2"/>
  <c r="N103" i="2"/>
  <c r="O103" i="2" s="1"/>
  <c r="P103" i="2" s="1"/>
  <c r="M113" i="2"/>
  <c r="M114" i="2"/>
  <c r="M126" i="2"/>
  <c r="M138" i="2"/>
  <c r="N139" i="2"/>
  <c r="O139" i="2" s="1"/>
  <c r="P139" i="2" s="1"/>
  <c r="M151" i="2"/>
  <c r="N151" i="2"/>
  <c r="O151" i="2" s="1"/>
  <c r="P151" i="2" s="1"/>
  <c r="N168" i="2"/>
  <c r="O168" i="2" s="1"/>
  <c r="P168" i="2" s="1"/>
  <c r="M168" i="2"/>
  <c r="M177" i="2"/>
  <c r="N180" i="2"/>
  <c r="O180" i="2" s="1"/>
  <c r="P180" i="2" s="1"/>
  <c r="M180" i="2"/>
  <c r="M194" i="2"/>
  <c r="N194" i="2"/>
  <c r="O194" i="2" s="1"/>
  <c r="P194" i="2" s="1"/>
  <c r="M203" i="2"/>
  <c r="N225" i="2"/>
  <c r="O225" i="2" s="1"/>
  <c r="P225" i="2" s="1"/>
  <c r="M225" i="2"/>
  <c r="M75" i="2"/>
  <c r="M78" i="2"/>
  <c r="M83" i="2"/>
  <c r="M87" i="2"/>
  <c r="N91" i="2"/>
  <c r="O91" i="2" s="1"/>
  <c r="P91" i="2" s="1"/>
  <c r="M105" i="2"/>
  <c r="M111" i="2"/>
  <c r="M117" i="2"/>
  <c r="M123" i="2"/>
  <c r="M141" i="2"/>
  <c r="M147" i="2"/>
  <c r="M150" i="2"/>
  <c r="N158" i="2"/>
  <c r="O158" i="2" s="1"/>
  <c r="P158" i="2" s="1"/>
  <c r="M158" i="2"/>
  <c r="M167" i="2"/>
  <c r="N167" i="2"/>
  <c r="O167" i="2" s="1"/>
  <c r="P167" i="2" s="1"/>
  <c r="M179" i="2"/>
  <c r="N179" i="2"/>
  <c r="O179" i="2" s="1"/>
  <c r="P179" i="2" s="1"/>
  <c r="M184" i="2"/>
  <c r="M196" i="2"/>
  <c r="M208" i="2"/>
  <c r="N222" i="2"/>
  <c r="O222" i="2" s="1"/>
  <c r="P222" i="2" s="1"/>
  <c r="M222" i="2"/>
  <c r="M333" i="2"/>
  <c r="M341" i="2"/>
  <c r="M349" i="2"/>
  <c r="M357" i="2"/>
  <c r="M365" i="2"/>
  <c r="M374" i="2"/>
  <c r="M403" i="2"/>
  <c r="M404" i="2"/>
  <c r="M409" i="2"/>
  <c r="N413" i="2"/>
  <c r="O413" i="2" s="1"/>
  <c r="P413" i="2" s="1"/>
  <c r="N419" i="2"/>
  <c r="O419" i="2" s="1"/>
  <c r="P419" i="2" s="1"/>
  <c r="N425" i="2"/>
  <c r="O425" i="2" s="1"/>
  <c r="P425" i="2" s="1"/>
  <c r="M429" i="2"/>
  <c r="M442" i="2"/>
  <c r="N450" i="2"/>
  <c r="O450" i="2" s="1"/>
  <c r="P450" i="2" s="1"/>
  <c r="M456" i="2"/>
  <c r="N460" i="2"/>
  <c r="O460" i="2" s="1"/>
  <c r="P460" i="2" s="1"/>
  <c r="N466" i="2"/>
  <c r="O466" i="2" s="1"/>
  <c r="P466" i="2" s="1"/>
  <c r="N473" i="2"/>
  <c r="O473" i="2" s="1"/>
  <c r="P473" i="2" s="1"/>
  <c r="M478" i="2"/>
  <c r="M479" i="2"/>
  <c r="M485" i="2"/>
  <c r="N485" i="2"/>
  <c r="O485" i="2" s="1"/>
  <c r="P485" i="2" s="1"/>
  <c r="N497" i="2"/>
  <c r="O497" i="2" s="1"/>
  <c r="P497" i="2" s="1"/>
  <c r="M497" i="2"/>
  <c r="M520" i="2"/>
  <c r="N520" i="2"/>
  <c r="O520" i="2" s="1"/>
  <c r="P520" i="2" s="1"/>
  <c r="M531" i="2"/>
  <c r="N531" i="2"/>
  <c r="O531" i="2" s="1"/>
  <c r="P531" i="2" s="1"/>
  <c r="J548" i="2"/>
  <c r="M548" i="2" s="1"/>
  <c r="M212" i="2"/>
  <c r="M228" i="2"/>
  <c r="M231" i="2"/>
  <c r="M234" i="2"/>
  <c r="M269" i="2"/>
  <c r="M274" i="2"/>
  <c r="M281" i="2"/>
  <c r="M291" i="2"/>
  <c r="M295" i="2"/>
  <c r="M305" i="2"/>
  <c r="M309" i="2"/>
  <c r="M313" i="2"/>
  <c r="M321" i="2"/>
  <c r="M324" i="2"/>
  <c r="M364" i="2"/>
  <c r="N372" i="2"/>
  <c r="O372" i="2" s="1"/>
  <c r="P372" i="2" s="1"/>
  <c r="M376" i="2"/>
  <c r="M377" i="2"/>
  <c r="N391" i="2"/>
  <c r="O391" i="2" s="1"/>
  <c r="P391" i="2" s="1"/>
  <c r="M395" i="2"/>
  <c r="M396" i="2"/>
  <c r="N399" i="2"/>
  <c r="O399" i="2" s="1"/>
  <c r="P399" i="2" s="1"/>
  <c r="M407" i="2"/>
  <c r="M408" i="2"/>
  <c r="N411" i="2"/>
  <c r="O411" i="2" s="1"/>
  <c r="P411" i="2" s="1"/>
  <c r="M415" i="2"/>
  <c r="M416" i="2"/>
  <c r="N423" i="2"/>
  <c r="O423" i="2" s="1"/>
  <c r="P423" i="2" s="1"/>
  <c r="M427" i="2"/>
  <c r="M428" i="2"/>
  <c r="N431" i="2"/>
  <c r="O431" i="2" s="1"/>
  <c r="P431" i="2" s="1"/>
  <c r="M445" i="2"/>
  <c r="M459" i="2"/>
  <c r="N464" i="2"/>
  <c r="O464" i="2" s="1"/>
  <c r="P464" i="2" s="1"/>
  <c r="M468" i="2"/>
  <c r="M469" i="2"/>
  <c r="M482" i="2"/>
  <c r="N488" i="2"/>
  <c r="O488" i="2" s="1"/>
  <c r="P488" i="2" s="1"/>
  <c r="M488" i="2"/>
  <c r="M508" i="2"/>
  <c r="N508" i="2"/>
  <c r="O508" i="2" s="1"/>
  <c r="P508" i="2" s="1"/>
  <c r="M525" i="2"/>
  <c r="N525" i="2"/>
  <c r="O525" i="2" s="1"/>
  <c r="P525" i="2" s="1"/>
  <c r="M155" i="2"/>
  <c r="M163" i="2"/>
  <c r="M175" i="2"/>
  <c r="M190" i="2"/>
  <c r="M201" i="2"/>
  <c r="M214" i="2"/>
  <c r="M220" i="2"/>
  <c r="N227" i="2"/>
  <c r="O227" i="2" s="1"/>
  <c r="P227" i="2" s="1"/>
  <c r="M237" i="2"/>
  <c r="M238" i="2"/>
  <c r="M244" i="2"/>
  <c r="M255" i="2"/>
  <c r="M257" i="2"/>
  <c r="M259" i="2"/>
  <c r="M267" i="2"/>
  <c r="M273" i="2"/>
  <c r="N275" i="2"/>
  <c r="O275" i="2" s="1"/>
  <c r="P275" i="2" s="1"/>
  <c r="M278" i="2"/>
  <c r="M280" i="2"/>
  <c r="N282" i="2"/>
  <c r="O282" i="2" s="1"/>
  <c r="P282" i="2" s="1"/>
  <c r="M289" i="2"/>
  <c r="M302" i="2"/>
  <c r="M311" i="2"/>
  <c r="M319" i="2"/>
  <c r="M322" i="2"/>
  <c r="M387" i="2"/>
  <c r="N492" i="2"/>
  <c r="O492" i="2" s="1"/>
  <c r="P492" i="2" s="1"/>
  <c r="M492" i="2"/>
  <c r="N517" i="2"/>
  <c r="O517" i="2" s="1"/>
  <c r="P517" i="2" s="1"/>
  <c r="M517" i="2"/>
  <c r="N538" i="2"/>
  <c r="O538" i="2" s="1"/>
  <c r="P538" i="2" s="1"/>
  <c r="M538" i="2"/>
  <c r="M240" i="2"/>
  <c r="M252" i="2"/>
  <c r="M293" i="2"/>
  <c r="M310" i="2"/>
  <c r="M401" i="2"/>
  <c r="M487" i="2"/>
  <c r="M493" i="2"/>
  <c r="N551" i="2"/>
  <c r="O551" i="2" s="1"/>
  <c r="P551" i="2" s="1"/>
  <c r="N608" i="2"/>
  <c r="O608" i="2" s="1"/>
  <c r="P608" i="2" s="1"/>
  <c r="N752" i="2"/>
  <c r="O752" i="2" s="1"/>
  <c r="P752" i="2" s="1"/>
  <c r="N754" i="2"/>
  <c r="O754" i="2" s="1"/>
  <c r="P754" i="2" s="1"/>
  <c r="M757" i="2"/>
  <c r="M761" i="2"/>
  <c r="M764" i="2"/>
  <c r="M774" i="2"/>
  <c r="N782" i="2"/>
  <c r="O782" i="2" s="1"/>
  <c r="P782" i="2" s="1"/>
  <c r="N788" i="2"/>
  <c r="O788" i="2" s="1"/>
  <c r="P788" i="2" s="1"/>
  <c r="N789" i="2"/>
  <c r="O789" i="2" s="1"/>
  <c r="P789" i="2" s="1"/>
  <c r="N804" i="2"/>
  <c r="O804" i="2" s="1"/>
  <c r="P804" i="2" s="1"/>
  <c r="N805" i="2"/>
  <c r="O805" i="2" s="1"/>
  <c r="P805" i="2" s="1"/>
  <c r="M817" i="2"/>
  <c r="N838" i="2"/>
  <c r="O838" i="2" s="1"/>
  <c r="P838" i="2" s="1"/>
  <c r="M494" i="2"/>
  <c r="M500" i="2"/>
  <c r="M504" i="2"/>
  <c r="M518" i="2"/>
  <c r="M540" i="2"/>
  <c r="N546" i="2"/>
  <c r="O546" i="2" s="1"/>
  <c r="P546" i="2" s="1"/>
  <c r="M547" i="2"/>
  <c r="N555" i="2"/>
  <c r="O555" i="2" s="1"/>
  <c r="P555" i="2" s="1"/>
  <c r="M565" i="2"/>
  <c r="M568" i="2"/>
  <c r="M575" i="2"/>
  <c r="N578" i="2"/>
  <c r="O578" i="2" s="1"/>
  <c r="P578" i="2" s="1"/>
  <c r="J579" i="2"/>
  <c r="M579" i="2" s="1"/>
  <c r="N582" i="2"/>
  <c r="O582" i="2" s="1"/>
  <c r="P582" i="2" s="1"/>
  <c r="J583" i="2"/>
  <c r="M583" i="2" s="1"/>
  <c r="N586" i="2"/>
  <c r="O586" i="2" s="1"/>
  <c r="P586" i="2" s="1"/>
  <c r="J587" i="2"/>
  <c r="M587" i="2" s="1"/>
  <c r="M592" i="2"/>
  <c r="N610" i="2"/>
  <c r="O610" i="2" s="1"/>
  <c r="P610" i="2" s="1"/>
  <c r="N611" i="2"/>
  <c r="O611" i="2" s="1"/>
  <c r="P611" i="2" s="1"/>
  <c r="J616" i="2"/>
  <c r="M616" i="2" s="1"/>
  <c r="N618" i="2"/>
  <c r="O618" i="2" s="1"/>
  <c r="P618" i="2" s="1"/>
  <c r="N619" i="2"/>
  <c r="O619" i="2" s="1"/>
  <c r="P619" i="2" s="1"/>
  <c r="N629" i="2"/>
  <c r="O629" i="2" s="1"/>
  <c r="P629" i="2" s="1"/>
  <c r="N632" i="2"/>
  <c r="O632" i="2" s="1"/>
  <c r="P632" i="2" s="1"/>
  <c r="J633" i="2"/>
  <c r="M633" i="2" s="1"/>
  <c r="N645" i="2"/>
  <c r="O645" i="2" s="1"/>
  <c r="P645" i="2" s="1"/>
  <c r="N646" i="2"/>
  <c r="O646" i="2" s="1"/>
  <c r="P646" i="2" s="1"/>
  <c r="M656" i="2"/>
  <c r="N657" i="2"/>
  <c r="O657" i="2" s="1"/>
  <c r="P657" i="2" s="1"/>
  <c r="J662" i="2"/>
  <c r="M662" i="2" s="1"/>
  <c r="N664" i="2"/>
  <c r="O664" i="2" s="1"/>
  <c r="P664" i="2" s="1"/>
  <c r="N665" i="2"/>
  <c r="O665" i="2" s="1"/>
  <c r="P665" i="2" s="1"/>
  <c r="J670" i="2"/>
  <c r="M670" i="2" s="1"/>
  <c r="N672" i="2"/>
  <c r="O672" i="2" s="1"/>
  <c r="P672" i="2" s="1"/>
  <c r="N673" i="2"/>
  <c r="O673" i="2" s="1"/>
  <c r="P673" i="2" s="1"/>
  <c r="J678" i="2"/>
  <c r="M678" i="2" s="1"/>
  <c r="N680" i="2"/>
  <c r="O680" i="2" s="1"/>
  <c r="P680" i="2" s="1"/>
  <c r="N681" i="2"/>
  <c r="O681" i="2" s="1"/>
  <c r="P681" i="2" s="1"/>
  <c r="J686" i="2"/>
  <c r="M686" i="2" s="1"/>
  <c r="J687" i="2"/>
  <c r="N687" i="2" s="1"/>
  <c r="O687" i="2" s="1"/>
  <c r="P687" i="2" s="1"/>
  <c r="J688" i="2"/>
  <c r="N688" i="2" s="1"/>
  <c r="O688" i="2" s="1"/>
  <c r="P688" i="2" s="1"/>
  <c r="J689" i="2"/>
  <c r="M689" i="2" s="1"/>
  <c r="M691" i="2"/>
  <c r="M694" i="2"/>
  <c r="M699" i="2"/>
  <c r="M701" i="2"/>
  <c r="M705" i="2"/>
  <c r="M709" i="2"/>
  <c r="N718" i="2"/>
  <c r="O718" i="2" s="1"/>
  <c r="P718" i="2" s="1"/>
  <c r="N726" i="2"/>
  <c r="O726" i="2" s="1"/>
  <c r="P726" i="2" s="1"/>
  <c r="N734" i="2"/>
  <c r="O734" i="2" s="1"/>
  <c r="P734" i="2" s="1"/>
  <c r="J739" i="2"/>
  <c r="M739" i="2" s="1"/>
  <c r="N741" i="2"/>
  <c r="O741" i="2" s="1"/>
  <c r="P741" i="2" s="1"/>
  <c r="N744" i="2"/>
  <c r="O744" i="2" s="1"/>
  <c r="P744" i="2" s="1"/>
  <c r="J745" i="2"/>
  <c r="M745" i="2" s="1"/>
  <c r="N746" i="2"/>
  <c r="O746" i="2" s="1"/>
  <c r="P746" i="2" s="1"/>
  <c r="J750" i="2"/>
  <c r="N750" i="2" s="1"/>
  <c r="O750" i="2" s="1"/>
  <c r="P750" i="2" s="1"/>
  <c r="N751" i="2"/>
  <c r="O751" i="2" s="1"/>
  <c r="P751" i="2" s="1"/>
  <c r="N755" i="2"/>
  <c r="O755" i="2" s="1"/>
  <c r="P755" i="2" s="1"/>
  <c r="N767" i="2"/>
  <c r="O767" i="2" s="1"/>
  <c r="P767" i="2" s="1"/>
  <c r="N775" i="2"/>
  <c r="O775" i="2" s="1"/>
  <c r="P775" i="2" s="1"/>
  <c r="N780" i="2"/>
  <c r="O780" i="2" s="1"/>
  <c r="P780" i="2" s="1"/>
  <c r="M821" i="2"/>
  <c r="M823" i="2"/>
  <c r="M842" i="2"/>
  <c r="N842" i="2"/>
  <c r="O842" i="2" s="1"/>
  <c r="P842" i="2" s="1"/>
  <c r="M852" i="2"/>
  <c r="N852" i="2"/>
  <c r="O852" i="2" s="1"/>
  <c r="P852" i="2" s="1"/>
  <c r="M510" i="2"/>
  <c r="M512" i="2"/>
  <c r="M522" i="2"/>
  <c r="M529" i="2"/>
  <c r="M530" i="2"/>
  <c r="N539" i="2"/>
  <c r="O539" i="2" s="1"/>
  <c r="P539" i="2" s="1"/>
  <c r="M546" i="2"/>
  <c r="M561" i="2"/>
  <c r="M564" i="2"/>
  <c r="M569" i="2"/>
  <c r="M572" i="2"/>
  <c r="M573" i="2"/>
  <c r="N580" i="2"/>
  <c r="O580" i="2" s="1"/>
  <c r="P580" i="2" s="1"/>
  <c r="J581" i="2"/>
  <c r="M581" i="2" s="1"/>
  <c r="N584" i="2"/>
  <c r="O584" i="2" s="1"/>
  <c r="P584" i="2" s="1"/>
  <c r="J585" i="2"/>
  <c r="M585" i="2" s="1"/>
  <c r="N588" i="2"/>
  <c r="O588" i="2" s="1"/>
  <c r="P588" i="2" s="1"/>
  <c r="J589" i="2"/>
  <c r="M589" i="2" s="1"/>
  <c r="J590" i="2"/>
  <c r="M590" i="2" s="1"/>
  <c r="N591" i="2"/>
  <c r="O591" i="2" s="1"/>
  <c r="P591" i="2" s="1"/>
  <c r="J612" i="2"/>
  <c r="M612" i="2" s="1"/>
  <c r="N614" i="2"/>
  <c r="O614" i="2" s="1"/>
  <c r="P614" i="2" s="1"/>
  <c r="N615" i="2"/>
  <c r="O615" i="2" s="1"/>
  <c r="P615" i="2" s="1"/>
  <c r="N625" i="2"/>
  <c r="O625" i="2" s="1"/>
  <c r="P625" i="2" s="1"/>
  <c r="J627" i="2"/>
  <c r="M627" i="2" s="1"/>
  <c r="N634" i="2"/>
  <c r="O634" i="2" s="1"/>
  <c r="P634" i="2" s="1"/>
  <c r="J635" i="2"/>
  <c r="M635" i="2" s="1"/>
  <c r="M639" i="2"/>
  <c r="N642" i="2"/>
  <c r="O642" i="2" s="1"/>
  <c r="P642" i="2" s="1"/>
  <c r="N643" i="2"/>
  <c r="O643" i="2" s="1"/>
  <c r="P643" i="2" s="1"/>
  <c r="M654" i="2"/>
  <c r="J658" i="2"/>
  <c r="M658" i="2" s="1"/>
  <c r="N660" i="2"/>
  <c r="O660" i="2" s="1"/>
  <c r="P660" i="2" s="1"/>
  <c r="N661" i="2"/>
  <c r="O661" i="2" s="1"/>
  <c r="P661" i="2" s="1"/>
  <c r="J666" i="2"/>
  <c r="M666" i="2" s="1"/>
  <c r="N668" i="2"/>
  <c r="O668" i="2" s="1"/>
  <c r="P668" i="2" s="1"/>
  <c r="N669" i="2"/>
  <c r="O669" i="2" s="1"/>
  <c r="P669" i="2" s="1"/>
  <c r="J674" i="2"/>
  <c r="M674" i="2" s="1"/>
  <c r="N676" i="2"/>
  <c r="O676" i="2" s="1"/>
  <c r="P676" i="2" s="1"/>
  <c r="N677" i="2"/>
  <c r="O677" i="2" s="1"/>
  <c r="P677" i="2" s="1"/>
  <c r="J682" i="2"/>
  <c r="M682" i="2" s="1"/>
  <c r="N684" i="2"/>
  <c r="O684" i="2" s="1"/>
  <c r="P684" i="2" s="1"/>
  <c r="N685" i="2"/>
  <c r="O685" i="2" s="1"/>
  <c r="P685" i="2" s="1"/>
  <c r="M690" i="2"/>
  <c r="M695" i="2"/>
  <c r="M698" i="2"/>
  <c r="M703" i="2"/>
  <c r="M707" i="2"/>
  <c r="N714" i="2"/>
  <c r="O714" i="2" s="1"/>
  <c r="P714" i="2" s="1"/>
  <c r="N722" i="2"/>
  <c r="O722" i="2" s="1"/>
  <c r="P722" i="2" s="1"/>
  <c r="N730" i="2"/>
  <c r="O730" i="2" s="1"/>
  <c r="P730" i="2" s="1"/>
  <c r="N737" i="2"/>
  <c r="O737" i="2" s="1"/>
  <c r="P737" i="2" s="1"/>
  <c r="J743" i="2"/>
  <c r="M743" i="2" s="1"/>
  <c r="M744" i="2"/>
  <c r="N749" i="2"/>
  <c r="O749" i="2" s="1"/>
  <c r="P749" i="2" s="1"/>
  <c r="N753" i="2"/>
  <c r="O753" i="2" s="1"/>
  <c r="P753" i="2" s="1"/>
  <c r="J760" i="2"/>
  <c r="N760" i="2" s="1"/>
  <c r="O760" i="2" s="1"/>
  <c r="P760" i="2" s="1"/>
  <c r="N761" i="2"/>
  <c r="O761" i="2" s="1"/>
  <c r="P761" i="2" s="1"/>
  <c r="N770" i="2"/>
  <c r="O770" i="2" s="1"/>
  <c r="P770" i="2" s="1"/>
  <c r="N776" i="2"/>
  <c r="O776" i="2" s="1"/>
  <c r="P776" i="2" s="1"/>
  <c r="N784" i="2"/>
  <c r="O784" i="2" s="1"/>
  <c r="P784" i="2" s="1"/>
  <c r="J785" i="2"/>
  <c r="N785" i="2" s="1"/>
  <c r="O785" i="2" s="1"/>
  <c r="P785" i="2" s="1"/>
  <c r="M812" i="2"/>
  <c r="M818" i="2"/>
  <c r="N818" i="2"/>
  <c r="O818" i="2" s="1"/>
  <c r="P818" i="2" s="1"/>
  <c r="N843" i="2"/>
  <c r="O843" i="2" s="1"/>
  <c r="P843" i="2" s="1"/>
  <c r="M843" i="2"/>
  <c r="M913" i="2"/>
  <c r="M914" i="2"/>
  <c r="M926" i="2"/>
  <c r="N934" i="2"/>
  <c r="O934" i="2" s="1"/>
  <c r="P934" i="2" s="1"/>
  <c r="M939" i="2"/>
  <c r="N952" i="2"/>
  <c r="O952" i="2" s="1"/>
  <c r="P952" i="2" s="1"/>
  <c r="M956" i="2"/>
  <c r="N965" i="2"/>
  <c r="O965" i="2" s="1"/>
  <c r="P965" i="2" s="1"/>
  <c r="M966" i="2"/>
  <c r="M980" i="2"/>
  <c r="J1000" i="2"/>
  <c r="M1000" i="2" s="1"/>
  <c r="M1042" i="2"/>
  <c r="N1042" i="2"/>
  <c r="O1042" i="2" s="1"/>
  <c r="P1042" i="2" s="1"/>
  <c r="M829" i="2"/>
  <c r="M836" i="2"/>
  <c r="M854" i="2"/>
  <c r="J872" i="2"/>
  <c r="M872" i="2" s="1"/>
  <c r="M873" i="2"/>
  <c r="M881" i="2"/>
  <c r="J883" i="2"/>
  <c r="M883" i="2" s="1"/>
  <c r="J894" i="2"/>
  <c r="M894" i="2" s="1"/>
  <c r="M897" i="2"/>
  <c r="N909" i="2"/>
  <c r="O909" i="2" s="1"/>
  <c r="P909" i="2" s="1"/>
  <c r="J917" i="2"/>
  <c r="M917" i="2" s="1"/>
  <c r="J918" i="2"/>
  <c r="M918" i="2" s="1"/>
  <c r="J919" i="2"/>
  <c r="M919" i="2" s="1"/>
  <c r="J920" i="2"/>
  <c r="M920" i="2" s="1"/>
  <c r="J921" i="2"/>
  <c r="M921" i="2" s="1"/>
  <c r="J922" i="2"/>
  <c r="M922" i="2" s="1"/>
  <c r="J923" i="2"/>
  <c r="M923" i="2" s="1"/>
  <c r="M924" i="2"/>
  <c r="N929" i="2"/>
  <c r="O929" i="2" s="1"/>
  <c r="P929" i="2" s="1"/>
  <c r="N930" i="2"/>
  <c r="O930" i="2" s="1"/>
  <c r="P930" i="2" s="1"/>
  <c r="N936" i="2"/>
  <c r="O936" i="2" s="1"/>
  <c r="P936" i="2" s="1"/>
  <c r="M941" i="2"/>
  <c r="M945" i="2"/>
  <c r="M947" i="2"/>
  <c r="M950" i="2"/>
  <c r="M954" i="2"/>
  <c r="J996" i="2"/>
  <c r="M996" i="2" s="1"/>
  <c r="N1006" i="2"/>
  <c r="O1006" i="2" s="1"/>
  <c r="P1006" i="2" s="1"/>
  <c r="J1008" i="2"/>
  <c r="M1008" i="2" s="1"/>
  <c r="J1012" i="2"/>
  <c r="M1012" i="2" s="1"/>
  <c r="Q1025" i="2"/>
  <c r="R1025" i="2" s="1"/>
  <c r="U1025" i="2"/>
  <c r="M866" i="2"/>
  <c r="N884" i="2"/>
  <c r="O884" i="2" s="1"/>
  <c r="P884" i="2" s="1"/>
  <c r="M968" i="2"/>
  <c r="M970" i="2"/>
  <c r="M976" i="2"/>
  <c r="M978" i="2"/>
  <c r="M984" i="2"/>
  <c r="M1017" i="2"/>
  <c r="J1020" i="2"/>
  <c r="M1020" i="2" s="1"/>
  <c r="M816" i="2"/>
  <c r="M825" i="2"/>
  <c r="N831" i="2"/>
  <c r="O831" i="2" s="1"/>
  <c r="P831" i="2" s="1"/>
  <c r="M835" i="2"/>
  <c r="M840" i="2"/>
  <c r="M845" i="2"/>
  <c r="M850" i="2"/>
  <c r="M853" i="2"/>
  <c r="J858" i="2"/>
  <c r="M858" i="2" s="1"/>
  <c r="J859" i="2"/>
  <c r="M859" i="2" s="1"/>
  <c r="M860" i="2"/>
  <c r="M871" i="2"/>
  <c r="M875" i="2"/>
  <c r="J877" i="2"/>
  <c r="M877" i="2" s="1"/>
  <c r="M882" i="2"/>
  <c r="J889" i="2"/>
  <c r="M889" i="2" s="1"/>
  <c r="J890" i="2"/>
  <c r="M890" i="2" s="1"/>
  <c r="J891" i="2"/>
  <c r="M891" i="2" s="1"/>
  <c r="M896" i="2"/>
  <c r="N901" i="2"/>
  <c r="O901" i="2" s="1"/>
  <c r="P901" i="2" s="1"/>
  <c r="M902" i="2"/>
  <c r="N910" i="2"/>
  <c r="O910" i="2" s="1"/>
  <c r="P910" i="2" s="1"/>
  <c r="J912" i="2"/>
  <c r="M912" i="2" s="1"/>
  <c r="J927" i="2"/>
  <c r="M927" i="2" s="1"/>
  <c r="M930" i="2"/>
  <c r="J937" i="2"/>
  <c r="M937" i="2" s="1"/>
  <c r="N943" i="2"/>
  <c r="O943" i="2" s="1"/>
  <c r="P943" i="2" s="1"/>
  <c r="M944" i="2"/>
  <c r="M949" i="2"/>
  <c r="J960" i="2"/>
  <c r="M960" i="2" s="1"/>
  <c r="J961" i="2"/>
  <c r="M961" i="2" s="1"/>
  <c r="J962" i="2"/>
  <c r="M962" i="2" s="1"/>
  <c r="J963" i="2"/>
  <c r="M963" i="2" s="1"/>
  <c r="M964" i="2"/>
  <c r="M977" i="2"/>
  <c r="M985" i="2"/>
  <c r="M986" i="2"/>
  <c r="M988" i="2"/>
  <c r="M990" i="2"/>
  <c r="M992" i="2"/>
  <c r="M994" i="2"/>
  <c r="M995" i="2"/>
  <c r="N999" i="2"/>
  <c r="O999" i="2" s="1"/>
  <c r="P999" i="2" s="1"/>
  <c r="M1001" i="2"/>
  <c r="M1011" i="2"/>
  <c r="J1014" i="2"/>
  <c r="M1014" i="2" s="1"/>
  <c r="J1015" i="2"/>
  <c r="M1015" i="2" s="1"/>
  <c r="U1019" i="2"/>
  <c r="Q1019" i="2"/>
  <c r="R1019" i="2" s="1"/>
  <c r="M1036" i="2"/>
  <c r="N1036" i="2"/>
  <c r="O1036" i="2" s="1"/>
  <c r="P1036" i="2" s="1"/>
  <c r="N1040" i="2"/>
  <c r="O1040" i="2" s="1"/>
  <c r="P1040" i="2" s="1"/>
  <c r="H8" i="3"/>
  <c r="M998" i="2"/>
  <c r="M999" i="2"/>
  <c r="M1002" i="2"/>
  <c r="M1004" i="2"/>
  <c r="N1010" i="2"/>
  <c r="O1010" i="2" s="1"/>
  <c r="P1010" i="2" s="1"/>
  <c r="M1023" i="2"/>
  <c r="M1034" i="2"/>
  <c r="U1035" i="2"/>
  <c r="M1038" i="2"/>
  <c r="H10" i="3"/>
  <c r="H13" i="3"/>
  <c r="N1028" i="2"/>
  <c r="O1028" i="2" s="1"/>
  <c r="P1028" i="2" s="1"/>
  <c r="H15" i="3"/>
  <c r="H27" i="3"/>
  <c r="N1022" i="2"/>
  <c r="O1022" i="2" s="1"/>
  <c r="P1022" i="2" s="1"/>
  <c r="U1027" i="2"/>
  <c r="M1028" i="2"/>
  <c r="N1045" i="2"/>
  <c r="O1045" i="2" s="1"/>
  <c r="P1045" i="2" s="1"/>
  <c r="H17" i="3"/>
  <c r="H19" i="3"/>
  <c r="H21" i="3"/>
  <c r="N88" i="2"/>
  <c r="O88" i="2" s="1"/>
  <c r="P88" i="2" s="1"/>
  <c r="M88" i="2"/>
  <c r="N120" i="2"/>
  <c r="O120" i="2" s="1"/>
  <c r="P120" i="2" s="1"/>
  <c r="M120" i="2"/>
  <c r="N253" i="2"/>
  <c r="O253" i="2" s="1"/>
  <c r="P253" i="2" s="1"/>
  <c r="M253" i="2"/>
  <c r="N264" i="2"/>
  <c r="O264" i="2" s="1"/>
  <c r="P264" i="2" s="1"/>
  <c r="M264" i="2"/>
  <c r="N279" i="2"/>
  <c r="O279" i="2" s="1"/>
  <c r="P279" i="2" s="1"/>
  <c r="M279" i="2"/>
  <c r="N316" i="2"/>
  <c r="O316" i="2" s="1"/>
  <c r="P316" i="2" s="1"/>
  <c r="M316" i="2"/>
  <c r="N320" i="2"/>
  <c r="O320" i="2" s="1"/>
  <c r="P320" i="2" s="1"/>
  <c r="M320" i="2"/>
  <c r="N410" i="2"/>
  <c r="O410" i="2" s="1"/>
  <c r="P410" i="2" s="1"/>
  <c r="M410" i="2"/>
  <c r="N490" i="2"/>
  <c r="O490" i="2" s="1"/>
  <c r="P490" i="2" s="1"/>
  <c r="M490" i="2"/>
  <c r="M624" i="2"/>
  <c r="N624" i="2"/>
  <c r="O624" i="2" s="1"/>
  <c r="P624" i="2" s="1"/>
  <c r="N886" i="2"/>
  <c r="O886" i="2" s="1"/>
  <c r="P886" i="2" s="1"/>
  <c r="M886" i="2"/>
  <c r="N84" i="2"/>
  <c r="O84" i="2" s="1"/>
  <c r="P84" i="2" s="1"/>
  <c r="M84" i="2"/>
  <c r="N100" i="2"/>
  <c r="O100" i="2" s="1"/>
  <c r="P100" i="2" s="1"/>
  <c r="M100" i="2"/>
  <c r="N116" i="2"/>
  <c r="O116" i="2" s="1"/>
  <c r="P116" i="2" s="1"/>
  <c r="M116" i="2"/>
  <c r="N132" i="2"/>
  <c r="O132" i="2" s="1"/>
  <c r="P132" i="2" s="1"/>
  <c r="M132" i="2"/>
  <c r="N148" i="2"/>
  <c r="O148" i="2" s="1"/>
  <c r="P148" i="2" s="1"/>
  <c r="M148" i="2"/>
  <c r="N166" i="2"/>
  <c r="O166" i="2" s="1"/>
  <c r="P166" i="2" s="1"/>
  <c r="M166" i="2"/>
  <c r="N193" i="2"/>
  <c r="O193" i="2" s="1"/>
  <c r="P193" i="2" s="1"/>
  <c r="M193" i="2"/>
  <c r="N202" i="2"/>
  <c r="O202" i="2" s="1"/>
  <c r="P202" i="2" s="1"/>
  <c r="M202" i="2"/>
  <c r="N216" i="2"/>
  <c r="O216" i="2" s="1"/>
  <c r="P216" i="2" s="1"/>
  <c r="M216" i="2"/>
  <c r="N229" i="2"/>
  <c r="O229" i="2" s="1"/>
  <c r="P229" i="2" s="1"/>
  <c r="M229" i="2"/>
  <c r="N290" i="2"/>
  <c r="O290" i="2" s="1"/>
  <c r="P290" i="2" s="1"/>
  <c r="M290" i="2"/>
  <c r="N300" i="2"/>
  <c r="O300" i="2" s="1"/>
  <c r="P300" i="2" s="1"/>
  <c r="M300" i="2"/>
  <c r="N323" i="2"/>
  <c r="O323" i="2" s="1"/>
  <c r="P323" i="2" s="1"/>
  <c r="M323" i="2"/>
  <c r="N325" i="2"/>
  <c r="O325" i="2" s="1"/>
  <c r="P325" i="2" s="1"/>
  <c r="M325" i="2"/>
  <c r="N327" i="2"/>
  <c r="O327" i="2" s="1"/>
  <c r="P327" i="2" s="1"/>
  <c r="M327" i="2"/>
  <c r="N329" i="2"/>
  <c r="O329" i="2" s="1"/>
  <c r="P329" i="2" s="1"/>
  <c r="M329" i="2"/>
  <c r="N335" i="2"/>
  <c r="O335" i="2" s="1"/>
  <c r="P335" i="2" s="1"/>
  <c r="M335" i="2"/>
  <c r="N339" i="2"/>
  <c r="O339" i="2" s="1"/>
  <c r="P339" i="2" s="1"/>
  <c r="M339" i="2"/>
  <c r="N343" i="2"/>
  <c r="O343" i="2" s="1"/>
  <c r="P343" i="2" s="1"/>
  <c r="M343" i="2"/>
  <c r="N347" i="2"/>
  <c r="O347" i="2" s="1"/>
  <c r="P347" i="2" s="1"/>
  <c r="M347" i="2"/>
  <c r="N351" i="2"/>
  <c r="O351" i="2" s="1"/>
  <c r="P351" i="2" s="1"/>
  <c r="M351" i="2"/>
  <c r="N355" i="2"/>
  <c r="O355" i="2" s="1"/>
  <c r="P355" i="2" s="1"/>
  <c r="M355" i="2"/>
  <c r="N359" i="2"/>
  <c r="O359" i="2" s="1"/>
  <c r="P359" i="2" s="1"/>
  <c r="M359" i="2"/>
  <c r="N363" i="2"/>
  <c r="O363" i="2" s="1"/>
  <c r="P363" i="2" s="1"/>
  <c r="M363" i="2"/>
  <c r="N367" i="2"/>
  <c r="O367" i="2" s="1"/>
  <c r="P367" i="2" s="1"/>
  <c r="M367" i="2"/>
  <c r="N371" i="2"/>
  <c r="O371" i="2" s="1"/>
  <c r="P371" i="2" s="1"/>
  <c r="M371" i="2"/>
  <c r="N394" i="2"/>
  <c r="O394" i="2" s="1"/>
  <c r="P394" i="2" s="1"/>
  <c r="M394" i="2"/>
  <c r="N170" i="2"/>
  <c r="O170" i="2" s="1"/>
  <c r="P170" i="2" s="1"/>
  <c r="M170" i="2"/>
  <c r="N205" i="2"/>
  <c r="O205" i="2" s="1"/>
  <c r="P205" i="2" s="1"/>
  <c r="M205" i="2"/>
  <c r="N294" i="2"/>
  <c r="O294" i="2" s="1"/>
  <c r="P294" i="2" s="1"/>
  <c r="M294" i="2"/>
  <c r="N318" i="2"/>
  <c r="O318" i="2" s="1"/>
  <c r="P318" i="2" s="1"/>
  <c r="M318" i="2"/>
  <c r="N375" i="2"/>
  <c r="O375" i="2" s="1"/>
  <c r="P375" i="2" s="1"/>
  <c r="M375" i="2"/>
  <c r="N382" i="2"/>
  <c r="O382" i="2" s="1"/>
  <c r="P382" i="2" s="1"/>
  <c r="M382" i="2"/>
  <c r="N507" i="2"/>
  <c r="O507" i="2" s="1"/>
  <c r="P507" i="2" s="1"/>
  <c r="M507" i="2"/>
  <c r="N519" i="2"/>
  <c r="O519" i="2" s="1"/>
  <c r="P519" i="2" s="1"/>
  <c r="M519" i="2"/>
  <c r="N536" i="2"/>
  <c r="O536" i="2" s="1"/>
  <c r="P536" i="2" s="1"/>
  <c r="M536" i="2"/>
  <c r="N83" i="2"/>
  <c r="O83" i="2" s="1"/>
  <c r="P83" i="2" s="1"/>
  <c r="N96" i="2"/>
  <c r="O96" i="2" s="1"/>
  <c r="P96" i="2" s="1"/>
  <c r="M96" i="2"/>
  <c r="N99" i="2"/>
  <c r="O99" i="2" s="1"/>
  <c r="P99" i="2" s="1"/>
  <c r="N112" i="2"/>
  <c r="O112" i="2" s="1"/>
  <c r="P112" i="2" s="1"/>
  <c r="M112" i="2"/>
  <c r="N115" i="2"/>
  <c r="O115" i="2" s="1"/>
  <c r="P115" i="2" s="1"/>
  <c r="N128" i="2"/>
  <c r="O128" i="2" s="1"/>
  <c r="P128" i="2" s="1"/>
  <c r="M128" i="2"/>
  <c r="N131" i="2"/>
  <c r="O131" i="2" s="1"/>
  <c r="P131" i="2" s="1"/>
  <c r="N144" i="2"/>
  <c r="O144" i="2" s="1"/>
  <c r="P144" i="2" s="1"/>
  <c r="M144" i="2"/>
  <c r="N147" i="2"/>
  <c r="O147" i="2" s="1"/>
  <c r="P147" i="2" s="1"/>
  <c r="N182" i="2"/>
  <c r="O182" i="2" s="1"/>
  <c r="P182" i="2" s="1"/>
  <c r="M182" i="2"/>
  <c r="N189" i="2"/>
  <c r="O189" i="2" s="1"/>
  <c r="P189" i="2" s="1"/>
  <c r="M189" i="2"/>
  <c r="N199" i="2"/>
  <c r="O199" i="2" s="1"/>
  <c r="P199" i="2" s="1"/>
  <c r="M199" i="2"/>
  <c r="N213" i="2"/>
  <c r="O213" i="2" s="1"/>
  <c r="P213" i="2" s="1"/>
  <c r="M213" i="2"/>
  <c r="N224" i="2"/>
  <c r="O224" i="2" s="1"/>
  <c r="P224" i="2" s="1"/>
  <c r="M224" i="2"/>
  <c r="N226" i="2"/>
  <c r="O226" i="2" s="1"/>
  <c r="P226" i="2" s="1"/>
  <c r="M226" i="2"/>
  <c r="N232" i="2"/>
  <c r="O232" i="2" s="1"/>
  <c r="P232" i="2" s="1"/>
  <c r="M232" i="2"/>
  <c r="N239" i="2"/>
  <c r="O239" i="2" s="1"/>
  <c r="P239" i="2" s="1"/>
  <c r="M239" i="2"/>
  <c r="N246" i="2"/>
  <c r="O246" i="2" s="1"/>
  <c r="P246" i="2" s="1"/>
  <c r="M246" i="2"/>
  <c r="N272" i="2"/>
  <c r="O272" i="2" s="1"/>
  <c r="P272" i="2" s="1"/>
  <c r="M272" i="2"/>
  <c r="N286" i="2"/>
  <c r="O286" i="2" s="1"/>
  <c r="P286" i="2" s="1"/>
  <c r="M286" i="2"/>
  <c r="N297" i="2"/>
  <c r="O297" i="2" s="1"/>
  <c r="P297" i="2" s="1"/>
  <c r="M297" i="2"/>
  <c r="M381" i="2"/>
  <c r="N381" i="2"/>
  <c r="O381" i="2" s="1"/>
  <c r="P381" i="2" s="1"/>
  <c r="N467" i="2"/>
  <c r="O467" i="2" s="1"/>
  <c r="P467" i="2" s="1"/>
  <c r="M467" i="2"/>
  <c r="N499" i="2"/>
  <c r="O499" i="2" s="1"/>
  <c r="P499" i="2" s="1"/>
  <c r="M499" i="2"/>
  <c r="N528" i="2"/>
  <c r="O528" i="2" s="1"/>
  <c r="P528" i="2" s="1"/>
  <c r="M528" i="2"/>
  <c r="N609" i="2"/>
  <c r="O609" i="2" s="1"/>
  <c r="P609" i="2" s="1"/>
  <c r="M609" i="2"/>
  <c r="M628" i="2"/>
  <c r="N628" i="2"/>
  <c r="O628" i="2" s="1"/>
  <c r="P628" i="2" s="1"/>
  <c r="N104" i="2"/>
  <c r="O104" i="2" s="1"/>
  <c r="P104" i="2" s="1"/>
  <c r="M104" i="2"/>
  <c r="N136" i="2"/>
  <c r="O136" i="2" s="1"/>
  <c r="P136" i="2" s="1"/>
  <c r="M136" i="2"/>
  <c r="N152" i="2"/>
  <c r="O152" i="2" s="1"/>
  <c r="P152" i="2" s="1"/>
  <c r="M152" i="2"/>
  <c r="N197" i="2"/>
  <c r="O197" i="2" s="1"/>
  <c r="P197" i="2" s="1"/>
  <c r="M197" i="2"/>
  <c r="N241" i="2"/>
  <c r="O241" i="2" s="1"/>
  <c r="P241" i="2" s="1"/>
  <c r="M241" i="2"/>
  <c r="N312" i="2"/>
  <c r="O312" i="2" s="1"/>
  <c r="P312" i="2" s="1"/>
  <c r="M312" i="2"/>
  <c r="N314" i="2"/>
  <c r="O314" i="2" s="1"/>
  <c r="P314" i="2" s="1"/>
  <c r="M314" i="2"/>
  <c r="N92" i="2"/>
  <c r="O92" i="2" s="1"/>
  <c r="P92" i="2" s="1"/>
  <c r="M92" i="2"/>
  <c r="N95" i="2"/>
  <c r="O95" i="2" s="1"/>
  <c r="P95" i="2" s="1"/>
  <c r="N108" i="2"/>
  <c r="O108" i="2" s="1"/>
  <c r="P108" i="2" s="1"/>
  <c r="M108" i="2"/>
  <c r="N111" i="2"/>
  <c r="O111" i="2" s="1"/>
  <c r="P111" i="2" s="1"/>
  <c r="N124" i="2"/>
  <c r="O124" i="2" s="1"/>
  <c r="P124" i="2" s="1"/>
  <c r="M124" i="2"/>
  <c r="N127" i="2"/>
  <c r="O127" i="2" s="1"/>
  <c r="P127" i="2" s="1"/>
  <c r="N140" i="2"/>
  <c r="O140" i="2" s="1"/>
  <c r="P140" i="2" s="1"/>
  <c r="M140" i="2"/>
  <c r="N143" i="2"/>
  <c r="O143" i="2" s="1"/>
  <c r="P143" i="2" s="1"/>
  <c r="N156" i="2"/>
  <c r="O156" i="2" s="1"/>
  <c r="P156" i="2" s="1"/>
  <c r="M156" i="2"/>
  <c r="M171" i="2"/>
  <c r="N174" i="2"/>
  <c r="O174" i="2" s="1"/>
  <c r="P174" i="2" s="1"/>
  <c r="M174" i="2"/>
  <c r="N185" i="2"/>
  <c r="O185" i="2" s="1"/>
  <c r="P185" i="2" s="1"/>
  <c r="M185" i="2"/>
  <c r="M198" i="2"/>
  <c r="M206" i="2"/>
  <c r="N209" i="2"/>
  <c r="O209" i="2" s="1"/>
  <c r="P209" i="2" s="1"/>
  <c r="M209" i="2"/>
  <c r="M219" i="2"/>
  <c r="N235" i="2"/>
  <c r="O235" i="2" s="1"/>
  <c r="P235" i="2" s="1"/>
  <c r="M235" i="2"/>
  <c r="N248" i="2"/>
  <c r="O248" i="2" s="1"/>
  <c r="P248" i="2" s="1"/>
  <c r="M248" i="2"/>
  <c r="M250" i="2"/>
  <c r="N261" i="2"/>
  <c r="O261" i="2" s="1"/>
  <c r="P261" i="2" s="1"/>
  <c r="M261" i="2"/>
  <c r="N268" i="2"/>
  <c r="O268" i="2" s="1"/>
  <c r="P268" i="2" s="1"/>
  <c r="M268" i="2"/>
  <c r="M271" i="2"/>
  <c r="N283" i="2"/>
  <c r="O283" i="2" s="1"/>
  <c r="P283" i="2" s="1"/>
  <c r="M283" i="2"/>
  <c r="M285" i="2"/>
  <c r="M296" i="2"/>
  <c r="M306" i="2"/>
  <c r="N332" i="2"/>
  <c r="O332" i="2" s="1"/>
  <c r="P332" i="2" s="1"/>
  <c r="M332" i="2"/>
  <c r="N379" i="2"/>
  <c r="O379" i="2" s="1"/>
  <c r="P379" i="2" s="1"/>
  <c r="M379" i="2"/>
  <c r="N426" i="2"/>
  <c r="O426" i="2" s="1"/>
  <c r="P426" i="2" s="1"/>
  <c r="M426" i="2"/>
  <c r="M626" i="2"/>
  <c r="N626" i="2"/>
  <c r="O626" i="2" s="1"/>
  <c r="P626" i="2" s="1"/>
  <c r="M331" i="2"/>
  <c r="M334" i="2"/>
  <c r="M338" i="2"/>
  <c r="M342" i="2"/>
  <c r="M346" i="2"/>
  <c r="M350" i="2"/>
  <c r="M354" i="2"/>
  <c r="M358" i="2"/>
  <c r="M362" i="2"/>
  <c r="M366" i="2"/>
  <c r="M370" i="2"/>
  <c r="N390" i="2"/>
  <c r="O390" i="2" s="1"/>
  <c r="P390" i="2" s="1"/>
  <c r="M390" i="2"/>
  <c r="N406" i="2"/>
  <c r="O406" i="2" s="1"/>
  <c r="P406" i="2" s="1"/>
  <c r="M406" i="2"/>
  <c r="N422" i="2"/>
  <c r="O422" i="2" s="1"/>
  <c r="P422" i="2" s="1"/>
  <c r="M422" i="2"/>
  <c r="N458" i="2"/>
  <c r="O458" i="2" s="1"/>
  <c r="P458" i="2" s="1"/>
  <c r="M458" i="2"/>
  <c r="N463" i="2"/>
  <c r="O463" i="2" s="1"/>
  <c r="P463" i="2" s="1"/>
  <c r="M463" i="2"/>
  <c r="N476" i="2"/>
  <c r="O476" i="2" s="1"/>
  <c r="P476" i="2" s="1"/>
  <c r="M476" i="2"/>
  <c r="N481" i="2"/>
  <c r="O481" i="2" s="1"/>
  <c r="P481" i="2" s="1"/>
  <c r="M481" i="2"/>
  <c r="N515" i="2"/>
  <c r="O515" i="2" s="1"/>
  <c r="P515" i="2" s="1"/>
  <c r="M515" i="2"/>
  <c r="N577" i="2"/>
  <c r="O577" i="2" s="1"/>
  <c r="P577" i="2" s="1"/>
  <c r="M577" i="2"/>
  <c r="N777" i="2"/>
  <c r="O777" i="2" s="1"/>
  <c r="P777" i="2" s="1"/>
  <c r="L777" i="2"/>
  <c r="M777" i="2" s="1"/>
  <c r="N386" i="2"/>
  <c r="O386" i="2" s="1"/>
  <c r="P386" i="2" s="1"/>
  <c r="M386" i="2"/>
  <c r="M389" i="2"/>
  <c r="N402" i="2"/>
  <c r="O402" i="2" s="1"/>
  <c r="P402" i="2" s="1"/>
  <c r="M402" i="2"/>
  <c r="M405" i="2"/>
  <c r="N418" i="2"/>
  <c r="O418" i="2" s="1"/>
  <c r="P418" i="2" s="1"/>
  <c r="M418" i="2"/>
  <c r="M421" i="2"/>
  <c r="N434" i="2"/>
  <c r="O434" i="2" s="1"/>
  <c r="P434" i="2" s="1"/>
  <c r="M434" i="2"/>
  <c r="M443" i="2"/>
  <c r="M447" i="2"/>
  <c r="N449" i="2"/>
  <c r="O449" i="2" s="1"/>
  <c r="P449" i="2" s="1"/>
  <c r="M449" i="2"/>
  <c r="M452" i="2"/>
  <c r="N454" i="2"/>
  <c r="O454" i="2" s="1"/>
  <c r="P454" i="2" s="1"/>
  <c r="M454" i="2"/>
  <c r="M457" i="2"/>
  <c r="M462" i="2"/>
  <c r="N472" i="2"/>
  <c r="O472" i="2" s="1"/>
  <c r="P472" i="2" s="1"/>
  <c r="M472" i="2"/>
  <c r="M475" i="2"/>
  <c r="M480" i="2"/>
  <c r="N486" i="2"/>
  <c r="O486" i="2" s="1"/>
  <c r="P486" i="2" s="1"/>
  <c r="M486" i="2"/>
  <c r="M489" i="2"/>
  <c r="N495" i="2"/>
  <c r="O495" i="2" s="1"/>
  <c r="P495" i="2" s="1"/>
  <c r="M495" i="2"/>
  <c r="N503" i="2"/>
  <c r="O503" i="2" s="1"/>
  <c r="P503" i="2" s="1"/>
  <c r="M503" i="2"/>
  <c r="N511" i="2"/>
  <c r="O511" i="2" s="1"/>
  <c r="P511" i="2" s="1"/>
  <c r="M511" i="2"/>
  <c r="N532" i="2"/>
  <c r="M532" i="2"/>
  <c r="M535" i="2"/>
  <c r="M545" i="2"/>
  <c r="M550" i="2"/>
  <c r="N553" i="2"/>
  <c r="O553" i="2" s="1"/>
  <c r="P553" i="2" s="1"/>
  <c r="M553" i="2"/>
  <c r="N559" i="2"/>
  <c r="O559" i="2" s="1"/>
  <c r="P559" i="2" s="1"/>
  <c r="N560" i="2"/>
  <c r="O560" i="2" s="1"/>
  <c r="P560" i="2" s="1"/>
  <c r="M562" i="2"/>
  <c r="M384" i="2"/>
  <c r="M385" i="2"/>
  <c r="N398" i="2"/>
  <c r="O398" i="2" s="1"/>
  <c r="P398" i="2" s="1"/>
  <c r="M398" i="2"/>
  <c r="N414" i="2"/>
  <c r="O414" i="2" s="1"/>
  <c r="P414" i="2" s="1"/>
  <c r="M414" i="2"/>
  <c r="M417" i="2"/>
  <c r="N430" i="2"/>
  <c r="O430" i="2" s="1"/>
  <c r="P430" i="2" s="1"/>
  <c r="M430" i="2"/>
  <c r="M433" i="2"/>
  <c r="M444" i="2"/>
  <c r="M448" i="2"/>
  <c r="M453" i="2"/>
  <c r="N523" i="2"/>
  <c r="O523" i="2" s="1"/>
  <c r="P523" i="2" s="1"/>
  <c r="M523" i="2"/>
  <c r="N542" i="2"/>
  <c r="O542" i="2" s="1"/>
  <c r="P542" i="2" s="1"/>
  <c r="N557" i="2"/>
  <c r="O557" i="2" s="1"/>
  <c r="P557" i="2" s="1"/>
  <c r="N573" i="2"/>
  <c r="O573" i="2" s="1"/>
  <c r="P573" i="2" s="1"/>
  <c r="N574" i="2"/>
  <c r="O574" i="2" s="1"/>
  <c r="P574" i="2" s="1"/>
  <c r="N575" i="2"/>
  <c r="O575" i="2" s="1"/>
  <c r="P575" i="2" s="1"/>
  <c r="N576" i="2"/>
  <c r="O576" i="2" s="1"/>
  <c r="P576" i="2" s="1"/>
  <c r="N613" i="2"/>
  <c r="O613" i="2" s="1"/>
  <c r="P613" i="2" s="1"/>
  <c r="N617" i="2"/>
  <c r="O617" i="2" s="1"/>
  <c r="P617" i="2" s="1"/>
  <c r="M527" i="2"/>
  <c r="N554" i="2"/>
  <c r="O554" i="2" s="1"/>
  <c r="P554" i="2" s="1"/>
  <c r="N556" i="2"/>
  <c r="O556" i="2" s="1"/>
  <c r="P556" i="2" s="1"/>
  <c r="N558" i="2"/>
  <c r="O558" i="2" s="1"/>
  <c r="P558" i="2" s="1"/>
  <c r="N564" i="2"/>
  <c r="O564" i="2" s="1"/>
  <c r="P564" i="2" s="1"/>
  <c r="N565" i="2"/>
  <c r="O565" i="2" s="1"/>
  <c r="P565" i="2" s="1"/>
  <c r="N566" i="2"/>
  <c r="O566" i="2" s="1"/>
  <c r="P566" i="2" s="1"/>
  <c r="N567" i="2"/>
  <c r="O567" i="2" s="1"/>
  <c r="P567" i="2" s="1"/>
  <c r="N568" i="2"/>
  <c r="O568" i="2" s="1"/>
  <c r="P568" i="2" s="1"/>
  <c r="N569" i="2"/>
  <c r="O569" i="2" s="1"/>
  <c r="P569" i="2" s="1"/>
  <c r="N570" i="2"/>
  <c r="O570" i="2" s="1"/>
  <c r="P570" i="2" s="1"/>
  <c r="N571" i="2"/>
  <c r="O571" i="2" s="1"/>
  <c r="P571" i="2" s="1"/>
  <c r="N594" i="2"/>
  <c r="O594" i="2" s="1"/>
  <c r="P594" i="2" s="1"/>
  <c r="N595" i="2"/>
  <c r="O595" i="2" s="1"/>
  <c r="P595" i="2" s="1"/>
  <c r="N596" i="2"/>
  <c r="O596" i="2" s="1"/>
  <c r="P596" i="2" s="1"/>
  <c r="N597" i="2"/>
  <c r="O597" i="2" s="1"/>
  <c r="P597" i="2" s="1"/>
  <c r="N598" i="2"/>
  <c r="O598" i="2" s="1"/>
  <c r="P598" i="2" s="1"/>
  <c r="N599" i="2"/>
  <c r="O599" i="2" s="1"/>
  <c r="P599" i="2" s="1"/>
  <c r="N600" i="2"/>
  <c r="O600" i="2" s="1"/>
  <c r="P600" i="2" s="1"/>
  <c r="N601" i="2"/>
  <c r="O601" i="2" s="1"/>
  <c r="P601" i="2" s="1"/>
  <c r="N602" i="2"/>
  <c r="O602" i="2" s="1"/>
  <c r="P602" i="2" s="1"/>
  <c r="N603" i="2"/>
  <c r="O603" i="2" s="1"/>
  <c r="P603" i="2" s="1"/>
  <c r="N604" i="2"/>
  <c r="O604" i="2" s="1"/>
  <c r="P604" i="2" s="1"/>
  <c r="N605" i="2"/>
  <c r="O605" i="2" s="1"/>
  <c r="P605" i="2" s="1"/>
  <c r="N606" i="2"/>
  <c r="O606" i="2" s="1"/>
  <c r="P606" i="2" s="1"/>
  <c r="N607" i="2"/>
  <c r="O607" i="2" s="1"/>
  <c r="P607" i="2" s="1"/>
  <c r="J711" i="2"/>
  <c r="M711" i="2" s="1"/>
  <c r="J713" i="2"/>
  <c r="M713" i="2" s="1"/>
  <c r="J715" i="2"/>
  <c r="M715" i="2" s="1"/>
  <c r="J717" i="2"/>
  <c r="M717" i="2" s="1"/>
  <c r="J719" i="2"/>
  <c r="M719" i="2" s="1"/>
  <c r="J721" i="2"/>
  <c r="M721" i="2" s="1"/>
  <c r="J723" i="2"/>
  <c r="M723" i="2" s="1"/>
  <c r="J725" i="2"/>
  <c r="M725" i="2" s="1"/>
  <c r="J727" i="2"/>
  <c r="M727" i="2" s="1"/>
  <c r="J729" i="2"/>
  <c r="M729" i="2" s="1"/>
  <c r="J731" i="2"/>
  <c r="M731" i="2" s="1"/>
  <c r="J733" i="2"/>
  <c r="M733" i="2" s="1"/>
  <c r="J735" i="2"/>
  <c r="M735" i="2" s="1"/>
  <c r="J756" i="2"/>
  <c r="M756" i="2" s="1"/>
  <c r="N766" i="2"/>
  <c r="O766" i="2" s="1"/>
  <c r="P766" i="2" s="1"/>
  <c r="M766" i="2"/>
  <c r="N545" i="2"/>
  <c r="O545" i="2" s="1"/>
  <c r="P545" i="2" s="1"/>
  <c r="N550" i="2"/>
  <c r="O550" i="2" s="1"/>
  <c r="P550" i="2" s="1"/>
  <c r="N552" i="2"/>
  <c r="O552" i="2" s="1"/>
  <c r="P552" i="2" s="1"/>
  <c r="N562" i="2"/>
  <c r="O562" i="2" s="1"/>
  <c r="P562" i="2" s="1"/>
  <c r="N622" i="2"/>
  <c r="O622" i="2" s="1"/>
  <c r="P622" i="2" s="1"/>
  <c r="J630" i="2"/>
  <c r="M630" i="2" s="1"/>
  <c r="N640" i="2"/>
  <c r="O640" i="2" s="1"/>
  <c r="P640" i="2" s="1"/>
  <c r="J748" i="2"/>
  <c r="M748" i="2" s="1"/>
  <c r="N641" i="2"/>
  <c r="O641" i="2" s="1"/>
  <c r="P641" i="2" s="1"/>
  <c r="N653" i="2"/>
  <c r="O653" i="2" s="1"/>
  <c r="P653" i="2" s="1"/>
  <c r="N654" i="2"/>
  <c r="O654" i="2" s="1"/>
  <c r="P654" i="2" s="1"/>
  <c r="N655" i="2"/>
  <c r="O655" i="2" s="1"/>
  <c r="P655" i="2" s="1"/>
  <c r="N659" i="2"/>
  <c r="O659" i="2" s="1"/>
  <c r="P659" i="2" s="1"/>
  <c r="N663" i="2"/>
  <c r="O663" i="2" s="1"/>
  <c r="P663" i="2" s="1"/>
  <c r="N667" i="2"/>
  <c r="O667" i="2" s="1"/>
  <c r="P667" i="2" s="1"/>
  <c r="N671" i="2"/>
  <c r="O671" i="2" s="1"/>
  <c r="P671" i="2" s="1"/>
  <c r="N675" i="2"/>
  <c r="O675" i="2" s="1"/>
  <c r="P675" i="2" s="1"/>
  <c r="N679" i="2"/>
  <c r="O679" i="2" s="1"/>
  <c r="P679" i="2" s="1"/>
  <c r="N683" i="2"/>
  <c r="O683" i="2" s="1"/>
  <c r="P683" i="2" s="1"/>
  <c r="N701" i="2"/>
  <c r="O701" i="2" s="1"/>
  <c r="P701" i="2" s="1"/>
  <c r="N702" i="2"/>
  <c r="O702" i="2" s="1"/>
  <c r="P702" i="2" s="1"/>
  <c r="N703" i="2"/>
  <c r="O703" i="2" s="1"/>
  <c r="P703" i="2" s="1"/>
  <c r="N704" i="2"/>
  <c r="O704" i="2" s="1"/>
  <c r="P704" i="2" s="1"/>
  <c r="N705" i="2"/>
  <c r="O705" i="2" s="1"/>
  <c r="P705" i="2" s="1"/>
  <c r="N706" i="2"/>
  <c r="O706" i="2" s="1"/>
  <c r="P706" i="2" s="1"/>
  <c r="N707" i="2"/>
  <c r="O707" i="2" s="1"/>
  <c r="P707" i="2" s="1"/>
  <c r="N708" i="2"/>
  <c r="O708" i="2" s="1"/>
  <c r="P708" i="2" s="1"/>
  <c r="N709" i="2"/>
  <c r="O709" i="2" s="1"/>
  <c r="P709" i="2" s="1"/>
  <c r="N710" i="2"/>
  <c r="O710" i="2" s="1"/>
  <c r="P710" i="2" s="1"/>
  <c r="N762" i="2"/>
  <c r="O762" i="2" s="1"/>
  <c r="P762" i="2" s="1"/>
  <c r="M762" i="2"/>
  <c r="M778" i="2"/>
  <c r="N778" i="2"/>
  <c r="O778" i="2" s="1"/>
  <c r="P778" i="2" s="1"/>
  <c r="N637" i="2"/>
  <c r="O637" i="2" s="1"/>
  <c r="P637" i="2" s="1"/>
  <c r="N648" i="2"/>
  <c r="O648" i="2" s="1"/>
  <c r="P648" i="2" s="1"/>
  <c r="N649" i="2"/>
  <c r="O649" i="2" s="1"/>
  <c r="P649" i="2" s="1"/>
  <c r="N650" i="2"/>
  <c r="O650" i="2" s="1"/>
  <c r="P650" i="2" s="1"/>
  <c r="N651" i="2"/>
  <c r="O651" i="2" s="1"/>
  <c r="P651" i="2" s="1"/>
  <c r="N690" i="2"/>
  <c r="O690" i="2" s="1"/>
  <c r="P690" i="2" s="1"/>
  <c r="N691" i="2"/>
  <c r="O691" i="2" s="1"/>
  <c r="P691" i="2" s="1"/>
  <c r="N692" i="2"/>
  <c r="O692" i="2" s="1"/>
  <c r="P692" i="2" s="1"/>
  <c r="N693" i="2"/>
  <c r="O693" i="2" s="1"/>
  <c r="P693" i="2" s="1"/>
  <c r="N694" i="2"/>
  <c r="O694" i="2" s="1"/>
  <c r="P694" i="2" s="1"/>
  <c r="N695" i="2"/>
  <c r="O695" i="2" s="1"/>
  <c r="P695" i="2" s="1"/>
  <c r="N696" i="2"/>
  <c r="O696" i="2" s="1"/>
  <c r="P696" i="2" s="1"/>
  <c r="N697" i="2"/>
  <c r="O697" i="2" s="1"/>
  <c r="P697" i="2" s="1"/>
  <c r="N698" i="2"/>
  <c r="O698" i="2" s="1"/>
  <c r="P698" i="2" s="1"/>
  <c r="N699" i="2"/>
  <c r="O699" i="2" s="1"/>
  <c r="P699" i="2" s="1"/>
  <c r="N700" i="2"/>
  <c r="O700" i="2" s="1"/>
  <c r="P700" i="2" s="1"/>
  <c r="M746" i="2"/>
  <c r="M754" i="2"/>
  <c r="N772" i="2"/>
  <c r="O772" i="2" s="1"/>
  <c r="P772" i="2" s="1"/>
  <c r="M772" i="2"/>
  <c r="J779" i="2"/>
  <c r="M779" i="2" s="1"/>
  <c r="N781" i="2"/>
  <c r="O781" i="2" s="1"/>
  <c r="P781" i="2" s="1"/>
  <c r="L781" i="2"/>
  <c r="M781" i="2" s="1"/>
  <c r="M814" i="2"/>
  <c r="N814" i="2"/>
  <c r="O814" i="2" s="1"/>
  <c r="P814" i="2" s="1"/>
  <c r="J885" i="2"/>
  <c r="M885" i="2" s="1"/>
  <c r="N747" i="2"/>
  <c r="O747" i="2" s="1"/>
  <c r="P747" i="2" s="1"/>
  <c r="M780" i="2"/>
  <c r="J783" i="2"/>
  <c r="M783" i="2" s="1"/>
  <c r="N790" i="2"/>
  <c r="O790" i="2" s="1"/>
  <c r="P790" i="2" s="1"/>
  <c r="M790" i="2"/>
  <c r="N794" i="2"/>
  <c r="O794" i="2" s="1"/>
  <c r="P794" i="2" s="1"/>
  <c r="M794" i="2"/>
  <c r="N798" i="2"/>
  <c r="O798" i="2" s="1"/>
  <c r="P798" i="2" s="1"/>
  <c r="M798" i="2"/>
  <c r="N802" i="2"/>
  <c r="O802" i="2" s="1"/>
  <c r="P802" i="2" s="1"/>
  <c r="M802" i="2"/>
  <c r="N806" i="2"/>
  <c r="O806" i="2" s="1"/>
  <c r="P806" i="2" s="1"/>
  <c r="M806" i="2"/>
  <c r="N810" i="2"/>
  <c r="O810" i="2" s="1"/>
  <c r="P810" i="2" s="1"/>
  <c r="M810" i="2"/>
  <c r="N819" i="2"/>
  <c r="O819" i="2" s="1"/>
  <c r="P819" i="2" s="1"/>
  <c r="M819" i="2"/>
  <c r="N861" i="2"/>
  <c r="O861" i="2" s="1"/>
  <c r="P861" i="2" s="1"/>
  <c r="M861" i="2"/>
  <c r="M738" i="2"/>
  <c r="M742" i="2"/>
  <c r="N786" i="2"/>
  <c r="O786" i="2" s="1"/>
  <c r="P786" i="2" s="1"/>
  <c r="L786" i="2"/>
  <c r="M786" i="2" s="1"/>
  <c r="N759" i="2"/>
  <c r="O759" i="2" s="1"/>
  <c r="P759" i="2" s="1"/>
  <c r="M763" i="2"/>
  <c r="M768" i="2"/>
  <c r="M773" i="2"/>
  <c r="M787" i="2"/>
  <c r="M791" i="2"/>
  <c r="M795" i="2"/>
  <c r="M799" i="2"/>
  <c r="M803" i="2"/>
  <c r="M807" i="2"/>
  <c r="N815" i="2"/>
  <c r="O815" i="2" s="1"/>
  <c r="P815" i="2" s="1"/>
  <c r="M815" i="2"/>
  <c r="N828" i="2"/>
  <c r="O828" i="2" s="1"/>
  <c r="P828" i="2" s="1"/>
  <c r="M828" i="2"/>
  <c r="N841" i="2"/>
  <c r="O841" i="2" s="1"/>
  <c r="P841" i="2" s="1"/>
  <c r="M841" i="2"/>
  <c r="N845" i="2"/>
  <c r="O845" i="2" s="1"/>
  <c r="P845" i="2" s="1"/>
  <c r="N855" i="2"/>
  <c r="O855" i="2" s="1"/>
  <c r="P855" i="2" s="1"/>
  <c r="M855" i="2"/>
  <c r="N880" i="2"/>
  <c r="O880" i="2" s="1"/>
  <c r="P880" i="2" s="1"/>
  <c r="M880" i="2"/>
  <c r="N893" i="2"/>
  <c r="O893" i="2" s="1"/>
  <c r="P893" i="2" s="1"/>
  <c r="M893" i="2"/>
  <c r="N895" i="2"/>
  <c r="O895" i="2" s="1"/>
  <c r="P895" i="2" s="1"/>
  <c r="M895" i="2"/>
  <c r="N906" i="2"/>
  <c r="O906" i="2" s="1"/>
  <c r="P906" i="2" s="1"/>
  <c r="N738" i="2"/>
  <c r="O738" i="2" s="1"/>
  <c r="P738" i="2" s="1"/>
  <c r="N742" i="2"/>
  <c r="O742" i="2" s="1"/>
  <c r="P742" i="2" s="1"/>
  <c r="N811" i="2"/>
  <c r="O811" i="2" s="1"/>
  <c r="P811" i="2" s="1"/>
  <c r="M811" i="2"/>
  <c r="N824" i="2"/>
  <c r="O824" i="2" s="1"/>
  <c r="P824" i="2" s="1"/>
  <c r="M824" i="2"/>
  <c r="M834" i="2"/>
  <c r="N837" i="2"/>
  <c r="O837" i="2" s="1"/>
  <c r="P837" i="2" s="1"/>
  <c r="M837" i="2"/>
  <c r="N847" i="2"/>
  <c r="O847" i="2" s="1"/>
  <c r="P847" i="2" s="1"/>
  <c r="M848" i="2"/>
  <c r="N851" i="2"/>
  <c r="O851" i="2" s="1"/>
  <c r="P851" i="2" s="1"/>
  <c r="M851" i="2"/>
  <c r="M868" i="2"/>
  <c r="N874" i="2"/>
  <c r="O874" i="2" s="1"/>
  <c r="P874" i="2" s="1"/>
  <c r="M874" i="2"/>
  <c r="M904" i="2"/>
  <c r="N905" i="2"/>
  <c r="O905" i="2" s="1"/>
  <c r="P905" i="2" s="1"/>
  <c r="M916" i="2"/>
  <c r="N833" i="2"/>
  <c r="O833" i="2" s="1"/>
  <c r="P833" i="2" s="1"/>
  <c r="M833" i="2"/>
  <c r="N846" i="2"/>
  <c r="O846" i="2" s="1"/>
  <c r="P846" i="2" s="1"/>
  <c r="M846" i="2"/>
  <c r="N862" i="2"/>
  <c r="O862" i="2" s="1"/>
  <c r="P862" i="2" s="1"/>
  <c r="N863" i="2"/>
  <c r="O863" i="2" s="1"/>
  <c r="P863" i="2" s="1"/>
  <c r="M864" i="2"/>
  <c r="N867" i="2"/>
  <c r="O867" i="2" s="1"/>
  <c r="P867" i="2" s="1"/>
  <c r="M867" i="2"/>
  <c r="M869" i="2"/>
  <c r="M870" i="2"/>
  <c r="N887" i="2"/>
  <c r="O887" i="2" s="1"/>
  <c r="P887" i="2" s="1"/>
  <c r="M899" i="2"/>
  <c r="N913" i="2"/>
  <c r="O913" i="2" s="1"/>
  <c r="P913" i="2" s="1"/>
  <c r="N822" i="2"/>
  <c r="O822" i="2" s="1"/>
  <c r="P822" i="2" s="1"/>
  <c r="N898" i="2"/>
  <c r="O898" i="2" s="1"/>
  <c r="P898" i="2" s="1"/>
  <c r="N903" i="2"/>
  <c r="O903" i="2" s="1"/>
  <c r="P903" i="2" s="1"/>
  <c r="N907" i="2"/>
  <c r="O907" i="2" s="1"/>
  <c r="P907" i="2" s="1"/>
  <c r="N911" i="2"/>
  <c r="O911" i="2" s="1"/>
  <c r="P911" i="2" s="1"/>
  <c r="N915" i="2"/>
  <c r="O915" i="2" s="1"/>
  <c r="P915" i="2" s="1"/>
  <c r="N935" i="2"/>
  <c r="O935" i="2" s="1"/>
  <c r="P935" i="2" s="1"/>
  <c r="M935" i="2"/>
  <c r="N942" i="2"/>
  <c r="O942" i="2" s="1"/>
  <c r="P942" i="2" s="1"/>
  <c r="M942" i="2"/>
  <c r="Q1022" i="2"/>
  <c r="R1022" i="2" s="1"/>
  <c r="U1022" i="2"/>
  <c r="N869" i="2"/>
  <c r="O869" i="2" s="1"/>
  <c r="P869" i="2" s="1"/>
  <c r="N870" i="2"/>
  <c r="O870" i="2" s="1"/>
  <c r="P870" i="2" s="1"/>
  <c r="N899" i="2"/>
  <c r="O899" i="2" s="1"/>
  <c r="P899" i="2" s="1"/>
  <c r="N904" i="2"/>
  <c r="O904" i="2" s="1"/>
  <c r="P904" i="2" s="1"/>
  <c r="N908" i="2"/>
  <c r="O908" i="2" s="1"/>
  <c r="P908" i="2" s="1"/>
  <c r="N916" i="2"/>
  <c r="O916" i="2" s="1"/>
  <c r="P916" i="2" s="1"/>
  <c r="N953" i="2"/>
  <c r="O953" i="2" s="1"/>
  <c r="P953" i="2" s="1"/>
  <c r="M953" i="2"/>
  <c r="N924" i="2"/>
  <c r="O924" i="2" s="1"/>
  <c r="P924" i="2" s="1"/>
  <c r="N926" i="2"/>
  <c r="O926" i="2" s="1"/>
  <c r="P926" i="2" s="1"/>
  <c r="N928" i="2"/>
  <c r="O928" i="2" s="1"/>
  <c r="P928" i="2" s="1"/>
  <c r="M946" i="2"/>
  <c r="N959" i="2"/>
  <c r="O959" i="2" s="1"/>
  <c r="P959" i="2" s="1"/>
  <c r="M959" i="2"/>
  <c r="M987" i="2"/>
  <c r="M991" i="2"/>
  <c r="N1005" i="2"/>
  <c r="O1005" i="2" s="1"/>
  <c r="P1005" i="2" s="1"/>
  <c r="M1005" i="2"/>
  <c r="N1033" i="2"/>
  <c r="O1033" i="2" s="1"/>
  <c r="P1033" i="2" s="1"/>
  <c r="M1033" i="2"/>
  <c r="N932" i="2"/>
  <c r="O932" i="2" s="1"/>
  <c r="P932" i="2" s="1"/>
  <c r="N933" i="2"/>
  <c r="O933" i="2" s="1"/>
  <c r="P933" i="2" s="1"/>
  <c r="N940" i="2"/>
  <c r="O940" i="2" s="1"/>
  <c r="P940" i="2" s="1"/>
  <c r="N949" i="2"/>
  <c r="O949" i="2" s="1"/>
  <c r="P949" i="2" s="1"/>
  <c r="N950" i="2"/>
  <c r="O950" i="2" s="1"/>
  <c r="P950" i="2" s="1"/>
  <c r="N951" i="2"/>
  <c r="O951" i="2" s="1"/>
  <c r="P951" i="2" s="1"/>
  <c r="N957" i="2"/>
  <c r="O957" i="2" s="1"/>
  <c r="P957" i="2" s="1"/>
  <c r="N1035" i="2"/>
  <c r="O1035" i="2" s="1"/>
  <c r="P1035" i="2" s="1"/>
  <c r="N945" i="2"/>
  <c r="O945" i="2" s="1"/>
  <c r="P945" i="2" s="1"/>
  <c r="N946" i="2"/>
  <c r="O946" i="2" s="1"/>
  <c r="P946" i="2" s="1"/>
  <c r="N947" i="2"/>
  <c r="O947" i="2" s="1"/>
  <c r="P947" i="2" s="1"/>
  <c r="N955" i="2"/>
  <c r="O955" i="2" s="1"/>
  <c r="P955" i="2" s="1"/>
  <c r="N986" i="2"/>
  <c r="O986" i="2" s="1"/>
  <c r="P986" i="2" s="1"/>
  <c r="N987" i="2"/>
  <c r="O987" i="2" s="1"/>
  <c r="P987" i="2" s="1"/>
  <c r="N988" i="2"/>
  <c r="O988" i="2" s="1"/>
  <c r="P988" i="2" s="1"/>
  <c r="N989" i="2"/>
  <c r="O989" i="2" s="1"/>
  <c r="P989" i="2" s="1"/>
  <c r="N990" i="2"/>
  <c r="O990" i="2" s="1"/>
  <c r="P990" i="2" s="1"/>
  <c r="N991" i="2"/>
  <c r="O991" i="2" s="1"/>
  <c r="P991" i="2" s="1"/>
  <c r="N992" i="2"/>
  <c r="O992" i="2" s="1"/>
  <c r="P992" i="2" s="1"/>
  <c r="N993" i="2"/>
  <c r="O993" i="2" s="1"/>
  <c r="P993" i="2" s="1"/>
  <c r="N1007" i="2"/>
  <c r="O1007" i="2" s="1"/>
  <c r="P1007" i="2" s="1"/>
  <c r="N1009" i="2"/>
  <c r="O1009" i="2" s="1"/>
  <c r="P1009" i="2" s="1"/>
  <c r="N1011" i="2"/>
  <c r="O1011" i="2" s="1"/>
  <c r="P1011" i="2" s="1"/>
  <c r="N1013" i="2"/>
  <c r="O1013" i="2" s="1"/>
  <c r="P1013" i="2" s="1"/>
  <c r="N1037" i="2"/>
  <c r="O1037" i="2" s="1"/>
  <c r="P1037" i="2" s="1"/>
  <c r="N1044" i="2"/>
  <c r="O1044" i="2" s="1"/>
  <c r="P1044" i="2" s="1"/>
  <c r="N1017" i="2"/>
  <c r="O1017" i="2" s="1"/>
  <c r="P1017" i="2" s="1"/>
  <c r="N1018" i="2"/>
  <c r="O1018" i="2" s="1"/>
  <c r="P1018" i="2" s="1"/>
  <c r="N1019" i="2"/>
  <c r="O1019" i="2" s="1"/>
  <c r="P1019" i="2" s="1"/>
  <c r="M1021" i="2"/>
  <c r="N1024" i="2"/>
  <c r="O1024" i="2" s="1"/>
  <c r="P1024" i="2" s="1"/>
  <c r="M1025" i="2"/>
  <c r="M1026" i="2"/>
  <c r="M1027" i="2"/>
  <c r="M1029" i="2"/>
  <c r="R24" i="1"/>
  <c r="AB42" i="1"/>
  <c r="V14" i="1"/>
  <c r="R6" i="1"/>
  <c r="AB5" i="1"/>
  <c r="AB14" i="1" s="1"/>
  <c r="AD16" i="1"/>
  <c r="AD42" i="1" s="1"/>
  <c r="G6" i="2" l="1"/>
  <c r="Q7" i="2"/>
  <c r="G7" i="2"/>
  <c r="V16" i="1"/>
  <c r="R30" i="1"/>
  <c r="S39" i="1" s="1"/>
  <c r="S40" i="1" s="1"/>
  <c r="R41" i="1" s="1"/>
  <c r="M687" i="2"/>
  <c r="M785" i="2"/>
  <c r="M750" i="2"/>
  <c r="M688" i="2"/>
  <c r="M760" i="2"/>
  <c r="N748" i="2"/>
  <c r="O748" i="2" s="1"/>
  <c r="P748" i="2" s="1"/>
  <c r="N735" i="2"/>
  <c r="O735" i="2" s="1"/>
  <c r="P735" i="2" s="1"/>
  <c r="N719" i="2"/>
  <c r="O719" i="2" s="1"/>
  <c r="P719" i="2" s="1"/>
  <c r="N711" i="2"/>
  <c r="O711" i="2" s="1"/>
  <c r="P711" i="2" s="1"/>
  <c r="N920" i="2"/>
  <c r="O920" i="2" s="1"/>
  <c r="P920" i="2" s="1"/>
  <c r="N666" i="2"/>
  <c r="O666" i="2" s="1"/>
  <c r="P666" i="2" s="1"/>
  <c r="N689" i="2"/>
  <c r="O689" i="2" s="1"/>
  <c r="P689" i="2" s="1"/>
  <c r="N727" i="2"/>
  <c r="O727" i="2" s="1"/>
  <c r="P727" i="2" s="1"/>
  <c r="N927" i="2"/>
  <c r="O927" i="2" s="1"/>
  <c r="P927" i="2" s="1"/>
  <c r="N883" i="2"/>
  <c r="O883" i="2" s="1"/>
  <c r="P883" i="2" s="1"/>
  <c r="N723" i="2"/>
  <c r="O723" i="2" s="1"/>
  <c r="P723" i="2" s="1"/>
  <c r="N962" i="2"/>
  <c r="O962" i="2" s="1"/>
  <c r="P962" i="2" s="1"/>
  <c r="N1000" i="2"/>
  <c r="O1000" i="2" s="1"/>
  <c r="P1000" i="2" s="1"/>
  <c r="N917" i="2"/>
  <c r="O917" i="2" s="1"/>
  <c r="P917" i="2" s="1"/>
  <c r="N633" i="2"/>
  <c r="O633" i="2" s="1"/>
  <c r="P633" i="2" s="1"/>
  <c r="N731" i="2"/>
  <c r="O731" i="2" s="1"/>
  <c r="P731" i="2" s="1"/>
  <c r="N715" i="2"/>
  <c r="O715" i="2" s="1"/>
  <c r="P715" i="2" s="1"/>
  <c r="N1015" i="2"/>
  <c r="O1015" i="2" s="1"/>
  <c r="P1015" i="2" s="1"/>
  <c r="N889" i="2"/>
  <c r="O889" i="2" s="1"/>
  <c r="P889" i="2" s="1"/>
  <c r="N996" i="2"/>
  <c r="O996" i="2" s="1"/>
  <c r="P996" i="2" s="1"/>
  <c r="N921" i="2"/>
  <c r="O921" i="2" s="1"/>
  <c r="P921" i="2" s="1"/>
  <c r="N585" i="2"/>
  <c r="O585" i="2" s="1"/>
  <c r="P585" i="2" s="1"/>
  <c r="N583" i="2"/>
  <c r="O583" i="2" s="1"/>
  <c r="P583" i="2" s="1"/>
  <c r="N1039" i="2"/>
  <c r="O1039" i="2" s="1"/>
  <c r="P1039" i="2" s="1"/>
  <c r="J20" i="1"/>
  <c r="N1014" i="2"/>
  <c r="O1014" i="2" s="1"/>
  <c r="P1014" i="2" s="1"/>
  <c r="N961" i="2"/>
  <c r="O961" i="2" s="1"/>
  <c r="P961" i="2" s="1"/>
  <c r="N912" i="2"/>
  <c r="O912" i="2" s="1"/>
  <c r="P912" i="2" s="1"/>
  <c r="N858" i="2"/>
  <c r="O858" i="2" s="1"/>
  <c r="P858" i="2" s="1"/>
  <c r="N1012" i="2"/>
  <c r="O1012" i="2" s="1"/>
  <c r="P1012" i="2" s="1"/>
  <c r="N923" i="2"/>
  <c r="O923" i="2" s="1"/>
  <c r="P923" i="2" s="1"/>
  <c r="N919" i="2"/>
  <c r="O919" i="2" s="1"/>
  <c r="P919" i="2" s="1"/>
  <c r="N872" i="2"/>
  <c r="O872" i="2" s="1"/>
  <c r="P872" i="2" s="1"/>
  <c r="N743" i="2"/>
  <c r="O743" i="2" s="1"/>
  <c r="P743" i="2" s="1"/>
  <c r="N658" i="2"/>
  <c r="O658" i="2" s="1"/>
  <c r="P658" i="2" s="1"/>
  <c r="N590" i="2"/>
  <c r="O590" i="2" s="1"/>
  <c r="P590" i="2" s="1"/>
  <c r="N670" i="2"/>
  <c r="O670" i="2" s="1"/>
  <c r="P670" i="2" s="1"/>
  <c r="N548" i="2"/>
  <c r="O548" i="2" s="1"/>
  <c r="P548" i="2" s="1"/>
  <c r="N756" i="2"/>
  <c r="O756" i="2" s="1"/>
  <c r="P756" i="2" s="1"/>
  <c r="N733" i="2"/>
  <c r="O733" i="2" s="1"/>
  <c r="P733" i="2" s="1"/>
  <c r="N729" i="2"/>
  <c r="O729" i="2" s="1"/>
  <c r="P729" i="2" s="1"/>
  <c r="N725" i="2"/>
  <c r="O725" i="2" s="1"/>
  <c r="P725" i="2" s="1"/>
  <c r="N721" i="2"/>
  <c r="O721" i="2" s="1"/>
  <c r="P721" i="2" s="1"/>
  <c r="N717" i="2"/>
  <c r="O717" i="2" s="1"/>
  <c r="P717" i="2" s="1"/>
  <c r="N713" i="2"/>
  <c r="O713" i="2" s="1"/>
  <c r="P713" i="2" s="1"/>
  <c r="N1020" i="2"/>
  <c r="O1020" i="2" s="1"/>
  <c r="P1020" i="2" s="1"/>
  <c r="N960" i="2"/>
  <c r="O960" i="2" s="1"/>
  <c r="P960" i="2" s="1"/>
  <c r="N891" i="2"/>
  <c r="O891" i="2" s="1"/>
  <c r="P891" i="2" s="1"/>
  <c r="N877" i="2"/>
  <c r="O877" i="2" s="1"/>
  <c r="P877" i="2" s="1"/>
  <c r="N1008" i="2"/>
  <c r="O1008" i="2" s="1"/>
  <c r="P1008" i="2" s="1"/>
  <c r="N922" i="2"/>
  <c r="O922" i="2" s="1"/>
  <c r="P922" i="2" s="1"/>
  <c r="N918" i="2"/>
  <c r="O918" i="2" s="1"/>
  <c r="P918" i="2" s="1"/>
  <c r="N682" i="2"/>
  <c r="O682" i="2" s="1"/>
  <c r="P682" i="2" s="1"/>
  <c r="N635" i="2"/>
  <c r="O635" i="2" s="1"/>
  <c r="P635" i="2" s="1"/>
  <c r="N589" i="2"/>
  <c r="O589" i="2" s="1"/>
  <c r="P589" i="2" s="1"/>
  <c r="N745" i="2"/>
  <c r="O745" i="2" s="1"/>
  <c r="P745" i="2" s="1"/>
  <c r="N662" i="2"/>
  <c r="O662" i="2" s="1"/>
  <c r="P662" i="2" s="1"/>
  <c r="N587" i="2"/>
  <c r="O587" i="2" s="1"/>
  <c r="P587" i="2" s="1"/>
  <c r="N963" i="2"/>
  <c r="O963" i="2" s="1"/>
  <c r="P963" i="2" s="1"/>
  <c r="N937" i="2"/>
  <c r="O937" i="2" s="1"/>
  <c r="P937" i="2" s="1"/>
  <c r="N890" i="2"/>
  <c r="O890" i="2" s="1"/>
  <c r="P890" i="2" s="1"/>
  <c r="N894" i="2"/>
  <c r="O894" i="2" s="1"/>
  <c r="P894" i="2" s="1"/>
  <c r="N674" i="2"/>
  <c r="O674" i="2" s="1"/>
  <c r="P674" i="2" s="1"/>
  <c r="N627" i="2"/>
  <c r="O627" i="2" s="1"/>
  <c r="P627" i="2" s="1"/>
  <c r="N739" i="2"/>
  <c r="O739" i="2" s="1"/>
  <c r="P739" i="2" s="1"/>
  <c r="N686" i="2"/>
  <c r="O686" i="2" s="1"/>
  <c r="P686" i="2" s="1"/>
  <c r="N859" i="2"/>
  <c r="O859" i="2" s="1"/>
  <c r="P859" i="2" s="1"/>
  <c r="N612" i="2"/>
  <c r="O612" i="2" s="1"/>
  <c r="P612" i="2" s="1"/>
  <c r="N581" i="2"/>
  <c r="O581" i="2" s="1"/>
  <c r="P581" i="2" s="1"/>
  <c r="N678" i="2"/>
  <c r="O678" i="2" s="1"/>
  <c r="P678" i="2" s="1"/>
  <c r="N616" i="2"/>
  <c r="O616" i="2" s="1"/>
  <c r="P616" i="2" s="1"/>
  <c r="N579" i="2"/>
  <c r="O579" i="2" s="1"/>
  <c r="P579" i="2" s="1"/>
  <c r="N783" i="2"/>
  <c r="O783" i="2" s="1"/>
  <c r="P783" i="2" s="1"/>
  <c r="N885" i="2"/>
  <c r="O885" i="2" s="1"/>
  <c r="P885" i="2" s="1"/>
  <c r="N779" i="2"/>
  <c r="O779" i="2" s="1"/>
  <c r="P779" i="2" s="1"/>
  <c r="N630" i="2"/>
  <c r="O630" i="2" s="1"/>
  <c r="P630" i="2" s="1"/>
  <c r="S5" i="1"/>
  <c r="O532" i="2"/>
  <c r="P532" i="2" s="1"/>
  <c r="G8" i="2" l="1"/>
  <c r="J16" i="1"/>
  <c r="Q8" i="2"/>
  <c r="R35" i="1"/>
  <c r="R3" i="1" l="1"/>
  <c r="J13" i="1"/>
  <c r="G9" i="2"/>
  <c r="Q6" i="2"/>
  <c r="Q9" i="2" l="1"/>
  <c r="G4" i="2" s="1"/>
  <c r="V18" i="1"/>
  <c r="V22" i="1" s="1"/>
  <c r="J17" i="1" l="1"/>
  <c r="J21" i="1" l="1"/>
  <c r="J15" i="1"/>
  <c r="J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Randha.kentama</author>
  </authors>
  <commentList>
    <comment ref="K428" authorId="0" shapeId="0" xr:uid="{00000000-0006-0000-0100-000001000000}">
      <text>
        <r>
          <rPr>
            <sz val="9"/>
            <color indexed="81"/>
            <rFont val="宋体"/>
            <charset val="134"/>
          </rPr>
          <t>Randha.kentama:
Pre Pertama 18 Nov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<sst xmlns="http://schemas.openxmlformats.org/spreadsheetml/2006/main" count="31794" uniqueCount="2777">
  <si>
    <t>Siap Drop</t>
  </si>
  <si>
    <t>PH SN</t>
  </si>
  <si>
    <t>History PS</t>
  </si>
  <si>
    <t>Tgl Siap Drop</t>
  </si>
  <si>
    <t>Belum Siap Drop</t>
  </si>
  <si>
    <t>Examini</t>
  </si>
  <si>
    <t>Pre</t>
  </si>
  <si>
    <t>Belum Drop</t>
  </si>
  <si>
    <t>022D</t>
  </si>
  <si>
    <t>Monitor Siap Tanam Nanas PG1</t>
  </si>
  <si>
    <t>022C</t>
  </si>
  <si>
    <t>052C</t>
  </si>
  <si>
    <t>Total</t>
  </si>
  <si>
    <t>Ha</t>
  </si>
  <si>
    <t>052D</t>
  </si>
  <si>
    <t>Sisa Proses Tanam</t>
  </si>
  <si>
    <t>Tgl Mulai Tanam</t>
  </si>
  <si>
    <t>052E</t>
  </si>
  <si>
    <t>Update Per</t>
  </si>
  <si>
    <t>009F</t>
  </si>
  <si>
    <t>071D1</t>
  </si>
  <si>
    <t>011B</t>
  </si>
  <si>
    <t>Excamini 70%</t>
  </si>
  <si>
    <t>075A</t>
  </si>
  <si>
    <t>015B</t>
  </si>
  <si>
    <t>Excamini 0%</t>
  </si>
  <si>
    <t>075F</t>
  </si>
  <si>
    <t>018D</t>
  </si>
  <si>
    <t>076H</t>
  </si>
  <si>
    <t>Total Siap Nanas</t>
  </si>
  <si>
    <t>020A</t>
  </si>
  <si>
    <t>098G</t>
  </si>
  <si>
    <t>- Siap Drop</t>
  </si>
  <si>
    <t>022B</t>
  </si>
  <si>
    <t>098H</t>
  </si>
  <si>
    <t>- SN Belum Siap Drop</t>
  </si>
  <si>
    <t>025G</t>
  </si>
  <si>
    <t>- Blm Pre Sudah Exca</t>
  </si>
  <si>
    <t>027C</t>
  </si>
  <si>
    <t>Excamini 50%</t>
  </si>
  <si>
    <t>* Kuning Berarti Masih Proses</t>
  </si>
  <si>
    <t>- Sudah Pre Blm Exca</t>
  </si>
  <si>
    <t>027F</t>
  </si>
  <si>
    <t>Real Tanam s.d</t>
  </si>
  <si>
    <t>- Blm Pre Blm Exca</t>
  </si>
  <si>
    <t>027K</t>
  </si>
  <si>
    <t>Hasil Tanam</t>
  </si>
  <si>
    <t>032D</t>
  </si>
  <si>
    <t>Excamini 60%</t>
  </si>
  <si>
    <t>Akum Tanam</t>
  </si>
  <si>
    <t>039E</t>
  </si>
  <si>
    <t>Excamini 85%</t>
  </si>
  <si>
    <t>- Belum Examini</t>
  </si>
  <si>
    <t>052G</t>
  </si>
  <si>
    <t>Target Tanam</t>
  </si>
  <si>
    <t>- Belum Pre</t>
  </si>
  <si>
    <t>055K</t>
  </si>
  <si>
    <t>Excamini 90%</t>
  </si>
  <si>
    <t>055K2</t>
  </si>
  <si>
    <t>Sisa Target</t>
  </si>
  <si>
    <t>* Total Siap Nanas = Sisa Proses Tanam + Belum Drop + Blm Exa + Blm Pre + Blm Pre &amp; Exa</t>
  </si>
  <si>
    <t>062G2</t>
  </si>
  <si>
    <t>067A</t>
  </si>
  <si>
    <t>069C5</t>
  </si>
  <si>
    <t>Stok Ridger</t>
  </si>
  <si>
    <t>Keterangan</t>
  </si>
  <si>
    <t>073A</t>
  </si>
  <si>
    <t>072F</t>
  </si>
  <si>
    <t>Saluran Hari Ini</t>
  </si>
  <si>
    <t>076I</t>
  </si>
  <si>
    <t>Excamini 20%</t>
  </si>
  <si>
    <t>083A1</t>
  </si>
  <si>
    <t>084D</t>
  </si>
  <si>
    <t>094C</t>
  </si>
  <si>
    <t>094H</t>
  </si>
  <si>
    <t>094B1</t>
  </si>
  <si>
    <t>095D</t>
  </si>
  <si>
    <t>097A1</t>
  </si>
  <si>
    <t>* Proses Tanam per</t>
  </si>
  <si>
    <t/>
  </si>
  <si>
    <t>Wil. Timur</t>
  </si>
  <si>
    <t>Wil. Barat</t>
  </si>
  <si>
    <t>Sub Total</t>
  </si>
  <si>
    <t>Monitor Siap Nanas PG1</t>
  </si>
  <si>
    <t>Total Lhn Siap Tnm</t>
  </si>
  <si>
    <t>Per</t>
  </si>
  <si>
    <t>Siap Tanam ( Sudah Pre + Examini )</t>
  </si>
  <si>
    <t>Siap Tanam ( Belum Pre + Examini )</t>
  </si>
  <si>
    <t>- Sudah Tanam Bulan Ini</t>
  </si>
  <si>
    <t>- Sisa Proses Tanam</t>
  </si>
  <si>
    <t>- Belum Pre dan examini</t>
  </si>
  <si>
    <t>* Kuning berarti Masih Proses</t>
  </si>
  <si>
    <t>* Total Siap Nanas = Sisa Proses Tanam + Siap Drop + Blm Exa + Blm Pre + Blm Pre &amp; Exa</t>
  </si>
  <si>
    <t>Wil.</t>
  </si>
  <si>
    <t>Lokasi</t>
  </si>
  <si>
    <t>Netto</t>
  </si>
  <si>
    <t>Ridger</t>
  </si>
  <si>
    <t>Jln &amp; Saluran</t>
  </si>
  <si>
    <t>Pree</t>
  </si>
  <si>
    <t>Selesai Tanam</t>
  </si>
  <si>
    <t>Tgl Selesai Tanam</t>
  </si>
  <si>
    <t>Luas Sudah Tanam All</t>
  </si>
  <si>
    <t>Tanam Bulan Ini</t>
  </si>
  <si>
    <t>Sisa lahan</t>
  </si>
  <si>
    <t>Tanam %</t>
  </si>
  <si>
    <t>W04</t>
  </si>
  <si>
    <t>028A</t>
  </si>
  <si>
    <t>W01</t>
  </si>
  <si>
    <t>020B</t>
  </si>
  <si>
    <t>W03</t>
  </si>
  <si>
    <t>048D</t>
  </si>
  <si>
    <t>W05</t>
  </si>
  <si>
    <t>070B4</t>
  </si>
  <si>
    <t>W02</t>
  </si>
  <si>
    <t>017D1</t>
  </si>
  <si>
    <t>029F4</t>
  </si>
  <si>
    <t>W06</t>
  </si>
  <si>
    <t>077E</t>
  </si>
  <si>
    <t>W07</t>
  </si>
  <si>
    <t>080C1</t>
  </si>
  <si>
    <t>013D</t>
  </si>
  <si>
    <t>019E2</t>
  </si>
  <si>
    <t>RnD</t>
  </si>
  <si>
    <t>032C</t>
  </si>
  <si>
    <t>061E1</t>
  </si>
  <si>
    <t>063E</t>
  </si>
  <si>
    <t>064C</t>
  </si>
  <si>
    <t>069B2</t>
  </si>
  <si>
    <t>070B3</t>
  </si>
  <si>
    <t>070D</t>
  </si>
  <si>
    <t>077B2</t>
  </si>
  <si>
    <t>080F</t>
  </si>
  <si>
    <t>080H</t>
  </si>
  <si>
    <t>029F3</t>
  </si>
  <si>
    <t>064B</t>
  </si>
  <si>
    <t>070E4</t>
  </si>
  <si>
    <t>078G</t>
  </si>
  <si>
    <t>061E2</t>
  </si>
  <si>
    <t>061G</t>
  </si>
  <si>
    <t>084B</t>
  </si>
  <si>
    <t>029C1</t>
  </si>
  <si>
    <t>029C2</t>
  </si>
  <si>
    <t>038D1</t>
  </si>
  <si>
    <t>037B</t>
  </si>
  <si>
    <t>082L</t>
  </si>
  <si>
    <t>054B2</t>
  </si>
  <si>
    <t>054B3</t>
  </si>
  <si>
    <t>093C</t>
  </si>
  <si>
    <t>024B</t>
  </si>
  <si>
    <t>024C</t>
  </si>
  <si>
    <t>056D1</t>
  </si>
  <si>
    <t>066Q</t>
  </si>
  <si>
    <t>017D2</t>
  </si>
  <si>
    <t>078C</t>
  </si>
  <si>
    <t>003D</t>
  </si>
  <si>
    <t>003E</t>
  </si>
  <si>
    <t>078D2</t>
  </si>
  <si>
    <t>003F</t>
  </si>
  <si>
    <t>089E</t>
  </si>
  <si>
    <t>089F</t>
  </si>
  <si>
    <t>069C3</t>
  </si>
  <si>
    <t>085I</t>
  </si>
  <si>
    <t>024A</t>
  </si>
  <si>
    <t>069A</t>
  </si>
  <si>
    <t>017K</t>
  </si>
  <si>
    <t>055A</t>
  </si>
  <si>
    <t>080E</t>
  </si>
  <si>
    <t>096G1</t>
  </si>
  <si>
    <t>070M1</t>
  </si>
  <si>
    <t>097B</t>
  </si>
  <si>
    <t>082B</t>
  </si>
  <si>
    <t>046D</t>
  </si>
  <si>
    <t>070L1</t>
  </si>
  <si>
    <t>090A</t>
  </si>
  <si>
    <t>031E</t>
  </si>
  <si>
    <t>092E</t>
  </si>
  <si>
    <t>093A</t>
  </si>
  <si>
    <t>090B</t>
  </si>
  <si>
    <t>097F</t>
  </si>
  <si>
    <t>097G</t>
  </si>
  <si>
    <t>086A1</t>
  </si>
  <si>
    <t>013G</t>
  </si>
  <si>
    <t>086D</t>
  </si>
  <si>
    <t>092A</t>
  </si>
  <si>
    <t>019B</t>
  </si>
  <si>
    <t>086B</t>
  </si>
  <si>
    <t>092B</t>
  </si>
  <si>
    <t>088D</t>
  </si>
  <si>
    <t>026G</t>
  </si>
  <si>
    <t>092C1</t>
  </si>
  <si>
    <t>092C3</t>
  </si>
  <si>
    <t>100B</t>
  </si>
  <si>
    <t>026F</t>
  </si>
  <si>
    <t>012C</t>
  </si>
  <si>
    <t>002B</t>
  </si>
  <si>
    <t>065D</t>
  </si>
  <si>
    <t>092D</t>
  </si>
  <si>
    <t>090G</t>
  </si>
  <si>
    <t>003B</t>
  </si>
  <si>
    <t>019G</t>
  </si>
  <si>
    <t>007D</t>
  </si>
  <si>
    <t>003C</t>
  </si>
  <si>
    <t>079E</t>
  </si>
  <si>
    <t>070H</t>
  </si>
  <si>
    <t>002C</t>
  </si>
  <si>
    <t>003G</t>
  </si>
  <si>
    <t>091E</t>
  </si>
  <si>
    <t>071C</t>
  </si>
  <si>
    <t>100C</t>
  </si>
  <si>
    <t>004G</t>
  </si>
  <si>
    <t>009B</t>
  </si>
  <si>
    <t>003H</t>
  </si>
  <si>
    <t>067B</t>
  </si>
  <si>
    <t>003I</t>
  </si>
  <si>
    <t>070A</t>
  </si>
  <si>
    <t>095C</t>
  </si>
  <si>
    <t>037D</t>
  </si>
  <si>
    <t>046P</t>
  </si>
  <si>
    <t>038B</t>
  </si>
  <si>
    <t>027A1</t>
  </si>
  <si>
    <t>018G</t>
  </si>
  <si>
    <t>030E</t>
  </si>
  <si>
    <t>007F</t>
  </si>
  <si>
    <t>008F</t>
  </si>
  <si>
    <t>018C2</t>
  </si>
  <si>
    <t>093H</t>
  </si>
  <si>
    <t>009D</t>
  </si>
  <si>
    <t>091F</t>
  </si>
  <si>
    <t>024F</t>
  </si>
  <si>
    <t>098C</t>
  </si>
  <si>
    <t>005B</t>
  </si>
  <si>
    <t>024K</t>
  </si>
  <si>
    <t>025A</t>
  </si>
  <si>
    <t>083H</t>
  </si>
  <si>
    <t>038F</t>
  </si>
  <si>
    <t>038F1</t>
  </si>
  <si>
    <t>042F</t>
  </si>
  <si>
    <t>042F1</t>
  </si>
  <si>
    <t>030H1</t>
  </si>
  <si>
    <t>048B</t>
  </si>
  <si>
    <t>030H</t>
  </si>
  <si>
    <t>038A</t>
  </si>
  <si>
    <t>030A1</t>
  </si>
  <si>
    <t>027A</t>
  </si>
  <si>
    <t>047F1</t>
  </si>
  <si>
    <t>007E</t>
  </si>
  <si>
    <t>019D</t>
  </si>
  <si>
    <t>048I</t>
  </si>
  <si>
    <t>080B1</t>
  </si>
  <si>
    <t>029A</t>
  </si>
  <si>
    <t>072C</t>
  </si>
  <si>
    <t>025C</t>
  </si>
  <si>
    <t>017B</t>
  </si>
  <si>
    <t>026H</t>
  </si>
  <si>
    <t>062F</t>
  </si>
  <si>
    <t>024G</t>
  </si>
  <si>
    <t>062F1</t>
  </si>
  <si>
    <t>080C</t>
  </si>
  <si>
    <t>079D</t>
  </si>
  <si>
    <t>049A</t>
  </si>
  <si>
    <t>079F</t>
  </si>
  <si>
    <t>017J1</t>
  </si>
  <si>
    <t>076B</t>
  </si>
  <si>
    <t>097H</t>
  </si>
  <si>
    <t>023B</t>
  </si>
  <si>
    <t>023D</t>
  </si>
  <si>
    <t>072D</t>
  </si>
  <si>
    <t>084C1</t>
  </si>
  <si>
    <t>023C</t>
  </si>
  <si>
    <t>082J</t>
  </si>
  <si>
    <t>025B</t>
  </si>
  <si>
    <t>018A</t>
  </si>
  <si>
    <t>012F</t>
  </si>
  <si>
    <t>078A</t>
  </si>
  <si>
    <t>072B</t>
  </si>
  <si>
    <t>Project</t>
  </si>
  <si>
    <t>002A</t>
  </si>
  <si>
    <t>064A</t>
  </si>
  <si>
    <t>078J</t>
  </si>
  <si>
    <t>078I</t>
  </si>
  <si>
    <t>077A</t>
  </si>
  <si>
    <t>078B</t>
  </si>
  <si>
    <t>007A</t>
  </si>
  <si>
    <t>085D</t>
  </si>
  <si>
    <t>069C</t>
  </si>
  <si>
    <t>085C</t>
  </si>
  <si>
    <t>085E</t>
  </si>
  <si>
    <t>078E</t>
  </si>
  <si>
    <t>017I</t>
  </si>
  <si>
    <t>020C</t>
  </si>
  <si>
    <t>048F</t>
  </si>
  <si>
    <t>024D</t>
  </si>
  <si>
    <t>080D</t>
  </si>
  <si>
    <t>056D</t>
  </si>
  <si>
    <t>056B</t>
  </si>
  <si>
    <t>038D</t>
  </si>
  <si>
    <t>056C</t>
  </si>
  <si>
    <t>065A</t>
  </si>
  <si>
    <t>017F</t>
  </si>
  <si>
    <t>056A</t>
  </si>
  <si>
    <t>009A</t>
  </si>
  <si>
    <t>070E3</t>
  </si>
  <si>
    <t>014I1</t>
  </si>
  <si>
    <t>077B1</t>
  </si>
  <si>
    <t>077B</t>
  </si>
  <si>
    <t>034A</t>
  </si>
  <si>
    <t>020D</t>
  </si>
  <si>
    <t>014B</t>
  </si>
  <si>
    <t>048K</t>
  </si>
  <si>
    <t>029F</t>
  </si>
  <si>
    <t>077D</t>
  </si>
  <si>
    <t>089D1</t>
  </si>
  <si>
    <t>029C</t>
  </si>
  <si>
    <t>063G</t>
  </si>
  <si>
    <t>100A</t>
  </si>
  <si>
    <t>093G</t>
  </si>
  <si>
    <t>093D</t>
  </si>
  <si>
    <t>054D</t>
  </si>
  <si>
    <t>030C1</t>
  </si>
  <si>
    <t>017D9</t>
  </si>
  <si>
    <t>054E</t>
  </si>
  <si>
    <t>010C</t>
  </si>
  <si>
    <t>054C</t>
  </si>
  <si>
    <t>098F</t>
  </si>
  <si>
    <t>099G</t>
  </si>
  <si>
    <t>005D</t>
  </si>
  <si>
    <t>003A</t>
  </si>
  <si>
    <t>005A</t>
  </si>
  <si>
    <t>014C</t>
  </si>
  <si>
    <t>018C</t>
  </si>
  <si>
    <t>027I</t>
  </si>
  <si>
    <t>099F</t>
  </si>
  <si>
    <t>009C</t>
  </si>
  <si>
    <t>009E</t>
  </si>
  <si>
    <t>049E</t>
  </si>
  <si>
    <t>061C2</t>
  </si>
  <si>
    <t>084A</t>
  </si>
  <si>
    <t>052B</t>
  </si>
  <si>
    <t>027H</t>
  </si>
  <si>
    <t>075H</t>
  </si>
  <si>
    <t>025F</t>
  </si>
  <si>
    <t>017C</t>
  </si>
  <si>
    <t>049B</t>
  </si>
  <si>
    <t>049F</t>
  </si>
  <si>
    <t>049H</t>
  </si>
  <si>
    <t>075E</t>
  </si>
  <si>
    <t>099E</t>
  </si>
  <si>
    <t>017H</t>
  </si>
  <si>
    <t>017A</t>
  </si>
  <si>
    <t>091A</t>
  </si>
  <si>
    <t>070B1</t>
  </si>
  <si>
    <t>091C</t>
  </si>
  <si>
    <t>017L</t>
  </si>
  <si>
    <t>068A</t>
  </si>
  <si>
    <t>062I</t>
  </si>
  <si>
    <t>062A3</t>
  </si>
  <si>
    <t>047E</t>
  </si>
  <si>
    <t>083J</t>
  </si>
  <si>
    <t>083B</t>
  </si>
  <si>
    <t>072L</t>
  </si>
  <si>
    <t>055F1</t>
  </si>
  <si>
    <t>033A</t>
  </si>
  <si>
    <t>066H1</t>
  </si>
  <si>
    <t>055E</t>
  </si>
  <si>
    <t>033D</t>
  </si>
  <si>
    <t>056G</t>
  </si>
  <si>
    <t>082G</t>
  </si>
  <si>
    <t>001D</t>
  </si>
  <si>
    <t>033C</t>
  </si>
  <si>
    <t>047I</t>
  </si>
  <si>
    <t>027J</t>
  </si>
  <si>
    <t>066B</t>
  </si>
  <si>
    <t>066G1</t>
  </si>
  <si>
    <t>082C</t>
  </si>
  <si>
    <t>005C</t>
  </si>
  <si>
    <t>061A</t>
  </si>
  <si>
    <t>027D</t>
  </si>
  <si>
    <t>082C1</t>
  </si>
  <si>
    <t>084F</t>
  </si>
  <si>
    <t>073C</t>
  </si>
  <si>
    <t>073E</t>
  </si>
  <si>
    <t>085H1</t>
  </si>
  <si>
    <t>047J1</t>
  </si>
  <si>
    <t>047K1</t>
  </si>
  <si>
    <t>067D</t>
  </si>
  <si>
    <t>067E</t>
  </si>
  <si>
    <t>012B</t>
  </si>
  <si>
    <t>010B</t>
  </si>
  <si>
    <t>093E</t>
  </si>
  <si>
    <t>003J</t>
  </si>
  <si>
    <t>067G</t>
  </si>
  <si>
    <t>066G</t>
  </si>
  <si>
    <t>096J</t>
  </si>
  <si>
    <t>067C</t>
  </si>
  <si>
    <t>062I1</t>
  </si>
  <si>
    <t>069D1</t>
  </si>
  <si>
    <t>066Q2</t>
  </si>
  <si>
    <t>073L</t>
  </si>
  <si>
    <t>088C3</t>
  </si>
  <si>
    <t>066T</t>
  </si>
  <si>
    <t>026B</t>
  </si>
  <si>
    <t>062A1</t>
  </si>
  <si>
    <t>050D</t>
  </si>
  <si>
    <t>026A</t>
  </si>
  <si>
    <t>050A</t>
  </si>
  <si>
    <t>034D</t>
  </si>
  <si>
    <t>072H1</t>
  </si>
  <si>
    <t>073F</t>
  </si>
  <si>
    <t>004K</t>
  </si>
  <si>
    <t>073B</t>
  </si>
  <si>
    <t>029G</t>
  </si>
  <si>
    <t>078F</t>
  </si>
  <si>
    <t>084G</t>
  </si>
  <si>
    <t>072A</t>
  </si>
  <si>
    <t>004I</t>
  </si>
  <si>
    <t>068B</t>
  </si>
  <si>
    <t>038C</t>
  </si>
  <si>
    <t>075B</t>
  </si>
  <si>
    <t>070C</t>
  </si>
  <si>
    <t>085H</t>
  </si>
  <si>
    <t>073D1</t>
  </si>
  <si>
    <t>085A</t>
  </si>
  <si>
    <t>074D</t>
  </si>
  <si>
    <t>097D1</t>
  </si>
  <si>
    <t>034C</t>
  </si>
  <si>
    <t>008F9</t>
  </si>
  <si>
    <t>055H</t>
  </si>
  <si>
    <t>037C2</t>
  </si>
  <si>
    <t>074C</t>
  </si>
  <si>
    <t>037E</t>
  </si>
  <si>
    <t>068C</t>
  </si>
  <si>
    <t>074B</t>
  </si>
  <si>
    <t>075C</t>
  </si>
  <si>
    <t>082A</t>
  </si>
  <si>
    <t>061C</t>
  </si>
  <si>
    <t>090C</t>
  </si>
  <si>
    <t>055I</t>
  </si>
  <si>
    <t>055C</t>
  </si>
  <si>
    <t>090D</t>
  </si>
  <si>
    <t>025E</t>
  </si>
  <si>
    <t>024I</t>
  </si>
  <si>
    <t>016B</t>
  </si>
  <si>
    <t>074A</t>
  </si>
  <si>
    <t>090E</t>
  </si>
  <si>
    <t>083F</t>
  </si>
  <si>
    <t>063A</t>
  </si>
  <si>
    <t>082H</t>
  </si>
  <si>
    <t>074G</t>
  </si>
  <si>
    <t>082I</t>
  </si>
  <si>
    <t>099B1</t>
  </si>
  <si>
    <t>022A</t>
  </si>
  <si>
    <t>063B</t>
  </si>
  <si>
    <t>050C1</t>
  </si>
  <si>
    <t>048C</t>
  </si>
  <si>
    <t>074H1</t>
  </si>
  <si>
    <t>074F</t>
  </si>
  <si>
    <t>099B</t>
  </si>
  <si>
    <t>026D</t>
  </si>
  <si>
    <t>059D</t>
  </si>
  <si>
    <t>034E1</t>
  </si>
  <si>
    <t>027G</t>
  </si>
  <si>
    <t>055F</t>
  </si>
  <si>
    <t>057D</t>
  </si>
  <si>
    <t>093B</t>
  </si>
  <si>
    <t>099A</t>
  </si>
  <si>
    <t>018F</t>
  </si>
  <si>
    <t>028C</t>
  </si>
  <si>
    <t>076A5</t>
  </si>
  <si>
    <t>074E</t>
  </si>
  <si>
    <t>076E2</t>
  </si>
  <si>
    <t>088C2</t>
  </si>
  <si>
    <t>059C</t>
  </si>
  <si>
    <t>039C</t>
  </si>
  <si>
    <t>056F</t>
  </si>
  <si>
    <t>095B</t>
  </si>
  <si>
    <t>056F1</t>
  </si>
  <si>
    <t>079C</t>
  </si>
  <si>
    <t>072G</t>
  </si>
  <si>
    <t>077C1</t>
  </si>
  <si>
    <t>020G</t>
  </si>
  <si>
    <t>038E</t>
  </si>
  <si>
    <t>070G</t>
  </si>
  <si>
    <t>004J2</t>
  </si>
  <si>
    <t>088A</t>
  </si>
  <si>
    <t>060C</t>
  </si>
  <si>
    <t>088B</t>
  </si>
  <si>
    <t>021A</t>
  </si>
  <si>
    <t>071A</t>
  </si>
  <si>
    <t>077C</t>
  </si>
  <si>
    <t>021E</t>
  </si>
  <si>
    <t>032E</t>
  </si>
  <si>
    <t>076D</t>
  </si>
  <si>
    <t>032A</t>
  </si>
  <si>
    <t>021F</t>
  </si>
  <si>
    <t>032B</t>
  </si>
  <si>
    <t>010A</t>
  </si>
  <si>
    <t>033B2</t>
  </si>
  <si>
    <t>076E1</t>
  </si>
  <si>
    <t>028Q</t>
  </si>
  <si>
    <t>098M</t>
  </si>
  <si>
    <t>006D</t>
  </si>
  <si>
    <t>017M</t>
  </si>
  <si>
    <t>033B1</t>
  </si>
  <si>
    <t>031B</t>
  </si>
  <si>
    <t>098M1</t>
  </si>
  <si>
    <t>066A</t>
  </si>
  <si>
    <t>039C2</t>
  </si>
  <si>
    <t>076E</t>
  </si>
  <si>
    <t>049C3</t>
  </si>
  <si>
    <t>006F</t>
  </si>
  <si>
    <t>051A</t>
  </si>
  <si>
    <t>097C</t>
  </si>
  <si>
    <t>070J</t>
  </si>
  <si>
    <t>083E</t>
  </si>
  <si>
    <t>006E</t>
  </si>
  <si>
    <t>006G</t>
  </si>
  <si>
    <t>049C1</t>
  </si>
  <si>
    <t>016A</t>
  </si>
  <si>
    <t>049C2</t>
  </si>
  <si>
    <t>026C</t>
  </si>
  <si>
    <t>094F</t>
  </si>
  <si>
    <t>047A</t>
  </si>
  <si>
    <t>028P</t>
  </si>
  <si>
    <t>083C</t>
  </si>
  <si>
    <t>016B1</t>
  </si>
  <si>
    <t>011A</t>
  </si>
  <si>
    <t>028P1</t>
  </si>
  <si>
    <t>020H</t>
  </si>
  <si>
    <t>069E</t>
  </si>
  <si>
    <t>086C</t>
  </si>
  <si>
    <t>028Q1</t>
  </si>
  <si>
    <t>046E</t>
  </si>
  <si>
    <t>083A</t>
  </si>
  <si>
    <t>004H</t>
  </si>
  <si>
    <t>048A</t>
  </si>
  <si>
    <t>047C</t>
  </si>
  <si>
    <t>012E</t>
  </si>
  <si>
    <t>094I9</t>
  </si>
  <si>
    <t>094D</t>
  </si>
  <si>
    <t>096I</t>
  </si>
  <si>
    <t>076C1</t>
  </si>
  <si>
    <t>004F</t>
  </si>
  <si>
    <t>057E</t>
  </si>
  <si>
    <t>023E</t>
  </si>
  <si>
    <t>023A</t>
  </si>
  <si>
    <t>066L</t>
  </si>
  <si>
    <t>079B</t>
  </si>
  <si>
    <t>055D</t>
  </si>
  <si>
    <t>049D</t>
  </si>
  <si>
    <t>021E1</t>
  </si>
  <si>
    <t>057B</t>
  </si>
  <si>
    <t>021C</t>
  </si>
  <si>
    <t>089C</t>
  </si>
  <si>
    <t>015B1</t>
  </si>
  <si>
    <t>075G</t>
  </si>
  <si>
    <t>068D</t>
  </si>
  <si>
    <t>075I</t>
  </si>
  <si>
    <t>021B</t>
  </si>
  <si>
    <t>021D</t>
  </si>
  <si>
    <t>073A1</t>
  </si>
  <si>
    <t>089B</t>
  </si>
  <si>
    <t>071B</t>
  </si>
  <si>
    <t>015A</t>
  </si>
  <si>
    <t>083D</t>
  </si>
  <si>
    <t>047D</t>
  </si>
  <si>
    <t>042D</t>
  </si>
  <si>
    <t>063I</t>
  </si>
  <si>
    <t>052I</t>
  </si>
  <si>
    <t>079A1</t>
  </si>
  <si>
    <t>052A</t>
  </si>
  <si>
    <t>060A</t>
  </si>
  <si>
    <t>095J</t>
  </si>
  <si>
    <t>097D</t>
  </si>
  <si>
    <t>025D</t>
  </si>
  <si>
    <t>095H</t>
  </si>
  <si>
    <t>079A</t>
  </si>
  <si>
    <t>085G</t>
  </si>
  <si>
    <t>057A</t>
  </si>
  <si>
    <t>095A</t>
  </si>
  <si>
    <t>094E</t>
  </si>
  <si>
    <t>089A</t>
  </si>
  <si>
    <t>028E</t>
  </si>
  <si>
    <t>030B</t>
  </si>
  <si>
    <t>014E</t>
  </si>
  <si>
    <t>086A</t>
  </si>
  <si>
    <t>004A</t>
  </si>
  <si>
    <t>086A2</t>
  </si>
  <si>
    <t>086E</t>
  </si>
  <si>
    <t>062K9</t>
  </si>
  <si>
    <t>096H</t>
  </si>
  <si>
    <t>098B1</t>
  </si>
  <si>
    <t>092G</t>
  </si>
  <si>
    <t>014F</t>
  </si>
  <si>
    <t>048G</t>
  </si>
  <si>
    <t>052F</t>
  </si>
  <si>
    <t>094A</t>
  </si>
  <si>
    <t>097M</t>
  </si>
  <si>
    <t>098E</t>
  </si>
  <si>
    <t>004M3</t>
  </si>
  <si>
    <t>018D2</t>
  </si>
  <si>
    <t>098D</t>
  </si>
  <si>
    <t>052H</t>
  </si>
  <si>
    <t>008C2</t>
  </si>
  <si>
    <t>028B</t>
  </si>
  <si>
    <t>070I</t>
  </si>
  <si>
    <t>067F</t>
  </si>
  <si>
    <t>028D</t>
  </si>
  <si>
    <t>008C</t>
  </si>
  <si>
    <t>071B2</t>
  </si>
  <si>
    <t>037A</t>
  </si>
  <si>
    <t>030A4</t>
  </si>
  <si>
    <t>008E2</t>
  </si>
  <si>
    <t>095G</t>
  </si>
  <si>
    <t>008D2</t>
  </si>
  <si>
    <t>030A3</t>
  </si>
  <si>
    <t>008E1</t>
  </si>
  <si>
    <t>071D</t>
  </si>
  <si>
    <t>045C3</t>
  </si>
  <si>
    <t>045C4</t>
  </si>
  <si>
    <t>097A</t>
  </si>
  <si>
    <t>078L</t>
  </si>
  <si>
    <t>071B1</t>
  </si>
  <si>
    <t>029E</t>
  </si>
  <si>
    <t>078M</t>
  </si>
  <si>
    <t>076F</t>
  </si>
  <si>
    <t>045D</t>
  </si>
  <si>
    <t>007E1</t>
  </si>
  <si>
    <t>094G</t>
  </si>
  <si>
    <t>031A2</t>
  </si>
  <si>
    <t>076C</t>
  </si>
  <si>
    <t>076F3</t>
  </si>
  <si>
    <t>007E2</t>
  </si>
  <si>
    <t>092E2</t>
  </si>
  <si>
    <t>091G</t>
  </si>
  <si>
    <t>092E1</t>
  </si>
  <si>
    <t>098I</t>
  </si>
  <si>
    <t>004J</t>
  </si>
  <si>
    <t>092F</t>
  </si>
  <si>
    <t>098I1</t>
  </si>
  <si>
    <t>029E2</t>
  </si>
  <si>
    <t>029E3</t>
  </si>
  <si>
    <t>084H</t>
  </si>
  <si>
    <t>095F</t>
  </si>
  <si>
    <t>001A</t>
  </si>
  <si>
    <t>045F2</t>
  </si>
  <si>
    <t>099D</t>
  </si>
  <si>
    <t>013A</t>
  </si>
  <si>
    <t>057B1</t>
  </si>
  <si>
    <t>084E</t>
  </si>
  <si>
    <t>099C</t>
  </si>
  <si>
    <t>098A1</t>
  </si>
  <si>
    <t>045F1</t>
  </si>
  <si>
    <t>007F5</t>
  </si>
  <si>
    <t>091H</t>
  </si>
  <si>
    <t>007F3</t>
  </si>
  <si>
    <t>026E</t>
  </si>
  <si>
    <t>042F2</t>
  </si>
  <si>
    <t>092I</t>
  </si>
  <si>
    <t>007F4</t>
  </si>
  <si>
    <t>092H</t>
  </si>
  <si>
    <t>020F1</t>
  </si>
  <si>
    <t>001B1</t>
  </si>
  <si>
    <t>020F2</t>
  </si>
  <si>
    <t>042F3</t>
  </si>
  <si>
    <t>095E</t>
  </si>
  <si>
    <t>079J</t>
  </si>
  <si>
    <t>008A</t>
  </si>
  <si>
    <t>038D3</t>
  </si>
  <si>
    <t>038D4</t>
  </si>
  <si>
    <t>079I</t>
  </si>
  <si>
    <t>029A2</t>
  </si>
  <si>
    <t>029A3</t>
  </si>
  <si>
    <t>002CS</t>
  </si>
  <si>
    <t>017B2</t>
  </si>
  <si>
    <t>017B1</t>
  </si>
  <si>
    <t>076J</t>
  </si>
  <si>
    <t>004D</t>
  </si>
  <si>
    <t>076B2</t>
  </si>
  <si>
    <t>004E</t>
  </si>
  <si>
    <t>001B2</t>
  </si>
  <si>
    <t>072B1</t>
  </si>
  <si>
    <t>004B</t>
  </si>
  <si>
    <t>050B2B</t>
  </si>
  <si>
    <t>013F</t>
  </si>
  <si>
    <t>072B2</t>
  </si>
  <si>
    <t>013B</t>
  </si>
  <si>
    <t>013C</t>
  </si>
  <si>
    <t>069C6</t>
  </si>
  <si>
    <t>014D</t>
  </si>
  <si>
    <t>054B1</t>
  </si>
  <si>
    <t>013G2</t>
  </si>
  <si>
    <t>044A3</t>
  </si>
  <si>
    <t>057C</t>
  </si>
  <si>
    <t>001C</t>
  </si>
  <si>
    <t>044A2</t>
  </si>
  <si>
    <t>013B1</t>
  </si>
  <si>
    <t>078E2</t>
  </si>
  <si>
    <t>009G1</t>
  </si>
  <si>
    <t>099K</t>
  </si>
  <si>
    <t>099L</t>
  </si>
  <si>
    <t>019E1</t>
  </si>
  <si>
    <t>072D1</t>
  </si>
  <si>
    <t>054A</t>
  </si>
  <si>
    <t>056E</t>
  </si>
  <si>
    <t>010C1</t>
  </si>
  <si>
    <t>072D2</t>
  </si>
  <si>
    <t>010C2</t>
  </si>
  <si>
    <t>028A1</t>
  </si>
  <si>
    <t>063G2</t>
  </si>
  <si>
    <t>077D1</t>
  </si>
  <si>
    <t>063G3</t>
  </si>
  <si>
    <t>Jenis Bibit</t>
  </si>
  <si>
    <t>Kelas Bibit</t>
  </si>
  <si>
    <t>Luas Sudah Tanam</t>
  </si>
  <si>
    <t>Sisa Blm Tanam</t>
  </si>
  <si>
    <t>Percent Excamini</t>
  </si>
  <si>
    <t>Prioritas Excamini</t>
  </si>
  <si>
    <t>Proses Tanam</t>
  </si>
  <si>
    <t>Kecil</t>
  </si>
  <si>
    <t>Sucker</t>
  </si>
  <si>
    <t>Siap Tanam</t>
  </si>
  <si>
    <t>Proses Siap Tanam</t>
  </si>
  <si>
    <t>Tunggu Bero</t>
  </si>
  <si>
    <t>Unit Rusak</t>
  </si>
  <si>
    <t>Proses Tutup Parit</t>
  </si>
  <si>
    <t>Tgl Tutup</t>
  </si>
  <si>
    <t>Proses Excamini</t>
  </si>
  <si>
    <t>Singkong</t>
  </si>
  <si>
    <t>Aktifitas Terakhir</t>
  </si>
  <si>
    <t>Tanggal</t>
  </si>
  <si>
    <t>060CS</t>
  </si>
  <si>
    <t>SKBK2005</t>
  </si>
  <si>
    <t>064C2</t>
  </si>
  <si>
    <t>SKBK2010</t>
  </si>
  <si>
    <t>065C1</t>
  </si>
  <si>
    <t>065D1</t>
  </si>
  <si>
    <t>SKBK2009</t>
  </si>
  <si>
    <t>066P1</t>
  </si>
  <si>
    <t>SKFC2001</t>
  </si>
  <si>
    <t>SKBK2011</t>
  </si>
  <si>
    <t>071D2</t>
  </si>
  <si>
    <t>071D3</t>
  </si>
  <si>
    <t>080A</t>
  </si>
  <si>
    <t>080B</t>
  </si>
  <si>
    <t>082A1</t>
  </si>
  <si>
    <t>Grp.Lvl 03</t>
  </si>
  <si>
    <t>Grp.Lvl 05</t>
  </si>
  <si>
    <t>Grp.Lvl 04</t>
  </si>
  <si>
    <t>Luas bruto</t>
  </si>
  <si>
    <t>Luas netto</t>
  </si>
  <si>
    <t>Luas aktif tanaman</t>
  </si>
  <si>
    <t>Satuan</t>
  </si>
  <si>
    <t>Status</t>
  </si>
  <si>
    <t>status sebelumnya</t>
  </si>
  <si>
    <t>Next status 1</t>
  </si>
  <si>
    <t>Next status 2</t>
  </si>
  <si>
    <t>Tanggal perubahan status</t>
  </si>
  <si>
    <t>Tanggal mulai rawat</t>
  </si>
  <si>
    <t>Tanggal mulai tanam</t>
  </si>
  <si>
    <t>Jenis tanaman</t>
  </si>
  <si>
    <t>Bibit</t>
  </si>
  <si>
    <t>Umur (Hari)</t>
  </si>
  <si>
    <t>Umur (Bulan)</t>
  </si>
  <si>
    <t>Umur Perawatan</t>
  </si>
  <si>
    <t>Tgl next status 1</t>
  </si>
  <si>
    <t>Tgl next status 2</t>
  </si>
  <si>
    <t>Tanggal forcing standard</t>
  </si>
  <si>
    <t>Tanggal forcing rencana</t>
  </si>
  <si>
    <t>Tanggal forcing realisasi</t>
  </si>
  <si>
    <t>Tanggal panen standard</t>
  </si>
  <si>
    <t>Tanggal panen rencana</t>
  </si>
  <si>
    <t>Tanggal panen realisasi</t>
  </si>
  <si>
    <t>AP1</t>
  </si>
  <si>
    <t>PPP</t>
  </si>
  <si>
    <t>AW01</t>
  </si>
  <si>
    <t>HA</t>
  </si>
  <si>
    <t>NSFC2302</t>
  </si>
  <si>
    <t>NSST</t>
  </si>
  <si>
    <t>NSSC</t>
  </si>
  <si>
    <t>NS</t>
  </si>
  <si>
    <t>NSGP3SS1</t>
  </si>
  <si>
    <t>PSSR2208</t>
  </si>
  <si>
    <t>PSSC</t>
  </si>
  <si>
    <t>PS3R</t>
  </si>
  <si>
    <t>PS</t>
  </si>
  <si>
    <t>PSCJ4MTX</t>
  </si>
  <si>
    <t>NSSC2209</t>
  </si>
  <si>
    <t>NSFC</t>
  </si>
  <si>
    <t>NSBK-NSST</t>
  </si>
  <si>
    <t>NSSC2205</t>
  </si>
  <si>
    <t>NSSC2202</t>
  </si>
  <si>
    <t>NSFC2301</t>
  </si>
  <si>
    <t>NSGP3NK1</t>
  </si>
  <si>
    <t>NSSC2208</t>
  </si>
  <si>
    <t>NSFC2212</t>
  </si>
  <si>
    <t>NSGP3CK1</t>
  </si>
  <si>
    <t>NSSC2207</t>
  </si>
  <si>
    <t>NSFC2210</t>
  </si>
  <si>
    <t>NSBK2211</t>
  </si>
  <si>
    <t>NSFC2106</t>
  </si>
  <si>
    <t>NSFC2209</t>
  </si>
  <si>
    <t>PSBK2301</t>
  </si>
  <si>
    <t>PS4R</t>
  </si>
  <si>
    <t>PSSR2205</t>
  </si>
  <si>
    <t>PSBK2211</t>
  </si>
  <si>
    <t>NSFC2204</t>
  </si>
  <si>
    <t>NSGP3ANK</t>
  </si>
  <si>
    <t>NSSC2212</t>
  </si>
  <si>
    <t>NSSC2211</t>
  </si>
  <si>
    <t>NSBB</t>
  </si>
  <si>
    <t>005E</t>
  </si>
  <si>
    <t>PSFC2204</t>
  </si>
  <si>
    <t>PSST</t>
  </si>
  <si>
    <t>005F1</t>
  </si>
  <si>
    <t>PSFC2202</t>
  </si>
  <si>
    <t>PSC31SCX</t>
  </si>
  <si>
    <t>005G</t>
  </si>
  <si>
    <t>PSFC2201</t>
  </si>
  <si>
    <t>006A</t>
  </si>
  <si>
    <t>PSFC2206</t>
  </si>
  <si>
    <t>006B</t>
  </si>
  <si>
    <t>006C</t>
  </si>
  <si>
    <t>NSFC2202</t>
  </si>
  <si>
    <t>NSGP3SB1</t>
  </si>
  <si>
    <t>NSFC2203</t>
  </si>
  <si>
    <t>NSSC2204</t>
  </si>
  <si>
    <t>007AS</t>
  </si>
  <si>
    <t>SKBK2212</t>
  </si>
  <si>
    <t>SKFC</t>
  </si>
  <si>
    <t>SKST</t>
  </si>
  <si>
    <t>SK</t>
  </si>
  <si>
    <t>NSFC2211</t>
  </si>
  <si>
    <t>PSBK2212</t>
  </si>
  <si>
    <t>NSFC2108</t>
  </si>
  <si>
    <t>NSBB2204</t>
  </si>
  <si>
    <t>PSFC</t>
  </si>
  <si>
    <t>PSFC2302</t>
  </si>
  <si>
    <t>PSST2212</t>
  </si>
  <si>
    <t>NSBK-PSST</t>
  </si>
  <si>
    <t>NSFC2208</t>
  </si>
  <si>
    <t>NSFC2201</t>
  </si>
  <si>
    <t>NSGP3SK1</t>
  </si>
  <si>
    <t>NSBB2212</t>
  </si>
  <si>
    <t>NSBB2208</t>
  </si>
  <si>
    <t>012A</t>
  </si>
  <si>
    <t>PSFC2205</t>
  </si>
  <si>
    <t>012D</t>
  </si>
  <si>
    <t>PSCJ5MTX</t>
  </si>
  <si>
    <t>AW02</t>
  </si>
  <si>
    <t>NSST2301</t>
  </si>
  <si>
    <t>PSBK-NSST</t>
  </si>
  <si>
    <t>PSSR</t>
  </si>
  <si>
    <t>PSSC2209</t>
  </si>
  <si>
    <t>PSGALMTZ</t>
  </si>
  <si>
    <t>013G3</t>
  </si>
  <si>
    <t>SKBK2302</t>
  </si>
  <si>
    <t>014A</t>
  </si>
  <si>
    <t>PSSC2210</t>
  </si>
  <si>
    <t>AW04</t>
  </si>
  <si>
    <t>NSFC2207</t>
  </si>
  <si>
    <t>NSFC2109</t>
  </si>
  <si>
    <t>NSBB2211</t>
  </si>
  <si>
    <t>NSBB2210</t>
  </si>
  <si>
    <t>NSBB2206</t>
  </si>
  <si>
    <t>017G</t>
  </si>
  <si>
    <t>NRBB2212</t>
  </si>
  <si>
    <t>NRST</t>
  </si>
  <si>
    <t>NRBK-NSST</t>
  </si>
  <si>
    <t>NR</t>
  </si>
  <si>
    <t>NSSC2203</t>
  </si>
  <si>
    <t>018B</t>
  </si>
  <si>
    <t>PSFC2112</t>
  </si>
  <si>
    <t>NSFC2111</t>
  </si>
  <si>
    <t>PSBK-PSST</t>
  </si>
  <si>
    <t>018F1</t>
  </si>
  <si>
    <t>PSSC2211</t>
  </si>
  <si>
    <t>019A</t>
  </si>
  <si>
    <t>NSBK2204</t>
  </si>
  <si>
    <t>019I</t>
  </si>
  <si>
    <t>020E</t>
  </si>
  <si>
    <t>PSSC2206</t>
  </si>
  <si>
    <t>NSFC2112</t>
  </si>
  <si>
    <t>NSGP3NS1</t>
  </si>
  <si>
    <t>020K</t>
  </si>
  <si>
    <t>NSFC2206</t>
  </si>
  <si>
    <t>NSFC2205</t>
  </si>
  <si>
    <t>NSFC2110</t>
  </si>
  <si>
    <t>PSSC2208</t>
  </si>
  <si>
    <t>NSBK2210</t>
  </si>
  <si>
    <t>NSBK2301</t>
  </si>
  <si>
    <t>NSSC2210</t>
  </si>
  <si>
    <t>PSSR2203</t>
  </si>
  <si>
    <t>013E</t>
  </si>
  <si>
    <t>PSSR2211</t>
  </si>
  <si>
    <t>NSSC2302</t>
  </si>
  <si>
    <t>NRBB2209</t>
  </si>
  <si>
    <t>NRBB2210</t>
  </si>
  <si>
    <t>NSSC2201</t>
  </si>
  <si>
    <t>NSSC2206</t>
  </si>
  <si>
    <t>NSFC2107</t>
  </si>
  <si>
    <t>SKBK2301</t>
  </si>
  <si>
    <t>NSBK2212</t>
  </si>
  <si>
    <t>038A1</t>
  </si>
  <si>
    <t>FPO</t>
  </si>
  <si>
    <t>AW03</t>
  </si>
  <si>
    <t>038V</t>
  </si>
  <si>
    <t>KSSM1409</t>
  </si>
  <si>
    <t>KSBM</t>
  </si>
  <si>
    <t>KSST</t>
  </si>
  <si>
    <t>KS</t>
  </si>
  <si>
    <t>KSPPKPHX</t>
  </si>
  <si>
    <t>039F</t>
  </si>
  <si>
    <t>SKFC2209</t>
  </si>
  <si>
    <t>SKBK-NSST</t>
  </si>
  <si>
    <t>SKUJ5STX</t>
  </si>
  <si>
    <t>041A</t>
  </si>
  <si>
    <t>PYST</t>
  </si>
  <si>
    <t>GUA</t>
  </si>
  <si>
    <t>041D1</t>
  </si>
  <si>
    <t>PYFC2209</t>
  </si>
  <si>
    <t>PYBK-NSST</t>
  </si>
  <si>
    <t>PY</t>
  </si>
  <si>
    <t>PYPYCPHX</t>
  </si>
  <si>
    <t>041D2</t>
  </si>
  <si>
    <t>JBSM1902</t>
  </si>
  <si>
    <t>JBBM</t>
  </si>
  <si>
    <t>JBSM</t>
  </si>
  <si>
    <t>JB</t>
  </si>
  <si>
    <t>041D3</t>
  </si>
  <si>
    <t>JBSM1903</t>
  </si>
  <si>
    <t>041V</t>
  </si>
  <si>
    <t>042G</t>
  </si>
  <si>
    <t>JBSM2001</t>
  </si>
  <si>
    <t>JBBK-NFST</t>
  </si>
  <si>
    <t>042H</t>
  </si>
  <si>
    <t>JBSM1911</t>
  </si>
  <si>
    <t>042J</t>
  </si>
  <si>
    <t>JBSM1906</t>
  </si>
  <si>
    <t>042J1</t>
  </si>
  <si>
    <t>JBSM1908</t>
  </si>
  <si>
    <t>042L3</t>
  </si>
  <si>
    <t>NRBB2207</t>
  </si>
  <si>
    <t>044A</t>
  </si>
  <si>
    <t>045A3</t>
  </si>
  <si>
    <t>046A</t>
  </si>
  <si>
    <t>SKFC2210</t>
  </si>
  <si>
    <t>SKBK-SKST</t>
  </si>
  <si>
    <t>046B</t>
  </si>
  <si>
    <t>SKFC2302</t>
  </si>
  <si>
    <t>NRBB2301</t>
  </si>
  <si>
    <t>NSBB2301</t>
  </si>
  <si>
    <t>NSBK2302</t>
  </si>
  <si>
    <t>NSBB2209</t>
  </si>
  <si>
    <t>049FS</t>
  </si>
  <si>
    <t>051C</t>
  </si>
  <si>
    <t>PS3R2301</t>
  </si>
  <si>
    <t>053A</t>
  </si>
  <si>
    <t>PSCJ3MTX</t>
  </si>
  <si>
    <t>053B</t>
  </si>
  <si>
    <t>SKST2301</t>
  </si>
  <si>
    <t>054G</t>
  </si>
  <si>
    <t>PSSC2301</t>
  </si>
  <si>
    <t>NSBK2207</t>
  </si>
  <si>
    <t>058A</t>
  </si>
  <si>
    <t>058B</t>
  </si>
  <si>
    <t>JBSM2011</t>
  </si>
  <si>
    <t>058B2</t>
  </si>
  <si>
    <t>SKFC2211</t>
  </si>
  <si>
    <t>059A</t>
  </si>
  <si>
    <t>JBSM1910</t>
  </si>
  <si>
    <t>NSBB2302</t>
  </si>
  <si>
    <t>059E</t>
  </si>
  <si>
    <t>059F9</t>
  </si>
  <si>
    <t>060D</t>
  </si>
  <si>
    <t>KSBK2301</t>
  </si>
  <si>
    <t>KSSM</t>
  </si>
  <si>
    <t>060E</t>
  </si>
  <si>
    <t>062D</t>
  </si>
  <si>
    <t>062E</t>
  </si>
  <si>
    <t>PSSR2207</t>
  </si>
  <si>
    <t>062M</t>
  </si>
  <si>
    <t>PSSR2210</t>
  </si>
  <si>
    <t>062N</t>
  </si>
  <si>
    <t>062V</t>
  </si>
  <si>
    <t>NSSC2301</t>
  </si>
  <si>
    <t>063GS</t>
  </si>
  <si>
    <t>065B</t>
  </si>
  <si>
    <t>NSBK2208</t>
  </si>
  <si>
    <t>NSBK2209</t>
  </si>
  <si>
    <t>AW05</t>
  </si>
  <si>
    <t>066AS</t>
  </si>
  <si>
    <t>066D</t>
  </si>
  <si>
    <t>NRBB2205</t>
  </si>
  <si>
    <t>066F</t>
  </si>
  <si>
    <t>066N</t>
  </si>
  <si>
    <t>NRST2301</t>
  </si>
  <si>
    <t>NRBB</t>
  </si>
  <si>
    <t>066P</t>
  </si>
  <si>
    <t>059G</t>
  </si>
  <si>
    <t>JBSM1909</t>
  </si>
  <si>
    <t>059I</t>
  </si>
  <si>
    <t>JBSM2002</t>
  </si>
  <si>
    <t>AW06</t>
  </si>
  <si>
    <t>M089C</t>
  </si>
  <si>
    <t>SLIN2112</t>
  </si>
  <si>
    <t>SL</t>
  </si>
  <si>
    <t>071A1</t>
  </si>
  <si>
    <t>KSBK-NSST</t>
  </si>
  <si>
    <t>069A2</t>
  </si>
  <si>
    <t>SKFC2206</t>
  </si>
  <si>
    <t>AW07</t>
  </si>
  <si>
    <t>SKFC2301</t>
  </si>
  <si>
    <t>080DS</t>
  </si>
  <si>
    <t>081A1</t>
  </si>
  <si>
    <t>NPBB1604</t>
  </si>
  <si>
    <t>NPST</t>
  </si>
  <si>
    <t>NPBK-NSST</t>
  </si>
  <si>
    <t>NP</t>
  </si>
  <si>
    <t>081A1T</t>
  </si>
  <si>
    <t>NPBB1606</t>
  </si>
  <si>
    <t>081A2</t>
  </si>
  <si>
    <t>081A2V</t>
  </si>
  <si>
    <t>NPBB1612</t>
  </si>
  <si>
    <t>NPBB</t>
  </si>
  <si>
    <t>081A3</t>
  </si>
  <si>
    <t>081A3V</t>
  </si>
  <si>
    <t>081A4</t>
  </si>
  <si>
    <t>NPBB1605</t>
  </si>
  <si>
    <t>081A4V</t>
  </si>
  <si>
    <t>081A5</t>
  </si>
  <si>
    <t>081A5V</t>
  </si>
  <si>
    <t>081A6</t>
  </si>
  <si>
    <t>081A6V</t>
  </si>
  <si>
    <t>081A7</t>
  </si>
  <si>
    <t>081A7V</t>
  </si>
  <si>
    <t>081AA</t>
  </si>
  <si>
    <t>NPBB1602</t>
  </si>
  <si>
    <t>081AAV</t>
  </si>
  <si>
    <t>081AB</t>
  </si>
  <si>
    <t>081ABV</t>
  </si>
  <si>
    <t>081AC</t>
  </si>
  <si>
    <t>081ACV</t>
  </si>
  <si>
    <t>081AD</t>
  </si>
  <si>
    <t>081ADV</t>
  </si>
  <si>
    <t>081AE</t>
  </si>
  <si>
    <t>081AEV</t>
  </si>
  <si>
    <t>081AF</t>
  </si>
  <si>
    <t>081AFV</t>
  </si>
  <si>
    <t>081AG</t>
  </si>
  <si>
    <t>081AGV</t>
  </si>
  <si>
    <t>081AH</t>
  </si>
  <si>
    <t>081AHV</t>
  </si>
  <si>
    <t>081AI</t>
  </si>
  <si>
    <t>NPBB1702</t>
  </si>
  <si>
    <t>081AIV</t>
  </si>
  <si>
    <t>081AJ</t>
  </si>
  <si>
    <t>NPBB1708</t>
  </si>
  <si>
    <t>081AJV</t>
  </si>
  <si>
    <t>NPBB1707</t>
  </si>
  <si>
    <t>081AK</t>
  </si>
  <si>
    <t>081AKV</t>
  </si>
  <si>
    <t>081AL</t>
  </si>
  <si>
    <t>081ALV</t>
  </si>
  <si>
    <t>081AM</t>
  </si>
  <si>
    <t>081AMV</t>
  </si>
  <si>
    <t>081AN</t>
  </si>
  <si>
    <t>081ANV</t>
  </si>
  <si>
    <t>081AS</t>
  </si>
  <si>
    <t>081B</t>
  </si>
  <si>
    <t>PYBK2206</t>
  </si>
  <si>
    <t>PYFC</t>
  </si>
  <si>
    <t>081B1</t>
  </si>
  <si>
    <t>082J2</t>
  </si>
  <si>
    <t>082Z</t>
  </si>
  <si>
    <t>BMSM1512</t>
  </si>
  <si>
    <t>BMFC</t>
  </si>
  <si>
    <t>BM</t>
  </si>
  <si>
    <t>083V</t>
  </si>
  <si>
    <t>NSBB2207</t>
  </si>
  <si>
    <t>NRBB2211</t>
  </si>
  <si>
    <t>085M</t>
  </si>
  <si>
    <t>094C2</t>
  </si>
  <si>
    <t>NRBK2301</t>
  </si>
  <si>
    <t>RND</t>
  </si>
  <si>
    <t>096B</t>
  </si>
  <si>
    <t>NSBK2202</t>
  </si>
  <si>
    <t>SKBK2211</t>
  </si>
  <si>
    <t>S006D</t>
  </si>
  <si>
    <t>S006F</t>
  </si>
  <si>
    <t>G042G</t>
  </si>
  <si>
    <t>JCSM1707</t>
  </si>
  <si>
    <t>JC</t>
  </si>
  <si>
    <t>G042H</t>
  </si>
  <si>
    <t>G042I</t>
  </si>
  <si>
    <t>G042J</t>
  </si>
  <si>
    <t>JCSM1706</t>
  </si>
  <si>
    <t>G044A</t>
  </si>
  <si>
    <t>G046A</t>
  </si>
  <si>
    <t>G046B</t>
  </si>
  <si>
    <t>G058A</t>
  </si>
  <si>
    <t>JBJBKPHX</t>
  </si>
  <si>
    <t>G058B</t>
  </si>
  <si>
    <t>G059A</t>
  </si>
  <si>
    <t>G059E</t>
  </si>
  <si>
    <t>G059G</t>
  </si>
  <si>
    <t>G059I</t>
  </si>
  <si>
    <t>G41D2</t>
  </si>
  <si>
    <t>G41D3</t>
  </si>
  <si>
    <t>G42J1</t>
  </si>
  <si>
    <t>G59F9</t>
  </si>
  <si>
    <t>NJ001</t>
  </si>
  <si>
    <t>NJCK1603</t>
  </si>
  <si>
    <t>NJ</t>
  </si>
  <si>
    <t>NJ002</t>
  </si>
  <si>
    <t>NJCK1701</t>
  </si>
  <si>
    <t>NJ501</t>
  </si>
  <si>
    <t>NJGF1603</t>
  </si>
  <si>
    <t>NJ502</t>
  </si>
  <si>
    <t>NJGF1611</t>
  </si>
  <si>
    <t>NJ601</t>
  </si>
  <si>
    <t>NJGF1610</t>
  </si>
  <si>
    <t>NJ602</t>
  </si>
  <si>
    <t>NJGF1701</t>
  </si>
  <si>
    <t>NJ901</t>
  </si>
  <si>
    <t>NJ902</t>
  </si>
  <si>
    <t>NJCK1604</t>
  </si>
  <si>
    <t>NJ903</t>
  </si>
  <si>
    <t>NJCK1605</t>
  </si>
  <si>
    <t>NJ904</t>
  </si>
  <si>
    <t>NJCK1606</t>
  </si>
  <si>
    <t>NJ905</t>
  </si>
  <si>
    <t>NJCK1607</t>
  </si>
  <si>
    <t>NJ906</t>
  </si>
  <si>
    <t>NJCK1608</t>
  </si>
  <si>
    <t>NJ908</t>
  </si>
  <si>
    <t>NJCK1610</t>
  </si>
  <si>
    <t>NJ909</t>
  </si>
  <si>
    <t>NJCK1611</t>
  </si>
  <si>
    <t>NP001</t>
  </si>
  <si>
    <t>NPGF1603</t>
  </si>
  <si>
    <t>PBGPG1</t>
  </si>
  <si>
    <t>NRPB1201</t>
  </si>
  <si>
    <t>PBKPG1</t>
  </si>
  <si>
    <t>ZZOH1207</t>
  </si>
  <si>
    <t>ZZ</t>
  </si>
  <si>
    <t>PBMPG1</t>
  </si>
  <si>
    <t>ZZPB1201</t>
  </si>
  <si>
    <t>PBOPG1</t>
  </si>
  <si>
    <t>ZZPO1201</t>
  </si>
  <si>
    <t>PBPGN</t>
  </si>
  <si>
    <t>NPBB1703</t>
  </si>
  <si>
    <t>PBRPG1</t>
  </si>
  <si>
    <t>ZZBR1201</t>
  </si>
  <si>
    <t>PD01</t>
  </si>
  <si>
    <t>ZZPD1201</t>
  </si>
  <si>
    <t>PD02</t>
  </si>
  <si>
    <t>PIJPG1</t>
  </si>
  <si>
    <t>JLOH1910</t>
  </si>
  <si>
    <t>ZZOH</t>
  </si>
  <si>
    <t>JL</t>
  </si>
  <si>
    <t>PILPG1</t>
  </si>
  <si>
    <t>ZZIN1201</t>
  </si>
  <si>
    <t>PJBPG1</t>
  </si>
  <si>
    <t>PJGPG1</t>
  </si>
  <si>
    <t>PJPPG1</t>
  </si>
  <si>
    <t>ZZOH1506</t>
  </si>
  <si>
    <t>PLCPG1</t>
  </si>
  <si>
    <t>ZZIN1208</t>
  </si>
  <si>
    <t>PNF01</t>
  </si>
  <si>
    <t>NMFC1711</t>
  </si>
  <si>
    <t>NM</t>
  </si>
  <si>
    <t>NMMD2SS1</t>
  </si>
  <si>
    <t>POHPG1</t>
  </si>
  <si>
    <t>ZZOH1412</t>
  </si>
  <si>
    <t>POLJC</t>
  </si>
  <si>
    <t>JCSM1705</t>
  </si>
  <si>
    <t>POLNF</t>
  </si>
  <si>
    <t>POLPG1</t>
  </si>
  <si>
    <t>ZZOH1909</t>
  </si>
  <si>
    <t>JLDA</t>
  </si>
  <si>
    <t>PPJPG1</t>
  </si>
  <si>
    <t>PPPPG1</t>
  </si>
  <si>
    <t>PPSPG1</t>
  </si>
  <si>
    <t>PPYPG1</t>
  </si>
  <si>
    <t>PSKPG1</t>
  </si>
  <si>
    <t>PSLPG1</t>
  </si>
  <si>
    <t>ZZIN1207</t>
  </si>
  <si>
    <t>PTBPG1</t>
  </si>
  <si>
    <t>NRPA001</t>
  </si>
  <si>
    <t>NRPA002</t>
  </si>
  <si>
    <t>NRPA003</t>
  </si>
  <si>
    <t>NRPA004</t>
  </si>
  <si>
    <t>NRPA005</t>
  </si>
  <si>
    <t>NRPA006</t>
  </si>
  <si>
    <t>NRPD001</t>
  </si>
  <si>
    <t>NSST2207</t>
  </si>
  <si>
    <t>NRPD002</t>
  </si>
  <si>
    <t>BMSM2103</t>
  </si>
  <si>
    <t>NRPD003</t>
  </si>
  <si>
    <t>NRPD004</t>
  </si>
  <si>
    <t>NRPD005</t>
  </si>
  <si>
    <t>NRPD006</t>
  </si>
  <si>
    <t>NRPD007</t>
  </si>
  <si>
    <t>NRPD008</t>
  </si>
  <si>
    <t>NRPD009</t>
  </si>
  <si>
    <t>NRPD010</t>
  </si>
  <si>
    <t>SKFC2112</t>
  </si>
  <si>
    <t>NRPD011</t>
  </si>
  <si>
    <t>NRPE001</t>
  </si>
  <si>
    <t>BMBK2207</t>
  </si>
  <si>
    <t>BMSM</t>
  </si>
  <si>
    <t>NRPE002</t>
  </si>
  <si>
    <t>NRPE003</t>
  </si>
  <si>
    <t>NRPF001</t>
  </si>
  <si>
    <t>NRPF002</t>
  </si>
  <si>
    <t>NRPF003</t>
  </si>
  <si>
    <t>NRPF004</t>
  </si>
  <si>
    <t>NRPF005</t>
  </si>
  <si>
    <t>NRPF006</t>
  </si>
  <si>
    <t>NRPF007</t>
  </si>
  <si>
    <t>NRPF008</t>
  </si>
  <si>
    <t>NRPF009</t>
  </si>
  <si>
    <t>NRPG001</t>
  </si>
  <si>
    <t>NRPG002</t>
  </si>
  <si>
    <t>NRPE004</t>
  </si>
  <si>
    <t>NRPD012</t>
  </si>
  <si>
    <t>NJWK01</t>
  </si>
  <si>
    <t>NJWK02</t>
  </si>
  <si>
    <t>NJWK03</t>
  </si>
  <si>
    <t>NSSC2111</t>
  </si>
  <si>
    <t>PSNRMD1</t>
  </si>
  <si>
    <t>NSSC2110</t>
  </si>
  <si>
    <t>PSNRMD2</t>
  </si>
  <si>
    <t>NRPE005</t>
  </si>
  <si>
    <t>DRBM2007</t>
  </si>
  <si>
    <t>DR</t>
  </si>
  <si>
    <t>NRPD013</t>
  </si>
  <si>
    <t>NRPD014</t>
  </si>
  <si>
    <t>SKFC2111</t>
  </si>
  <si>
    <t>083B2</t>
  </si>
  <si>
    <t>SKFC2204</t>
  </si>
  <si>
    <t>NRPF010</t>
  </si>
  <si>
    <t>NRPD015</t>
  </si>
  <si>
    <t>NSSC2112</t>
  </si>
  <si>
    <t>083A3</t>
  </si>
  <si>
    <t>NRPE006</t>
  </si>
  <si>
    <t>NRPE007</t>
  </si>
  <si>
    <t>NSBK2206</t>
  </si>
  <si>
    <t>NRPD016</t>
  </si>
  <si>
    <t>NRPD017</t>
  </si>
  <si>
    <t>NPBA001</t>
  </si>
  <si>
    <t>NPBA002</t>
  </si>
  <si>
    <t>NPBA003</t>
  </si>
  <si>
    <t>NPBA004</t>
  </si>
  <si>
    <t>NPBA005</t>
  </si>
  <si>
    <t>NPBA006</t>
  </si>
  <si>
    <t>NPBA007</t>
  </si>
  <si>
    <t>NPBA008</t>
  </si>
  <si>
    <t>NPBA009</t>
  </si>
  <si>
    <t>NPBA010</t>
  </si>
  <si>
    <t>NPBC001</t>
  </si>
  <si>
    <t>NPBC002</t>
  </si>
  <si>
    <t>NPBC003</t>
  </si>
  <si>
    <t>PSNY1806</t>
  </si>
  <si>
    <t>NPBC004</t>
  </si>
  <si>
    <t>NPBC005</t>
  </si>
  <si>
    <t>NPBC006</t>
  </si>
  <si>
    <t>NPBC007</t>
  </si>
  <si>
    <t>NPBC008</t>
  </si>
  <si>
    <t>NPBC009</t>
  </si>
  <si>
    <t>NPBC010</t>
  </si>
  <si>
    <t>NPBC011</t>
  </si>
  <si>
    <t>NPBC012</t>
  </si>
  <si>
    <t>NPBC013</t>
  </si>
  <si>
    <t>NPBC014</t>
  </si>
  <si>
    <t>NPBC015</t>
  </si>
  <si>
    <t>NPBD001</t>
  </si>
  <si>
    <t>NPBD002</t>
  </si>
  <si>
    <t>NPBD003</t>
  </si>
  <si>
    <t>NPBD004</t>
  </si>
  <si>
    <t>NPBD005</t>
  </si>
  <si>
    <t>NPBD006</t>
  </si>
  <si>
    <t>NPBD007</t>
  </si>
  <si>
    <t>NPBD008</t>
  </si>
  <si>
    <t>NPBD009</t>
  </si>
  <si>
    <t>NPBD010</t>
  </si>
  <si>
    <t>NPBD011</t>
  </si>
  <si>
    <t>NPBD012</t>
  </si>
  <si>
    <t>NPBD013</t>
  </si>
  <si>
    <t>NPBD014</t>
  </si>
  <si>
    <t>NPBD015</t>
  </si>
  <si>
    <t>NPBD016</t>
  </si>
  <si>
    <t>NPBD017</t>
  </si>
  <si>
    <t>NPBD018</t>
  </si>
  <si>
    <t>NPBD019</t>
  </si>
  <si>
    <t>NPBD020</t>
  </si>
  <si>
    <t>NPBD021</t>
  </si>
  <si>
    <t>NPBD022</t>
  </si>
  <si>
    <t>NPBD023</t>
  </si>
  <si>
    <t>NPBD024</t>
  </si>
  <si>
    <t>NPBD025</t>
  </si>
  <si>
    <t>NPBD026</t>
  </si>
  <si>
    <t>NPBD027</t>
  </si>
  <si>
    <t>NPBD028</t>
  </si>
  <si>
    <t>NPBD029</t>
  </si>
  <si>
    <t>NRPD018</t>
  </si>
  <si>
    <t>NRPF011</t>
  </si>
  <si>
    <t>081D1</t>
  </si>
  <si>
    <t>081AD1</t>
  </si>
  <si>
    <t>POLNFM</t>
  </si>
  <si>
    <t>404KF1B</t>
  </si>
  <si>
    <t>404KF1C</t>
  </si>
  <si>
    <t>404KF1D</t>
  </si>
  <si>
    <t>404KF2B</t>
  </si>
  <si>
    <t>404KF2C</t>
  </si>
  <si>
    <t>404KF2D</t>
  </si>
  <si>
    <t>404KF3B</t>
  </si>
  <si>
    <t>404KF3C</t>
  </si>
  <si>
    <t>081AA1A</t>
  </si>
  <si>
    <t>081AA1B</t>
  </si>
  <si>
    <t>081AA1C</t>
  </si>
  <si>
    <t>081AA1D</t>
  </si>
  <si>
    <t>081AA2A</t>
  </si>
  <si>
    <t>081AA2B</t>
  </si>
  <si>
    <t>081AA2C</t>
  </si>
  <si>
    <t>081AA2D</t>
  </si>
  <si>
    <t>081AA3A</t>
  </si>
  <si>
    <t>081AA3B</t>
  </si>
  <si>
    <t>081AA3C</t>
  </si>
  <si>
    <t>081AA3D</t>
  </si>
  <si>
    <t>081AA4A</t>
  </si>
  <si>
    <t>081AA4B</t>
  </si>
  <si>
    <t>081AA4C</t>
  </si>
  <si>
    <t>081AA4D</t>
  </si>
  <si>
    <t>081AA5A</t>
  </si>
  <si>
    <t>081AA5B</t>
  </si>
  <si>
    <t>081AA5C</t>
  </si>
  <si>
    <t>081AA5D</t>
  </si>
  <si>
    <t>PSNY1805</t>
  </si>
  <si>
    <t>081AA6A</t>
  </si>
  <si>
    <t>081AA6B</t>
  </si>
  <si>
    <t>081AB6C</t>
  </si>
  <si>
    <t>081AB6D</t>
  </si>
  <si>
    <t>081AB7A</t>
  </si>
  <si>
    <t>081AB7B</t>
  </si>
  <si>
    <t>081AB7C</t>
  </si>
  <si>
    <t>081AB7D</t>
  </si>
  <si>
    <t>081AB8A</t>
  </si>
  <si>
    <t>081AB8B</t>
  </si>
  <si>
    <t>081AB8C</t>
  </si>
  <si>
    <t>081AB8D</t>
  </si>
  <si>
    <t>081AC1A</t>
  </si>
  <si>
    <t>081AC1B</t>
  </si>
  <si>
    <t>081AC1C</t>
  </si>
  <si>
    <t>081AC1D</t>
  </si>
  <si>
    <t>081AC2A</t>
  </si>
  <si>
    <t>081AC2B</t>
  </si>
  <si>
    <t>081AC2C</t>
  </si>
  <si>
    <t>PSNY1902</t>
  </si>
  <si>
    <t>081AC2D</t>
  </si>
  <si>
    <t>081AC3A</t>
  </si>
  <si>
    <t>PSNY1905</t>
  </si>
  <si>
    <t>081AC3B</t>
  </si>
  <si>
    <t>081AC3C</t>
  </si>
  <si>
    <t>081AC3D</t>
  </si>
  <si>
    <t>081AC4A</t>
  </si>
  <si>
    <t>081AC4B</t>
  </si>
  <si>
    <t>PSNY1908</t>
  </si>
  <si>
    <t>081AC4C</t>
  </si>
  <si>
    <t>PSNY1907</t>
  </si>
  <si>
    <t>081AC4D</t>
  </si>
  <si>
    <t>081AD1A</t>
  </si>
  <si>
    <t>PSNY1909</t>
  </si>
  <si>
    <t>081AD1B</t>
  </si>
  <si>
    <t>081AD1C</t>
  </si>
  <si>
    <t>081AD1D</t>
  </si>
  <si>
    <t>081AD2A</t>
  </si>
  <si>
    <t>081AD2B</t>
  </si>
  <si>
    <t>081AD2C</t>
  </si>
  <si>
    <t>081AD2D</t>
  </si>
  <si>
    <t>081AD3A</t>
  </si>
  <si>
    <t>081AD3B</t>
  </si>
  <si>
    <t>081AD3C</t>
  </si>
  <si>
    <t>081AD3D</t>
  </si>
  <si>
    <t>081AD4A</t>
  </si>
  <si>
    <t>PSNY1910</t>
  </si>
  <si>
    <t>081AD4B</t>
  </si>
  <si>
    <t>081AD4C</t>
  </si>
  <si>
    <t>081AD4D</t>
  </si>
  <si>
    <t>PSNY1911</t>
  </si>
  <si>
    <t>081AA6C</t>
  </si>
  <si>
    <t>081AA6D</t>
  </si>
  <si>
    <t>081AA7A</t>
  </si>
  <si>
    <t>PSNY1912</t>
  </si>
  <si>
    <t>081AA7B</t>
  </si>
  <si>
    <t>081AA7C</t>
  </si>
  <si>
    <t>PSNY2002</t>
  </si>
  <si>
    <t>081AA7D</t>
  </si>
  <si>
    <t>081AB1A</t>
  </si>
  <si>
    <t>081AB1B</t>
  </si>
  <si>
    <t>081AB1C</t>
  </si>
  <si>
    <t>081AB1D</t>
  </si>
  <si>
    <t>081AB2A</t>
  </si>
  <si>
    <t>081AB2B</t>
  </si>
  <si>
    <t>081AB2C</t>
  </si>
  <si>
    <t>081AB2D</t>
  </si>
  <si>
    <t>081AB3A</t>
  </si>
  <si>
    <t>081AB3B</t>
  </si>
  <si>
    <t>081AB3C</t>
  </si>
  <si>
    <t>PSNY2003</t>
  </si>
  <si>
    <t>081AB3D</t>
  </si>
  <si>
    <t>081AB4A</t>
  </si>
  <si>
    <t>081AB4B</t>
  </si>
  <si>
    <t>081AB4C</t>
  </si>
  <si>
    <t>081AB4D</t>
  </si>
  <si>
    <t>081AB5A</t>
  </si>
  <si>
    <t>081AB5B</t>
  </si>
  <si>
    <t>PSNY2004</t>
  </si>
  <si>
    <t>081AB5C</t>
  </si>
  <si>
    <t>081AB5D</t>
  </si>
  <si>
    <t>081AB6A</t>
  </si>
  <si>
    <t>081AB6B</t>
  </si>
  <si>
    <t>069D2</t>
  </si>
  <si>
    <t>PSNY2005</t>
  </si>
  <si>
    <t>041B2</t>
  </si>
  <si>
    <t>PSNY2006</t>
  </si>
  <si>
    <t>017G1</t>
  </si>
  <si>
    <t>PSNY2007</t>
  </si>
  <si>
    <t>030B1</t>
  </si>
  <si>
    <t>SSN001</t>
  </si>
  <si>
    <t>081AE1A</t>
  </si>
  <si>
    <t>081AE1B</t>
  </si>
  <si>
    <t>042I9</t>
  </si>
  <si>
    <t>PSNY2008</t>
  </si>
  <si>
    <t>081B3</t>
  </si>
  <si>
    <t>G58B2</t>
  </si>
  <si>
    <t>081AE1C</t>
  </si>
  <si>
    <t>081AE1D</t>
  </si>
  <si>
    <t>081AE2A</t>
  </si>
  <si>
    <t>PSNY2009</t>
  </si>
  <si>
    <t>081AE2B</t>
  </si>
  <si>
    <t>081AE2C</t>
  </si>
  <si>
    <t>051C1</t>
  </si>
  <si>
    <t>055KS</t>
  </si>
  <si>
    <t>081AE3A</t>
  </si>
  <si>
    <t>081AE3B</t>
  </si>
  <si>
    <t>081AE2D</t>
  </si>
  <si>
    <t>081AE4A</t>
  </si>
  <si>
    <t>081AE4B</t>
  </si>
  <si>
    <t>081AE4C</t>
  </si>
  <si>
    <t>081AE4D</t>
  </si>
  <si>
    <t>PSNY2010</t>
  </si>
  <si>
    <t>081AE3C</t>
  </si>
  <si>
    <t>081AE3D</t>
  </si>
  <si>
    <t>081AE5A</t>
  </si>
  <si>
    <t>081AE5B</t>
  </si>
  <si>
    <t>063S</t>
  </si>
  <si>
    <t>081AE6A</t>
  </si>
  <si>
    <t>081AE6B</t>
  </si>
  <si>
    <t>081AE5C</t>
  </si>
  <si>
    <t>081AE5D</t>
  </si>
  <si>
    <t>PSNY2011</t>
  </si>
  <si>
    <t>CIJPG1</t>
  </si>
  <si>
    <t>CJBPG1</t>
  </si>
  <si>
    <t>CSABPG1</t>
  </si>
  <si>
    <t>CSALPG1</t>
  </si>
  <si>
    <t>PSNY2012</t>
  </si>
  <si>
    <t>PSABPG1</t>
  </si>
  <si>
    <t>PSALPG1</t>
  </si>
  <si>
    <t>SWLPG1</t>
  </si>
  <si>
    <t>PWLPG4</t>
  </si>
  <si>
    <t>030B2</t>
  </si>
  <si>
    <t>PSNY2101</t>
  </si>
  <si>
    <t>065C</t>
  </si>
  <si>
    <t>SJBPG1</t>
  </si>
  <si>
    <t>081AE6C</t>
  </si>
  <si>
    <t>081AE6D</t>
  </si>
  <si>
    <t>081AE7A</t>
  </si>
  <si>
    <t>081AE8A</t>
  </si>
  <si>
    <t>NJGG1</t>
  </si>
  <si>
    <t>PSNY2102</t>
  </si>
  <si>
    <t>081AE7U</t>
  </si>
  <si>
    <t>081AE7V</t>
  </si>
  <si>
    <t>081AE7W</t>
  </si>
  <si>
    <t>081AF9F</t>
  </si>
  <si>
    <t>PSNY2103</t>
  </si>
  <si>
    <t>081AZ</t>
  </si>
  <si>
    <t>081AE7X</t>
  </si>
  <si>
    <t>081AE7Y</t>
  </si>
  <si>
    <t>052CS</t>
  </si>
  <si>
    <t>081AE7Z</t>
  </si>
  <si>
    <t>PSNY2104</t>
  </si>
  <si>
    <t>081AE8E</t>
  </si>
  <si>
    <t>081AE8F</t>
  </si>
  <si>
    <t>S080E</t>
  </si>
  <si>
    <t>S039E</t>
  </si>
  <si>
    <t>S039E1</t>
  </si>
  <si>
    <t>S090A</t>
  </si>
  <si>
    <t>S086A1</t>
  </si>
  <si>
    <t>S086B</t>
  </si>
  <si>
    <t>M080E</t>
  </si>
  <si>
    <t>M039E</t>
  </si>
  <si>
    <t>M039E1</t>
  </si>
  <si>
    <t>M090A</t>
  </si>
  <si>
    <t>M086A1</t>
  </si>
  <si>
    <t>PSNY2105</t>
  </si>
  <si>
    <t>M086B</t>
  </si>
  <si>
    <t>081AE8G</t>
  </si>
  <si>
    <t>081AE8H</t>
  </si>
  <si>
    <t>PSNY2106</t>
  </si>
  <si>
    <t>081AE8J</t>
  </si>
  <si>
    <t>081AE8K</t>
  </si>
  <si>
    <t>081C4</t>
  </si>
  <si>
    <t>081AE8L</t>
  </si>
  <si>
    <t>081AE8M</t>
  </si>
  <si>
    <t>081AE8N</t>
  </si>
  <si>
    <t>081AE8P</t>
  </si>
  <si>
    <t>M003B</t>
  </si>
  <si>
    <t>S003B</t>
  </si>
  <si>
    <t>PSNY2107</t>
  </si>
  <si>
    <t>M003C</t>
  </si>
  <si>
    <t>S003C</t>
  </si>
  <si>
    <t>M055A</t>
  </si>
  <si>
    <t>M005F1</t>
  </si>
  <si>
    <t>M060C</t>
  </si>
  <si>
    <t>M065D</t>
  </si>
  <si>
    <t>M026F</t>
  </si>
  <si>
    <t>M026G</t>
  </si>
  <si>
    <t>PSNY2108</t>
  </si>
  <si>
    <t>M061A</t>
  </si>
  <si>
    <t>081AE8Q</t>
  </si>
  <si>
    <t>081AE8R</t>
  </si>
  <si>
    <t>081AE8S</t>
  </si>
  <si>
    <t>S071C</t>
  </si>
  <si>
    <t>M071C</t>
  </si>
  <si>
    <t>S070H</t>
  </si>
  <si>
    <t>M070H</t>
  </si>
  <si>
    <t>S079D</t>
  </si>
  <si>
    <t>M079D</t>
  </si>
  <si>
    <t>S079F</t>
  </si>
  <si>
    <t>M079F</t>
  </si>
  <si>
    <t>S069A</t>
  </si>
  <si>
    <t>PSNY2109</t>
  </si>
  <si>
    <t>M069A</t>
  </si>
  <si>
    <t>M029A</t>
  </si>
  <si>
    <t>M017B</t>
  </si>
  <si>
    <t>M007E</t>
  </si>
  <si>
    <t>S007E</t>
  </si>
  <si>
    <t>M007F</t>
  </si>
  <si>
    <t>S007F</t>
  </si>
  <si>
    <t>S007D</t>
  </si>
  <si>
    <t>M002A</t>
  </si>
  <si>
    <t>S002A</t>
  </si>
  <si>
    <t>S002B</t>
  </si>
  <si>
    <t>S002C</t>
  </si>
  <si>
    <t>S005B</t>
  </si>
  <si>
    <t>S005C</t>
  </si>
  <si>
    <t>PSNY2110</t>
  </si>
  <si>
    <t>S008F</t>
  </si>
  <si>
    <t>M017J</t>
  </si>
  <si>
    <t>M025A</t>
  </si>
  <si>
    <t>M025C</t>
  </si>
  <si>
    <t>PSNY2111</t>
  </si>
  <si>
    <t>M017J1</t>
  </si>
  <si>
    <t>081AE8V</t>
  </si>
  <si>
    <t>081AE8W</t>
  </si>
  <si>
    <t>081AE8T</t>
  </si>
  <si>
    <t>081AE8U</t>
  </si>
  <si>
    <t>081AE8X</t>
  </si>
  <si>
    <t>081AE8Y</t>
  </si>
  <si>
    <t>081AE8Z</t>
  </si>
  <si>
    <t>081AE9A</t>
  </si>
  <si>
    <t>081AE9B</t>
  </si>
  <si>
    <t>081AE9C</t>
  </si>
  <si>
    <t>PSNY2112</t>
  </si>
  <si>
    <t>081AE9D</t>
  </si>
  <si>
    <t>081AE9E</t>
  </si>
  <si>
    <t>081AE9F</t>
  </si>
  <si>
    <t>TCR2005</t>
  </si>
  <si>
    <t>081C1</t>
  </si>
  <si>
    <t>081C2</t>
  </si>
  <si>
    <t>081C3</t>
  </si>
  <si>
    <t>063BM</t>
  </si>
  <si>
    <t>081AE9G</t>
  </si>
  <si>
    <t>081AE9H</t>
  </si>
  <si>
    <t>081AE9J</t>
  </si>
  <si>
    <t>081AE9K</t>
  </si>
  <si>
    <t>081AE9L</t>
  </si>
  <si>
    <t>PSNY2201</t>
  </si>
  <si>
    <t>081AE9M</t>
  </si>
  <si>
    <t>002BS</t>
  </si>
  <si>
    <t>050B2A</t>
  </si>
  <si>
    <t>062G1</t>
  </si>
  <si>
    <t>062G3</t>
  </si>
  <si>
    <t>062G4</t>
  </si>
  <si>
    <t>081AE9N</t>
  </si>
  <si>
    <t>081AE9P</t>
  </si>
  <si>
    <t>081AE9Q</t>
  </si>
  <si>
    <t>M066Q</t>
  </si>
  <si>
    <t>M069C</t>
  </si>
  <si>
    <t>M069C3</t>
  </si>
  <si>
    <t>M067B</t>
  </si>
  <si>
    <t>PSNY2202</t>
  </si>
  <si>
    <t>M072B</t>
  </si>
  <si>
    <t>M085D</t>
  </si>
  <si>
    <t>M018G</t>
  </si>
  <si>
    <t>M047F1</t>
  </si>
  <si>
    <t>M048I</t>
  </si>
  <si>
    <t>M049A</t>
  </si>
  <si>
    <t>S066Q</t>
  </si>
  <si>
    <t>S069C</t>
  </si>
  <si>
    <t>S069C3</t>
  </si>
  <si>
    <t>S018G</t>
  </si>
  <si>
    <t>S047F1</t>
  </si>
  <si>
    <t>PGD1</t>
  </si>
  <si>
    <t>081AE9R</t>
  </si>
  <si>
    <t>081AE9S</t>
  </si>
  <si>
    <t>081AE9T</t>
  </si>
  <si>
    <t>081AE9U</t>
  </si>
  <si>
    <t>081AE9V</t>
  </si>
  <si>
    <t>PSNY2203</t>
  </si>
  <si>
    <t>081ARND</t>
  </si>
  <si>
    <t>081AE9W</t>
  </si>
  <si>
    <t>081AE9X</t>
  </si>
  <si>
    <t>081AE9Y</t>
  </si>
  <si>
    <t>081AE9Z</t>
  </si>
  <si>
    <t>081AF1A</t>
  </si>
  <si>
    <t>081AF1B</t>
  </si>
  <si>
    <t>081AF1C</t>
  </si>
  <si>
    <t>081AF1D</t>
  </si>
  <si>
    <t>081AF1E</t>
  </si>
  <si>
    <t>081AF1F</t>
  </si>
  <si>
    <t>081AF1G</t>
  </si>
  <si>
    <t>M034C</t>
  </si>
  <si>
    <t>081AF1H</t>
  </si>
  <si>
    <t>081AF1J</t>
  </si>
  <si>
    <t>PSNY2204</t>
  </si>
  <si>
    <t>081AF1K</t>
  </si>
  <si>
    <t>081AF1L</t>
  </si>
  <si>
    <t>081AF1M</t>
  </si>
  <si>
    <t>081AF1N</t>
  </si>
  <si>
    <t>081AF1P</t>
  </si>
  <si>
    <t>081AF1Q</t>
  </si>
  <si>
    <t>081AF1R</t>
  </si>
  <si>
    <t>081AF1S</t>
  </si>
  <si>
    <t>081AF1T</t>
  </si>
  <si>
    <t>PRJPP1</t>
  </si>
  <si>
    <t>081D2</t>
  </si>
  <si>
    <t>081D3</t>
  </si>
  <si>
    <t>PSNY2205</t>
  </si>
  <si>
    <t>081AF1U</t>
  </si>
  <si>
    <t>081AF1V</t>
  </si>
  <si>
    <t>081AF1W</t>
  </si>
  <si>
    <t>081AF1X</t>
  </si>
  <si>
    <t>081AF1Y</t>
  </si>
  <si>
    <t>081AF1Z</t>
  </si>
  <si>
    <t>081AF2A</t>
  </si>
  <si>
    <t>081AF2B</t>
  </si>
  <si>
    <t>081AF2C</t>
  </si>
  <si>
    <t>081AF2D</t>
  </si>
  <si>
    <t>PSNY2206</t>
  </si>
  <si>
    <t>081AF2E</t>
  </si>
  <si>
    <t>081AF2F</t>
  </si>
  <si>
    <t>081AF2G</t>
  </si>
  <si>
    <t>081AF2H</t>
  </si>
  <si>
    <t>081AF2J</t>
  </si>
  <si>
    <t>081AF2K</t>
  </si>
  <si>
    <t>081AF2L</t>
  </si>
  <si>
    <t>081AF2M</t>
  </si>
  <si>
    <t>081AF2N</t>
  </si>
  <si>
    <t>Z1D1WHK</t>
  </si>
  <si>
    <t>Z1D1BKK</t>
  </si>
  <si>
    <t>Z1D1WHL</t>
  </si>
  <si>
    <t>Z0WHSE</t>
  </si>
  <si>
    <t>081AF2P</t>
  </si>
  <si>
    <t>Z1D2WHS</t>
  </si>
  <si>
    <t>PSNY2207</t>
  </si>
  <si>
    <t>M070E3</t>
  </si>
  <si>
    <t>S080D</t>
  </si>
  <si>
    <t>M085E</t>
  </si>
  <si>
    <t>M063G</t>
  </si>
  <si>
    <t>S063G</t>
  </si>
  <si>
    <t>M064B</t>
  </si>
  <si>
    <t>S064B</t>
  </si>
  <si>
    <t>M056D</t>
  </si>
  <si>
    <t>S056D</t>
  </si>
  <si>
    <t>M056A</t>
  </si>
  <si>
    <t>S024D</t>
  </si>
  <si>
    <t>M020D</t>
  </si>
  <si>
    <t>M020B</t>
  </si>
  <si>
    <t>M005D</t>
  </si>
  <si>
    <t>M038D1</t>
  </si>
  <si>
    <t>PSNY2208</t>
  </si>
  <si>
    <t>M038D</t>
  </si>
  <si>
    <t>081AF2Q</t>
  </si>
  <si>
    <t>081AF2R</t>
  </si>
  <si>
    <t>081AF2S</t>
  </si>
  <si>
    <t>M81L20A</t>
  </si>
  <si>
    <t>M81L20B</t>
  </si>
  <si>
    <t>030C</t>
  </si>
  <si>
    <t>M40L20A</t>
  </si>
  <si>
    <t>M40L20B</t>
  </si>
  <si>
    <t>081AF2T</t>
  </si>
  <si>
    <t>081AF2U</t>
  </si>
  <si>
    <t>081AF2V</t>
  </si>
  <si>
    <t>004C2</t>
  </si>
  <si>
    <t>004C3</t>
  </si>
  <si>
    <t>081AF2W</t>
  </si>
  <si>
    <t>POLBE</t>
  </si>
  <si>
    <t>081AF2X</t>
  </si>
  <si>
    <t>014BS</t>
  </si>
  <si>
    <t>081AF2Y</t>
  </si>
  <si>
    <t>M072L</t>
  </si>
  <si>
    <t>M072A</t>
  </si>
  <si>
    <t>S072A</t>
  </si>
  <si>
    <t>M070B</t>
  </si>
  <si>
    <t>SKFC2108</t>
  </si>
  <si>
    <t>SKUJ6STX</t>
  </si>
  <si>
    <t>S070B</t>
  </si>
  <si>
    <t>M074G</t>
  </si>
  <si>
    <t>M075H</t>
  </si>
  <si>
    <t>KSSM1311</t>
  </si>
  <si>
    <t>KSBK-KSST</t>
  </si>
  <si>
    <t>M099E</t>
  </si>
  <si>
    <t>PYFC2103</t>
  </si>
  <si>
    <t>PYBM</t>
  </si>
  <si>
    <t>S099G</t>
  </si>
  <si>
    <t>PYNY2208</t>
  </si>
  <si>
    <t>PYBK-PYST</t>
  </si>
  <si>
    <t>S084A</t>
  </si>
  <si>
    <t>PYFC2201</t>
  </si>
  <si>
    <t>S069B2</t>
  </si>
  <si>
    <t>M050A</t>
  </si>
  <si>
    <t>M050D</t>
  </si>
  <si>
    <t>PYFC2106</t>
  </si>
  <si>
    <t>M049F</t>
  </si>
  <si>
    <t>SKST2207</t>
  </si>
  <si>
    <t>M049F1</t>
  </si>
  <si>
    <t>M047E</t>
  </si>
  <si>
    <t>M033D</t>
  </si>
  <si>
    <t>SKFC2208</t>
  </si>
  <si>
    <t>M027H</t>
  </si>
  <si>
    <t>NSBB2112</t>
  </si>
  <si>
    <t>081AF2Z</t>
  </si>
  <si>
    <t>Z0FACT</t>
  </si>
  <si>
    <t>Z0LOB</t>
  </si>
  <si>
    <t>NSFC2105</t>
  </si>
  <si>
    <t>NSGP3CS1</t>
  </si>
  <si>
    <t>Z1D1BKL</t>
  </si>
  <si>
    <t>Z1D2BKL</t>
  </si>
  <si>
    <t>Z1RND86</t>
  </si>
  <si>
    <t>Z1D2</t>
  </si>
  <si>
    <t>Z0COMPS</t>
  </si>
  <si>
    <t>KSSM2004</t>
  </si>
  <si>
    <t>Z0GGL</t>
  </si>
  <si>
    <t>Z0GGLDY</t>
  </si>
  <si>
    <t>Z1OP1</t>
  </si>
  <si>
    <t>Z1OP1HV</t>
  </si>
  <si>
    <t>Z1OP1CE</t>
  </si>
  <si>
    <t>Z1OP1FE</t>
  </si>
  <si>
    <t>SKFC2207</t>
  </si>
  <si>
    <t>Z1OP1NB</t>
  </si>
  <si>
    <t>NSFC2104</t>
  </si>
  <si>
    <t>Z0SPM</t>
  </si>
  <si>
    <t>M81A21A</t>
  </si>
  <si>
    <t>M81A21B</t>
  </si>
  <si>
    <t>081AF3A</t>
  </si>
  <si>
    <t>081AF3B</t>
  </si>
  <si>
    <t>081AF3C</t>
  </si>
  <si>
    <t>NSSC2109</t>
  </si>
  <si>
    <t>081AF3D</t>
  </si>
  <si>
    <t>M40A21A</t>
  </si>
  <si>
    <t>KSSM1802</t>
  </si>
  <si>
    <t>M40A21B</t>
  </si>
  <si>
    <t>081AF3E</t>
  </si>
  <si>
    <t>081AF3F</t>
  </si>
  <si>
    <t>NSFC2103</t>
  </si>
  <si>
    <t>081AF3G</t>
  </si>
  <si>
    <t>081AF3H</t>
  </si>
  <si>
    <t>081AF3J</t>
  </si>
  <si>
    <t>081AF3K</t>
  </si>
  <si>
    <t>009G2</t>
  </si>
  <si>
    <t>M81B21A</t>
  </si>
  <si>
    <t>M81B21B</t>
  </si>
  <si>
    <t>M40B21A</t>
  </si>
  <si>
    <t>M40B21B</t>
  </si>
  <si>
    <t>081AF3L</t>
  </si>
  <si>
    <t>Z1PG1</t>
  </si>
  <si>
    <t>081AF3M</t>
  </si>
  <si>
    <t>081AF3N</t>
  </si>
  <si>
    <t>054H</t>
  </si>
  <si>
    <t>054I</t>
  </si>
  <si>
    <t>NSST2208</t>
  </si>
  <si>
    <t>081AF3P</t>
  </si>
  <si>
    <t>M81C21A</t>
  </si>
  <si>
    <t>M81C21B</t>
  </si>
  <si>
    <t>081AF3Q</t>
  </si>
  <si>
    <t>081AF3S</t>
  </si>
  <si>
    <t>081AF3R</t>
  </si>
  <si>
    <t>001YP</t>
  </si>
  <si>
    <t>NSBK1712</t>
  </si>
  <si>
    <t>001ZA</t>
  </si>
  <si>
    <t>002ZP</t>
  </si>
  <si>
    <t>TKOH2107</t>
  </si>
  <si>
    <t>TK</t>
  </si>
  <si>
    <t>003ZP</t>
  </si>
  <si>
    <t>ALBM2107</t>
  </si>
  <si>
    <t>AL</t>
  </si>
  <si>
    <t>004ZP</t>
  </si>
  <si>
    <t>005ZG</t>
  </si>
  <si>
    <t>NIBM2107</t>
  </si>
  <si>
    <t>BMBK-NIST</t>
  </si>
  <si>
    <t>NI</t>
  </si>
  <si>
    <t>006ZG</t>
  </si>
  <si>
    <t>007YP</t>
  </si>
  <si>
    <t>NIST1912</t>
  </si>
  <si>
    <t>007ZA</t>
  </si>
  <si>
    <t>NIBM1912</t>
  </si>
  <si>
    <t>008ZG</t>
  </si>
  <si>
    <t>PSBK1808</t>
  </si>
  <si>
    <t>009ZG</t>
  </si>
  <si>
    <t>PSST1609</t>
  </si>
  <si>
    <t>0</t>
  </si>
  <si>
    <t>010ZP</t>
  </si>
  <si>
    <t>PSFC1808</t>
  </si>
  <si>
    <t>PSCJ2PHX</t>
  </si>
  <si>
    <t>011ZP</t>
  </si>
  <si>
    <t>012ZP</t>
  </si>
  <si>
    <t>SKBK2007</t>
  </si>
  <si>
    <t>013ZP</t>
  </si>
  <si>
    <t>TKOH2108</t>
  </si>
  <si>
    <t>014ZP</t>
  </si>
  <si>
    <t>015ZP</t>
  </si>
  <si>
    <t>NSBK2004</t>
  </si>
  <si>
    <t>016ZP</t>
  </si>
  <si>
    <t>MNFC2107</t>
  </si>
  <si>
    <t>MNFC</t>
  </si>
  <si>
    <t>MN</t>
  </si>
  <si>
    <t>MNRZW</t>
  </si>
  <si>
    <t>017ZP</t>
  </si>
  <si>
    <t>MNFC2201</t>
  </si>
  <si>
    <t>018ZP</t>
  </si>
  <si>
    <t>DRBM1908</t>
  </si>
  <si>
    <t>TKOH</t>
  </si>
  <si>
    <t>019ZP</t>
  </si>
  <si>
    <t>DRBM2001</t>
  </si>
  <si>
    <t>020ZP</t>
  </si>
  <si>
    <t>021YP</t>
  </si>
  <si>
    <t>021ZA</t>
  </si>
  <si>
    <t>022ZP</t>
  </si>
  <si>
    <t>024ZP</t>
  </si>
  <si>
    <t>026ZP</t>
  </si>
  <si>
    <t>DRBM2107</t>
  </si>
  <si>
    <t>027ZP</t>
  </si>
  <si>
    <t>028ZP</t>
  </si>
  <si>
    <t>DRBK1908</t>
  </si>
  <si>
    <t>029ZP</t>
  </si>
  <si>
    <t>DRST1908</t>
  </si>
  <si>
    <t>030ZP</t>
  </si>
  <si>
    <t>031ZP</t>
  </si>
  <si>
    <t>032ZA</t>
  </si>
  <si>
    <t>033ZP</t>
  </si>
  <si>
    <t>MNNY2109</t>
  </si>
  <si>
    <t>034ZP</t>
  </si>
  <si>
    <t>PTNY2109</t>
  </si>
  <si>
    <t>PT</t>
  </si>
  <si>
    <t>035ZP</t>
  </si>
  <si>
    <t>JKNY2109</t>
  </si>
  <si>
    <t>JK</t>
  </si>
  <si>
    <t>036ZP</t>
  </si>
  <si>
    <t>DRNY2109</t>
  </si>
  <si>
    <t>037ZP</t>
  </si>
  <si>
    <t>DRNY2112</t>
  </si>
  <si>
    <t>038ZP</t>
  </si>
  <si>
    <t>ALNY2109</t>
  </si>
  <si>
    <t>039ZP</t>
  </si>
  <si>
    <t>ALNY2112</t>
  </si>
  <si>
    <t>041ZT</t>
  </si>
  <si>
    <t>NANY2109</t>
  </si>
  <si>
    <t>NA</t>
  </si>
  <si>
    <t>042ZP</t>
  </si>
  <si>
    <t>NANY2201</t>
  </si>
  <si>
    <t>043ZP</t>
  </si>
  <si>
    <t>KLNY2109</t>
  </si>
  <si>
    <t>KL</t>
  </si>
  <si>
    <t>044ZP</t>
  </si>
  <si>
    <t>KLNY2201</t>
  </si>
  <si>
    <t>M067E</t>
  </si>
  <si>
    <t>KLNY2206</t>
  </si>
  <si>
    <t>046YP</t>
  </si>
  <si>
    <t>KLNY2208</t>
  </si>
  <si>
    <t>046ZA</t>
  </si>
  <si>
    <t>JCNY2109</t>
  </si>
  <si>
    <t>047ZP</t>
  </si>
  <si>
    <t>JCNY2112</t>
  </si>
  <si>
    <t>048ZP</t>
  </si>
  <si>
    <t>049ZT</t>
  </si>
  <si>
    <t>SINY2109</t>
  </si>
  <si>
    <t>SI</t>
  </si>
  <si>
    <t>050ZP</t>
  </si>
  <si>
    <t>RBNY2109</t>
  </si>
  <si>
    <t>RB</t>
  </si>
  <si>
    <t>051YP</t>
  </si>
  <si>
    <t>SNNY2109</t>
  </si>
  <si>
    <t>SN</t>
  </si>
  <si>
    <t>051ZT</t>
  </si>
  <si>
    <t>KLSM2202</t>
  </si>
  <si>
    <t>KLBM</t>
  </si>
  <si>
    <t>052YG</t>
  </si>
  <si>
    <t>KLBM2107</t>
  </si>
  <si>
    <t>KLBK-KLST</t>
  </si>
  <si>
    <t>052ZA</t>
  </si>
  <si>
    <t>KLST1908</t>
  </si>
  <si>
    <t>055ZT</t>
  </si>
  <si>
    <t>KLBM1908</t>
  </si>
  <si>
    <t>056ZP</t>
  </si>
  <si>
    <t>057ZP</t>
  </si>
  <si>
    <t>NSBK2201</t>
  </si>
  <si>
    <t>058YP</t>
  </si>
  <si>
    <t>NSST2201</t>
  </si>
  <si>
    <t>058ZP</t>
  </si>
  <si>
    <t>NSGP3CB1</t>
  </si>
  <si>
    <t>059YT</t>
  </si>
  <si>
    <t>SKBK2104</t>
  </si>
  <si>
    <t>059ZA</t>
  </si>
  <si>
    <t>SKST2104</t>
  </si>
  <si>
    <t>S067E</t>
  </si>
  <si>
    <t>SKFC2104</t>
  </si>
  <si>
    <t>061ZT</t>
  </si>
  <si>
    <t>DRNY1905</t>
  </si>
  <si>
    <t>062ZP</t>
  </si>
  <si>
    <t>ALNY1905</t>
  </si>
  <si>
    <t>063ZG</t>
  </si>
  <si>
    <t>066ZP</t>
  </si>
  <si>
    <t>067ZP</t>
  </si>
  <si>
    <t>068ZP</t>
  </si>
  <si>
    <t>069ZP</t>
  </si>
  <si>
    <t>070ZA</t>
  </si>
  <si>
    <t>071ZP</t>
  </si>
  <si>
    <t>NSSC2108</t>
  </si>
  <si>
    <t>072ZP</t>
  </si>
  <si>
    <t>073ZP</t>
  </si>
  <si>
    <t>075ZP</t>
  </si>
  <si>
    <t>076YP</t>
  </si>
  <si>
    <t>076ZT</t>
  </si>
  <si>
    <t>079ZA</t>
  </si>
  <si>
    <t>080ZP</t>
  </si>
  <si>
    <t>081ZP</t>
  </si>
  <si>
    <t>082ZP</t>
  </si>
  <si>
    <t>083ZP</t>
  </si>
  <si>
    <t>084ZP</t>
  </si>
  <si>
    <t>085ZP</t>
  </si>
  <si>
    <t>090YP</t>
  </si>
  <si>
    <t>090ZG</t>
  </si>
  <si>
    <t>091ZP</t>
  </si>
  <si>
    <t>092ZP</t>
  </si>
  <si>
    <t>093ZP</t>
  </si>
  <si>
    <t>094ZP</t>
  </si>
  <si>
    <t>095ZP</t>
  </si>
  <si>
    <t>097ZP</t>
  </si>
  <si>
    <t>098ZP</t>
  </si>
  <si>
    <t>099ZP</t>
  </si>
  <si>
    <t>100ZP</t>
  </si>
  <si>
    <t>045ZO</t>
  </si>
  <si>
    <t>060ZO</t>
  </si>
  <si>
    <t>081AF3T</t>
  </si>
  <si>
    <t>M029G</t>
  </si>
  <si>
    <t>S068A</t>
  </si>
  <si>
    <t>M067C</t>
  </si>
  <si>
    <t>S067C</t>
  </si>
  <si>
    <t>M067D</t>
  </si>
  <si>
    <t>M047I</t>
  </si>
  <si>
    <t>M047J</t>
  </si>
  <si>
    <t>M047K</t>
  </si>
  <si>
    <t>081AF3V</t>
  </si>
  <si>
    <t>081AF3U</t>
  </si>
  <si>
    <t>081AF3W</t>
  </si>
  <si>
    <t>081AF3X</t>
  </si>
  <si>
    <t>081AF3Y</t>
  </si>
  <si>
    <t>081AF3Z</t>
  </si>
  <si>
    <t>NSBK2205</t>
  </si>
  <si>
    <t>M81D21A</t>
  </si>
  <si>
    <t>NSST2206</t>
  </si>
  <si>
    <t>081AF4A</t>
  </si>
  <si>
    <t>SKBK2207</t>
  </si>
  <si>
    <t>033CS</t>
  </si>
  <si>
    <t>081AF4B</t>
  </si>
  <si>
    <t>M81D21B</t>
  </si>
  <si>
    <t>081AF4C</t>
  </si>
  <si>
    <t>081AF4D</t>
  </si>
  <si>
    <t>081AF4E</t>
  </si>
  <si>
    <t>M066Q2</t>
  </si>
  <si>
    <t>M070C</t>
  </si>
  <si>
    <t>SKFC2201</t>
  </si>
  <si>
    <t>M082C</t>
  </si>
  <si>
    <t>M082G</t>
  </si>
  <si>
    <t>M085H1</t>
  </si>
  <si>
    <t>M085H</t>
  </si>
  <si>
    <t>M096J</t>
  </si>
  <si>
    <t>M078F</t>
  </si>
  <si>
    <t>M074A</t>
  </si>
  <si>
    <t>M074B</t>
  </si>
  <si>
    <t>M074C</t>
  </si>
  <si>
    <t>M074D</t>
  </si>
  <si>
    <t>DRBM2111</t>
  </si>
  <si>
    <t>M074E</t>
  </si>
  <si>
    <t>M074F</t>
  </si>
  <si>
    <t>DRBM2207</t>
  </si>
  <si>
    <t>DRBK-DRST</t>
  </si>
  <si>
    <t>M074H1</t>
  </si>
  <si>
    <t>M073B</t>
  </si>
  <si>
    <t>TKOH2207</t>
  </si>
  <si>
    <t>M073C</t>
  </si>
  <si>
    <t>DRBM2011</t>
  </si>
  <si>
    <t>M073L</t>
  </si>
  <si>
    <t>M073E</t>
  </si>
  <si>
    <t>ALBM2111</t>
  </si>
  <si>
    <t>M073D</t>
  </si>
  <si>
    <t>DRBM2110</t>
  </si>
  <si>
    <t>M072H1</t>
  </si>
  <si>
    <t>DRBM2105</t>
  </si>
  <si>
    <t>M026A</t>
  </si>
  <si>
    <t>M026B</t>
  </si>
  <si>
    <t>M004K</t>
  </si>
  <si>
    <t>SKBK2110</t>
  </si>
  <si>
    <t>S004K</t>
  </si>
  <si>
    <t>M074I</t>
  </si>
  <si>
    <t>033AS</t>
  </si>
  <si>
    <t>ALBM2106</t>
  </si>
  <si>
    <t>081AF4F</t>
  </si>
  <si>
    <t>081AF4G</t>
  </si>
  <si>
    <t>081AF4H</t>
  </si>
  <si>
    <t>081AF4J</t>
  </si>
  <si>
    <t>M81E21A</t>
  </si>
  <si>
    <t>M81E21B</t>
  </si>
  <si>
    <t>081AF4K</t>
  </si>
  <si>
    <t>081AF4L</t>
  </si>
  <si>
    <t>081AF4M</t>
  </si>
  <si>
    <t>081AF4N</t>
  </si>
  <si>
    <t>M81F21A</t>
  </si>
  <si>
    <t>081AF4P</t>
  </si>
  <si>
    <t>081AF4Q</t>
  </si>
  <si>
    <t>NSBK2111</t>
  </si>
  <si>
    <t>081AF4R</t>
  </si>
  <si>
    <t>081AF4S</t>
  </si>
  <si>
    <t>M81F21B</t>
  </si>
  <si>
    <t>081AF4T</t>
  </si>
  <si>
    <t>NSFC2102</t>
  </si>
  <si>
    <t>081AF4U</t>
  </si>
  <si>
    <t>081AF4V</t>
  </si>
  <si>
    <t>S068B</t>
  </si>
  <si>
    <t>S090D</t>
  </si>
  <si>
    <t>S090E</t>
  </si>
  <si>
    <t>S099A</t>
  </si>
  <si>
    <t>S055A</t>
  </si>
  <si>
    <t>M085A</t>
  </si>
  <si>
    <t>M090C</t>
  </si>
  <si>
    <t>M090D</t>
  </si>
  <si>
    <t>M090E</t>
  </si>
  <si>
    <t>M093B</t>
  </si>
  <si>
    <t>M099A</t>
  </si>
  <si>
    <t>M061C</t>
  </si>
  <si>
    <t>M034D</t>
  </si>
  <si>
    <t>M016B</t>
  </si>
  <si>
    <t>PD10</t>
  </si>
  <si>
    <t>M097D</t>
  </si>
  <si>
    <t>M055C</t>
  </si>
  <si>
    <t>S055C</t>
  </si>
  <si>
    <t>081AF4W</t>
  </si>
  <si>
    <t>081AF4X</t>
  </si>
  <si>
    <t>081AF4Y</t>
  </si>
  <si>
    <t>081AF4Z</t>
  </si>
  <si>
    <t>M81G21A</t>
  </si>
  <si>
    <t>034ES</t>
  </si>
  <si>
    <t>M40G21A</t>
  </si>
  <si>
    <t>M40G21B</t>
  </si>
  <si>
    <t>081AF5A</t>
  </si>
  <si>
    <t>081AF5B</t>
  </si>
  <si>
    <t>081AF5C</t>
  </si>
  <si>
    <t>M81G21B</t>
  </si>
  <si>
    <t>037BS1</t>
  </si>
  <si>
    <t>081AF5D</t>
  </si>
  <si>
    <t>081AF5E</t>
  </si>
  <si>
    <t>081AF5F</t>
  </si>
  <si>
    <t>081AF5G</t>
  </si>
  <si>
    <t>081AF5H</t>
  </si>
  <si>
    <t>M40H21A</t>
  </si>
  <si>
    <t>M40H21B</t>
  </si>
  <si>
    <t>M81H21A</t>
  </si>
  <si>
    <t>M088C2</t>
  </si>
  <si>
    <t>M099B</t>
  </si>
  <si>
    <t>M072G</t>
  </si>
  <si>
    <t>M082I</t>
  </si>
  <si>
    <t>M082H</t>
  </si>
  <si>
    <t>M055H</t>
  </si>
  <si>
    <t>M063A</t>
  </si>
  <si>
    <t>M059D</t>
  </si>
  <si>
    <t>M059C</t>
  </si>
  <si>
    <t>M048C</t>
  </si>
  <si>
    <t>M018F</t>
  </si>
  <si>
    <t>004IS</t>
  </si>
  <si>
    <t>004KS</t>
  </si>
  <si>
    <t>081AF5J</t>
  </si>
  <si>
    <t>081AF5K</t>
  </si>
  <si>
    <t>081AF5L</t>
  </si>
  <si>
    <t>081AF5M</t>
  </si>
  <si>
    <t>081AF5N</t>
  </si>
  <si>
    <t>081AF5P</t>
  </si>
  <si>
    <t>M81H21B</t>
  </si>
  <si>
    <t>037BS</t>
  </si>
  <si>
    <t>081ARD1</t>
  </si>
  <si>
    <t>081AF5Q</t>
  </si>
  <si>
    <t>081AF5R</t>
  </si>
  <si>
    <t>081AF5S</t>
  </si>
  <si>
    <t>081AF5T</t>
  </si>
  <si>
    <t>081AF5U</t>
  </si>
  <si>
    <t>081AF5V</t>
  </si>
  <si>
    <t>081AF5W</t>
  </si>
  <si>
    <t>M81I21A</t>
  </si>
  <si>
    <t>004L</t>
  </si>
  <si>
    <t>069DS</t>
  </si>
  <si>
    <t>081AF5X</t>
  </si>
  <si>
    <t>081AF5Y</t>
  </si>
  <si>
    <t>081AF5Z</t>
  </si>
  <si>
    <t>028CS1</t>
  </si>
  <si>
    <t>M81I21B</t>
  </si>
  <si>
    <t>010F1</t>
  </si>
  <si>
    <t>010F2</t>
  </si>
  <si>
    <t>028CS2</t>
  </si>
  <si>
    <t>028CS3</t>
  </si>
  <si>
    <t>M40I21A</t>
  </si>
  <si>
    <t>M40I21B</t>
  </si>
  <si>
    <t>081AF6A</t>
  </si>
  <si>
    <t>081AF6B</t>
  </si>
  <si>
    <t>081AF6C</t>
  </si>
  <si>
    <t>081AF6D</t>
  </si>
  <si>
    <t>081AF6E</t>
  </si>
  <si>
    <t>081AF6F</t>
  </si>
  <si>
    <t>077CS</t>
  </si>
  <si>
    <t>011C1</t>
  </si>
  <si>
    <t>011C2</t>
  </si>
  <si>
    <t>011C3</t>
  </si>
  <si>
    <t>069ES</t>
  </si>
  <si>
    <t>081AF6G</t>
  </si>
  <si>
    <t>081AF6H</t>
  </si>
  <si>
    <t>081AF6J</t>
  </si>
  <si>
    <t>082HS</t>
  </si>
  <si>
    <t>070HS</t>
  </si>
  <si>
    <t>070IS</t>
  </si>
  <si>
    <t>018B2</t>
  </si>
  <si>
    <t>081AF6K</t>
  </si>
  <si>
    <t>081AF6L</t>
  </si>
  <si>
    <t>S003D</t>
  </si>
  <si>
    <t>M070I</t>
  </si>
  <si>
    <t>M070J</t>
  </si>
  <si>
    <t>M020G</t>
  </si>
  <si>
    <t>M004J2</t>
  </si>
  <si>
    <t>M008C2</t>
  </si>
  <si>
    <t>M81J21A</t>
  </si>
  <si>
    <t>081AF6M</t>
  </si>
  <si>
    <t>095AS</t>
  </si>
  <si>
    <t>M81J21B</t>
  </si>
  <si>
    <t>M006A</t>
  </si>
  <si>
    <t>M076D</t>
  </si>
  <si>
    <t>M076E</t>
  </si>
  <si>
    <t>M032B</t>
  </si>
  <si>
    <t>M033B1</t>
  </si>
  <si>
    <t>M033B2</t>
  </si>
  <si>
    <t>M032A</t>
  </si>
  <si>
    <t>020ES</t>
  </si>
  <si>
    <t>081AF6N</t>
  </si>
  <si>
    <t>081AF6P</t>
  </si>
  <si>
    <t>081AF6Q</t>
  </si>
  <si>
    <t>081AF6R</t>
  </si>
  <si>
    <t>M81K21A</t>
  </si>
  <si>
    <t>M066A</t>
  </si>
  <si>
    <t>070JS</t>
  </si>
  <si>
    <t>081AF6S</t>
  </si>
  <si>
    <t>081AF6T</t>
  </si>
  <si>
    <t>081AF6U</t>
  </si>
  <si>
    <t>081AF6V</t>
  </si>
  <si>
    <t>M40K21A</t>
  </si>
  <si>
    <t>081AF6W</t>
  </si>
  <si>
    <t>081AF6X</t>
  </si>
  <si>
    <t>M81K21B</t>
  </si>
  <si>
    <t>081AF6Y</t>
  </si>
  <si>
    <t>081AF6Z</t>
  </si>
  <si>
    <t>081AF7A</t>
  </si>
  <si>
    <t>081AF7B</t>
  </si>
  <si>
    <t>M073A1</t>
  </si>
  <si>
    <t>M097C</t>
  </si>
  <si>
    <t>S097C</t>
  </si>
  <si>
    <t>M098M</t>
  </si>
  <si>
    <t>M098M1</t>
  </si>
  <si>
    <t>M083E</t>
  </si>
  <si>
    <t>081AF7C</t>
  </si>
  <si>
    <t>081AF7D</t>
  </si>
  <si>
    <t>081AF7E</t>
  </si>
  <si>
    <t>M81L21A</t>
  </si>
  <si>
    <t>081AF7F</t>
  </si>
  <si>
    <t>081AF7G</t>
  </si>
  <si>
    <t>081AF7H</t>
  </si>
  <si>
    <t>081AF7J</t>
  </si>
  <si>
    <t>005F2</t>
  </si>
  <si>
    <t>005F3</t>
  </si>
  <si>
    <t>005F4</t>
  </si>
  <si>
    <t>006C1</t>
  </si>
  <si>
    <t>081AF7K</t>
  </si>
  <si>
    <t>081AF7L</t>
  </si>
  <si>
    <t>M81L21B</t>
  </si>
  <si>
    <t>081AF7M</t>
  </si>
  <si>
    <t>081AF7N</t>
  </si>
  <si>
    <t>081AF7P</t>
  </si>
  <si>
    <t>081AF7Q</t>
  </si>
  <si>
    <t>081AF7R</t>
  </si>
  <si>
    <t>081AF7S</t>
  </si>
  <si>
    <t>081AF7T</t>
  </si>
  <si>
    <t>S006G</t>
  </si>
  <si>
    <t>M069C5</t>
  </si>
  <si>
    <t>M069E</t>
  </si>
  <si>
    <t>S069E</t>
  </si>
  <si>
    <t>S047E</t>
  </si>
  <si>
    <t>M047A</t>
  </si>
  <si>
    <t>M076C1</t>
  </si>
  <si>
    <t>S089B</t>
  </si>
  <si>
    <t>M089B</t>
  </si>
  <si>
    <t>081AF7U</t>
  </si>
  <si>
    <t>081AF7V</t>
  </si>
  <si>
    <t>S057E</t>
  </si>
  <si>
    <t>M046E</t>
  </si>
  <si>
    <t>S046E</t>
  </si>
  <si>
    <t>081AF7W</t>
  </si>
  <si>
    <t>M81A22A</t>
  </si>
  <si>
    <t>081AF7X</t>
  </si>
  <si>
    <t>081AF7Y</t>
  </si>
  <si>
    <t>081AF7Z</t>
  </si>
  <si>
    <t>081AF8A</t>
  </si>
  <si>
    <t>081AF8B</t>
  </si>
  <si>
    <t>081AF8C</t>
  </si>
  <si>
    <t>081AF8D</t>
  </si>
  <si>
    <t>M81A22B</t>
  </si>
  <si>
    <t>081AF8E</t>
  </si>
  <si>
    <t>081AF8F</t>
  </si>
  <si>
    <t>081AF8G</t>
  </si>
  <si>
    <t>081AF8H</t>
  </si>
  <si>
    <t>081AF8J</t>
  </si>
  <si>
    <t>081AF8K</t>
  </si>
  <si>
    <t>081AF8L</t>
  </si>
  <si>
    <t>M094I9</t>
  </si>
  <si>
    <t>M071B</t>
  </si>
  <si>
    <t>M048A</t>
  </si>
  <si>
    <t>S023A</t>
  </si>
  <si>
    <t>S023E</t>
  </si>
  <si>
    <t>S020H</t>
  </si>
  <si>
    <t>M004F</t>
  </si>
  <si>
    <t>M004H</t>
  </si>
  <si>
    <t>S016B1</t>
  </si>
  <si>
    <t>081AF8M</t>
  </si>
  <si>
    <t>081AF8N</t>
  </si>
  <si>
    <t>081AF8P</t>
  </si>
  <si>
    <t>M81B22A</t>
  </si>
  <si>
    <t>081AF8Q</t>
  </si>
  <si>
    <t>081AF8R</t>
  </si>
  <si>
    <t>081AF8S</t>
  </si>
  <si>
    <t>081AF8T</t>
  </si>
  <si>
    <t>081AF8U</t>
  </si>
  <si>
    <t>081AF8V</t>
  </si>
  <si>
    <t>M81B22B</t>
  </si>
  <si>
    <t>081AF8W</t>
  </si>
  <si>
    <t>081AF8X</t>
  </si>
  <si>
    <t>081AF8Y</t>
  </si>
  <si>
    <t>081AF8Z</t>
  </si>
  <si>
    <t>081AF9A</t>
  </si>
  <si>
    <t>081AF9B</t>
  </si>
  <si>
    <t>081AF9C</t>
  </si>
  <si>
    <t>081AF9D</t>
  </si>
  <si>
    <t>081AF9E</t>
  </si>
  <si>
    <t>M81C22A</t>
  </si>
  <si>
    <t>044A1</t>
  </si>
  <si>
    <t>046A2</t>
  </si>
  <si>
    <t>059I1</t>
  </si>
  <si>
    <t>081AF9G</t>
  </si>
  <si>
    <t>081AF9H</t>
  </si>
  <si>
    <t>081AF9J</t>
  </si>
  <si>
    <t>081AF9K</t>
  </si>
  <si>
    <t>059E1</t>
  </si>
  <si>
    <t>M81C22B</t>
  </si>
  <si>
    <t>081AF9L</t>
  </si>
  <si>
    <t>081AF9M</t>
  </si>
  <si>
    <t>081AF9N</t>
  </si>
  <si>
    <t>081AF9P</t>
  </si>
  <si>
    <t>081AF9Q</t>
  </si>
  <si>
    <t>081AF9R</t>
  </si>
  <si>
    <t>081AF9S</t>
  </si>
  <si>
    <t>081AF9T</t>
  </si>
  <si>
    <t>081AF9U</t>
  </si>
  <si>
    <t>081AF9V</t>
  </si>
  <si>
    <t>081AF9W</t>
  </si>
  <si>
    <t>081AF9X</t>
  </si>
  <si>
    <t>M81D22A</t>
  </si>
  <si>
    <t>081AF9Y</t>
  </si>
  <si>
    <t>081AF9Z</t>
  </si>
  <si>
    <t>081AG1A</t>
  </si>
  <si>
    <t>081AG1B</t>
  </si>
  <si>
    <t>M81D22B</t>
  </si>
  <si>
    <t>081AG1C</t>
  </si>
  <si>
    <t>012A3</t>
  </si>
  <si>
    <t>081AG1D</t>
  </si>
  <si>
    <t>081AG1E</t>
  </si>
  <si>
    <t>081AG1F</t>
  </si>
  <si>
    <t>081AG1G</t>
  </si>
  <si>
    <t>081AG1H</t>
  </si>
  <si>
    <t>M81E22A</t>
  </si>
  <si>
    <t>081AG1J</t>
  </si>
  <si>
    <t>081AG1K</t>
  </si>
  <si>
    <t>081AG1L</t>
  </si>
  <si>
    <t>081AG1M</t>
  </si>
  <si>
    <t>081AG1N</t>
  </si>
  <si>
    <t>081AG1P</t>
  </si>
  <si>
    <t>M81E22B</t>
  </si>
  <si>
    <t>081AG1Q</t>
  </si>
  <si>
    <t>081AG1R</t>
  </si>
  <si>
    <t>081AG1S</t>
  </si>
  <si>
    <t>M81F22A</t>
  </si>
  <si>
    <t>081AG1T</t>
  </si>
  <si>
    <t>081AG1U</t>
  </si>
  <si>
    <t>081AG1V</t>
  </si>
  <si>
    <t>081AG1W</t>
  </si>
  <si>
    <t>081AG1X</t>
  </si>
  <si>
    <t>081AG1Y</t>
  </si>
  <si>
    <t>081AG1Z</t>
  </si>
  <si>
    <t>019B2</t>
  </si>
  <si>
    <t>019B3</t>
  </si>
  <si>
    <t>081AG2A</t>
  </si>
  <si>
    <t>081AG2B</t>
  </si>
  <si>
    <t>M81F22B</t>
  </si>
  <si>
    <t>081AG2C</t>
  </si>
  <si>
    <t>PSTPG1</t>
  </si>
  <si>
    <t>PBSPG1</t>
  </si>
  <si>
    <t>081AG2D</t>
  </si>
  <si>
    <t>081AG2E</t>
  </si>
  <si>
    <t>081AG2F</t>
  </si>
  <si>
    <t>081AG2G</t>
  </si>
  <si>
    <t>081AG2H</t>
  </si>
  <si>
    <t>081AG2J</t>
  </si>
  <si>
    <t>081AG2K</t>
  </si>
  <si>
    <t>081AG2L</t>
  </si>
  <si>
    <t>M085G</t>
  </si>
  <si>
    <t>M084D</t>
  </si>
  <si>
    <t>M81G22A</t>
  </si>
  <si>
    <t>081AG2M</t>
  </si>
  <si>
    <t>081AG2N</t>
  </si>
  <si>
    <t>081AG2P</t>
  </si>
  <si>
    <t>081AG2Q</t>
  </si>
  <si>
    <t>081AG2R</t>
  </si>
  <si>
    <t>081AG2S</t>
  </si>
  <si>
    <t>081AG2T</t>
  </si>
  <si>
    <t>081AG2U</t>
  </si>
  <si>
    <t>081AG2V</t>
  </si>
  <si>
    <t>M81G22B</t>
  </si>
  <si>
    <t>M81G22C</t>
  </si>
  <si>
    <t>081AG2W</t>
  </si>
  <si>
    <t>081AG2X</t>
  </si>
  <si>
    <t>081AG2Y</t>
  </si>
  <si>
    <t>081AG2Z</t>
  </si>
  <si>
    <t>081AG3A</t>
  </si>
  <si>
    <t>081AG3B</t>
  </si>
  <si>
    <t>081AG3C</t>
  </si>
  <si>
    <t>M81H22A</t>
  </si>
  <si>
    <t>081AG3D</t>
  </si>
  <si>
    <t>081AG3E</t>
  </si>
  <si>
    <t>081AG3F</t>
  </si>
  <si>
    <t>POLBSC1</t>
  </si>
  <si>
    <t>081AG3G</t>
  </si>
  <si>
    <t>081AG3H</t>
  </si>
  <si>
    <t>081AG3J</t>
  </si>
  <si>
    <t>081AG3K</t>
  </si>
  <si>
    <t>081AG3L</t>
  </si>
  <si>
    <t>055A2</t>
  </si>
  <si>
    <t>055A3</t>
  </si>
  <si>
    <t>018DS</t>
  </si>
  <si>
    <t>M81H22B</t>
  </si>
  <si>
    <t>081AG3M</t>
  </si>
  <si>
    <t>081AG3N</t>
  </si>
  <si>
    <t>POLQA</t>
  </si>
  <si>
    <t>M81H22C</t>
  </si>
  <si>
    <t>081AG3P</t>
  </si>
  <si>
    <t>081AG3Q</t>
  </si>
  <si>
    <t>081AG3R</t>
  </si>
  <si>
    <t>M81I22A</t>
  </si>
  <si>
    <t>081AG3S</t>
  </si>
  <si>
    <t>081AG3T</t>
  </si>
  <si>
    <t>081AG3U</t>
  </si>
  <si>
    <t>081AG3V</t>
  </si>
  <si>
    <t>081AG3W</t>
  </si>
  <si>
    <t>P123</t>
  </si>
  <si>
    <t>081AG3X</t>
  </si>
  <si>
    <t>S031E</t>
  </si>
  <si>
    <t>S018D2</t>
  </si>
  <si>
    <t>S014E</t>
  </si>
  <si>
    <t>S008C</t>
  </si>
  <si>
    <t>M030B</t>
  </si>
  <si>
    <t>M017K</t>
  </si>
  <si>
    <t>081AG3Y</t>
  </si>
  <si>
    <t>081AG3Z</t>
  </si>
  <si>
    <t>081AG4A</t>
  </si>
  <si>
    <t>081AG4B</t>
  </si>
  <si>
    <t>M81I22B</t>
  </si>
  <si>
    <t>081ARD2</t>
  </si>
  <si>
    <t>081AG4C</t>
  </si>
  <si>
    <t>081AG4D</t>
  </si>
  <si>
    <t>081AG4E</t>
  </si>
  <si>
    <t>081AG4F</t>
  </si>
  <si>
    <t>081AG4G</t>
  </si>
  <si>
    <t>081AG4H</t>
  </si>
  <si>
    <t>081AG4J</t>
  </si>
  <si>
    <t>081AG4K</t>
  </si>
  <si>
    <t>081AG4L</t>
  </si>
  <si>
    <t>081AG4M</t>
  </si>
  <si>
    <t>065B4</t>
  </si>
  <si>
    <t>065B5</t>
  </si>
  <si>
    <t>065D2</t>
  </si>
  <si>
    <t>065D3</t>
  </si>
  <si>
    <t>M81J22A</t>
  </si>
  <si>
    <t>081AG4N</t>
  </si>
  <si>
    <t>081AG4P</t>
  </si>
  <si>
    <t>081AG4Q</t>
  </si>
  <si>
    <t>081AG4R</t>
  </si>
  <si>
    <t>041B3</t>
  </si>
  <si>
    <t>041B4</t>
  </si>
  <si>
    <t>081AG4S</t>
  </si>
  <si>
    <t>081AG4T</t>
  </si>
  <si>
    <t>081AG4U</t>
  </si>
  <si>
    <t>081AG4V</t>
  </si>
  <si>
    <t>M81J22B</t>
  </si>
  <si>
    <t>081AG4W</t>
  </si>
  <si>
    <t>081AG4X</t>
  </si>
  <si>
    <t>081AG4Y</t>
  </si>
  <si>
    <t>065C2</t>
  </si>
  <si>
    <t>065C3</t>
  </si>
  <si>
    <t>081AG4Z</t>
  </si>
  <si>
    <t>081AG5A</t>
  </si>
  <si>
    <t>081AG5B</t>
  </si>
  <si>
    <t>081AG5C</t>
  </si>
  <si>
    <t>081AG5D</t>
  </si>
  <si>
    <t>M81K22A</t>
  </si>
  <si>
    <t>081AG5E</t>
  </si>
  <si>
    <t>081AG5F</t>
  </si>
  <si>
    <t>081AG5G</t>
  </si>
  <si>
    <t>081AG5H</t>
  </si>
  <si>
    <t>081AG5J</t>
  </si>
  <si>
    <t>081AG5K</t>
  </si>
  <si>
    <t>071DS</t>
  </si>
  <si>
    <t>081AG5L</t>
  </si>
  <si>
    <t>081AG5M</t>
  </si>
  <si>
    <t>M81K22B</t>
  </si>
  <si>
    <t>081AG5N</t>
  </si>
  <si>
    <t>081AG5P</t>
  </si>
  <si>
    <t>081AG5Q</t>
  </si>
  <si>
    <t>S082B</t>
  </si>
  <si>
    <t>M084E</t>
  </si>
  <si>
    <t>M092C1</t>
  </si>
  <si>
    <t>M095F</t>
  </si>
  <si>
    <t>M097B</t>
  </si>
  <si>
    <t>M099C</t>
  </si>
  <si>
    <t>M81L22A</t>
  </si>
  <si>
    <t>081AG5R</t>
  </si>
  <si>
    <t>081AG5S</t>
  </si>
  <si>
    <t>081AG5T</t>
  </si>
  <si>
    <t>081AG5U</t>
  </si>
  <si>
    <t>081AG5V</t>
  </si>
  <si>
    <t>081AG5W</t>
  </si>
  <si>
    <t>M81L22B</t>
  </si>
  <si>
    <t>081AG5X</t>
  </si>
  <si>
    <t>081AG5Y</t>
  </si>
  <si>
    <t>081AG5Z</t>
  </si>
  <si>
    <t>065D4</t>
  </si>
  <si>
    <t>042I9A</t>
  </si>
  <si>
    <t>042I9B1</t>
  </si>
  <si>
    <t>042I9B2</t>
  </si>
  <si>
    <t>042I9B3</t>
  </si>
  <si>
    <t>042I9B4</t>
  </si>
  <si>
    <t>081AG6A</t>
  </si>
  <si>
    <t>081AG6B</t>
  </si>
  <si>
    <t>081AG6C</t>
  </si>
  <si>
    <t>081AG6D</t>
  </si>
  <si>
    <t>081AG6E</t>
  </si>
  <si>
    <t>081AG6F</t>
  </si>
  <si>
    <t>030H2</t>
  </si>
  <si>
    <t>030H3</t>
  </si>
  <si>
    <t>S018C2</t>
  </si>
  <si>
    <t>M083H</t>
  </si>
  <si>
    <t>M030E</t>
  </si>
  <si>
    <t>009B2</t>
  </si>
  <si>
    <t>081AG6G</t>
  </si>
  <si>
    <t>081AG6H</t>
  </si>
  <si>
    <t>081AG6J</t>
  </si>
  <si>
    <t>M81A23A</t>
  </si>
  <si>
    <t>009D2</t>
  </si>
  <si>
    <t>009D3</t>
  </si>
  <si>
    <t>019G2</t>
  </si>
  <si>
    <t>019G3</t>
  </si>
  <si>
    <t>030H4</t>
  </si>
  <si>
    <t>081AG6K</t>
  </si>
  <si>
    <t>081AG6L</t>
  </si>
  <si>
    <t>081AG6M</t>
  </si>
  <si>
    <t>081AG6N</t>
  </si>
  <si>
    <t>M81A23B</t>
  </si>
  <si>
    <t>081AG6P</t>
  </si>
  <si>
    <t>081AG6Q</t>
  </si>
  <si>
    <t>081AG6R</t>
  </si>
  <si>
    <t>081AG6S</t>
  </si>
  <si>
    <t>081AG6T</t>
  </si>
  <si>
    <t>081AG6U</t>
  </si>
  <si>
    <t>081AG6V</t>
  </si>
  <si>
    <t>081AG6W</t>
  </si>
  <si>
    <t>081AG6X</t>
  </si>
  <si>
    <t>081AG6Y</t>
  </si>
  <si>
    <t>081AG6Z</t>
  </si>
  <si>
    <t>M81B23A</t>
  </si>
  <si>
    <t>081AG7A</t>
  </si>
  <si>
    <t>081AG7B</t>
  </si>
  <si>
    <t>081AG7C</t>
  </si>
  <si>
    <t>081AG7D</t>
  </si>
  <si>
    <t>081AG7E</t>
  </si>
  <si>
    <t>041A2</t>
  </si>
  <si>
    <t>041A3</t>
  </si>
  <si>
    <t>041A4</t>
  </si>
  <si>
    <t>tanam</t>
  </si>
  <si>
    <t>target</t>
  </si>
  <si>
    <t>sisa target lokasi</t>
  </si>
  <si>
    <t>sdh real</t>
  </si>
  <si>
    <t>sisa akhir tahun</t>
  </si>
  <si>
    <t>sisa</t>
  </si>
  <si>
    <t>sudah bongkar</t>
  </si>
  <si>
    <t>sn bulan ini</t>
  </si>
  <si>
    <t>024G3</t>
  </si>
  <si>
    <t>047I1</t>
  </si>
  <si>
    <t>047I2</t>
  </si>
  <si>
    <t xml:space="preserve">        </t>
  </si>
  <si>
    <t>061A3</t>
  </si>
  <si>
    <t>061A2</t>
  </si>
  <si>
    <t>066B2</t>
  </si>
  <si>
    <t>Manual</t>
  </si>
  <si>
    <t>Selisih</t>
  </si>
  <si>
    <t>069E1</t>
  </si>
  <si>
    <t>069E2</t>
  </si>
  <si>
    <t>031B1</t>
  </si>
  <si>
    <t>031B2</t>
  </si>
  <si>
    <t>097D3</t>
  </si>
  <si>
    <t>097D4</t>
  </si>
  <si>
    <t>Selesai</t>
  </si>
  <si>
    <t>051A1</t>
  </si>
  <si>
    <t>051A2</t>
  </si>
  <si>
    <t>047A2</t>
  </si>
  <si>
    <t>047A3</t>
  </si>
  <si>
    <t>* Orange rencana selesai bulan ini</t>
  </si>
  <si>
    <t>096J1</t>
  </si>
  <si>
    <t>096J2</t>
  </si>
  <si>
    <t>051E2</t>
  </si>
  <si>
    <t>027C3</t>
  </si>
  <si>
    <t>027C2</t>
  </si>
  <si>
    <t>052E1</t>
  </si>
  <si>
    <t>052E2</t>
  </si>
  <si>
    <t>049A1</t>
  </si>
  <si>
    <t>049A2</t>
  </si>
  <si>
    <t>009A1</t>
  </si>
  <si>
    <t>009A2</t>
  </si>
  <si>
    <t>040C1</t>
  </si>
  <si>
    <t>024F1</t>
  </si>
  <si>
    <t>024F2</t>
  </si>
  <si>
    <t>052D1</t>
  </si>
  <si>
    <t>052D2</t>
  </si>
  <si>
    <t>039E5</t>
  </si>
  <si>
    <t>024G2</t>
  </si>
  <si>
    <t>084D1</t>
  </si>
  <si>
    <t>084D2</t>
  </si>
  <si>
    <t>065A2</t>
  </si>
  <si>
    <t>039E4</t>
  </si>
  <si>
    <t>007A2</t>
  </si>
  <si>
    <t>007A3</t>
  </si>
  <si>
    <t>007A4</t>
  </si>
  <si>
    <t>042A1</t>
  </si>
  <si>
    <t>002A1</t>
  </si>
  <si>
    <t>036H1</t>
  </si>
  <si>
    <t>036H2</t>
  </si>
  <si>
    <t>036H3</t>
  </si>
  <si>
    <t>048G2</t>
  </si>
  <si>
    <t>048G3</t>
  </si>
  <si>
    <t>064D</t>
  </si>
  <si>
    <t>042D1</t>
  </si>
  <si>
    <t>046B1</t>
  </si>
  <si>
    <t>046B2</t>
  </si>
  <si>
    <t>BARAT</t>
  </si>
  <si>
    <t>TOTAL</t>
  </si>
  <si>
    <t>RTN 11</t>
  </si>
  <si>
    <t>RTN 12</t>
  </si>
  <si>
    <t>ALL</t>
  </si>
  <si>
    <t>044A4</t>
  </si>
  <si>
    <t>082B2</t>
  </si>
  <si>
    <t>082B3</t>
  </si>
  <si>
    <t>042D2</t>
  </si>
  <si>
    <t>088D3</t>
  </si>
  <si>
    <t>061C3</t>
  </si>
  <si>
    <t>061C4</t>
  </si>
  <si>
    <t>061C5</t>
  </si>
  <si>
    <t>088D2</t>
  </si>
  <si>
    <t>s</t>
  </si>
  <si>
    <t>065A3</t>
  </si>
  <si>
    <t>065A5</t>
  </si>
  <si>
    <t>096G5</t>
  </si>
  <si>
    <t>082J5</t>
  </si>
  <si>
    <t>082J4</t>
  </si>
  <si>
    <t>048D, 055F1, 080H, 085D, 099E</t>
  </si>
  <si>
    <t>080A1</t>
  </si>
  <si>
    <t>063A, 062I, 052B</t>
  </si>
  <si>
    <t>055F1, 075E, 085D, 099E, 052B.</t>
  </si>
  <si>
    <t>Lokasi Asal Bibit</t>
  </si>
  <si>
    <t xml:space="preserve">Update </t>
  </si>
  <si>
    <t>Akum sd Sekarang</t>
  </si>
  <si>
    <t>005F1, 014E, 048D,  056C, 026D, 039C, 048A,050B2A,006C1</t>
  </si>
  <si>
    <t>065A4</t>
  </si>
  <si>
    <t>Lokasi SN blum pree &amp; Examini</t>
  </si>
  <si>
    <t>Besar</t>
  </si>
  <si>
    <t>Sedang</t>
  </si>
  <si>
    <t>Crown</t>
  </si>
  <si>
    <t>Luas</t>
  </si>
  <si>
    <t>Netto (Ha)</t>
  </si>
  <si>
    <t>% Tanam</t>
  </si>
  <si>
    <t>Awal Tanam</t>
  </si>
  <si>
    <t>Wilayah</t>
  </si>
  <si>
    <t>Timur</t>
  </si>
  <si>
    <t>Akum</t>
  </si>
  <si>
    <t>Tanam</t>
  </si>
  <si>
    <t>Barat</t>
  </si>
  <si>
    <t xml:space="preserve">Total </t>
  </si>
  <si>
    <t>Jenis</t>
  </si>
  <si>
    <t>Kelas</t>
  </si>
  <si>
    <t>Hasil(Ha)</t>
  </si>
  <si>
    <t>Total Timur</t>
  </si>
  <si>
    <t>Total Barat</t>
  </si>
  <si>
    <t>Aktivitas</t>
  </si>
  <si>
    <t>Tanam Bibit</t>
  </si>
  <si>
    <t>Petik Bibit</t>
  </si>
  <si>
    <t>Petik</t>
  </si>
  <si>
    <t>Ke-</t>
  </si>
  <si>
    <t>056G1</t>
  </si>
  <si>
    <t>056G2</t>
  </si>
  <si>
    <t>046P1</t>
  </si>
  <si>
    <t>Summary</t>
  </si>
  <si>
    <t xml:space="preserve">Summary </t>
  </si>
  <si>
    <t>*Rubah Tanggal*</t>
  </si>
  <si>
    <t>008F9, 069D1, 063A, 052B, 059C, 046D, 062I,052B2A,016B</t>
  </si>
  <si>
    <t>Standar</t>
  </si>
  <si>
    <t>046p1</t>
  </si>
  <si>
    <t xml:space="preserve">Lokasi SN sudah pree </t>
  </si>
  <si>
    <t>Luas 
Netto</t>
  </si>
  <si>
    <t>Real</t>
  </si>
  <si>
    <t>%</t>
  </si>
  <si>
    <t>Persentase</t>
  </si>
  <si>
    <t>Bantuan</t>
  </si>
  <si>
    <t>Filter Wilayah</t>
  </si>
  <si>
    <t>043G3</t>
  </si>
  <si>
    <t>043G2</t>
  </si>
  <si>
    <t>LOKASI</t>
  </si>
  <si>
    <t>JENIS</t>
  </si>
  <si>
    <t>UKURAN</t>
  </si>
  <si>
    <t>Extra Kecil</t>
  </si>
  <si>
    <t>043g3</t>
  </si>
  <si>
    <t>043g2</t>
  </si>
  <si>
    <t>006E,032B,033B,049C2,060C,065C3</t>
  </si>
  <si>
    <t>006E,047K1,060C</t>
  </si>
  <si>
    <t>006E,047K1,061E1,064A,065C3</t>
  </si>
  <si>
    <t>005D,009D2,054G,055D,015A</t>
  </si>
  <si>
    <t>084G,083C,083E,076E,088B</t>
  </si>
  <si>
    <t>*</t>
  </si>
  <si>
    <t>084G,076E</t>
  </si>
  <si>
    <t>028Q,047A3,057D</t>
  </si>
  <si>
    <t>055Ks</t>
  </si>
  <si>
    <t>028Q,047A3,056E,057D</t>
  </si>
  <si>
    <t>077C1,008F9,016B</t>
  </si>
  <si>
    <t>068A,070J,056D1</t>
  </si>
  <si>
    <t>062I,063A,</t>
  </si>
  <si>
    <t>100A,008F9,062I,</t>
  </si>
  <si>
    <t>RTN</t>
  </si>
  <si>
    <t>082I,070J,073A1</t>
  </si>
  <si>
    <t>082L,070E4</t>
  </si>
  <si>
    <t>098M1,091A,070E4</t>
  </si>
  <si>
    <t>066A,</t>
  </si>
  <si>
    <t>047A2,057B,057E,052G,</t>
  </si>
  <si>
    <t>Lokasi sudah Ridger</t>
  </si>
  <si>
    <t>042B2</t>
  </si>
  <si>
    <t>042B3</t>
  </si>
  <si>
    <t>075I,098M,080F</t>
  </si>
  <si>
    <t>Lokasi sudah Finishing</t>
  </si>
  <si>
    <t>068D,085I,078D2,083C,088B</t>
  </si>
  <si>
    <t>075I,098M,068D</t>
  </si>
  <si>
    <t>Over</t>
  </si>
  <si>
    <t>Difisit</t>
  </si>
  <si>
    <t>Ket.</t>
  </si>
  <si>
    <t>Kopelan Bulan ini</t>
  </si>
  <si>
    <t>009D3,009F</t>
  </si>
  <si>
    <t>016B,032A,075H</t>
  </si>
  <si>
    <t>026C,009F,070J</t>
  </si>
  <si>
    <t>009F,009D3</t>
  </si>
  <si>
    <t>010A,009D3,009F</t>
  </si>
  <si>
    <t>082L,070E4,009D3,009F</t>
  </si>
  <si>
    <t>028A1,028P,026C,009D3,009F</t>
  </si>
  <si>
    <t>085H1,055F1,075H,048A</t>
  </si>
  <si>
    <t>023A,028P1</t>
  </si>
  <si>
    <t>Peta</t>
  </si>
  <si>
    <t>Sudah</t>
  </si>
  <si>
    <t>002A2</t>
  </si>
  <si>
    <t>002B2</t>
  </si>
  <si>
    <t>Eks</t>
  </si>
  <si>
    <t>003D,003F,023A,024G3,029F3,047D</t>
  </si>
  <si>
    <t>029F3,047D,049C1</t>
  </si>
  <si>
    <t>Input 
Tanam</t>
  </si>
  <si>
    <t>Ketinggalan Input</t>
  </si>
  <si>
    <t>003F,024G3,029F3</t>
  </si>
  <si>
    <t>016A,032A,077C1,077C,085H1,</t>
  </si>
  <si>
    <t>Tanggal 20 Agustus 2026</t>
  </si>
  <si>
    <t>Hasil Inputan Laporan Mandor</t>
  </si>
  <si>
    <t>Update Dari Mbak Mimin</t>
  </si>
  <si>
    <t>046D,055F1</t>
  </si>
  <si>
    <t>084F,096J1,093C</t>
  </si>
  <si>
    <t>004K,005E,</t>
  </si>
  <si>
    <t>023E,051E2,055A2,077C1</t>
  </si>
  <si>
    <t>RC</t>
  </si>
  <si>
    <t>BB</t>
  </si>
  <si>
    <t>SN+Pree</t>
  </si>
  <si>
    <t>023E,051E2,048A</t>
  </si>
  <si>
    <t>005A,009G2,012A3,023E</t>
  </si>
  <si>
    <t>078G,076C1,074B</t>
  </si>
  <si>
    <t>002a2</t>
  </si>
  <si>
    <t>094F,089E,089F,096J2</t>
  </si>
  <si>
    <t>099G,069A2</t>
  </si>
  <si>
    <t>050A1</t>
  </si>
  <si>
    <t>050A2</t>
  </si>
  <si>
    <t>Tanggal Dolomite</t>
  </si>
  <si>
    <t>Hari Stlh Dolomite</t>
  </si>
  <si>
    <t>080F9,030C,066Q</t>
  </si>
  <si>
    <t>006B,011B,012E</t>
  </si>
  <si>
    <t>003A,006D</t>
  </si>
  <si>
    <t>012E,016B1,006E</t>
  </si>
  <si>
    <t>073B,075C,031B1,031B2</t>
  </si>
  <si>
    <t>055F1,032A,031B1,031B2</t>
  </si>
  <si>
    <t>003A,005D,059D</t>
  </si>
  <si>
    <t>Lokasi DO</t>
  </si>
  <si>
    <t>Lokasi Unja</t>
  </si>
  <si>
    <t xml:space="preserve">Hasil </t>
  </si>
  <si>
    <t>016B,077C,052B</t>
  </si>
  <si>
    <t>075C,074C</t>
  </si>
  <si>
    <t>052A,062F1,062M</t>
  </si>
  <si>
    <t>062F1,062M,052A</t>
  </si>
  <si>
    <t>062F1,062M</t>
  </si>
  <si>
    <t>087N2</t>
  </si>
  <si>
    <t>046E,062F</t>
  </si>
  <si>
    <t>062A1,062M</t>
  </si>
  <si>
    <t>039C,055F1</t>
  </si>
  <si>
    <t>037C2,037B</t>
  </si>
  <si>
    <t>004C2,046E,038D1,004C3,038D1</t>
  </si>
  <si>
    <t>050B2</t>
  </si>
  <si>
    <t>027C3,037B</t>
  </si>
  <si>
    <t>052B,055F1</t>
  </si>
  <si>
    <t>075B,075C,075G</t>
  </si>
  <si>
    <t>082C,082G</t>
  </si>
  <si>
    <t>075B,075C</t>
  </si>
  <si>
    <t xml:space="preserve">Tanggal </t>
  </si>
  <si>
    <t>027H,027I</t>
  </si>
  <si>
    <t>Total Ha</t>
  </si>
  <si>
    <t>Total Btg</t>
  </si>
  <si>
    <t>004C3,020E,027H,027I</t>
  </si>
  <si>
    <t>071B,072L,096J2,091C</t>
  </si>
  <si>
    <t>013B2</t>
  </si>
  <si>
    <t>Akum sd 12 Okt</t>
  </si>
  <si>
    <t>049A2,060A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</si>
</sst>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.0_);_(* \(#,##0.0\);_(* \-??.0_);_(@_)"/>
    <numFmt numFmtId="168" formatCode="#,##0.00;[Red]#,##0.00"/>
    <numFmt numFmtId="169" formatCode="_(* #,##0.00_);_(* \(#,##0.00\);_(* \-??_);_(@_)"/>
    <numFmt numFmtId="170" formatCode="0.0000000000_ "/>
    <numFmt numFmtId="171" formatCode="[$]dd\-mmm\-yy;@"/>
    <numFmt numFmtId="172" formatCode="[$]d\ mmmm\ yyyy;@"/>
    <numFmt numFmtId="173" formatCode="0.00_ "/>
    <numFmt numFmtId="174" formatCode="_-* #,##0.00_-;\-* #,##0.00_-;_-* &quot;-&quot;_-;_-@_-"/>
    <numFmt numFmtId="175" formatCode="#,000"/>
    <numFmt numFmtId="176" formatCode="[$]d\-mmm;@"/>
    <numFmt numFmtId="177" formatCode="[$]d\-mmm;\-;"/>
    <numFmt numFmtId="178" formatCode="[$-421]dd\ mmmm\ yyyy;@"/>
    <numFmt numFmtId="179" formatCode="#,##0.00_ ;\-#,##0.00\ "/>
    <numFmt numFmtId="180" formatCode="[$-13809]d\ mmm\ yyyy;@"/>
  </numFmts>
  <fonts count="9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2"/>
      <color rgb="FFC00000"/>
      <name val="Century Schoolbook"/>
      <family val="1"/>
    </font>
    <font>
      <b/>
      <sz val="8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2"/>
      <name val="Times New Roman"/>
      <family val="1"/>
    </font>
    <font>
      <sz val="9"/>
      <color indexed="81"/>
      <name val="宋体"/>
      <charset val="134"/>
    </font>
    <font>
      <sz val="7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uble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tted">
        <color auto="1"/>
      </right>
      <top style="double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medium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theme="0"/>
      </right>
      <top style="double">
        <color auto="1"/>
      </top>
      <bottom/>
      <diagonal/>
    </border>
    <border>
      <left style="thin">
        <color theme="0"/>
      </left>
      <right style="thin">
        <color theme="0"/>
      </right>
      <top style="double">
        <color auto="1"/>
      </top>
      <bottom/>
      <diagonal/>
    </border>
    <border>
      <left style="double">
        <color auto="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double">
        <color theme="1"/>
      </left>
      <right style="dashed">
        <color theme="0"/>
      </right>
      <top style="thick">
        <color theme="0"/>
      </top>
      <bottom/>
      <diagonal/>
    </border>
    <border>
      <left style="dashed">
        <color theme="0"/>
      </left>
      <right style="dashed">
        <color theme="0"/>
      </right>
      <top style="thick">
        <color theme="0"/>
      </top>
      <bottom/>
      <diagonal/>
    </border>
    <border>
      <left style="double">
        <color theme="1"/>
      </left>
      <right style="dashed">
        <color theme="0"/>
      </right>
      <top/>
      <bottom/>
      <diagonal/>
    </border>
    <border>
      <left style="dashed">
        <color theme="0"/>
      </left>
      <right style="dashed">
        <color theme="0"/>
      </right>
      <top/>
      <bottom/>
      <diagonal/>
    </border>
    <border>
      <left style="thin">
        <color theme="0"/>
      </left>
      <right/>
      <top style="double">
        <color auto="1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dashed">
        <color theme="0"/>
      </left>
      <right/>
      <top style="thick">
        <color theme="0"/>
      </top>
      <bottom/>
      <diagonal/>
    </border>
    <border>
      <left style="dashed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dashed">
        <color theme="0"/>
      </left>
      <right style="thin">
        <color theme="0"/>
      </right>
      <top style="thick">
        <color theme="0"/>
      </top>
      <bottom/>
      <diagonal/>
    </border>
    <border>
      <left style="dashed">
        <color theme="0"/>
      </left>
      <right style="thin">
        <color theme="0"/>
      </right>
      <top/>
      <bottom/>
      <diagonal/>
    </border>
    <border>
      <left style="thin">
        <color theme="0"/>
      </left>
      <right style="double">
        <color theme="1"/>
      </right>
      <top style="double">
        <color theme="1"/>
      </top>
      <bottom/>
      <diagonal/>
    </border>
    <border>
      <left style="thin">
        <color theme="0"/>
      </left>
      <right style="double">
        <color theme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ck">
        <color theme="0"/>
      </top>
      <bottom/>
      <diagonal/>
    </border>
    <border>
      <left style="thin">
        <color auto="1"/>
      </left>
      <right/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2">
    <xf numFmtId="0" fontId="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4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0" fontId="60" fillId="0" borderId="0">
      <alignment vertical="top"/>
    </xf>
    <xf numFmtId="0" fontId="60" fillId="0" borderId="0">
      <alignment vertical="top"/>
    </xf>
    <xf numFmtId="0" fontId="86" fillId="0" borderId="0">
      <alignment vertical="center"/>
    </xf>
    <xf numFmtId="0" fontId="60" fillId="0" borderId="0">
      <alignment vertical="top"/>
    </xf>
    <xf numFmtId="0" fontId="60" fillId="0" borderId="0">
      <alignment vertical="top"/>
    </xf>
    <xf numFmtId="167" fontId="86" fillId="0" borderId="0" applyFont="0" applyFill="0" applyBorder="0" applyAlignment="0" applyProtection="0">
      <alignment vertical="center"/>
    </xf>
    <xf numFmtId="169" fontId="60" fillId="0" borderId="0" applyFill="0" applyBorder="0" applyAlignment="0" applyProtection="0"/>
    <xf numFmtId="169" fontId="60" fillId="0" borderId="0" applyFill="0" applyBorder="0" applyAlignment="0" applyProtection="0"/>
  </cellStyleXfs>
  <cellXfs count="633">
    <xf numFmtId="0" fontId="0" fillId="0" borderId="0" xfId="0">
      <alignment vertical="center"/>
    </xf>
    <xf numFmtId="0" fontId="60" fillId="0" borderId="0" xfId="0" applyFont="1" applyAlignment="1">
      <alignment vertical="top"/>
    </xf>
    <xf numFmtId="0" fontId="60" fillId="2" borderId="1" xfId="0" applyFont="1" applyFill="1" applyBorder="1" applyAlignment="1">
      <alignment vertical="top"/>
    </xf>
    <xf numFmtId="0" fontId="60" fillId="2" borderId="1" xfId="0" applyFont="1" applyFill="1" applyBorder="1" applyAlignment="1">
      <alignment vertical="top" wrapText="1"/>
    </xf>
    <xf numFmtId="4" fontId="60" fillId="0" borderId="0" xfId="0" applyNumberFormat="1" applyFont="1" applyAlignment="1">
      <alignment horizontal="right" vertical="top"/>
    </xf>
    <xf numFmtId="3" fontId="60" fillId="0" borderId="0" xfId="0" applyNumberFormat="1" applyFont="1" applyAlignment="1">
      <alignment horizontal="right" vertical="top"/>
    </xf>
    <xf numFmtId="14" fontId="60" fillId="0" borderId="0" xfId="0" applyNumberFormat="1" applyFont="1" applyAlignment="1">
      <alignment horizontal="right" vertical="top"/>
    </xf>
    <xf numFmtId="11" fontId="60" fillId="0" borderId="0" xfId="0" applyNumberFormat="1" applyFont="1" applyAlignment="1">
      <alignment vertical="top"/>
    </xf>
    <xf numFmtId="0" fontId="61" fillId="0" borderId="0" xfId="0" applyFont="1">
      <alignment vertical="center"/>
    </xf>
    <xf numFmtId="0" fontId="61" fillId="4" borderId="5" xfId="0" applyFont="1" applyFill="1" applyBorder="1" applyAlignment="1">
      <alignment horizontal="center" vertical="center" wrapText="1"/>
    </xf>
    <xf numFmtId="0" fontId="61" fillId="4" borderId="6" xfId="0" applyFont="1" applyFill="1" applyBorder="1" applyAlignment="1">
      <alignment horizontal="center" vertical="center" wrapText="1"/>
    </xf>
    <xf numFmtId="0" fontId="61" fillId="4" borderId="7" xfId="0" applyFont="1" applyFill="1" applyBorder="1" applyAlignment="1">
      <alignment horizontal="center" vertical="center" wrapText="1"/>
    </xf>
    <xf numFmtId="0" fontId="63" fillId="5" borderId="8" xfId="0" applyFont="1" applyFill="1" applyBorder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64" fillId="0" borderId="11" xfId="0" applyFont="1" applyBorder="1">
      <alignment vertical="center"/>
    </xf>
    <xf numFmtId="0" fontId="65" fillId="0" borderId="12" xfId="0" applyFont="1" applyBorder="1">
      <alignment vertical="center"/>
    </xf>
    <xf numFmtId="16" fontId="0" fillId="0" borderId="12" xfId="0" applyNumberFormat="1" applyBorder="1">
      <alignment vertical="center"/>
    </xf>
    <xf numFmtId="2" fontId="65" fillId="0" borderId="12" xfId="0" applyNumberFormat="1" applyFont="1" applyBorder="1">
      <alignment vertical="center"/>
    </xf>
    <xf numFmtId="0" fontId="66" fillId="0" borderId="11" xfId="0" applyFont="1" applyBorder="1">
      <alignment vertical="center"/>
    </xf>
    <xf numFmtId="0" fontId="67" fillId="0" borderId="12" xfId="0" applyFont="1" applyBorder="1">
      <alignment vertical="center"/>
    </xf>
    <xf numFmtId="2" fontId="67" fillId="0" borderId="12" xfId="0" applyNumberFormat="1" applyFont="1" applyBorder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16" fontId="0" fillId="0" borderId="0" xfId="0" applyNumberFormat="1">
      <alignment vertical="center"/>
    </xf>
    <xf numFmtId="15" fontId="0" fillId="0" borderId="0" xfId="0" applyNumberFormat="1">
      <alignment vertical="center"/>
    </xf>
    <xf numFmtId="2" fontId="64" fillId="0" borderId="12" xfId="0" applyNumberFormat="1" applyFont="1" applyBorder="1">
      <alignment vertical="center"/>
    </xf>
    <xf numFmtId="2" fontId="66" fillId="0" borderId="12" xfId="0" applyNumberFormat="1" applyFont="1" applyBorder="1">
      <alignment vertical="center"/>
    </xf>
    <xf numFmtId="0" fontId="61" fillId="4" borderId="13" xfId="0" applyFont="1" applyFill="1" applyBorder="1" applyAlignment="1">
      <alignment horizontal="center" vertical="center" wrapText="1"/>
    </xf>
    <xf numFmtId="0" fontId="61" fillId="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>
      <alignment vertical="center"/>
    </xf>
    <xf numFmtId="9" fontId="0" fillId="0" borderId="12" xfId="3" applyFont="1" applyFill="1" applyBorder="1" applyAlignment="1">
      <alignment vertical="center"/>
    </xf>
    <xf numFmtId="1" fontId="0" fillId="0" borderId="1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0" xfId="0" applyNumberForma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12" xfId="0" applyBorder="1">
      <alignment vertical="center"/>
    </xf>
    <xf numFmtId="9" fontId="0" fillId="0" borderId="12" xfId="3" applyFont="1" applyBorder="1">
      <alignment vertical="center"/>
    </xf>
    <xf numFmtId="9" fontId="0" fillId="0" borderId="0" xfId="3" applyFont="1">
      <alignment vertical="center"/>
    </xf>
    <xf numFmtId="0" fontId="6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2" fillId="3" borderId="2" xfId="0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170" fontId="0" fillId="0" borderId="0" xfId="0" applyNumberFormat="1">
      <alignment vertical="center"/>
    </xf>
    <xf numFmtId="0" fontId="63" fillId="0" borderId="0" xfId="0" applyFont="1">
      <alignment vertical="center"/>
    </xf>
    <xf numFmtId="0" fontId="68" fillId="5" borderId="8" xfId="0" applyFont="1" applyFill="1" applyBorder="1">
      <alignment vertical="center"/>
    </xf>
    <xf numFmtId="0" fontId="0" fillId="5" borderId="9" xfId="0" applyFill="1" applyBorder="1" applyAlignment="1">
      <alignment horizontal="right" vertical="center"/>
    </xf>
    <xf numFmtId="171" fontId="61" fillId="5" borderId="9" xfId="0" applyNumberFormat="1" applyFont="1" applyFill="1" applyBorder="1">
      <alignment vertical="center"/>
    </xf>
    <xf numFmtId="173" fontId="65" fillId="5" borderId="9" xfId="0" applyNumberFormat="1" applyFont="1" applyFill="1" applyBorder="1">
      <alignment vertical="center"/>
    </xf>
    <xf numFmtId="0" fontId="61" fillId="0" borderId="8" xfId="0" applyFont="1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2" fontId="0" fillId="0" borderId="9" xfId="1" applyNumberFormat="1" applyFont="1" applyBorder="1">
      <alignment vertical="center"/>
    </xf>
    <xf numFmtId="0" fontId="0" fillId="6" borderId="8" xfId="0" applyFill="1" applyBorder="1">
      <alignment vertical="center"/>
    </xf>
    <xf numFmtId="0" fontId="0" fillId="6" borderId="9" xfId="0" applyFill="1" applyBorder="1">
      <alignment vertical="center"/>
    </xf>
    <xf numFmtId="2" fontId="61" fillId="6" borderId="9" xfId="0" applyNumberFormat="1" applyFont="1" applyFill="1" applyBorder="1">
      <alignment vertical="center"/>
    </xf>
    <xf numFmtId="0" fontId="0" fillId="0" borderId="16" xfId="0" applyBorder="1">
      <alignment vertical="center"/>
    </xf>
    <xf numFmtId="0" fontId="0" fillId="7" borderId="0" xfId="0" applyFill="1">
      <alignment vertical="center"/>
    </xf>
    <xf numFmtId="0" fontId="61" fillId="4" borderId="5" xfId="0" applyFont="1" applyFill="1" applyBorder="1" applyAlignment="1">
      <alignment horizontal="center" vertical="center"/>
    </xf>
    <xf numFmtId="0" fontId="61" fillId="4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>
      <alignment vertical="center"/>
    </xf>
    <xf numFmtId="0" fontId="61" fillId="0" borderId="1" xfId="0" applyFont="1" applyBorder="1">
      <alignment vertical="center"/>
    </xf>
    <xf numFmtId="2" fontId="0" fillId="0" borderId="1" xfId="0" applyNumberFormat="1" applyBorder="1">
      <alignment vertical="center"/>
    </xf>
    <xf numFmtId="15" fontId="0" fillId="0" borderId="1" xfId="0" applyNumberFormat="1" applyBorder="1">
      <alignment vertical="center"/>
    </xf>
    <xf numFmtId="0" fontId="69" fillId="0" borderId="0" xfId="0" applyFont="1">
      <alignment vertical="center"/>
    </xf>
    <xf numFmtId="173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6" borderId="10" xfId="0" applyFill="1" applyBorder="1">
      <alignment vertical="center"/>
    </xf>
    <xf numFmtId="0" fontId="0" fillId="0" borderId="16" xfId="0" applyBorder="1" applyAlignment="1">
      <alignment horizontal="right" vertical="center"/>
    </xf>
    <xf numFmtId="0" fontId="61" fillId="4" borderId="17" xfId="0" applyFont="1" applyFill="1" applyBorder="1" applyAlignment="1">
      <alignment horizontal="center" vertical="center"/>
    </xf>
    <xf numFmtId="15" fontId="70" fillId="0" borderId="1" xfId="0" applyNumberFormat="1" applyFont="1" applyBorder="1">
      <alignment vertical="center"/>
    </xf>
    <xf numFmtId="37" fontId="71" fillId="0" borderId="0" xfId="0" applyNumberFormat="1" applyFont="1">
      <alignment vertical="center"/>
    </xf>
    <xf numFmtId="0" fontId="71" fillId="0" borderId="0" xfId="0" applyFont="1">
      <alignment vertical="center"/>
    </xf>
    <xf numFmtId="0" fontId="0" fillId="0" borderId="18" xfId="0" applyBorder="1">
      <alignment vertical="center"/>
    </xf>
    <xf numFmtId="14" fontId="0" fillId="0" borderId="0" xfId="0" applyNumberFormat="1">
      <alignment vertical="center"/>
    </xf>
    <xf numFmtId="39" fontId="71" fillId="0" borderId="0" xfId="0" applyNumberFormat="1" applyFont="1">
      <alignment vertical="center"/>
    </xf>
    <xf numFmtId="2" fontId="0" fillId="0" borderId="9" xfId="0" applyNumberFormat="1" applyBorder="1">
      <alignment vertical="center"/>
    </xf>
    <xf numFmtId="2" fontId="71" fillId="0" borderId="0" xfId="0" applyNumberFormat="1" applyFont="1">
      <alignment vertical="center"/>
    </xf>
    <xf numFmtId="0" fontId="72" fillId="0" borderId="0" xfId="0" applyFont="1">
      <alignment vertical="center"/>
    </xf>
    <xf numFmtId="2" fontId="61" fillId="0" borderId="16" xfId="0" applyNumberFormat="1" applyFont="1" applyBorder="1">
      <alignment vertical="center"/>
    </xf>
    <xf numFmtId="2" fontId="71" fillId="0" borderId="0" xfId="0" applyNumberFormat="1" applyFont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173" fontId="71" fillId="0" borderId="0" xfId="0" applyNumberFormat="1" applyFont="1">
      <alignment vertical="center"/>
    </xf>
    <xf numFmtId="2" fontId="72" fillId="0" borderId="0" xfId="0" applyNumberFormat="1" applyFont="1">
      <alignment vertical="center"/>
    </xf>
    <xf numFmtId="0" fontId="61" fillId="4" borderId="19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71" fillId="0" borderId="0" xfId="0" applyNumberFormat="1" applyFont="1" applyAlignment="1">
      <alignment horizontal="center" vertical="center"/>
    </xf>
    <xf numFmtId="171" fontId="0" fillId="0" borderId="1" xfId="0" applyNumberFormat="1" applyBorder="1">
      <alignment vertical="center"/>
    </xf>
    <xf numFmtId="172" fontId="0" fillId="0" borderId="0" xfId="0" applyNumberFormat="1">
      <alignment vertical="center"/>
    </xf>
    <xf numFmtId="165" fontId="0" fillId="0" borderId="1" xfId="1" applyFont="1" applyFill="1" applyBorder="1" applyAlignment="1">
      <alignment vertical="center"/>
    </xf>
    <xf numFmtId="165" fontId="0" fillId="0" borderId="1" xfId="1" applyFont="1" applyBorder="1">
      <alignment vertical="center"/>
    </xf>
    <xf numFmtId="165" fontId="0" fillId="0" borderId="0" xfId="1" applyFont="1" applyFill="1" applyAlignment="1">
      <alignment vertical="center"/>
    </xf>
    <xf numFmtId="2" fontId="0" fillId="0" borderId="0" xfId="1" applyNumberFormat="1" applyFont="1" applyFill="1" applyAlignment="1">
      <alignment horizontal="center" vertical="center"/>
    </xf>
    <xf numFmtId="2" fontId="0" fillId="7" borderId="1" xfId="0" applyNumberFormat="1" applyFill="1" applyBorder="1">
      <alignment vertical="center"/>
    </xf>
    <xf numFmtId="9" fontId="0" fillId="0" borderId="0" xfId="0" applyNumberFormat="1">
      <alignment vertical="center"/>
    </xf>
    <xf numFmtId="15" fontId="0" fillId="7" borderId="1" xfId="0" applyNumberFormat="1" applyFill="1" applyBorder="1">
      <alignment vertical="center"/>
    </xf>
    <xf numFmtId="15" fontId="0" fillId="8" borderId="1" xfId="0" applyNumberFormat="1" applyFill="1" applyBorder="1">
      <alignment vertical="center"/>
    </xf>
    <xf numFmtId="175" fontId="0" fillId="0" borderId="0" xfId="0" applyNumberFormat="1">
      <alignment vertical="center"/>
    </xf>
    <xf numFmtId="0" fontId="73" fillId="0" borderId="1" xfId="0" applyFont="1" applyBorder="1">
      <alignment vertical="center"/>
    </xf>
    <xf numFmtId="0" fontId="0" fillId="5" borderId="0" xfId="0" applyFill="1">
      <alignment vertical="center"/>
    </xf>
    <xf numFmtId="0" fontId="74" fillId="5" borderId="0" xfId="0" applyFont="1" applyFill="1">
      <alignment vertical="center"/>
    </xf>
    <xf numFmtId="0" fontId="61" fillId="5" borderId="0" xfId="0" applyFont="1" applyFill="1">
      <alignment vertical="center"/>
    </xf>
    <xf numFmtId="0" fontId="61" fillId="9" borderId="9" xfId="0" applyFont="1" applyFill="1" applyBorder="1">
      <alignment vertical="center"/>
    </xf>
    <xf numFmtId="0" fontId="61" fillId="9" borderId="23" xfId="0" applyFont="1" applyFill="1" applyBorder="1">
      <alignment vertical="center"/>
    </xf>
    <xf numFmtId="0" fontId="61" fillId="9" borderId="16" xfId="0" applyFont="1" applyFill="1" applyBorder="1">
      <alignment vertical="center"/>
    </xf>
    <xf numFmtId="0" fontId="61" fillId="9" borderId="24" xfId="0" applyFont="1" applyFill="1" applyBorder="1">
      <alignment vertical="center"/>
    </xf>
    <xf numFmtId="0" fontId="61" fillId="9" borderId="25" xfId="0" applyFont="1" applyFill="1" applyBorder="1">
      <alignment vertical="center"/>
    </xf>
    <xf numFmtId="0" fontId="61" fillId="10" borderId="21" xfId="0" applyFont="1" applyFill="1" applyBorder="1">
      <alignment vertical="center"/>
    </xf>
    <xf numFmtId="0" fontId="61" fillId="10" borderId="25" xfId="0" applyFont="1" applyFill="1" applyBorder="1">
      <alignment vertical="center"/>
    </xf>
    <xf numFmtId="0" fontId="76" fillId="5" borderId="0" xfId="0" applyFont="1" applyFill="1">
      <alignment vertical="center"/>
    </xf>
    <xf numFmtId="0" fontId="61" fillId="7" borderId="27" xfId="0" applyFont="1" applyFill="1" applyBorder="1">
      <alignment vertical="center"/>
    </xf>
    <xf numFmtId="0" fontId="61" fillId="7" borderId="28" xfId="0" applyFont="1" applyFill="1" applyBorder="1">
      <alignment vertical="center"/>
    </xf>
    <xf numFmtId="0" fontId="61" fillId="7" borderId="27" xfId="0" applyFont="1" applyFill="1" applyBorder="1" applyAlignment="1">
      <alignment horizontal="left" vertical="center"/>
    </xf>
    <xf numFmtId="0" fontId="61" fillId="11" borderId="29" xfId="0" applyFont="1" applyFill="1" applyBorder="1">
      <alignment vertical="center"/>
    </xf>
    <xf numFmtId="0" fontId="61" fillId="11" borderId="9" xfId="0" applyFont="1" applyFill="1" applyBorder="1">
      <alignment vertical="center"/>
    </xf>
    <xf numFmtId="0" fontId="65" fillId="0" borderId="30" xfId="0" applyFont="1" applyBorder="1">
      <alignment vertical="center"/>
    </xf>
    <xf numFmtId="0" fontId="65" fillId="0" borderId="9" xfId="0" applyFont="1" applyBorder="1">
      <alignment vertical="center"/>
    </xf>
    <xf numFmtId="165" fontId="65" fillId="0" borderId="31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34" xfId="0" applyBorder="1" applyAlignment="1">
      <alignment horizontal="right" vertical="center"/>
    </xf>
    <xf numFmtId="0" fontId="61" fillId="11" borderId="35" xfId="0" applyFont="1" applyFill="1" applyBorder="1">
      <alignment vertical="center"/>
    </xf>
    <xf numFmtId="0" fontId="61" fillId="11" borderId="36" xfId="0" applyFont="1" applyFill="1" applyBorder="1">
      <alignment vertical="center"/>
    </xf>
    <xf numFmtId="15" fontId="61" fillId="5" borderId="0" xfId="0" applyNumberFormat="1" applyFont="1" applyFill="1">
      <alignment vertical="center"/>
    </xf>
    <xf numFmtId="171" fontId="0" fillId="5" borderId="0" xfId="0" applyNumberFormat="1" applyFill="1">
      <alignment vertical="center"/>
    </xf>
    <xf numFmtId="0" fontId="67" fillId="0" borderId="9" xfId="0" applyFont="1" applyBorder="1">
      <alignment vertical="center"/>
    </xf>
    <xf numFmtId="0" fontId="65" fillId="7" borderId="9" xfId="0" applyFont="1" applyFill="1" applyBorder="1">
      <alignment vertical="center"/>
    </xf>
    <xf numFmtId="2" fontId="77" fillId="7" borderId="37" xfId="0" applyNumberFormat="1" applyFont="1" applyFill="1" applyBorder="1" applyAlignment="1">
      <alignment horizontal="center" vertical="center"/>
    </xf>
    <xf numFmtId="0" fontId="61" fillId="9" borderId="26" xfId="0" applyFont="1" applyFill="1" applyBorder="1">
      <alignment vertical="center"/>
    </xf>
    <xf numFmtId="165" fontId="61" fillId="9" borderId="9" xfId="1" applyFont="1" applyFill="1" applyBorder="1">
      <alignment vertical="center"/>
    </xf>
    <xf numFmtId="0" fontId="61" fillId="9" borderId="38" xfId="0" applyFont="1" applyFill="1" applyBorder="1">
      <alignment vertical="center"/>
    </xf>
    <xf numFmtId="165" fontId="61" fillId="9" borderId="16" xfId="1" applyFont="1" applyFill="1" applyBorder="1">
      <alignment vertical="center"/>
    </xf>
    <xf numFmtId="0" fontId="61" fillId="9" borderId="39" xfId="0" applyFont="1" applyFill="1" applyBorder="1">
      <alignment vertical="center"/>
    </xf>
    <xf numFmtId="165" fontId="61" fillId="9" borderId="25" xfId="1" applyFont="1" applyFill="1" applyBorder="1">
      <alignment vertical="center"/>
    </xf>
    <xf numFmtId="0" fontId="61" fillId="9" borderId="40" xfId="0" applyFont="1" applyFill="1" applyBorder="1">
      <alignment vertical="center"/>
    </xf>
    <xf numFmtId="2" fontId="61" fillId="10" borderId="21" xfId="0" applyNumberFormat="1" applyFont="1" applyFill="1" applyBorder="1">
      <alignment vertical="center"/>
    </xf>
    <xf numFmtId="0" fontId="61" fillId="10" borderId="26" xfId="0" applyFont="1" applyFill="1" applyBorder="1">
      <alignment vertical="center"/>
    </xf>
    <xf numFmtId="2" fontId="61" fillId="10" borderId="25" xfId="0" applyNumberFormat="1" applyFont="1" applyFill="1" applyBorder="1">
      <alignment vertical="center"/>
    </xf>
    <xf numFmtId="0" fontId="61" fillId="10" borderId="40" xfId="0" applyFont="1" applyFill="1" applyBorder="1">
      <alignment vertical="center"/>
    </xf>
    <xf numFmtId="0" fontId="67" fillId="0" borderId="30" xfId="0" applyFont="1" applyBorder="1">
      <alignment vertical="center"/>
    </xf>
    <xf numFmtId="165" fontId="67" fillId="0" borderId="31" xfId="0" applyNumberFormat="1" applyFont="1" applyBorder="1" applyAlignment="1">
      <alignment horizontal="center" vertical="center"/>
    </xf>
    <xf numFmtId="165" fontId="67" fillId="0" borderId="4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right" vertical="center"/>
    </xf>
    <xf numFmtId="0" fontId="78" fillId="5" borderId="0" xfId="0" applyFont="1" applyFill="1">
      <alignment vertical="center"/>
    </xf>
    <xf numFmtId="0" fontId="72" fillId="7" borderId="43" xfId="0" applyFont="1" applyFill="1" applyBorder="1">
      <alignment vertical="center"/>
    </xf>
    <xf numFmtId="0" fontId="72" fillId="7" borderId="36" xfId="0" applyFont="1" applyFill="1" applyBorder="1">
      <alignment vertical="center"/>
    </xf>
    <xf numFmtId="0" fontId="61" fillId="11" borderId="34" xfId="0" applyFont="1" applyFill="1" applyBorder="1">
      <alignment vertical="center"/>
    </xf>
    <xf numFmtId="0" fontId="61" fillId="11" borderId="16" xfId="0" applyFont="1" applyFill="1" applyBorder="1">
      <alignment vertical="center"/>
    </xf>
    <xf numFmtId="0" fontId="61" fillId="7" borderId="44" xfId="0" applyFont="1" applyFill="1" applyBorder="1" applyAlignment="1">
      <alignment horizontal="center" vertical="center"/>
    </xf>
    <xf numFmtId="2" fontId="63" fillId="7" borderId="45" xfId="0" applyNumberFormat="1" applyFont="1" applyFill="1" applyBorder="1">
      <alignment vertical="center"/>
    </xf>
    <xf numFmtId="0" fontId="61" fillId="12" borderId="46" xfId="0" applyFont="1" applyFill="1" applyBorder="1" applyAlignment="1">
      <alignment horizontal="center" vertical="center"/>
    </xf>
    <xf numFmtId="0" fontId="61" fillId="4" borderId="35" xfId="0" applyFont="1" applyFill="1" applyBorder="1">
      <alignment vertical="center"/>
    </xf>
    <xf numFmtId="0" fontId="0" fillId="4" borderId="36" xfId="0" applyFill="1" applyBorder="1">
      <alignment vertical="center"/>
    </xf>
    <xf numFmtId="0" fontId="61" fillId="4" borderId="47" xfId="0" applyFont="1" applyFill="1" applyBorder="1" applyAlignment="1">
      <alignment horizontal="left" vertical="center"/>
    </xf>
    <xf numFmtId="0" fontId="61" fillId="4" borderId="47" xfId="0" applyFont="1" applyFill="1" applyBorder="1" applyAlignment="1">
      <alignment horizontal="center" vertical="center"/>
    </xf>
    <xf numFmtId="0" fontId="61" fillId="11" borderId="31" xfId="0" applyFont="1" applyFill="1" applyBorder="1">
      <alignment vertical="center"/>
    </xf>
    <xf numFmtId="0" fontId="61" fillId="11" borderId="48" xfId="0" applyFont="1" applyFill="1" applyBorder="1">
      <alignment vertical="center"/>
    </xf>
    <xf numFmtId="176" fontId="71" fillId="12" borderId="49" xfId="0" applyNumberFormat="1" applyFont="1" applyFill="1" applyBorder="1">
      <alignment vertical="center"/>
    </xf>
    <xf numFmtId="174" fontId="65" fillId="0" borderId="50" xfId="2" applyNumberFormat="1" applyFont="1" applyFill="1" applyBorder="1" applyAlignment="1">
      <alignment horizontal="center" vertical="center"/>
    </xf>
    <xf numFmtId="174" fontId="71" fillId="0" borderId="48" xfId="2" applyNumberFormat="1" applyFont="1" applyFill="1" applyBorder="1" applyAlignment="1">
      <alignment horizontal="center" vertical="center"/>
    </xf>
    <xf numFmtId="176" fontId="71" fillId="12" borderId="51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right" vertical="center"/>
    </xf>
    <xf numFmtId="2" fontId="61" fillId="0" borderId="33" xfId="0" applyNumberFormat="1" applyFont="1" applyBorder="1">
      <alignment vertical="center"/>
    </xf>
    <xf numFmtId="0" fontId="0" fillId="0" borderId="53" xfId="0" applyBorder="1">
      <alignment vertical="center"/>
    </xf>
    <xf numFmtId="0" fontId="61" fillId="11" borderId="54" xfId="0" applyFont="1" applyFill="1" applyBorder="1">
      <alignment vertical="center"/>
    </xf>
    <xf numFmtId="165" fontId="79" fillId="0" borderId="31" xfId="0" applyNumberFormat="1" applyFont="1" applyBorder="1" applyAlignment="1">
      <alignment horizontal="center" vertical="center"/>
    </xf>
    <xf numFmtId="174" fontId="67" fillId="0" borderId="50" xfId="2" applyNumberFormat="1" applyFont="1" applyFill="1" applyBorder="1" applyAlignment="1">
      <alignment horizontal="center" vertical="center"/>
    </xf>
    <xf numFmtId="165" fontId="80" fillId="0" borderId="31" xfId="0" applyNumberFormat="1" applyFont="1" applyBorder="1" applyAlignment="1">
      <alignment horizontal="center" vertical="center"/>
    </xf>
    <xf numFmtId="174" fontId="0" fillId="0" borderId="42" xfId="2" applyNumberFormat="1" applyFont="1" applyFill="1" applyBorder="1" applyAlignment="1">
      <alignment vertical="center"/>
    </xf>
    <xf numFmtId="174" fontId="61" fillId="0" borderId="42" xfId="0" applyNumberFormat="1" applyFont="1" applyBorder="1">
      <alignment vertical="center"/>
    </xf>
    <xf numFmtId="0" fontId="61" fillId="4" borderId="55" xfId="0" applyFont="1" applyFill="1" applyBorder="1" applyAlignment="1">
      <alignment horizontal="center" vertical="center"/>
    </xf>
    <xf numFmtId="15" fontId="61" fillId="13" borderId="56" xfId="0" applyNumberFormat="1" applyFont="1" applyFill="1" applyBorder="1">
      <alignment vertical="center"/>
    </xf>
    <xf numFmtId="0" fontId="63" fillId="0" borderId="57" xfId="0" applyFont="1" applyBorder="1" applyAlignment="1">
      <alignment horizontal="center" vertical="center"/>
    </xf>
    <xf numFmtId="2" fontId="81" fillId="6" borderId="58" xfId="0" applyNumberFormat="1" applyFont="1" applyFill="1" applyBorder="1" applyAlignment="1">
      <alignment horizontal="center" vertical="center"/>
    </xf>
    <xf numFmtId="2" fontId="0" fillId="5" borderId="0" xfId="0" applyNumberFormat="1" applyFill="1">
      <alignment vertical="center"/>
    </xf>
    <xf numFmtId="0" fontId="65" fillId="5" borderId="0" xfId="0" applyFont="1" applyFill="1">
      <alignment vertical="center"/>
    </xf>
    <xf numFmtId="0" fontId="63" fillId="0" borderId="59" xfId="0" applyFont="1" applyBorder="1" applyAlignment="1">
      <alignment horizontal="center" vertical="center"/>
    </xf>
    <xf numFmtId="0" fontId="81" fillId="6" borderId="60" xfId="0" applyFont="1" applyFill="1" applyBorder="1" applyAlignment="1">
      <alignment horizontal="center" vertical="center"/>
    </xf>
    <xf numFmtId="2" fontId="81" fillId="6" borderId="60" xfId="0" applyNumberFormat="1" applyFont="1" applyFill="1" applyBorder="1" applyAlignment="1">
      <alignment horizontal="center" vertical="center"/>
    </xf>
    <xf numFmtId="165" fontId="82" fillId="0" borderId="31" xfId="0" applyNumberFormat="1" applyFont="1" applyBorder="1" applyAlignment="1">
      <alignment horizontal="center" vertical="center"/>
    </xf>
    <xf numFmtId="0" fontId="61" fillId="14" borderId="35" xfId="0" applyFont="1" applyFill="1" applyBorder="1">
      <alignment vertical="center"/>
    </xf>
    <xf numFmtId="0" fontId="0" fillId="14" borderId="61" xfId="0" applyFill="1" applyBorder="1">
      <alignment vertical="center"/>
    </xf>
    <xf numFmtId="0" fontId="61" fillId="14" borderId="36" xfId="0" applyFont="1" applyFill="1" applyBorder="1">
      <alignment vertical="center"/>
    </xf>
    <xf numFmtId="0" fontId="83" fillId="0" borderId="30" xfId="0" applyFont="1" applyBorder="1">
      <alignment vertical="center"/>
    </xf>
    <xf numFmtId="174" fontId="83" fillId="0" borderId="51" xfId="2" applyNumberFormat="1" applyFont="1" applyFill="1" applyBorder="1" applyAlignment="1">
      <alignment horizontal="center" vertical="center"/>
    </xf>
    <xf numFmtId="174" fontId="84" fillId="0" borderId="50" xfId="2" applyNumberFormat="1" applyFont="1" applyFill="1" applyBorder="1" applyAlignment="1">
      <alignment horizontal="left" vertical="center"/>
    </xf>
    <xf numFmtId="174" fontId="72" fillId="0" borderId="9" xfId="2" applyNumberFormat="1" applyFont="1" applyFill="1" applyBorder="1" applyAlignment="1">
      <alignment horizontal="center" vertical="center"/>
    </xf>
    <xf numFmtId="2" fontId="61" fillId="0" borderId="53" xfId="0" applyNumberFormat="1" applyFont="1" applyBorder="1">
      <alignment vertical="center"/>
    </xf>
    <xf numFmtId="165" fontId="85" fillId="0" borderId="31" xfId="0" applyNumberFormat="1" applyFont="1" applyBorder="1" applyAlignment="1">
      <alignment horizontal="center" vertical="center"/>
    </xf>
    <xf numFmtId="165" fontId="85" fillId="0" borderId="41" xfId="0" applyNumberFormat="1" applyFont="1" applyBorder="1" applyAlignment="1">
      <alignment horizontal="center" vertical="center"/>
    </xf>
    <xf numFmtId="2" fontId="61" fillId="0" borderId="33" xfId="1" applyNumberFormat="1" applyFont="1" applyFill="1" applyBorder="1" applyAlignment="1">
      <alignment vertical="center"/>
    </xf>
    <xf numFmtId="171" fontId="0" fillId="12" borderId="53" xfId="0" applyNumberFormat="1" applyFill="1" applyBorder="1" applyAlignment="1">
      <alignment horizontal="left" vertical="center"/>
    </xf>
    <xf numFmtId="15" fontId="78" fillId="5" borderId="0" xfId="0" applyNumberFormat="1" applyFont="1" applyFill="1" applyAlignment="1">
      <alignment horizontal="left" vertical="center"/>
    </xf>
    <xf numFmtId="0" fontId="72" fillId="7" borderId="54" xfId="0" applyFont="1" applyFill="1" applyBorder="1">
      <alignment vertical="center"/>
    </xf>
    <xf numFmtId="0" fontId="65" fillId="4" borderId="62" xfId="0" applyFont="1" applyFill="1" applyBorder="1" applyAlignment="1">
      <alignment horizontal="center" vertical="center"/>
    </xf>
    <xf numFmtId="0" fontId="67" fillId="4" borderId="46" xfId="0" applyFont="1" applyFill="1" applyBorder="1" applyAlignment="1">
      <alignment horizontal="center" vertical="center"/>
    </xf>
    <xf numFmtId="2" fontId="71" fillId="0" borderId="12" xfId="0" applyNumberFormat="1" applyFont="1" applyBorder="1">
      <alignment vertical="center"/>
    </xf>
    <xf numFmtId="2" fontId="71" fillId="0" borderId="51" xfId="0" applyNumberFormat="1" applyFont="1" applyBorder="1">
      <alignment vertical="center"/>
    </xf>
    <xf numFmtId="2" fontId="71" fillId="0" borderId="63" xfId="0" applyNumberFormat="1" applyFont="1" applyBorder="1">
      <alignment vertical="center"/>
    </xf>
    <xf numFmtId="2" fontId="71" fillId="0" borderId="64" xfId="0" applyNumberFormat="1" applyFont="1" applyBorder="1">
      <alignment vertical="center"/>
    </xf>
    <xf numFmtId="2" fontId="0" fillId="0" borderId="53" xfId="1" applyNumberFormat="1" applyFont="1" applyFill="1" applyBorder="1" applyAlignment="1">
      <alignment vertical="center"/>
    </xf>
    <xf numFmtId="0" fontId="61" fillId="4" borderId="36" xfId="0" applyFont="1" applyFill="1" applyBorder="1" applyAlignment="1">
      <alignment horizontal="center" vertical="center"/>
    </xf>
    <xf numFmtId="0" fontId="61" fillId="4" borderId="46" xfId="0" applyFont="1" applyFill="1" applyBorder="1" applyAlignment="1">
      <alignment horizontal="center" vertical="center"/>
    </xf>
    <xf numFmtId="9" fontId="71" fillId="7" borderId="9" xfId="3" applyFont="1" applyFill="1" applyBorder="1" applyAlignment="1">
      <alignment vertical="center"/>
    </xf>
    <xf numFmtId="177" fontId="71" fillId="0" borderId="51" xfId="2" applyNumberFormat="1" applyFont="1" applyFill="1" applyBorder="1" applyAlignment="1">
      <alignment vertical="center"/>
    </xf>
    <xf numFmtId="9" fontId="71" fillId="0" borderId="9" xfId="3" applyFont="1" applyFill="1" applyBorder="1" applyAlignment="1">
      <alignment vertical="center"/>
    </xf>
    <xf numFmtId="174" fontId="0" fillId="0" borderId="33" xfId="2" applyNumberFormat="1" applyFont="1" applyFill="1" applyBorder="1" applyAlignment="1">
      <alignment vertical="center"/>
    </xf>
    <xf numFmtId="174" fontId="0" fillId="0" borderId="53" xfId="2" applyNumberFormat="1" applyFont="1" applyFill="1" applyBorder="1" applyAlignment="1">
      <alignment vertical="center"/>
    </xf>
    <xf numFmtId="0" fontId="61" fillId="14" borderId="61" xfId="0" applyFont="1" applyFill="1" applyBorder="1">
      <alignment vertical="center"/>
    </xf>
    <xf numFmtId="174" fontId="72" fillId="0" borderId="49" xfId="2" applyNumberFormat="1" applyFont="1" applyFill="1" applyBorder="1" applyAlignment="1">
      <alignment horizontal="center" vertical="center"/>
    </xf>
    <xf numFmtId="0" fontId="61" fillId="9" borderId="22" xfId="0" quotePrefix="1" applyFont="1" applyFill="1" applyBorder="1">
      <alignment vertical="center"/>
    </xf>
    <xf numFmtId="0" fontId="61" fillId="9" borderId="23" xfId="0" quotePrefix="1" applyFont="1" applyFill="1" applyBorder="1">
      <alignment vertical="center"/>
    </xf>
    <xf numFmtId="0" fontId="61" fillId="9" borderId="16" xfId="0" quotePrefix="1" applyFont="1" applyFill="1" applyBorder="1">
      <alignment vertical="center"/>
    </xf>
    <xf numFmtId="0" fontId="78" fillId="5" borderId="0" xfId="0" quotePrefix="1" applyFont="1" applyFill="1">
      <alignment vertical="center"/>
    </xf>
    <xf numFmtId="0" fontId="61" fillId="9" borderId="25" xfId="0" quotePrefix="1" applyFont="1" applyFill="1" applyBorder="1">
      <alignment vertical="center"/>
    </xf>
    <xf numFmtId="0" fontId="61" fillId="10" borderId="20" xfId="0" quotePrefix="1" applyFont="1" applyFill="1" applyBorder="1">
      <alignment vertical="center"/>
    </xf>
    <xf numFmtId="0" fontId="61" fillId="10" borderId="24" xfId="0" quotePrefix="1" applyFont="1" applyFill="1" applyBorder="1">
      <alignment vertical="center"/>
    </xf>
    <xf numFmtId="0" fontId="78" fillId="5" borderId="0" xfId="0" quotePrefix="1" applyFont="1" applyFill="1" applyAlignment="1">
      <alignment horizontal="right" vertical="center"/>
    </xf>
    <xf numFmtId="0" fontId="0" fillId="0" borderId="8" xfId="0" quotePrefix="1" applyBorder="1">
      <alignment vertical="center"/>
    </xf>
    <xf numFmtId="0" fontId="0" fillId="7" borderId="0" xfId="0" quotePrefix="1" applyFill="1">
      <alignment vertical="center"/>
    </xf>
    <xf numFmtId="0" fontId="64" fillId="0" borderId="0" xfId="0" quotePrefix="1" applyFont="1">
      <alignment vertical="center"/>
    </xf>
    <xf numFmtId="0" fontId="61" fillId="0" borderId="1" xfId="0" quotePrefix="1" applyFont="1" applyBorder="1">
      <alignment vertical="center"/>
    </xf>
    <xf numFmtId="16" fontId="71" fillId="0" borderId="0" xfId="0" applyNumberFormat="1" applyFont="1">
      <alignment vertical="center"/>
    </xf>
    <xf numFmtId="16" fontId="72" fillId="0" borderId="0" xfId="0" applyNumberFormat="1" applyFont="1">
      <alignment vertical="center"/>
    </xf>
    <xf numFmtId="16" fontId="59" fillId="0" borderId="0" xfId="0" applyNumberFormat="1" applyFont="1" applyAlignment="1">
      <alignment horizontal="center" vertical="center"/>
    </xf>
    <xf numFmtId="0" fontId="58" fillId="0" borderId="0" xfId="0" applyFont="1">
      <alignment vertical="center"/>
    </xf>
    <xf numFmtId="2" fontId="61" fillId="0" borderId="0" xfId="0" applyNumberFormat="1" applyFont="1" applyAlignment="1">
      <alignment horizontal="center" vertical="center"/>
    </xf>
    <xf numFmtId="0" fontId="61" fillId="8" borderId="1" xfId="0" applyFont="1" applyFill="1" applyBorder="1">
      <alignment vertical="center"/>
    </xf>
    <xf numFmtId="0" fontId="57" fillId="0" borderId="1" xfId="0" applyFont="1" applyBorder="1">
      <alignment vertical="center"/>
    </xf>
    <xf numFmtId="16" fontId="56" fillId="0" borderId="0" xfId="0" applyNumberFormat="1" applyFont="1" applyAlignment="1">
      <alignment horizontal="center" vertical="center"/>
    </xf>
    <xf numFmtId="15" fontId="55" fillId="0" borderId="1" xfId="0" applyNumberFormat="1" applyFont="1" applyBorder="1">
      <alignment vertical="center"/>
    </xf>
    <xf numFmtId="16" fontId="54" fillId="0" borderId="0" xfId="0" applyNumberFormat="1" applyFont="1" applyAlignment="1">
      <alignment horizontal="center" vertical="center"/>
    </xf>
    <xf numFmtId="3" fontId="0" fillId="0" borderId="0" xfId="0" applyNumberFormat="1">
      <alignment vertical="center"/>
    </xf>
    <xf numFmtId="166" fontId="0" fillId="0" borderId="1" xfId="3" applyNumberFormat="1" applyFont="1" applyBorder="1">
      <alignment vertical="center"/>
    </xf>
    <xf numFmtId="168" fontId="0" fillId="0" borderId="1" xfId="0" applyNumberFormat="1" applyBorder="1">
      <alignment vertical="center"/>
    </xf>
    <xf numFmtId="2" fontId="0" fillId="0" borderId="1" xfId="1" applyNumberFormat="1" applyFont="1" applyFill="1" applyBorder="1" applyAlignment="1">
      <alignment vertical="center"/>
    </xf>
    <xf numFmtId="2" fontId="0" fillId="0" borderId="1" xfId="1" applyNumberFormat="1" applyFont="1" applyBorder="1">
      <alignment vertical="center"/>
    </xf>
    <xf numFmtId="168" fontId="0" fillId="0" borderId="1" xfId="1" applyNumberFormat="1" applyFont="1" applyFill="1" applyBorder="1" applyAlignment="1">
      <alignment vertical="center"/>
    </xf>
    <xf numFmtId="165" fontId="0" fillId="8" borderId="1" xfId="1" applyFont="1" applyFill="1" applyBorder="1" applyAlignment="1">
      <alignment vertical="center"/>
    </xf>
    <xf numFmtId="2" fontId="0" fillId="8" borderId="1" xfId="0" applyNumberFormat="1" applyFill="1" applyBorder="1">
      <alignment vertical="center"/>
    </xf>
    <xf numFmtId="16" fontId="61" fillId="0" borderId="0" xfId="0" applyNumberFormat="1" applyFont="1" applyAlignment="1">
      <alignment horizontal="center" vertical="center"/>
    </xf>
    <xf numFmtId="0" fontId="53" fillId="15" borderId="0" xfId="0" applyFont="1" applyFill="1">
      <alignment vertical="center"/>
    </xf>
    <xf numFmtId="0" fontId="0" fillId="15" borderId="0" xfId="0" applyFill="1">
      <alignment vertical="center"/>
    </xf>
    <xf numFmtId="164" fontId="60" fillId="0" borderId="0" xfId="2" applyFont="1" applyAlignment="1">
      <alignment vertical="top"/>
    </xf>
    <xf numFmtId="164" fontId="60" fillId="0" borderId="0" xfId="0" applyNumberFormat="1" applyFont="1" applyAlignment="1">
      <alignment vertical="top"/>
    </xf>
    <xf numFmtId="15" fontId="61" fillId="0" borderId="0" xfId="0" applyNumberFormat="1" applyFont="1" applyAlignment="1">
      <alignment horizontal="center" vertical="center"/>
    </xf>
    <xf numFmtId="15" fontId="72" fillId="0" borderId="0" xfId="0" applyNumberFormat="1" applyFont="1" applyAlignment="1">
      <alignment horizontal="center" vertical="center"/>
    </xf>
    <xf numFmtId="15" fontId="0" fillId="8" borderId="1" xfId="0" quotePrefix="1" applyNumberFormat="1" applyFill="1" applyBorder="1">
      <alignment vertical="center"/>
    </xf>
    <xf numFmtId="0" fontId="72" fillId="0" borderId="0" xfId="0" quotePrefix="1" applyFont="1">
      <alignment vertical="center"/>
    </xf>
    <xf numFmtId="2" fontId="0" fillId="8" borderId="0" xfId="0" applyNumberFormat="1" applyFill="1" applyAlignment="1">
      <alignment horizontal="center" vertical="center"/>
    </xf>
    <xf numFmtId="2" fontId="71" fillId="0" borderId="0" xfId="0" quotePrefix="1" applyNumberFormat="1" applyFont="1" applyAlignment="1">
      <alignment horizontal="center" vertical="center"/>
    </xf>
    <xf numFmtId="0" fontId="88" fillId="5" borderId="0" xfId="0" quotePrefix="1" applyFont="1" applyFill="1">
      <alignment vertical="center"/>
    </xf>
    <xf numFmtId="0" fontId="89" fillId="0" borderId="0" xfId="0" applyFont="1" applyAlignment="1">
      <alignment vertical="top"/>
    </xf>
    <xf numFmtId="2" fontId="61" fillId="4" borderId="0" xfId="0" applyNumberFormat="1" applyFont="1" applyFill="1" applyAlignment="1">
      <alignment horizontal="center" vertical="center"/>
    </xf>
    <xf numFmtId="0" fontId="52" fillId="0" borderId="1" xfId="0" applyFont="1" applyBorder="1">
      <alignment vertical="center"/>
    </xf>
    <xf numFmtId="164" fontId="60" fillId="0" borderId="0" xfId="2" applyFont="1" applyAlignment="1">
      <alignment horizontal="left" vertical="top"/>
    </xf>
    <xf numFmtId="164" fontId="60" fillId="0" borderId="0" xfId="0" applyNumberFormat="1" applyFont="1" applyAlignment="1">
      <alignment horizontal="left" vertical="top"/>
    </xf>
    <xf numFmtId="0" fontId="60" fillId="0" borderId="0" xfId="0" applyFont="1" applyAlignment="1">
      <alignment horizontal="left" vertical="top"/>
    </xf>
    <xf numFmtId="0" fontId="0" fillId="0" borderId="66" xfId="0" applyBorder="1">
      <alignment vertical="center"/>
    </xf>
    <xf numFmtId="0" fontId="61" fillId="0" borderId="66" xfId="0" applyFont="1" applyBorder="1">
      <alignment vertical="center"/>
    </xf>
    <xf numFmtId="2" fontId="0" fillId="0" borderId="66" xfId="0" applyNumberFormat="1" applyBorder="1">
      <alignment vertical="center"/>
    </xf>
    <xf numFmtId="15" fontId="0" fillId="0" borderId="66" xfId="0" applyNumberFormat="1" applyBorder="1">
      <alignment vertical="center"/>
    </xf>
    <xf numFmtId="171" fontId="0" fillId="0" borderId="66" xfId="0" applyNumberFormat="1" applyBorder="1">
      <alignment vertical="center"/>
    </xf>
    <xf numFmtId="0" fontId="51" fillId="0" borderId="0" xfId="0" applyFont="1">
      <alignment vertical="center"/>
    </xf>
    <xf numFmtId="0" fontId="73" fillId="19" borderId="75" xfId="0" applyFont="1" applyFill="1" applyBorder="1">
      <alignment vertical="center"/>
    </xf>
    <xf numFmtId="178" fontId="73" fillId="19" borderId="74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" fontId="73" fillId="4" borderId="68" xfId="0" applyNumberFormat="1" applyFont="1" applyFill="1" applyBorder="1" applyAlignment="1">
      <alignment horizontal="center" vertical="center"/>
    </xf>
    <xf numFmtId="4" fontId="73" fillId="4" borderId="70" xfId="0" applyNumberFormat="1" applyFont="1" applyFill="1" applyBorder="1" applyAlignment="1">
      <alignment horizontal="center" vertical="center"/>
    </xf>
    <xf numFmtId="4" fontId="73" fillId="4" borderId="71" xfId="0" applyNumberFormat="1" applyFont="1" applyFill="1" applyBorder="1" applyAlignment="1">
      <alignment horizontal="center" vertical="center"/>
    </xf>
    <xf numFmtId="4" fontId="73" fillId="19" borderId="75" xfId="0" applyNumberFormat="1" applyFont="1" applyFill="1" applyBorder="1">
      <alignment vertical="center"/>
    </xf>
    <xf numFmtId="4" fontId="0" fillId="0" borderId="0" xfId="0" applyNumberFormat="1">
      <alignment vertical="center"/>
    </xf>
    <xf numFmtId="178" fontId="73" fillId="4" borderId="68" xfId="0" applyNumberFormat="1" applyFont="1" applyFill="1" applyBorder="1" applyAlignment="1">
      <alignment horizontal="center" vertical="center"/>
    </xf>
    <xf numFmtId="178" fontId="73" fillId="4" borderId="70" xfId="0" applyNumberFormat="1" applyFont="1" applyFill="1" applyBorder="1" applyAlignment="1">
      <alignment horizontal="center" vertical="center"/>
    </xf>
    <xf numFmtId="178" fontId="73" fillId="19" borderId="75" xfId="0" applyNumberFormat="1" applyFont="1" applyFill="1" applyBorder="1" applyAlignment="1">
      <alignment horizontal="center" vertical="center"/>
    </xf>
    <xf numFmtId="4" fontId="73" fillId="19" borderId="68" xfId="0" applyNumberFormat="1" applyFont="1" applyFill="1" applyBorder="1" applyAlignment="1">
      <alignment horizontal="centerContinuous" vertical="center"/>
    </xf>
    <xf numFmtId="4" fontId="0" fillId="0" borderId="0" xfId="0" applyNumberFormat="1" applyAlignment="1">
      <alignment horizontal="center" vertical="center"/>
    </xf>
    <xf numFmtId="4" fontId="73" fillId="4" borderId="76" xfId="0" applyNumberFormat="1" applyFont="1" applyFill="1" applyBorder="1" applyAlignment="1">
      <alignment horizontal="center" vertical="center"/>
    </xf>
    <xf numFmtId="4" fontId="73" fillId="4" borderId="77" xfId="0" applyNumberFormat="1" applyFont="1" applyFill="1" applyBorder="1" applyAlignment="1">
      <alignment horizontal="center" vertical="center"/>
    </xf>
    <xf numFmtId="4" fontId="73" fillId="19" borderId="79" xfId="0" applyNumberFormat="1" applyFont="1" applyFill="1" applyBorder="1" applyAlignment="1">
      <alignment horizontal="center" vertical="center"/>
    </xf>
    <xf numFmtId="9" fontId="73" fillId="0" borderId="0" xfId="3" applyFont="1">
      <alignment vertical="center"/>
    </xf>
    <xf numFmtId="0" fontId="90" fillId="11" borderId="0" xfId="0" applyFont="1" applyFill="1">
      <alignment vertical="center"/>
    </xf>
    <xf numFmtId="178" fontId="92" fillId="0" borderId="0" xfId="0" applyNumberFormat="1" applyFont="1" applyAlignment="1">
      <alignment horizontal="left" vertical="center"/>
    </xf>
    <xf numFmtId="0" fontId="61" fillId="7" borderId="0" xfId="0" applyFont="1" applyFill="1">
      <alignment vertical="center"/>
    </xf>
    <xf numFmtId="0" fontId="61" fillId="4" borderId="80" xfId="0" applyFont="1" applyFill="1" applyBorder="1">
      <alignment vertical="center"/>
    </xf>
    <xf numFmtId="0" fontId="61" fillId="4" borderId="81" xfId="0" applyFont="1" applyFill="1" applyBorder="1">
      <alignment vertical="center"/>
    </xf>
    <xf numFmtId="0" fontId="61" fillId="4" borderId="82" xfId="0" applyFont="1" applyFill="1" applyBorder="1">
      <alignment vertical="center"/>
    </xf>
    <xf numFmtId="0" fontId="51" fillId="18" borderId="80" xfId="0" applyFont="1" applyFill="1" applyBorder="1">
      <alignment vertical="center"/>
    </xf>
    <xf numFmtId="0" fontId="51" fillId="18" borderId="81" xfId="0" applyFont="1" applyFill="1" applyBorder="1">
      <alignment vertical="center"/>
    </xf>
    <xf numFmtId="0" fontId="0" fillId="18" borderId="81" xfId="0" applyFill="1" applyBorder="1">
      <alignment vertical="center"/>
    </xf>
    <xf numFmtId="0" fontId="0" fillId="18" borderId="82" xfId="0" applyFill="1" applyBorder="1">
      <alignment vertical="center"/>
    </xf>
    <xf numFmtId="0" fontId="0" fillId="18" borderId="80" xfId="0" applyFill="1" applyBorder="1">
      <alignment vertical="center"/>
    </xf>
    <xf numFmtId="0" fontId="51" fillId="14" borderId="83" xfId="0" applyFont="1" applyFill="1" applyBorder="1">
      <alignment vertical="center"/>
    </xf>
    <xf numFmtId="0" fontId="0" fillId="14" borderId="83" xfId="0" applyFill="1" applyBorder="1">
      <alignment vertical="center"/>
    </xf>
    <xf numFmtId="0" fontId="51" fillId="14" borderId="84" xfId="0" applyFont="1" applyFill="1" applyBorder="1">
      <alignment vertical="center"/>
    </xf>
    <xf numFmtId="0" fontId="0" fillId="14" borderId="84" xfId="0" applyFill="1" applyBorder="1">
      <alignment vertical="center"/>
    </xf>
    <xf numFmtId="2" fontId="61" fillId="14" borderId="84" xfId="0" applyNumberFormat="1" applyFont="1" applyFill="1" applyBorder="1">
      <alignment vertical="center"/>
    </xf>
    <xf numFmtId="0" fontId="91" fillId="0" borderId="0" xfId="0" applyFont="1">
      <alignment vertical="center"/>
    </xf>
    <xf numFmtId="2" fontId="90" fillId="11" borderId="0" xfId="0" applyNumberFormat="1" applyFont="1" applyFill="1">
      <alignment vertical="center"/>
    </xf>
    <xf numFmtId="2" fontId="61" fillId="14" borderId="83" xfId="0" applyNumberFormat="1" applyFont="1" applyFill="1" applyBorder="1">
      <alignment vertical="center"/>
    </xf>
    <xf numFmtId="9" fontId="68" fillId="19" borderId="86" xfId="3" applyFont="1" applyFill="1" applyBorder="1">
      <alignment vertical="center"/>
    </xf>
    <xf numFmtId="1" fontId="73" fillId="4" borderId="87" xfId="3" applyNumberFormat="1" applyFont="1" applyFill="1" applyBorder="1" applyAlignment="1">
      <alignment horizontal="center" vertical="center"/>
    </xf>
    <xf numFmtId="1" fontId="73" fillId="4" borderId="88" xfId="3" applyNumberFormat="1" applyFont="1" applyFill="1" applyBorder="1" applyAlignment="1">
      <alignment horizontal="center" vertical="center"/>
    </xf>
    <xf numFmtId="1" fontId="73" fillId="0" borderId="0" xfId="3" applyNumberFormat="1" applyFont="1" applyAlignment="1">
      <alignment horizontal="center" vertical="center"/>
    </xf>
    <xf numFmtId="1" fontId="68" fillId="19" borderId="88" xfId="3" applyNumberFormat="1" applyFont="1" applyFill="1" applyBorder="1" applyAlignment="1">
      <alignment horizontal="center" vertical="center"/>
    </xf>
    <xf numFmtId="2" fontId="0" fillId="18" borderId="82" xfId="0" applyNumberFormat="1" applyFill="1" applyBorder="1">
      <alignment vertical="center"/>
    </xf>
    <xf numFmtId="4" fontId="0" fillId="18" borderId="82" xfId="0" applyNumberFormat="1" applyFill="1" applyBorder="1">
      <alignment vertical="center"/>
    </xf>
    <xf numFmtId="178" fontId="73" fillId="19" borderId="72" xfId="0" applyNumberFormat="1" applyFont="1" applyFill="1" applyBorder="1" applyAlignment="1">
      <alignment horizontal="center" vertical="center"/>
    </xf>
    <xf numFmtId="0" fontId="73" fillId="19" borderId="73" xfId="0" applyFont="1" applyFill="1" applyBorder="1">
      <alignment vertical="center"/>
    </xf>
    <xf numFmtId="4" fontId="73" fillId="19" borderId="73" xfId="0" applyNumberFormat="1" applyFont="1" applyFill="1" applyBorder="1">
      <alignment vertical="center"/>
    </xf>
    <xf numFmtId="178" fontId="73" fillId="19" borderId="73" xfId="0" applyNumberFormat="1" applyFont="1" applyFill="1" applyBorder="1" applyAlignment="1">
      <alignment horizontal="center" vertical="center"/>
    </xf>
    <xf numFmtId="4" fontId="73" fillId="19" borderId="78" xfId="0" applyNumberFormat="1" applyFont="1" applyFill="1" applyBorder="1" applyAlignment="1">
      <alignment horizontal="center" vertical="center"/>
    </xf>
    <xf numFmtId="9" fontId="68" fillId="19" borderId="85" xfId="3" applyFont="1" applyFill="1" applyBorder="1">
      <alignment vertical="center"/>
    </xf>
    <xf numFmtId="11" fontId="73" fillId="19" borderId="75" xfId="0" quotePrefix="1" applyNumberFormat="1" applyFont="1" applyFill="1" applyBorder="1">
      <alignment vertical="center"/>
    </xf>
    <xf numFmtId="0" fontId="50" fillId="0" borderId="1" xfId="0" applyFont="1" applyBorder="1" applyAlignment="1"/>
    <xf numFmtId="15" fontId="65" fillId="0" borderId="1" xfId="0" applyNumberFormat="1" applyFont="1" applyBorder="1">
      <alignment vertical="center"/>
    </xf>
    <xf numFmtId="0" fontId="0" fillId="0" borderId="89" xfId="0" applyBorder="1">
      <alignment vertical="center"/>
    </xf>
    <xf numFmtId="0" fontId="61" fillId="0" borderId="89" xfId="0" applyFont="1" applyBorder="1">
      <alignment vertical="center"/>
    </xf>
    <xf numFmtId="2" fontId="0" fillId="0" borderId="89" xfId="0" applyNumberFormat="1" applyBorder="1">
      <alignment vertical="center"/>
    </xf>
    <xf numFmtId="15" fontId="0" fillId="0" borderId="89" xfId="0" applyNumberFormat="1" applyBorder="1">
      <alignment vertical="center"/>
    </xf>
    <xf numFmtId="171" fontId="0" fillId="0" borderId="89" xfId="0" applyNumberFormat="1" applyBorder="1">
      <alignment vertical="center"/>
    </xf>
    <xf numFmtId="0" fontId="49" fillId="0" borderId="0" xfId="0" applyFont="1">
      <alignment vertical="center"/>
    </xf>
    <xf numFmtId="0" fontId="0" fillId="4" borderId="0" xfId="0" applyFill="1">
      <alignment vertical="center"/>
    </xf>
    <xf numFmtId="0" fontId="47" fillId="7" borderId="0" xfId="0" applyFont="1" applyFill="1">
      <alignment vertical="center"/>
    </xf>
    <xf numFmtId="0" fontId="0" fillId="7" borderId="66" xfId="0" applyFill="1" applyBorder="1" applyAlignment="1">
      <alignment horizontal="center" vertical="center"/>
    </xf>
    <xf numFmtId="0" fontId="0" fillId="7" borderId="90" xfId="0" applyFill="1" applyBorder="1" applyAlignment="1">
      <alignment horizontal="center" vertical="center"/>
    </xf>
    <xf numFmtId="0" fontId="48" fillId="7" borderId="66" xfId="0" applyFont="1" applyFill="1" applyBorder="1" applyAlignment="1">
      <alignment horizontal="center" vertical="center"/>
    </xf>
    <xf numFmtId="0" fontId="0" fillId="20" borderId="0" xfId="0" applyFill="1">
      <alignment vertical="center"/>
    </xf>
    <xf numFmtId="0" fontId="73" fillId="20" borderId="0" xfId="0" applyFont="1" applyFill="1" applyAlignment="1">
      <alignment horizontal="left" vertical="center" wrapText="1"/>
    </xf>
    <xf numFmtId="0" fontId="49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91" fillId="20" borderId="91" xfId="0" applyFont="1" applyFill="1" applyBorder="1" applyAlignment="1">
      <alignment horizontal="center" vertical="center"/>
    </xf>
    <xf numFmtId="0" fontId="91" fillId="20" borderId="92" xfId="0" applyFont="1" applyFill="1" applyBorder="1" applyAlignment="1">
      <alignment horizontal="center" vertical="center"/>
    </xf>
    <xf numFmtId="0" fontId="91" fillId="20" borderId="93" xfId="0" applyFont="1" applyFill="1" applyBorder="1" applyAlignment="1">
      <alignment horizontal="center" vertical="center"/>
    </xf>
    <xf numFmtId="2" fontId="91" fillId="20" borderId="93" xfId="0" applyNumberFormat="1" applyFont="1" applyFill="1" applyBorder="1" applyAlignment="1">
      <alignment horizontal="center" vertical="center"/>
    </xf>
    <xf numFmtId="166" fontId="93" fillId="20" borderId="93" xfId="3" applyNumberFormat="1" applyFont="1" applyFill="1" applyBorder="1" applyAlignment="1">
      <alignment horizontal="center" vertical="center"/>
    </xf>
    <xf numFmtId="9" fontId="91" fillId="20" borderId="93" xfId="3" applyFont="1" applyFill="1" applyBorder="1" applyAlignment="1">
      <alignment horizontal="center" vertical="center"/>
    </xf>
    <xf numFmtId="0" fontId="91" fillId="20" borderId="94" xfId="0" applyFont="1" applyFill="1" applyBorder="1">
      <alignment vertical="center"/>
    </xf>
    <xf numFmtId="0" fontId="91" fillId="20" borderId="80" xfId="0" applyFont="1" applyFill="1" applyBorder="1" applyAlignment="1">
      <alignment horizontal="center" vertical="center"/>
    </xf>
    <xf numFmtId="0" fontId="91" fillId="20" borderId="81" xfId="0" applyFont="1" applyFill="1" applyBorder="1" applyAlignment="1">
      <alignment horizontal="center" vertical="center"/>
    </xf>
    <xf numFmtId="0" fontId="91" fillId="20" borderId="81" xfId="0" applyFont="1" applyFill="1" applyBorder="1" applyAlignment="1">
      <alignment horizontal="centerContinuous" vertical="center"/>
    </xf>
    <xf numFmtId="0" fontId="91" fillId="20" borderId="82" xfId="0" applyFont="1" applyFill="1" applyBorder="1" applyAlignment="1">
      <alignment horizontal="center" vertical="center"/>
    </xf>
    <xf numFmtId="9" fontId="91" fillId="20" borderId="81" xfId="3" applyFont="1" applyFill="1" applyBorder="1" applyAlignment="1">
      <alignment horizontal="center" vertical="center"/>
    </xf>
    <xf numFmtId="0" fontId="91" fillId="20" borderId="82" xfId="0" applyFont="1" applyFill="1" applyBorder="1">
      <alignment vertical="center"/>
    </xf>
    <xf numFmtId="2" fontId="91" fillId="20" borderId="81" xfId="0" applyNumberFormat="1" applyFont="1" applyFill="1" applyBorder="1" applyAlignment="1">
      <alignment horizontal="center" vertical="center"/>
    </xf>
    <xf numFmtId="166" fontId="93" fillId="20" borderId="81" xfId="3" applyNumberFormat="1" applyFont="1" applyFill="1" applyBorder="1" applyAlignment="1">
      <alignment horizontal="center" vertical="center"/>
    </xf>
    <xf numFmtId="0" fontId="91" fillId="20" borderId="81" xfId="0" applyFont="1" applyFill="1" applyBorder="1">
      <alignment vertical="center"/>
    </xf>
    <xf numFmtId="0" fontId="0" fillId="20" borderId="95" xfId="0" applyFill="1" applyBorder="1">
      <alignment vertical="center"/>
    </xf>
    <xf numFmtId="0" fontId="0" fillId="20" borderId="95" xfId="0" applyFill="1" applyBorder="1" applyAlignment="1">
      <alignment horizontal="centerContinuous" vertical="center"/>
    </xf>
    <xf numFmtId="0" fontId="73" fillId="20" borderId="95" xfId="0" applyFont="1" applyFill="1" applyBorder="1" applyAlignment="1">
      <alignment horizontal="left" vertical="center" wrapText="1"/>
    </xf>
    <xf numFmtId="0" fontId="49" fillId="20" borderId="95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4" fillId="0" borderId="0" xfId="0" applyFont="1">
      <alignment vertical="center"/>
    </xf>
    <xf numFmtId="0" fontId="64" fillId="20" borderId="0" xfId="0" applyFont="1" applyFill="1">
      <alignment vertical="center"/>
    </xf>
    <xf numFmtId="0" fontId="78" fillId="20" borderId="0" xfId="0" applyFont="1" applyFill="1" applyAlignment="1">
      <alignment horizontal="centerContinuous" vertical="center"/>
    </xf>
    <xf numFmtId="0" fontId="94" fillId="20" borderId="0" xfId="0" applyFont="1" applyFill="1" applyAlignment="1">
      <alignment horizontal="left" vertical="center" wrapText="1"/>
    </xf>
    <xf numFmtId="0" fontId="64" fillId="20" borderId="0" xfId="0" applyFont="1" applyFill="1" applyAlignment="1">
      <alignment horizontal="center" vertical="center"/>
    </xf>
    <xf numFmtId="0" fontId="64" fillId="4" borderId="0" xfId="0" applyFont="1" applyFill="1">
      <alignment vertical="center"/>
    </xf>
    <xf numFmtId="0" fontId="78" fillId="20" borderId="0" xfId="0" applyFont="1" applyFill="1">
      <alignment vertical="center"/>
    </xf>
    <xf numFmtId="0" fontId="49" fillId="20" borderId="0" xfId="0" applyFont="1" applyFill="1">
      <alignment vertical="center"/>
    </xf>
    <xf numFmtId="0" fontId="0" fillId="7" borderId="1" xfId="0" applyFill="1" applyBorder="1" applyAlignment="1"/>
    <xf numFmtId="0" fontId="0" fillId="0" borderId="1" xfId="0" applyBorder="1" applyAlignment="1"/>
    <xf numFmtId="0" fontId="46" fillId="0" borderId="1" xfId="0" applyFont="1" applyBorder="1" applyAlignment="1"/>
    <xf numFmtId="0" fontId="46" fillId="0" borderId="1" xfId="0" quotePrefix="1" applyFont="1" applyBorder="1" applyAlignment="1"/>
    <xf numFmtId="0" fontId="45" fillId="0" borderId="1" xfId="0" applyFont="1" applyBorder="1" applyAlignment="1"/>
    <xf numFmtId="9" fontId="93" fillId="20" borderId="93" xfId="3" applyFont="1" applyFill="1" applyBorder="1" applyAlignment="1">
      <alignment horizontal="center" vertical="center"/>
    </xf>
    <xf numFmtId="9" fontId="93" fillId="20" borderId="81" xfId="3" applyFont="1" applyFill="1" applyBorder="1" applyAlignment="1">
      <alignment horizontal="center" vertical="center"/>
    </xf>
    <xf numFmtId="11" fontId="44" fillId="0" borderId="1" xfId="0" quotePrefix="1" applyNumberFormat="1" applyFont="1" applyBorder="1" applyAlignment="1"/>
    <xf numFmtId="0" fontId="43" fillId="0" borderId="0" xfId="0" applyFont="1">
      <alignment vertical="center"/>
    </xf>
    <xf numFmtId="0" fontId="42" fillId="0" borderId="1" xfId="0" applyFont="1" applyBorder="1" applyAlignment="1"/>
    <xf numFmtId="4" fontId="42" fillId="0" borderId="1" xfId="0" applyNumberFormat="1" applyFont="1" applyBorder="1" applyAlignment="1"/>
    <xf numFmtId="0" fontId="73" fillId="19" borderId="75" xfId="0" quotePrefix="1" applyFont="1" applyFill="1" applyBorder="1">
      <alignment vertical="center"/>
    </xf>
    <xf numFmtId="15" fontId="41" fillId="0" borderId="1" xfId="0" applyNumberFormat="1" applyFont="1" applyBorder="1">
      <alignment vertical="center"/>
    </xf>
    <xf numFmtId="0" fontId="0" fillId="0" borderId="0" xfId="0" applyAlignment="1"/>
    <xf numFmtId="0" fontId="41" fillId="0" borderId="0" xfId="0" applyFont="1">
      <alignment vertical="center"/>
    </xf>
    <xf numFmtId="0" fontId="61" fillId="19" borderId="1" xfId="0" applyFont="1" applyFill="1" applyBorder="1">
      <alignment vertical="center"/>
    </xf>
    <xf numFmtId="15" fontId="0" fillId="19" borderId="1" xfId="0" applyNumberFormat="1" applyFill="1" applyBorder="1">
      <alignment vertical="center"/>
    </xf>
    <xf numFmtId="0" fontId="0" fillId="19" borderId="1" xfId="0" applyFill="1" applyBorder="1">
      <alignment vertical="center"/>
    </xf>
    <xf numFmtId="171" fontId="0" fillId="19" borderId="1" xfId="0" applyNumberFormat="1" applyFill="1" applyBorder="1">
      <alignment vertical="center"/>
    </xf>
    <xf numFmtId="2" fontId="61" fillId="19" borderId="1" xfId="0" applyNumberFormat="1" applyFont="1" applyFill="1" applyBorder="1">
      <alignment vertical="center"/>
    </xf>
    <xf numFmtId="165" fontId="0" fillId="19" borderId="1" xfId="1" applyFont="1" applyFill="1" applyBorder="1">
      <alignment vertical="center"/>
    </xf>
    <xf numFmtId="166" fontId="0" fillId="19" borderId="1" xfId="3" applyNumberFormat="1" applyFont="1" applyFill="1" applyBorder="1">
      <alignment vertical="center"/>
    </xf>
    <xf numFmtId="0" fontId="40" fillId="0" borderId="1" xfId="0" applyFont="1" applyBorder="1" applyAlignment="1"/>
    <xf numFmtId="179" fontId="0" fillId="0" borderId="0" xfId="0" applyNumberFormat="1">
      <alignment vertical="center"/>
    </xf>
    <xf numFmtId="0" fontId="39" fillId="0" borderId="0" xfId="0" applyFont="1">
      <alignment vertical="center"/>
    </xf>
    <xf numFmtId="0" fontId="38" fillId="0" borderId="1" xfId="0" applyFont="1" applyBorder="1" applyAlignment="1"/>
    <xf numFmtId="0" fontId="65" fillId="0" borderId="0" xfId="0" applyFont="1">
      <alignment vertical="center"/>
    </xf>
    <xf numFmtId="0" fontId="0" fillId="7" borderId="96" xfId="0" applyFill="1" applyBorder="1">
      <alignment vertical="center"/>
    </xf>
    <xf numFmtId="0" fontId="0" fillId="7" borderId="97" xfId="0" applyFill="1" applyBorder="1">
      <alignment vertical="center"/>
    </xf>
    <xf numFmtId="0" fontId="0" fillId="7" borderId="97" xfId="0" applyFill="1" applyBorder="1" applyAlignment="1">
      <alignment horizontal="center" vertical="center"/>
    </xf>
    <xf numFmtId="0" fontId="37" fillId="7" borderId="97" xfId="0" applyFont="1" applyFill="1" applyBorder="1">
      <alignment vertical="center"/>
    </xf>
    <xf numFmtId="0" fontId="0" fillId="7" borderId="98" xfId="0" applyFill="1" applyBorder="1">
      <alignment vertical="center"/>
    </xf>
    <xf numFmtId="0" fontId="0" fillId="21" borderId="99" xfId="0" applyFill="1" applyBorder="1">
      <alignment vertical="center"/>
    </xf>
    <xf numFmtId="0" fontId="0" fillId="21" borderId="100" xfId="0" applyFill="1" applyBorder="1">
      <alignment vertical="center"/>
    </xf>
    <xf numFmtId="2" fontId="0" fillId="21" borderId="100" xfId="0" applyNumberFormat="1" applyFill="1" applyBorder="1">
      <alignment vertical="center"/>
    </xf>
    <xf numFmtId="0" fontId="0" fillId="21" borderId="101" xfId="0" applyFill="1" applyBorder="1">
      <alignment vertical="center"/>
    </xf>
    <xf numFmtId="0" fontId="0" fillId="21" borderId="102" xfId="0" applyFill="1" applyBorder="1">
      <alignment vertical="center"/>
    </xf>
    <xf numFmtId="0" fontId="0" fillId="21" borderId="66" xfId="0" applyFill="1" applyBorder="1">
      <alignment vertical="center"/>
    </xf>
    <xf numFmtId="2" fontId="0" fillId="21" borderId="66" xfId="0" applyNumberFormat="1" applyFill="1" applyBorder="1">
      <alignment vertical="center"/>
    </xf>
    <xf numFmtId="0" fontId="0" fillId="21" borderId="103" xfId="0" applyFill="1" applyBorder="1">
      <alignment vertical="center"/>
    </xf>
    <xf numFmtId="0" fontId="36" fillId="0" borderId="1" xfId="0" applyFont="1" applyBorder="1" applyAlignment="1"/>
    <xf numFmtId="0" fontId="36" fillId="0" borderId="0" xfId="0" applyFont="1">
      <alignment vertical="center"/>
    </xf>
    <xf numFmtId="0" fontId="36" fillId="0" borderId="0" xfId="0" applyFont="1" applyAlignment="1"/>
    <xf numFmtId="166" fontId="0" fillId="0" borderId="0" xfId="3" applyNumberFormat="1" applyFont="1" applyBorder="1">
      <alignment vertical="center"/>
    </xf>
    <xf numFmtId="0" fontId="35" fillId="0" borderId="1" xfId="0" quotePrefix="1" applyFont="1" applyBorder="1" applyAlignment="1"/>
    <xf numFmtId="0" fontId="0" fillId="0" borderId="1" xfId="1" applyNumberFormat="1" applyFont="1" applyBorder="1" applyAlignment="1">
      <alignment horizontal="center" vertical="center"/>
    </xf>
    <xf numFmtId="166" fontId="0" fillId="0" borderId="8" xfId="3" applyNumberFormat="1" applyFont="1" applyBorder="1">
      <alignment vertical="center"/>
    </xf>
    <xf numFmtId="166" fontId="0" fillId="19" borderId="8" xfId="3" applyNumberFormat="1" applyFont="1" applyFill="1" applyBorder="1">
      <alignment vertical="center"/>
    </xf>
    <xf numFmtId="0" fontId="34" fillId="0" borderId="0" xfId="0" applyFont="1">
      <alignment vertical="center"/>
    </xf>
    <xf numFmtId="0" fontId="91" fillId="22" borderId="80" xfId="0" applyFont="1" applyFill="1" applyBorder="1" applyAlignment="1">
      <alignment horizontal="center" vertical="center"/>
    </xf>
    <xf numFmtId="0" fontId="91" fillId="22" borderId="81" xfId="0" applyFont="1" applyFill="1" applyBorder="1" applyAlignment="1">
      <alignment horizontal="center" vertical="center"/>
    </xf>
    <xf numFmtId="0" fontId="91" fillId="22" borderId="81" xfId="0" applyFont="1" applyFill="1" applyBorder="1" applyAlignment="1">
      <alignment horizontal="center" vertical="center" wrapText="1"/>
    </xf>
    <xf numFmtId="0" fontId="91" fillId="22" borderId="81" xfId="0" applyFont="1" applyFill="1" applyBorder="1">
      <alignment vertical="center"/>
    </xf>
    <xf numFmtId="0" fontId="91" fillId="22" borderId="82" xfId="0" applyFont="1" applyFill="1" applyBorder="1">
      <alignment vertical="center"/>
    </xf>
    <xf numFmtId="0" fontId="0" fillId="6" borderId="80" xfId="0" applyFill="1" applyBorder="1">
      <alignment vertical="center"/>
    </xf>
    <xf numFmtId="0" fontId="0" fillId="6" borderId="81" xfId="0" applyFill="1" applyBorder="1">
      <alignment vertical="center"/>
    </xf>
    <xf numFmtId="0" fontId="34" fillId="6" borderId="82" xfId="0" applyFont="1" applyFill="1" applyBorder="1">
      <alignment vertical="center"/>
    </xf>
    <xf numFmtId="16" fontId="91" fillId="0" borderId="0" xfId="0" applyNumberFormat="1" applyFont="1">
      <alignment vertical="center"/>
    </xf>
    <xf numFmtId="178" fontId="0" fillId="23" borderId="107" xfId="0" applyNumberFormat="1" applyFill="1" applyBorder="1" applyAlignment="1">
      <alignment horizontal="center" vertical="center"/>
    </xf>
    <xf numFmtId="0" fontId="0" fillId="23" borderId="108" xfId="0" applyFill="1" applyBorder="1">
      <alignment vertical="center"/>
    </xf>
    <xf numFmtId="4" fontId="0" fillId="23" borderId="108" xfId="0" applyNumberFormat="1" applyFill="1" applyBorder="1">
      <alignment vertical="center"/>
    </xf>
    <xf numFmtId="178" fontId="0" fillId="23" borderId="108" xfId="0" applyNumberFormat="1" applyFill="1" applyBorder="1" applyAlignment="1">
      <alignment horizontal="center" vertical="center"/>
    </xf>
    <xf numFmtId="4" fontId="0" fillId="23" borderId="108" xfId="0" applyNumberFormat="1" applyFill="1" applyBorder="1" applyAlignment="1">
      <alignment horizontal="center" vertical="center"/>
    </xf>
    <xf numFmtId="9" fontId="73" fillId="23" borderId="108" xfId="3" applyFont="1" applyFill="1" applyBorder="1">
      <alignment vertical="center"/>
    </xf>
    <xf numFmtId="1" fontId="73" fillId="23" borderId="109" xfId="3" applyNumberFormat="1" applyFont="1" applyFill="1" applyBorder="1" applyAlignment="1">
      <alignment horizontal="center" vertical="center"/>
    </xf>
    <xf numFmtId="178" fontId="0" fillId="23" borderId="110" xfId="0" applyNumberFormat="1" applyFill="1" applyBorder="1" applyAlignment="1">
      <alignment horizontal="center" vertical="center"/>
    </xf>
    <xf numFmtId="0" fontId="0" fillId="23" borderId="0" xfId="0" applyFill="1">
      <alignment vertical="center"/>
    </xf>
    <xf numFmtId="4" fontId="0" fillId="23" borderId="0" xfId="0" applyNumberFormat="1" applyFill="1">
      <alignment vertical="center"/>
    </xf>
    <xf numFmtId="178" fontId="0" fillId="23" borderId="0" xfId="0" applyNumberFormat="1" applyFill="1" applyAlignment="1">
      <alignment horizontal="center" vertical="center"/>
    </xf>
    <xf numFmtId="4" fontId="0" fillId="23" borderId="0" xfId="0" applyNumberFormat="1" applyFill="1" applyAlignment="1">
      <alignment horizontal="center" vertical="center"/>
    </xf>
    <xf numFmtId="9" fontId="73" fillId="23" borderId="0" xfId="3" applyFont="1" applyFill="1" applyBorder="1">
      <alignment vertical="center"/>
    </xf>
    <xf numFmtId="1" fontId="73" fillId="23" borderId="111" xfId="3" applyNumberFormat="1" applyFont="1" applyFill="1" applyBorder="1" applyAlignment="1">
      <alignment horizontal="center" vertical="center"/>
    </xf>
    <xf numFmtId="2" fontId="0" fillId="6" borderId="81" xfId="0" applyNumberFormat="1" applyFill="1" applyBorder="1">
      <alignment vertical="center"/>
    </xf>
    <xf numFmtId="0" fontId="33" fillId="0" borderId="0" xfId="0" applyFont="1">
      <alignment vertical="center"/>
    </xf>
    <xf numFmtId="2" fontId="61" fillId="7" borderId="0" xfId="0" applyNumberFormat="1" applyFont="1" applyFill="1">
      <alignment vertical="center"/>
    </xf>
    <xf numFmtId="2" fontId="61" fillId="7" borderId="81" xfId="0" applyNumberFormat="1" applyFont="1" applyFill="1" applyBorder="1">
      <alignment vertical="center"/>
    </xf>
    <xf numFmtId="2" fontId="0" fillId="7" borderId="0" xfId="0" applyNumberFormat="1" applyFill="1" applyAlignment="1">
      <alignment horizontal="center" vertical="center"/>
    </xf>
    <xf numFmtId="2" fontId="61" fillId="7" borderId="0" xfId="0" applyNumberFormat="1" applyFont="1" applyFill="1" applyAlignment="1">
      <alignment horizontal="centerContinuous" vertical="center"/>
    </xf>
    <xf numFmtId="2" fontId="32" fillId="7" borderId="0" xfId="0" applyNumberFormat="1" applyFont="1" applyFill="1" applyAlignment="1">
      <alignment horizontal="center" vertical="center"/>
    </xf>
    <xf numFmtId="0" fontId="0" fillId="18" borderId="104" xfId="0" applyFill="1" applyBorder="1">
      <alignment vertical="center"/>
    </xf>
    <xf numFmtId="2" fontId="0" fillId="18" borderId="105" xfId="0" applyNumberFormat="1" applyFill="1" applyBorder="1">
      <alignment vertical="center"/>
    </xf>
    <xf numFmtId="0" fontId="0" fillId="18" borderId="105" xfId="0" applyFill="1" applyBorder="1">
      <alignment vertical="center"/>
    </xf>
    <xf numFmtId="0" fontId="0" fillId="18" borderId="106" xfId="0" applyFill="1" applyBorder="1">
      <alignment vertical="center"/>
    </xf>
    <xf numFmtId="2" fontId="0" fillId="18" borderId="81" xfId="0" applyNumberFormat="1" applyFill="1" applyBorder="1">
      <alignment vertical="center"/>
    </xf>
    <xf numFmtId="0" fontId="31" fillId="0" borderId="0" xfId="0" applyFont="1">
      <alignment vertical="center"/>
    </xf>
    <xf numFmtId="0" fontId="28" fillId="0" borderId="0" xfId="0" applyFont="1">
      <alignment vertical="center"/>
    </xf>
    <xf numFmtId="2" fontId="61" fillId="0" borderId="1" xfId="0" applyNumberFormat="1" applyFont="1" applyBorder="1" applyAlignment="1">
      <alignment horizontal="center" vertical="center"/>
    </xf>
    <xf numFmtId="2" fontId="27" fillId="0" borderId="1" xfId="0" applyNumberFormat="1" applyFont="1" applyBorder="1">
      <alignment vertical="center"/>
    </xf>
    <xf numFmtId="0" fontId="27" fillId="0" borderId="0" xfId="0" applyFont="1">
      <alignment vertical="center"/>
    </xf>
    <xf numFmtId="4" fontId="61" fillId="24" borderId="108" xfId="0" applyNumberFormat="1" applyFont="1" applyFill="1" applyBorder="1">
      <alignment vertical="center"/>
    </xf>
    <xf numFmtId="4" fontId="61" fillId="24" borderId="0" xfId="0" applyNumberFormat="1" applyFont="1" applyFill="1">
      <alignment vertical="center"/>
    </xf>
    <xf numFmtId="4" fontId="68" fillId="5" borderId="73" xfId="0" applyNumberFormat="1" applyFont="1" applyFill="1" applyBorder="1">
      <alignment vertical="center"/>
    </xf>
    <xf numFmtId="4" fontId="68" fillId="5" borderId="75" xfId="0" applyNumberFormat="1" applyFont="1" applyFill="1" applyBorder="1">
      <alignment vertical="center"/>
    </xf>
    <xf numFmtId="178" fontId="61" fillId="5" borderId="0" xfId="0" applyNumberFormat="1" applyFont="1" applyFill="1" applyAlignment="1">
      <alignment horizontal="center" vertical="center"/>
    </xf>
    <xf numFmtId="4" fontId="61" fillId="5" borderId="0" xfId="0" applyNumberFormat="1" applyFont="1" applyFill="1">
      <alignment vertical="center"/>
    </xf>
    <xf numFmtId="2" fontId="61" fillId="7" borderId="1" xfId="0" applyNumberFormat="1" applyFont="1" applyFill="1" applyBorder="1" applyAlignment="1">
      <alignment horizontal="center" vertical="center"/>
    </xf>
    <xf numFmtId="0" fontId="61" fillId="4" borderId="66" xfId="0" applyFont="1" applyFill="1" applyBorder="1" applyAlignment="1">
      <alignment horizontal="centerContinuous" vertical="center"/>
    </xf>
    <xf numFmtId="2" fontId="0" fillId="4" borderId="66" xfId="0" applyNumberFormat="1" applyFill="1" applyBorder="1" applyAlignment="1">
      <alignment horizontal="centerContinuous" vertical="center"/>
    </xf>
    <xf numFmtId="0" fontId="61" fillId="4" borderId="112" xfId="0" applyFont="1" applyFill="1" applyBorder="1" applyAlignment="1">
      <alignment horizontal="centerContinuous" vertical="center"/>
    </xf>
    <xf numFmtId="0" fontId="61" fillId="4" borderId="113" xfId="0" applyFont="1" applyFill="1" applyBorder="1" applyAlignment="1">
      <alignment horizontal="centerContinuous" vertical="center"/>
    </xf>
    <xf numFmtId="2" fontId="0" fillId="4" borderId="113" xfId="0" applyNumberFormat="1" applyFill="1" applyBorder="1" applyAlignment="1">
      <alignment horizontal="centerContinuous" vertical="center"/>
    </xf>
    <xf numFmtId="2" fontId="26" fillId="0" borderId="1" xfId="0" applyNumberFormat="1" applyFont="1" applyBorder="1">
      <alignment vertical="center"/>
    </xf>
    <xf numFmtId="0" fontId="25" fillId="0" borderId="0" xfId="0" applyFont="1">
      <alignment vertical="center"/>
    </xf>
    <xf numFmtId="2" fontId="24" fillId="0" borderId="1" xfId="0" applyNumberFormat="1" applyFont="1" applyBorder="1">
      <alignment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0" fontId="69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19" borderId="1" xfId="0" applyNumberForma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5" fontId="0" fillId="0" borderId="66" xfId="0" applyNumberFormat="1" applyBorder="1" applyAlignment="1">
      <alignment horizontal="center" vertical="center"/>
    </xf>
    <xf numFmtId="15" fontId="0" fillId="0" borderId="89" xfId="0" applyNumberFormat="1" applyBorder="1" applyAlignment="1">
      <alignment horizontal="center" vertical="center"/>
    </xf>
    <xf numFmtId="0" fontId="22" fillId="0" borderId="0" xfId="0" applyFont="1">
      <alignment vertical="center"/>
    </xf>
    <xf numFmtId="171" fontId="21" fillId="0" borderId="1" xfId="0" applyNumberFormat="1" applyFont="1" applyBorder="1">
      <alignment vertical="center"/>
    </xf>
    <xf numFmtId="2" fontId="20" fillId="0" borderId="1" xfId="0" applyNumberFormat="1" applyFont="1" applyBorder="1">
      <alignment vertical="center"/>
    </xf>
    <xf numFmtId="166" fontId="29" fillId="6" borderId="8" xfId="3" applyNumberFormat="1" applyFont="1" applyFill="1" applyBorder="1">
      <alignment vertical="center"/>
    </xf>
    <xf numFmtId="166" fontId="0" fillId="6" borderId="8" xfId="3" applyNumberFormat="1" applyFont="1" applyFill="1" applyBorder="1">
      <alignment vertical="center"/>
    </xf>
    <xf numFmtId="0" fontId="0" fillId="4" borderId="16" xfId="0" applyFill="1" applyBorder="1">
      <alignment vertical="center"/>
    </xf>
    <xf numFmtId="15" fontId="0" fillId="4" borderId="16" xfId="0" applyNumberFormat="1" applyFill="1" applyBorder="1">
      <alignment vertical="center"/>
    </xf>
    <xf numFmtId="171" fontId="0" fillId="4" borderId="16" xfId="0" applyNumberFormat="1" applyFill="1" applyBorder="1">
      <alignment vertical="center"/>
    </xf>
    <xf numFmtId="2" fontId="0" fillId="4" borderId="16" xfId="0" applyNumberFormat="1" applyFill="1" applyBorder="1">
      <alignment vertical="center"/>
    </xf>
    <xf numFmtId="165" fontId="0" fillId="4" borderId="16" xfId="1" applyFont="1" applyFill="1" applyBorder="1" applyAlignment="1">
      <alignment vertical="center"/>
    </xf>
    <xf numFmtId="165" fontId="0" fillId="4" borderId="16" xfId="1" applyFont="1" applyFill="1" applyBorder="1">
      <alignment vertical="center"/>
    </xf>
    <xf numFmtId="166" fontId="0" fillId="4" borderId="16" xfId="3" applyNumberFormat="1" applyFont="1" applyFill="1" applyBorder="1">
      <alignment vertical="center"/>
    </xf>
    <xf numFmtId="1" fontId="0" fillId="4" borderId="16" xfId="0" applyNumberFormat="1" applyFill="1" applyBorder="1" applyAlignment="1">
      <alignment horizontal="center" vertical="center"/>
    </xf>
    <xf numFmtId="15" fontId="0" fillId="4" borderId="18" xfId="0" applyNumberFormat="1" applyFill="1" applyBorder="1">
      <alignment vertical="center"/>
    </xf>
    <xf numFmtId="0" fontId="0" fillId="4" borderId="113" xfId="0" applyFill="1" applyBorder="1">
      <alignment vertical="center"/>
    </xf>
    <xf numFmtId="15" fontId="0" fillId="4" borderId="113" xfId="0" applyNumberFormat="1" applyFill="1" applyBorder="1">
      <alignment vertical="center"/>
    </xf>
    <xf numFmtId="171" fontId="0" fillId="4" borderId="113" xfId="0" applyNumberFormat="1" applyFill="1" applyBorder="1">
      <alignment vertical="center"/>
    </xf>
    <xf numFmtId="2" fontId="0" fillId="4" borderId="113" xfId="0" applyNumberFormat="1" applyFill="1" applyBorder="1">
      <alignment vertical="center"/>
    </xf>
    <xf numFmtId="165" fontId="0" fillId="4" borderId="113" xfId="1" applyFont="1" applyFill="1" applyBorder="1" applyAlignment="1">
      <alignment vertical="center"/>
    </xf>
    <xf numFmtId="165" fontId="0" fillId="4" borderId="113" xfId="1" applyFont="1" applyFill="1" applyBorder="1">
      <alignment vertical="center"/>
    </xf>
    <xf numFmtId="166" fontId="0" fillId="4" borderId="113" xfId="3" applyNumberFormat="1" applyFont="1" applyFill="1" applyBorder="1">
      <alignment vertical="center"/>
    </xf>
    <xf numFmtId="1" fontId="0" fillId="4" borderId="113" xfId="0" applyNumberFormat="1" applyFill="1" applyBorder="1" applyAlignment="1">
      <alignment horizontal="center" vertical="center"/>
    </xf>
    <xf numFmtId="15" fontId="0" fillId="4" borderId="114" xfId="0" applyNumberFormat="1" applyFill="1" applyBorder="1">
      <alignment vertical="center"/>
    </xf>
    <xf numFmtId="2" fontId="0" fillId="4" borderId="90" xfId="0" applyNumberFormat="1" applyFill="1" applyBorder="1" applyAlignment="1">
      <alignment horizontal="centerContinuous" vertical="center"/>
    </xf>
    <xf numFmtId="15" fontId="0" fillId="4" borderId="90" xfId="0" applyNumberFormat="1" applyFill="1" applyBorder="1" applyAlignment="1">
      <alignment horizontal="centerContinuous" vertical="center"/>
    </xf>
    <xf numFmtId="15" fontId="0" fillId="4" borderId="113" xfId="0" applyNumberFormat="1" applyFill="1" applyBorder="1" applyAlignment="1">
      <alignment horizontal="centerContinuous" vertical="center"/>
    </xf>
    <xf numFmtId="0" fontId="0" fillId="7" borderId="9" xfId="0" applyFill="1" applyBorder="1">
      <alignment vertical="center"/>
    </xf>
    <xf numFmtId="0" fontId="61" fillId="4" borderId="8" xfId="0" applyFont="1" applyFill="1" applyBorder="1">
      <alignment vertical="center"/>
    </xf>
    <xf numFmtId="0" fontId="61" fillId="4" borderId="9" xfId="0" applyFont="1" applyFill="1" applyBorder="1">
      <alignment vertical="center"/>
    </xf>
    <xf numFmtId="2" fontId="0" fillId="4" borderId="9" xfId="0" applyNumberFormat="1" applyFill="1" applyBorder="1">
      <alignment vertical="center"/>
    </xf>
    <xf numFmtId="15" fontId="0" fillId="4" borderId="9" xfId="0" applyNumberFormat="1" applyFill="1" applyBorder="1">
      <alignment vertical="center"/>
    </xf>
    <xf numFmtId="0" fontId="0" fillId="4" borderId="9" xfId="0" applyFill="1" applyBorder="1">
      <alignment vertical="center"/>
    </xf>
    <xf numFmtId="171" fontId="0" fillId="4" borderId="9" xfId="0" applyNumberFormat="1" applyFill="1" applyBorder="1">
      <alignment vertical="center"/>
    </xf>
    <xf numFmtId="165" fontId="0" fillId="4" borderId="9" xfId="1" applyFont="1" applyFill="1" applyBorder="1" applyAlignment="1">
      <alignment vertical="center"/>
    </xf>
    <xf numFmtId="165" fontId="0" fillId="4" borderId="9" xfId="1" applyFont="1" applyFill="1" applyBorder="1">
      <alignment vertical="center"/>
    </xf>
    <xf numFmtId="166" fontId="0" fillId="4" borderId="9" xfId="3" applyNumberFormat="1" applyFont="1" applyFill="1" applyBorder="1">
      <alignment vertical="center"/>
    </xf>
    <xf numFmtId="1" fontId="0" fillId="4" borderId="9" xfId="0" applyNumberFormat="1" applyFill="1" applyBorder="1" applyAlignment="1">
      <alignment horizontal="center" vertical="center"/>
    </xf>
    <xf numFmtId="15" fontId="0" fillId="4" borderId="10" xfId="0" applyNumberFormat="1" applyFill="1" applyBorder="1">
      <alignment vertical="center"/>
    </xf>
    <xf numFmtId="166" fontId="33" fillId="6" borderId="1" xfId="3" applyNumberFormat="1" applyFont="1" applyFill="1" applyBorder="1">
      <alignment vertical="center"/>
    </xf>
    <xf numFmtId="166" fontId="0" fillId="6" borderId="1" xfId="3" applyNumberFormat="1" applyFont="1" applyFill="1" applyBorder="1">
      <alignment vertical="center"/>
    </xf>
    <xf numFmtId="166" fontId="26" fillId="6" borderId="1" xfId="3" applyNumberFormat="1" applyFont="1" applyFill="1" applyBorder="1">
      <alignment vertical="center"/>
    </xf>
    <xf numFmtId="166" fontId="30" fillId="6" borderId="1" xfId="3" applyNumberFormat="1" applyFont="1" applyFill="1" applyBorder="1">
      <alignment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0" fontId="17" fillId="0" borderId="0" xfId="0" applyFont="1">
      <alignment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180" fontId="68" fillId="25" borderId="115" xfId="0" applyNumberFormat="1" applyFont="1" applyFill="1" applyBorder="1" applyAlignment="1">
      <alignment horizontal="center" vertical="center"/>
    </xf>
    <xf numFmtId="0" fontId="68" fillId="25" borderId="100" xfId="0" applyFont="1" applyFill="1" applyBorder="1" applyAlignment="1">
      <alignment horizontal="center" vertical="center"/>
    </xf>
    <xf numFmtId="0" fontId="68" fillId="25" borderId="116" xfId="0" applyFont="1" applyFill="1" applyBorder="1" applyAlignment="1">
      <alignment horizontal="center" vertical="center"/>
    </xf>
    <xf numFmtId="180" fontId="0" fillId="26" borderId="115" xfId="0" applyNumberFormat="1" applyFill="1" applyBorder="1" applyAlignment="1">
      <alignment horizontal="center" vertical="center"/>
    </xf>
    <xf numFmtId="0" fontId="0" fillId="26" borderId="100" xfId="0" applyFill="1" applyBorder="1" applyAlignment="1">
      <alignment horizontal="center" vertical="center"/>
    </xf>
    <xf numFmtId="0" fontId="14" fillId="26" borderId="116" xfId="0" applyFont="1" applyFill="1" applyBorder="1">
      <alignment vertical="center"/>
    </xf>
    <xf numFmtId="0" fontId="14" fillId="26" borderId="100" xfId="0" applyFont="1" applyFill="1" applyBorder="1">
      <alignment vertical="center"/>
    </xf>
    <xf numFmtId="11" fontId="14" fillId="26" borderId="100" xfId="0" quotePrefix="1" applyNumberFormat="1" applyFont="1" applyFill="1" applyBorder="1">
      <alignment vertical="center"/>
    </xf>
    <xf numFmtId="180" fontId="0" fillId="26" borderId="117" xfId="0" applyNumberFormat="1" applyFill="1" applyBorder="1" applyAlignment="1">
      <alignment horizontal="center" vertical="center"/>
    </xf>
    <xf numFmtId="0" fontId="0" fillId="26" borderId="118" xfId="0" applyFill="1" applyBorder="1">
      <alignment vertical="center"/>
    </xf>
    <xf numFmtId="0" fontId="0" fillId="26" borderId="118" xfId="0" applyFill="1" applyBorder="1" applyAlignment="1">
      <alignment horizontal="center" vertical="center"/>
    </xf>
    <xf numFmtId="0" fontId="14" fillId="26" borderId="119" xfId="0" applyFont="1" applyFill="1" applyBorder="1">
      <alignment vertical="center"/>
    </xf>
    <xf numFmtId="180" fontId="0" fillId="22" borderId="0" xfId="0" applyNumberFormat="1" applyFill="1" applyAlignment="1">
      <alignment horizontal="center" vertical="center"/>
    </xf>
    <xf numFmtId="0" fontId="0" fillId="22" borderId="0" xfId="0" applyFill="1">
      <alignment vertical="center"/>
    </xf>
    <xf numFmtId="0" fontId="0" fillId="22" borderId="0" xfId="0" applyFill="1" applyAlignment="1">
      <alignment horizontal="center" vertical="center"/>
    </xf>
    <xf numFmtId="0" fontId="13" fillId="26" borderId="100" xfId="0" applyFont="1" applyFill="1" applyBorder="1">
      <alignment vertical="center"/>
    </xf>
    <xf numFmtId="0" fontId="13" fillId="26" borderId="116" xfId="0" applyFont="1" applyFill="1" applyBorder="1">
      <alignment vertical="center"/>
    </xf>
    <xf numFmtId="11" fontId="13" fillId="26" borderId="100" xfId="0" quotePrefix="1" applyNumberFormat="1" applyFont="1" applyFill="1" applyBorder="1">
      <alignment vertical="center"/>
    </xf>
    <xf numFmtId="0" fontId="68" fillId="25" borderId="0" xfId="0" applyFont="1" applyFill="1" applyAlignment="1">
      <alignment horizontal="center" vertical="center"/>
    </xf>
    <xf numFmtId="0" fontId="13" fillId="26" borderId="0" xfId="0" applyFont="1" applyFill="1">
      <alignment vertical="center"/>
    </xf>
    <xf numFmtId="0" fontId="0" fillId="25" borderId="0" xfId="0" applyFill="1">
      <alignment vertical="center"/>
    </xf>
    <xf numFmtId="2" fontId="0" fillId="26" borderId="0" xfId="0" applyNumberFormat="1" applyFill="1">
      <alignment vertical="center"/>
    </xf>
    <xf numFmtId="16" fontId="61" fillId="7" borderId="0" xfId="0" applyNumberFormat="1" applyFont="1" applyFill="1">
      <alignment vertical="center"/>
    </xf>
    <xf numFmtId="0" fontId="0" fillId="20" borderId="81" xfId="0" applyFill="1" applyBorder="1" applyAlignment="1">
      <alignment horizontal="center" vertical="center"/>
    </xf>
    <xf numFmtId="0" fontId="0" fillId="20" borderId="81" xfId="0" applyFill="1" applyBorder="1">
      <alignment vertical="center"/>
    </xf>
    <xf numFmtId="0" fontId="13" fillId="0" borderId="1" xfId="0" applyFont="1" applyBorder="1" applyAlignment="1"/>
    <xf numFmtId="0" fontId="13" fillId="0" borderId="100" xfId="0" applyFont="1" applyBorder="1" applyAlignment="1"/>
    <xf numFmtId="0" fontId="13" fillId="0" borderId="120" xfId="0" quotePrefix="1" applyFont="1" applyBorder="1">
      <alignment vertical="center"/>
    </xf>
    <xf numFmtId="0" fontId="13" fillId="0" borderId="1" xfId="0" quotePrefix="1" applyFont="1" applyBorder="1" applyAlignment="1"/>
    <xf numFmtId="11" fontId="13" fillId="0" borderId="0" xfId="0" quotePrefix="1" applyNumberFormat="1" applyFont="1" applyAlignment="1"/>
    <xf numFmtId="0" fontId="12" fillId="26" borderId="100" xfId="0" applyFont="1" applyFill="1" applyBorder="1">
      <alignment vertical="center"/>
    </xf>
    <xf numFmtId="0" fontId="12" fillId="26" borderId="100" xfId="0" quotePrefix="1" applyFont="1" applyFill="1" applyBorder="1">
      <alignment vertical="center"/>
    </xf>
    <xf numFmtId="0" fontId="12" fillId="26" borderId="116" xfId="0" applyFont="1" applyFill="1" applyBorder="1">
      <alignment vertical="center"/>
    </xf>
    <xf numFmtId="11" fontId="12" fillId="26" borderId="100" xfId="0" quotePrefix="1" applyNumberFormat="1" applyFont="1" applyFill="1" applyBorder="1">
      <alignment vertical="center"/>
    </xf>
    <xf numFmtId="4" fontId="61" fillId="0" borderId="0" xfId="0" applyNumberFormat="1" applyFont="1">
      <alignment vertical="center"/>
    </xf>
    <xf numFmtId="0" fontId="11" fillId="26" borderId="100" xfId="0" applyFont="1" applyFill="1" applyBorder="1">
      <alignment vertical="center"/>
    </xf>
    <xf numFmtId="0" fontId="11" fillId="0" borderId="0" xfId="0" applyFont="1">
      <alignment vertical="center"/>
    </xf>
    <xf numFmtId="0" fontId="10" fillId="26" borderId="100" xfId="0" applyFont="1" applyFill="1" applyBorder="1">
      <alignment vertical="center"/>
    </xf>
    <xf numFmtId="0" fontId="10" fillId="26" borderId="116" xfId="0" applyFont="1" applyFill="1" applyBorder="1">
      <alignment vertical="center"/>
    </xf>
    <xf numFmtId="11" fontId="10" fillId="26" borderId="100" xfId="0" quotePrefix="1" applyNumberFormat="1" applyFont="1" applyFill="1" applyBorder="1">
      <alignment vertical="center"/>
    </xf>
    <xf numFmtId="0" fontId="9" fillId="26" borderId="100" xfId="0" applyFont="1" applyFill="1" applyBorder="1">
      <alignment vertical="center"/>
    </xf>
    <xf numFmtId="0" fontId="9" fillId="26" borderId="100" xfId="0" quotePrefix="1" applyFont="1" applyFill="1" applyBorder="1">
      <alignment vertical="center"/>
    </xf>
    <xf numFmtId="0" fontId="9" fillId="26" borderId="116" xfId="0" applyFont="1" applyFill="1" applyBorder="1">
      <alignment vertical="center"/>
    </xf>
    <xf numFmtId="0" fontId="8" fillId="26" borderId="100" xfId="0" applyFont="1" applyFill="1" applyBorder="1">
      <alignment vertical="center"/>
    </xf>
    <xf numFmtId="11" fontId="8" fillId="26" borderId="100" xfId="0" quotePrefix="1" applyNumberFormat="1" applyFont="1" applyFill="1" applyBorder="1">
      <alignment vertical="center"/>
    </xf>
    <xf numFmtId="0" fontId="8" fillId="26" borderId="116" xfId="0" applyFont="1" applyFill="1" applyBorder="1">
      <alignment vertical="center"/>
    </xf>
    <xf numFmtId="0" fontId="8" fillId="26" borderId="100" xfId="0" quotePrefix="1" applyFont="1" applyFill="1" applyBorder="1">
      <alignment vertical="center"/>
    </xf>
    <xf numFmtId="0" fontId="7" fillId="26" borderId="100" xfId="0" applyFont="1" applyFill="1" applyBorder="1">
      <alignment vertical="center"/>
    </xf>
    <xf numFmtId="11" fontId="7" fillId="26" borderId="100" xfId="0" quotePrefix="1" applyNumberFormat="1" applyFont="1" applyFill="1" applyBorder="1">
      <alignment vertical="center"/>
    </xf>
    <xf numFmtId="0" fontId="7" fillId="26" borderId="116" xfId="0" applyFont="1" applyFill="1" applyBorder="1">
      <alignment vertical="center"/>
    </xf>
    <xf numFmtId="0" fontId="6" fillId="26" borderId="100" xfId="0" applyFont="1" applyFill="1" applyBorder="1">
      <alignment vertical="center"/>
    </xf>
    <xf numFmtId="0" fontId="6" fillId="26" borderId="116" xfId="0" applyFont="1" applyFill="1" applyBorder="1">
      <alignment vertical="center"/>
    </xf>
    <xf numFmtId="0" fontId="5" fillId="26" borderId="100" xfId="0" applyFont="1" applyFill="1" applyBorder="1">
      <alignment vertical="center"/>
    </xf>
    <xf numFmtId="0" fontId="5" fillId="26" borderId="116" xfId="0" applyFont="1" applyFill="1" applyBorder="1">
      <alignment vertical="center"/>
    </xf>
    <xf numFmtId="0" fontId="5" fillId="0" borderId="0" xfId="0" applyFont="1">
      <alignment vertical="center"/>
    </xf>
    <xf numFmtId="3" fontId="61" fillId="24" borderId="108" xfId="0" applyNumberFormat="1" applyFont="1" applyFill="1" applyBorder="1">
      <alignment vertical="center"/>
    </xf>
    <xf numFmtId="3" fontId="61" fillId="24" borderId="0" xfId="0" applyNumberFormat="1" applyFont="1" applyFill="1">
      <alignment vertical="center"/>
    </xf>
    <xf numFmtId="3" fontId="68" fillId="5" borderId="73" xfId="0" applyNumberFormat="1" applyFont="1" applyFill="1" applyBorder="1">
      <alignment vertical="center"/>
    </xf>
    <xf numFmtId="3" fontId="68" fillId="5" borderId="75" xfId="0" applyNumberFormat="1" applyFont="1" applyFill="1" applyBorder="1">
      <alignment vertical="center"/>
    </xf>
    <xf numFmtId="3" fontId="61" fillId="5" borderId="0" xfId="0" applyNumberFormat="1" applyFont="1" applyFill="1" applyAlignment="1">
      <alignment horizontal="center" vertical="center"/>
    </xf>
    <xf numFmtId="3" fontId="61" fillId="5" borderId="0" xfId="0" applyNumberFormat="1" applyFont="1" applyFill="1">
      <alignment vertical="center"/>
    </xf>
    <xf numFmtId="0" fontId="4" fillId="26" borderId="100" xfId="0" applyFont="1" applyFill="1" applyBorder="1">
      <alignment vertical="center"/>
    </xf>
    <xf numFmtId="0" fontId="4" fillId="26" borderId="116" xfId="0" applyFont="1" applyFill="1" applyBorder="1">
      <alignment vertical="center"/>
    </xf>
    <xf numFmtId="11" fontId="4" fillId="26" borderId="100" xfId="0" quotePrefix="1" applyNumberFormat="1" applyFont="1" applyFill="1" applyBorder="1">
      <alignment vertical="center"/>
    </xf>
    <xf numFmtId="0" fontId="3" fillId="0" borderId="0" xfId="0" applyFont="1">
      <alignment vertical="center"/>
    </xf>
    <xf numFmtId="11" fontId="73" fillId="19" borderId="75" xfId="0" applyNumberFormat="1" applyFont="1" applyFill="1" applyBorder="1">
      <alignment vertical="center"/>
    </xf>
    <xf numFmtId="0" fontId="2" fillId="26" borderId="100" xfId="0" applyFont="1" applyFill="1" applyBorder="1">
      <alignment vertical="center"/>
    </xf>
    <xf numFmtId="0" fontId="2" fillId="26" borderId="116" xfId="0" applyFont="1" applyFill="1" applyBorder="1">
      <alignment vertical="center"/>
    </xf>
    <xf numFmtId="11" fontId="2" fillId="26" borderId="100" xfId="0" quotePrefix="1" applyNumberFormat="1" applyFont="1" applyFill="1" applyBorder="1">
      <alignment vertical="center"/>
    </xf>
    <xf numFmtId="0" fontId="2" fillId="0" borderId="0" xfId="0" applyFont="1">
      <alignment vertical="center"/>
    </xf>
    <xf numFmtId="0" fontId="1" fillId="26" borderId="100" xfId="0" applyFont="1" applyFill="1" applyBorder="1">
      <alignment vertical="center"/>
    </xf>
    <xf numFmtId="0" fontId="1" fillId="26" borderId="116" xfId="0" applyFont="1" applyFill="1" applyBorder="1">
      <alignment vertical="center"/>
    </xf>
    <xf numFmtId="0" fontId="1" fillId="26" borderId="100" xfId="0" quotePrefix="1" applyFont="1" applyFill="1" applyBorder="1">
      <alignment vertical="center"/>
    </xf>
    <xf numFmtId="11" fontId="1" fillId="26" borderId="100" xfId="0" quotePrefix="1" applyNumberFormat="1" applyFont="1" applyFill="1" applyBorder="1">
      <alignment vertical="center"/>
    </xf>
    <xf numFmtId="0" fontId="1" fillId="0" borderId="0" xfId="0" applyFont="1">
      <alignment vertical="center"/>
    </xf>
    <xf numFmtId="0" fontId="63" fillId="9" borderId="20" xfId="0" applyFont="1" applyFill="1" applyBorder="1" applyAlignment="1">
      <alignment horizontal="center" vertical="center"/>
    </xf>
    <xf numFmtId="0" fontId="63" fillId="9" borderId="21" xfId="0" applyFont="1" applyFill="1" applyBorder="1" applyAlignment="1">
      <alignment horizontal="center" vertical="center"/>
    </xf>
    <xf numFmtId="0" fontId="61" fillId="10" borderId="20" xfId="0" applyFont="1" applyFill="1" applyBorder="1" applyAlignment="1">
      <alignment horizontal="center" vertical="center"/>
    </xf>
    <xf numFmtId="0" fontId="61" fillId="10" borderId="21" xfId="0" applyFont="1" applyFill="1" applyBorder="1" applyAlignment="1">
      <alignment horizontal="center" vertical="center"/>
    </xf>
    <xf numFmtId="0" fontId="61" fillId="10" borderId="26" xfId="0" applyFont="1" applyFill="1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65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75" fillId="5" borderId="0" xfId="0" applyFont="1" applyFill="1" applyAlignment="1">
      <alignment horizontal="center" vertical="center"/>
    </xf>
    <xf numFmtId="2" fontId="0" fillId="16" borderId="0" xfId="0" applyNumberFormat="1" applyFill="1" applyAlignment="1">
      <alignment horizontal="center" vertical="center"/>
    </xf>
    <xf numFmtId="2" fontId="0" fillId="17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2" fillId="3" borderId="2" xfId="0" applyFont="1" applyFill="1" applyBorder="1" applyAlignment="1">
      <alignment horizontal="center" vertical="center"/>
    </xf>
    <xf numFmtId="0" fontId="62" fillId="3" borderId="3" xfId="0" applyFont="1" applyFill="1" applyBorder="1" applyAlignment="1">
      <alignment horizontal="center" vertical="center"/>
    </xf>
    <xf numFmtId="0" fontId="62" fillId="3" borderId="4" xfId="0" applyFont="1" applyFill="1" applyBorder="1" applyAlignment="1">
      <alignment horizontal="center" vertical="center"/>
    </xf>
    <xf numFmtId="0" fontId="91" fillId="20" borderId="80" xfId="0" applyFont="1" applyFill="1" applyBorder="1" applyAlignment="1">
      <alignment horizontal="center" vertical="center"/>
    </xf>
    <xf numFmtId="0" fontId="91" fillId="20" borderId="81" xfId="0" applyFont="1" applyFill="1" applyBorder="1" applyAlignment="1">
      <alignment horizontal="center" vertical="center"/>
    </xf>
    <xf numFmtId="0" fontId="91" fillId="20" borderId="81" xfId="0" applyFont="1" applyFill="1" applyBorder="1" applyAlignment="1">
      <alignment horizontal="center" vertical="center" wrapText="1"/>
    </xf>
    <xf numFmtId="0" fontId="91" fillId="20" borderId="82" xfId="0" applyFont="1" applyFill="1" applyBorder="1" applyAlignment="1">
      <alignment horizontal="center" vertical="center"/>
    </xf>
    <xf numFmtId="0" fontId="73" fillId="4" borderId="68" xfId="0" applyFont="1" applyFill="1" applyBorder="1" applyAlignment="1">
      <alignment horizontal="center" vertical="center"/>
    </xf>
    <xf numFmtId="0" fontId="73" fillId="4" borderId="70" xfId="0" applyFont="1" applyFill="1" applyBorder="1" applyAlignment="1">
      <alignment horizontal="center" vertical="center"/>
    </xf>
    <xf numFmtId="178" fontId="73" fillId="4" borderId="67" xfId="0" applyNumberFormat="1" applyFont="1" applyFill="1" applyBorder="1" applyAlignment="1">
      <alignment horizontal="center" vertical="center"/>
    </xf>
    <xf numFmtId="178" fontId="73" fillId="4" borderId="69" xfId="0" applyNumberFormat="1" applyFont="1" applyFill="1" applyBorder="1" applyAlignment="1">
      <alignment horizontal="center" vertical="center"/>
    </xf>
    <xf numFmtId="9" fontId="73" fillId="4" borderId="68" xfId="3" applyFont="1" applyFill="1" applyBorder="1" applyAlignment="1">
      <alignment horizontal="center" vertical="center"/>
    </xf>
    <xf numFmtId="9" fontId="73" fillId="4" borderId="70" xfId="3" applyFont="1" applyFill="1" applyBorder="1" applyAlignment="1">
      <alignment horizontal="center" vertical="center"/>
    </xf>
    <xf numFmtId="4" fontId="68" fillId="4" borderId="68" xfId="0" applyNumberFormat="1" applyFont="1" applyFill="1" applyBorder="1" applyAlignment="1">
      <alignment horizontal="center" vertical="center"/>
    </xf>
    <xf numFmtId="4" fontId="68" fillId="4" borderId="70" xfId="0" applyNumberFormat="1" applyFont="1" applyFill="1" applyBorder="1" applyAlignment="1">
      <alignment horizontal="center" vertical="center"/>
    </xf>
    <xf numFmtId="4" fontId="73" fillId="4" borderId="68" xfId="0" applyNumberFormat="1" applyFont="1" applyFill="1" applyBorder="1" applyAlignment="1">
      <alignment horizontal="center" vertical="center"/>
    </xf>
    <xf numFmtId="4" fontId="73" fillId="4" borderId="70" xfId="0" applyNumberFormat="1" applyFont="1" applyFill="1" applyBorder="1" applyAlignment="1">
      <alignment horizontal="center" vertical="center"/>
    </xf>
    <xf numFmtId="3" fontId="68" fillId="4" borderId="68" xfId="0" applyNumberFormat="1" applyFont="1" applyFill="1" applyBorder="1" applyAlignment="1">
      <alignment horizontal="center" vertical="center"/>
    </xf>
    <xf numFmtId="3" fontId="68" fillId="4" borderId="70" xfId="0" applyNumberFormat="1" applyFont="1" applyFill="1" applyBorder="1" applyAlignment="1">
      <alignment horizontal="center" vertical="center"/>
    </xf>
  </cellXfs>
  <cellStyles count="12">
    <cellStyle name="_ET_STYLE_NoName_00_" xfId="4" xr:uid="{00000000-0005-0000-0000-000006000000}"/>
    <cellStyle name="_ET_STYLE_NoName_00_ 2" xfId="8" xr:uid="{00000000-0005-0000-0000-000035000000}"/>
    <cellStyle name="Comma" xfId="1" builtinId="3"/>
    <cellStyle name="Comma [0]" xfId="2" builtinId="6"/>
    <cellStyle name="Comma 2" xfId="9" xr:uid="{00000000-0005-0000-0000-000036000000}"/>
    <cellStyle name="Comma 3" xfId="10" xr:uid="{00000000-0005-0000-0000-000037000000}"/>
    <cellStyle name="Comma 4" xfId="11" xr:uid="{00000000-0005-0000-0000-000038000000}"/>
    <cellStyle name="Normal" xfId="0" builtinId="0"/>
    <cellStyle name="Normal 2" xfId="6" xr:uid="{00000000-0005-0000-0000-000022000000}"/>
    <cellStyle name="Normal 3" xfId="7" xr:uid="{00000000-0005-0000-0000-000027000000}"/>
    <cellStyle name="Normal 4" xfId="5" xr:uid="{00000000-0005-0000-0000-000017000000}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Drop" dropStyle="combo" dx="22" fmlaLink="$AB$8" fmlaRange="$AA$8:$AA$14" noThreeD="1" sel="3" val="0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7.sv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144145</xdr:colOff>
      <xdr:row>1</xdr:row>
      <xdr:rowOff>152400</xdr:rowOff>
    </xdr:from>
    <xdr:to>
      <xdr:col>12</xdr:col>
      <xdr:colOff>155575</xdr:colOff>
      <xdr:row>23</xdr:row>
      <xdr:rowOff>58420</xdr:rowOff>
    </xdr:to>
    <xdr:sp macro="" textlink="">
      <xdr:nvSpPr>
        <xdr:cNvPr id="10" name="Round Diagonal Corner 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25120" y="352425"/>
          <a:ext cx="3973830" cy="4306570"/>
        </a:xfrm>
        <a:prstGeom prst="round2DiagRect">
          <a:avLst/>
        </a:prstGeom>
        <a:noFill/>
        <a:ln w="57150">
          <a:solidFill>
            <a:schemeClr val="accent1">
              <a:lumMod val="50000"/>
            </a:schemeClr>
          </a:solidFill>
          <a:prstDash val="solid"/>
        </a:ln>
        <a:effectLst>
          <a:glow rad="101600">
            <a:schemeClr val="accent5">
              <a:satMod val="175000"/>
              <a:alpha val="40000"/>
            </a:schemeClr>
          </a:glow>
        </a:effectLst>
        <a:scene3d>
          <a:camera prst="obliqueTopRight"/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105410</xdr:colOff>
      <xdr:row>4</xdr:row>
      <xdr:rowOff>0</xdr:rowOff>
    </xdr:from>
    <xdr:to>
      <xdr:col>12</xdr:col>
      <xdr:colOff>18415</xdr:colOff>
      <xdr:row>6</xdr:row>
      <xdr:rowOff>38100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67360" y="810260"/>
          <a:ext cx="3694430" cy="44323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78105</xdr:colOff>
      <xdr:row>9</xdr:row>
      <xdr:rowOff>31115</xdr:rowOff>
    </xdr:from>
    <xdr:to>
      <xdr:col>11</xdr:col>
      <xdr:colOff>126365</xdr:colOff>
      <xdr:row>21</xdr:row>
      <xdr:rowOff>201930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0055" y="1854200"/>
          <a:ext cx="3429635" cy="2601595"/>
        </a:xfrm>
        <a:prstGeom prst="roundRect">
          <a:avLst/>
        </a:prstGeom>
        <a:noFill/>
        <a:ln w="38100"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240030</xdr:colOff>
      <xdr:row>6</xdr:row>
      <xdr:rowOff>156210</xdr:rowOff>
    </xdr:from>
    <xdr:to>
      <xdr:col>10</xdr:col>
      <xdr:colOff>85090</xdr:colOff>
      <xdr:row>8</xdr:row>
      <xdr:rowOff>58420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25955" y="1371600"/>
          <a:ext cx="1645285" cy="307340"/>
        </a:xfrm>
        <a:prstGeom prst="fram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107156</xdr:colOff>
      <xdr:row>3</xdr:row>
      <xdr:rowOff>6932</xdr:rowOff>
    </xdr:from>
    <xdr:to>
      <xdr:col>21</xdr:col>
      <xdr:colOff>130969</xdr:colOff>
      <xdr:row>11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75FF7-D096-50A6-E932-6CFB1E24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8156" y="387932"/>
          <a:ext cx="1226344" cy="1414675"/>
        </a:xfrm>
        <a:prstGeom prst="rect">
          <a:avLst/>
        </a:prstGeom>
      </xdr:spPr>
    </xdr:pic>
    <xdr:clientData/>
  </xdr:twoCellAnchor>
  <xdr:twoCellAnchor editAs="oneCell">
    <xdr:from>
      <xdr:col>29</xdr:col>
      <xdr:colOff>83343</xdr:colOff>
      <xdr:row>6</xdr:row>
      <xdr:rowOff>166689</xdr:rowOff>
    </xdr:from>
    <xdr:to>
      <xdr:col>29</xdr:col>
      <xdr:colOff>1095375</xdr:colOff>
      <xdr:row>12</xdr:row>
      <xdr:rowOff>30339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114DA-44AD-4508-9D95-9BEB54BA1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277" t="11111" r="7694" b="16667"/>
        <a:stretch>
          <a:fillRect/>
        </a:stretch>
      </xdr:blipFill>
      <xdr:spPr>
        <a:xfrm>
          <a:off x="14477999" y="1119189"/>
          <a:ext cx="1012032" cy="7447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19250</xdr:colOff>
      <xdr:row>1</xdr:row>
      <xdr:rowOff>9526</xdr:rowOff>
    </xdr:from>
    <xdr:to>
      <xdr:col>7</xdr:col>
      <xdr:colOff>606128</xdr:colOff>
      <xdr:row>23</xdr:row>
      <xdr:rowOff>171450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3D295F-594B-9EB8-A16E-59E4795E5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650" y="95251"/>
          <a:ext cx="1225053" cy="4429124"/>
        </a:xfrm>
        <a:prstGeom prst="rect">
          <a:avLst/>
        </a:prstGeom>
      </xdr:spPr>
    </xdr:pic>
    <xdr:clientData/>
  </xdr:twoCellAnchor>
  <xdr:twoCellAnchor>
    <xdr:from>
      <xdr:col>9</xdr:col>
      <xdr:colOff>371476</xdr:colOff>
      <xdr:row>3</xdr:row>
      <xdr:rowOff>57150</xdr:rowOff>
    </xdr:from>
    <xdr:to>
      <xdr:col>18</xdr:col>
      <xdr:colOff>276226</xdr:colOff>
      <xdr:row>5</xdr:row>
      <xdr:rowOff>133350</xdr:rowOff>
    </xdr:to>
    <xdr:sp macro="" textlink="">
      <xdr:nvSpPr>
        <xdr:cNvPr id="6" name="Rectangle: Top Corners Rounded 5">
          <a:extLst>
            <a:ext uri="{FF2B5EF4-FFF2-40B4-BE49-F238E27FC236}">
              <a16:creationId xmlns:a16="http://schemas.microsoft.com/office/drawing/2014/main" id="{3DF71CB1-616B-F331-B552-DBA37577EC2D}"/>
            </a:ext>
          </a:extLst>
        </xdr:cNvPr>
        <xdr:cNvSpPr/>
      </xdr:nvSpPr>
      <xdr:spPr>
        <a:xfrm>
          <a:off x="6248401" y="523875"/>
          <a:ext cx="5124450" cy="457200"/>
        </a:xfrm>
        <a:prstGeom prst="round2Same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0</xdr:colOff>
      <xdr:row>5</xdr:row>
      <xdr:rowOff>190499</xdr:rowOff>
    </xdr:from>
    <xdr:to>
      <xdr:col>19</xdr:col>
      <xdr:colOff>19050</xdr:colOff>
      <xdr:row>21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10C57DA-7694-3AC7-F71B-307E5C03F286}"/>
            </a:ext>
          </a:extLst>
        </xdr:cNvPr>
        <xdr:cNvSpPr/>
      </xdr:nvSpPr>
      <xdr:spPr>
        <a:xfrm>
          <a:off x="4762500" y="1038224"/>
          <a:ext cx="6457950" cy="2933701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6</xdr:row>
          <xdr:rowOff>22860</xdr:rowOff>
        </xdr:from>
        <xdr:to>
          <xdr:col>7</xdr:col>
          <xdr:colOff>464820</xdr:colOff>
          <xdr:row>7</xdr:row>
          <xdr:rowOff>30480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0</xdr:colOff>
      <xdr:row>3</xdr:row>
      <xdr:rowOff>38100</xdr:rowOff>
    </xdr:from>
    <xdr:to>
      <xdr:col>18</xdr:col>
      <xdr:colOff>533400</xdr:colOff>
      <xdr:row>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E8F163-9847-141A-8BFC-BEA842D92BD5}"/>
            </a:ext>
          </a:extLst>
        </xdr:cNvPr>
        <xdr:cNvSpPr txBox="1"/>
      </xdr:nvSpPr>
      <xdr:spPr>
        <a:xfrm>
          <a:off x="4762500" y="504825"/>
          <a:ext cx="63627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200" b="1">
              <a:solidFill>
                <a:schemeClr val="bg1"/>
              </a:solidFill>
            </a:rPr>
            <a:t>Monitor Persentase Kelas Bibit Real Tanam Nanas PG1 </a:t>
          </a:r>
        </a:p>
      </xdr:txBody>
    </xdr:sp>
    <xdr:clientData/>
  </xdr:twoCellAnchor>
  <xdr:twoCellAnchor editAs="oneCell">
    <xdr:from>
      <xdr:col>6</xdr:col>
      <xdr:colOff>57150</xdr:colOff>
      <xdr:row>1</xdr:row>
      <xdr:rowOff>19050</xdr:rowOff>
    </xdr:from>
    <xdr:to>
      <xdr:col>7</xdr:col>
      <xdr:colOff>57150</xdr:colOff>
      <xdr:row>2</xdr:row>
      <xdr:rowOff>178257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9384DC-00AE-40AD-99A8-DAE9E2C34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104775"/>
          <a:ext cx="638175" cy="349707"/>
        </a:xfrm>
        <a:prstGeom prst="rect">
          <a:avLst/>
        </a:prstGeom>
        <a:effectLst>
          <a:outerShdw blurRad="50800" dist="38100" dir="36000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11431</xdr:colOff>
      <xdr:row>2</xdr:row>
      <xdr:rowOff>28575</xdr:rowOff>
    </xdr:from>
    <xdr:to>
      <xdr:col>4</xdr:col>
      <xdr:colOff>142875</xdr:colOff>
      <xdr:row>4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2B0065-C788-7B09-8EE1-FD863852C119}"/>
            </a:ext>
          </a:extLst>
        </xdr:cNvPr>
        <xdr:cNvSpPr txBox="1"/>
      </xdr:nvSpPr>
      <xdr:spPr>
        <a:xfrm>
          <a:off x="182881" y="133350"/>
          <a:ext cx="2474594" cy="2381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D" sz="1100" b="1">
              <a:solidFill>
                <a:schemeClr val="bg1"/>
              </a:solidFill>
            </a:rPr>
            <a:t>Input</a:t>
          </a:r>
          <a:r>
            <a:rPr lang="en-ID" sz="1100" b="1" baseline="0">
              <a:solidFill>
                <a:schemeClr val="bg1"/>
              </a:solidFill>
            </a:rPr>
            <a:t> Real Tanam &amp; Petik Bibit Nanas </a:t>
          </a:r>
          <a:endParaRPr lang="en-ID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17</xdr:col>
      <xdr:colOff>180975</xdr:colOff>
      <xdr:row>1</xdr:row>
      <xdr:rowOff>9526</xdr:rowOff>
    </xdr:from>
    <xdr:to>
      <xdr:col>17</xdr:col>
      <xdr:colOff>752475</xdr:colOff>
      <xdr:row>4</xdr:row>
      <xdr:rowOff>38019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9A5C89D-58F2-42D7-8F73-89A63A70D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6775" y="9526"/>
          <a:ext cx="571500" cy="342818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123825</xdr:rowOff>
    </xdr:from>
    <xdr:to>
      <xdr:col>1</xdr:col>
      <xdr:colOff>371475</xdr:colOff>
      <xdr:row>2</xdr:row>
      <xdr:rowOff>180975</xdr:rowOff>
    </xdr:to>
    <xdr:pic>
      <xdr:nvPicPr>
        <xdr:cNvPr id="3" name="Graphic 2" descr="Daily calendar outline">
          <a:extLst>
            <a:ext uri="{FF2B5EF4-FFF2-40B4-BE49-F238E27FC236}">
              <a16:creationId xmlns:a16="http://schemas.microsoft.com/office/drawing/2014/main" id="{F90D90C2-7601-9D72-4DD0-A8B4D90CF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925" y="123825"/>
          <a:ext cx="438150" cy="438150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1</xdr:row>
      <xdr:rowOff>76200</xdr:rowOff>
    </xdr:from>
    <xdr:to>
      <xdr:col>2</xdr:col>
      <xdr:colOff>381000</xdr:colOff>
      <xdr:row>3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F59B3F-10CD-7A00-9772-679C15F413AC}"/>
            </a:ext>
          </a:extLst>
        </xdr:cNvPr>
        <xdr:cNvSpPr txBox="1"/>
      </xdr:nvSpPr>
      <xdr:spPr>
        <a:xfrm>
          <a:off x="904875" y="266700"/>
          <a:ext cx="6953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>
              <a:solidFill>
                <a:srgbClr val="FF0000"/>
              </a:solidFill>
            </a:rPr>
            <a:t>Update :</a:t>
          </a:r>
        </a:p>
      </xdr:txBody>
    </xdr:sp>
    <xdr:clientData/>
  </xdr:twoCellAnchor>
  <xdr:twoCellAnchor>
    <xdr:from>
      <xdr:col>2</xdr:col>
      <xdr:colOff>247650</xdr:colOff>
      <xdr:row>1</xdr:row>
      <xdr:rowOff>76200</xdr:rowOff>
    </xdr:from>
    <xdr:to>
      <xdr:col>3</xdr:col>
      <xdr:colOff>333375</xdr:colOff>
      <xdr:row>3</xdr:row>
      <xdr:rowOff>38100</xdr:rowOff>
    </xdr:to>
    <xdr:sp macro="" textlink="$A$1">
      <xdr:nvSpPr>
        <xdr:cNvPr id="5" name="TextBox 4">
          <a:extLst>
            <a:ext uri="{FF2B5EF4-FFF2-40B4-BE49-F238E27FC236}">
              <a16:creationId xmlns:a16="http://schemas.microsoft.com/office/drawing/2014/main" id="{89DC5D1A-EA0B-5025-C17C-C3C3BCB1E579}"/>
            </a:ext>
          </a:extLst>
        </xdr:cNvPr>
        <xdr:cNvSpPr txBox="1"/>
      </xdr:nvSpPr>
      <xdr:spPr>
        <a:xfrm>
          <a:off x="1466850" y="266700"/>
          <a:ext cx="6953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E648C6B-23AD-481B-855D-6934831EAD80}" type="TxLink">
            <a:rPr lang="en-US" sz="11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26-Aug</a:t>
          </a:fld>
          <a:endParaRPr lang="en-ID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6</xdr:col>
      <xdr:colOff>914400</xdr:colOff>
      <xdr:row>0</xdr:row>
      <xdr:rowOff>66675</xdr:rowOff>
    </xdr:from>
    <xdr:to>
      <xdr:col>6</xdr:col>
      <xdr:colOff>1585278</xdr:colOff>
      <xdr:row>2</xdr:row>
      <xdr:rowOff>88106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A55F994F-7440-40B5-932C-CEE6F9066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91075" y="66675"/>
          <a:ext cx="670878" cy="402431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gfworkplace-my.sharepoint.com/Kerja/2022/6.%20Juni%202022/Schedule%202022%20Upda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gfworkplace-my.sharepoint.com/personal/aan_setiawan_gg-foods_com/Documents/Documents/Data%20Baru/Labita%20PG1/Daily/Bank%20Tanah%20Nanas%20s.d%2019%20agustus%202026.xlsx" TargetMode="External"/><Relationship Id="rId1" Type="http://schemas.openxmlformats.org/officeDocument/2006/relationships/externalLinkPath" Target="https://ggfworkplace-my.sharepoint.com/personal/aan_setiawan_gg-foods_com/Documents/Documents/Data%20Baru/Labita%20PG1/Daily/Bank%20Tanah%20Nanas%20s.d%2019%20agustus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.Setiawan\Downloads\Monitor%20Real%20Tanam%20Nanas%20Produksi%20sd%2012%20Okt%20'2026.xlsx" TargetMode="External"/><Relationship Id="rId1" Type="http://schemas.openxmlformats.org/officeDocument/2006/relationships/externalLinkPath" Target="file:///C:\Users\Aan.Setiawan\Downloads\Monitor%20Real%20Tanam%20Nanas%20Produksi%20sd%2012%20Okt%20'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gfworkplace-my.sharepoint.com/personal/aan_setiawan_gg-foods_com/Documents/Documents/Data%20Baru/Labita%20PG1/Daily/Bank%20Tanah%20Nanas%20s.d%2018%20agustus%202026.xlsx" TargetMode="External"/><Relationship Id="rId1" Type="http://schemas.openxmlformats.org/officeDocument/2006/relationships/externalLinkPath" Target="https://ggfworkplace-my.sharepoint.com/personal/aan_setiawan_gg-foods_com/Documents/Documents/Data%20Baru/Labita%20PG1/Daily/Bank%20Tanah%20Nanas%20s.d%2018%20agustus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gfworkplace-my.sharepoint.com/personal/aan_setiawan_gg-foods_com/Documents/Documents/Data%20Baru/Labita%20PG1/Daily/Bank%20Tanah%20Nanas%20s.d%2014%20September%202026.xlsx" TargetMode="External"/><Relationship Id="rId1" Type="http://schemas.openxmlformats.org/officeDocument/2006/relationships/externalLinkPath" Target="https://ggfworkplace-my.sharepoint.com/personal/aan_setiawan_gg-foods_com/Documents/Documents/Data%20Baru/Labita%20PG1/Daily/Bank%20Tanah%20Nanas%20s.d%2014%20September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gfworkplace-my.sharepoint.com/personal/aan_setiawan_gg-foods_com/Documents/Documents/Data%20Baru/Labita%20PG1/Daily/Bank%20Tanah%20Nanas%20s.d%2007%20September%202026.xlsx" TargetMode="External"/><Relationship Id="rId1" Type="http://schemas.openxmlformats.org/officeDocument/2006/relationships/externalLinkPath" Target="https://ggfworkplace-my.sharepoint.com/personal/aan_setiawan_gg-foods_com/Documents/Documents/Data%20Baru/Labita%20PG1/Daily/Bank%20Tanah%20Nanas%20s.d%2007%20September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gfworkplace-my.sharepoint.com/Kerja/RTN/2021/06-2021/RTN%20s.d%2030%20Juni%20202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gfworkplace-my.sharepoint.com/1.%20KERJA%20TONI/1.%20Toni%20Kerja%20Baru/1.%20Daily/2.%20Monitor%20Labita/1.%20Labita/2023/09-2023/Bank%20Tanah%20Nanas%20s.d%2001%20Sept'2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gfworkplace-my.sharepoint.com/Users/Randha.kentama/Downloads/Monitor%20Siap%20Nanas%20Updat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KERJA%20TONI\1.%20Toni%20Kerja%20Baru\1.%20Daily\2.%20Monitor%20Labita\1.%20Labita\2024\08-2024\Bank%20Tanah%20Nanas%20s.d%2002%20Ags'24.xls" TargetMode="External"/><Relationship Id="rId1" Type="http://schemas.openxmlformats.org/officeDocument/2006/relationships/externalLinkPath" Target="https://ggfworkplace-my.sharepoint.com/1.%20KERJA%20TONI/1.%20Toni%20Kerja%20Baru/1.%20Daily/2.%20Monitor%20Labita/1.%20Labita/2024/08-2024/Bank%20Tanah%20Nanas%20s.d%2002%20Ags'24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ndha.kentama\Downloads\Monitor%20Real%20Tanam%20Nanas%20Produksi%20sd%2031%20Jan%20'2025%20(1).xlsx" TargetMode="External"/><Relationship Id="rId1" Type="http://schemas.openxmlformats.org/officeDocument/2006/relationships/externalLinkPath" Target="file:///C:\Users\randha.kentama\Downloads\Monitor%20Real%20Tanam%20Nanas%20Produksi%20sd%2031%20Jan%20'2025%20(1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ni.yusuf\Downloads\Monitor%20Real%20Tanam%20Nanas%20Produksi%20sd%2031%20Jan%20'2026.xlsx" TargetMode="External"/><Relationship Id="rId1" Type="http://schemas.openxmlformats.org/officeDocument/2006/relationships/externalLinkPath" Target="file:///C:\Users\toni.yusuf\Downloads\Monitor%20Real%20Tanam%20Nanas%20Produksi%20sd%2031%20Jan%20'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ni.yusuf\Downloads\Monitor%20Real%20Tanam%20Nanas%20Produksi%20sd%2011%20Des.%20'2025%20(BARAT).xlsx" TargetMode="External"/><Relationship Id="rId1" Type="http://schemas.openxmlformats.org/officeDocument/2006/relationships/externalLinkPath" Target="file:///C:\Users\toni.yusuf\Downloads\Monitor%20Real%20Tanam%20Nanas%20Produksi%20sd%2011%20Des.%20'2025%20(BARAT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gfworkplace-my.sharepoint.com/personal/aan_setiawan_gg-foods_com/Documents/Documents/Data%20Baru/Labita%20PG1/Daily/Bank%20Tanah%20Nanas%20s.d%2021%20agustus%202026.xlsx" TargetMode="External"/><Relationship Id="rId1" Type="http://schemas.openxmlformats.org/officeDocument/2006/relationships/externalLinkPath" Target="https://ggfworkplace-my.sharepoint.com/personal/aan_setiawan_gg-foods_com/Documents/Documents/Data%20Baru/Labita%20PG1/Daily/Bank%20Tanah%20Nanas%20s.d%2021%20agustus%20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gfworkplace-my.sharepoint.com/Kerja/2021/6.%20Juni%202021/Monitor%20Labita%20Harian/Form%20Monitor%20Rencana%20&amp;%20Realisasi%20Labita_ok-16%20Juni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.Setiawan\Downloads\Monitor%20Real%20Tanam%20Nanas%20Produksi%20sd%2007%20Sept%20'2026REV.xlsx" TargetMode="External"/><Relationship Id="rId1" Type="http://schemas.openxmlformats.org/officeDocument/2006/relationships/externalLinkPath" Target="file:///C:\Users\Aan.Setiawan\Downloads\Monitor%20Real%20Tanam%20Nanas%20Produksi%20sd%2007%20Sept%20'2026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c Pola Aplikasi"/>
      <sheetName val="Hari Kerja"/>
      <sheetName val="Master"/>
      <sheetName val="Rcn BERJLN Fsk"/>
      <sheetName val="Rang Chopper"/>
      <sheetName val="Keb Unit"/>
      <sheetName val="Update"/>
      <sheetName val="PH Pengkapuran X Ns"/>
      <sheetName val="PH Pengkapuran X Ps"/>
      <sheetName val="WIL13"/>
      <sheetName val="WIL21"/>
    </sheetNames>
    <sheetDataSet>
      <sheetData sheetId="0"/>
      <sheetData sheetId="1"/>
      <sheetData sheetId="2">
        <row r="350">
          <cell r="D350" t="str">
            <v>096G1</v>
          </cell>
        </row>
        <row r="542">
          <cell r="D542" t="str">
            <v>098F</v>
          </cell>
          <cell r="E542">
            <v>7.7</v>
          </cell>
          <cell r="F542">
            <v>6.14</v>
          </cell>
          <cell r="G542" t="str">
            <v>NSFC2102</v>
          </cell>
          <cell r="H542" t="str">
            <v>RC</v>
          </cell>
          <cell r="J542">
            <v>0</v>
          </cell>
          <cell r="K542">
            <v>4.3600000000000003</v>
          </cell>
        </row>
        <row r="543">
          <cell r="D543" t="str">
            <v>099G</v>
          </cell>
          <cell r="E543">
            <v>12.87</v>
          </cell>
          <cell r="F543">
            <v>10.16</v>
          </cell>
          <cell r="G543" t="str">
            <v>NSFC2102</v>
          </cell>
          <cell r="H543" t="str">
            <v>RC</v>
          </cell>
          <cell r="J543">
            <v>0</v>
          </cell>
          <cell r="K543">
            <v>4.3</v>
          </cell>
        </row>
        <row r="544">
          <cell r="D544" t="str">
            <v>014C</v>
          </cell>
          <cell r="E544">
            <v>10.9</v>
          </cell>
          <cell r="F544">
            <v>8.7899999999999991</v>
          </cell>
          <cell r="G544" t="str">
            <v>NSFC2102</v>
          </cell>
          <cell r="H544" t="str">
            <v>RC</v>
          </cell>
          <cell r="J544">
            <v>0</v>
          </cell>
          <cell r="K544">
            <v>4.92</v>
          </cell>
        </row>
        <row r="545">
          <cell r="D545" t="str">
            <v>099F</v>
          </cell>
          <cell r="E545">
            <v>17.3</v>
          </cell>
          <cell r="F545">
            <v>13.66</v>
          </cell>
          <cell r="G545" t="str">
            <v>NSFC2102</v>
          </cell>
          <cell r="H545" t="str">
            <v>RC</v>
          </cell>
          <cell r="J545">
            <v>0</v>
          </cell>
          <cell r="K545">
            <v>4.63</v>
          </cell>
        </row>
        <row r="546">
          <cell r="D546" t="str">
            <v>061C2</v>
          </cell>
          <cell r="E546">
            <v>6.66</v>
          </cell>
          <cell r="F546">
            <v>5.48</v>
          </cell>
          <cell r="G546" t="str">
            <v>NSFC2103</v>
          </cell>
          <cell r="H546" t="str">
            <v>RC</v>
          </cell>
          <cell r="I546" t="str">
            <v>PS NS</v>
          </cell>
          <cell r="J546">
            <v>0</v>
          </cell>
          <cell r="K546">
            <v>4.74</v>
          </cell>
        </row>
        <row r="547">
          <cell r="D547" t="str">
            <v>049E</v>
          </cell>
          <cell r="E547">
            <v>10.47</v>
          </cell>
          <cell r="F547">
            <v>8.2799999999999994</v>
          </cell>
          <cell r="G547" t="str">
            <v>NSFC2103</v>
          </cell>
          <cell r="H547" t="str">
            <v>RC</v>
          </cell>
          <cell r="J547">
            <v>4.18</v>
          </cell>
          <cell r="K547">
            <v>4.46</v>
          </cell>
        </row>
        <row r="548">
          <cell r="D548" t="str">
            <v>084A</v>
          </cell>
          <cell r="E548">
            <v>4.72</v>
          </cell>
          <cell r="F548">
            <v>3.64</v>
          </cell>
          <cell r="G548" t="str">
            <v>NSFC2103</v>
          </cell>
          <cell r="H548" t="str">
            <v>RC</v>
          </cell>
          <cell r="J548">
            <v>4.32</v>
          </cell>
          <cell r="K548">
            <v>4.7699999999999996</v>
          </cell>
        </row>
        <row r="549">
          <cell r="D549" t="str">
            <v>052B</v>
          </cell>
          <cell r="E549">
            <v>11.64</v>
          </cell>
          <cell r="F549">
            <v>9.17</v>
          </cell>
          <cell r="G549" t="str">
            <v>NSFC2103</v>
          </cell>
          <cell r="H549" t="str">
            <v>RC</v>
          </cell>
          <cell r="I549" t="str">
            <v>PS NS</v>
          </cell>
          <cell r="J549">
            <v>0</v>
          </cell>
          <cell r="K549">
            <v>4.47</v>
          </cell>
        </row>
        <row r="550">
          <cell r="D550" t="str">
            <v>075H</v>
          </cell>
          <cell r="E550">
            <v>9.68</v>
          </cell>
          <cell r="F550">
            <v>7.68</v>
          </cell>
          <cell r="G550" t="str">
            <v>NSFC2103</v>
          </cell>
          <cell r="H550" t="str">
            <v>RC</v>
          </cell>
          <cell r="J550">
            <v>4.3</v>
          </cell>
          <cell r="K550">
            <v>4.58</v>
          </cell>
        </row>
        <row r="551">
          <cell r="D551" t="str">
            <v>025F</v>
          </cell>
          <cell r="E551">
            <v>10.45</v>
          </cell>
          <cell r="F551">
            <v>8.2799999999999994</v>
          </cell>
          <cell r="G551" t="str">
            <v>NSFC2103</v>
          </cell>
          <cell r="H551" t="str">
            <v>RC</v>
          </cell>
          <cell r="J551">
            <v>4.4000000000000004</v>
          </cell>
          <cell r="K551">
            <v>4.2699999999999996</v>
          </cell>
        </row>
        <row r="552">
          <cell r="D552" t="str">
            <v>084B</v>
          </cell>
          <cell r="E552">
            <v>15.25</v>
          </cell>
          <cell r="F552">
            <v>12.26</v>
          </cell>
          <cell r="G552" t="str">
            <v>NSFC2103</v>
          </cell>
          <cell r="H552" t="str">
            <v>RC</v>
          </cell>
          <cell r="J552">
            <v>4.47</v>
          </cell>
          <cell r="K552">
            <v>4.96</v>
          </cell>
        </row>
        <row r="553">
          <cell r="D553" t="str">
            <v>017C</v>
          </cell>
          <cell r="E553">
            <v>12.3</v>
          </cell>
          <cell r="F553">
            <v>9.86</v>
          </cell>
          <cell r="G553" t="str">
            <v>NSFC2103</v>
          </cell>
          <cell r="H553" t="str">
            <v>BB</v>
          </cell>
          <cell r="J553">
            <v>4.28</v>
          </cell>
          <cell r="K553">
            <v>4.2699999999999996</v>
          </cell>
        </row>
        <row r="554">
          <cell r="D554" t="str">
            <v>049B</v>
          </cell>
          <cell r="E554">
            <v>6.6</v>
          </cell>
          <cell r="F554">
            <v>5.22</v>
          </cell>
          <cell r="G554" t="str">
            <v>NSFC2103</v>
          </cell>
          <cell r="H554" t="str">
            <v>BB</v>
          </cell>
          <cell r="J554">
            <v>0</v>
          </cell>
          <cell r="K554">
            <v>4.9000000000000004</v>
          </cell>
        </row>
        <row r="555">
          <cell r="D555" t="str">
            <v>049F</v>
          </cell>
          <cell r="E555">
            <v>9.7200000000000006</v>
          </cell>
          <cell r="F555">
            <v>7.72</v>
          </cell>
          <cell r="G555" t="str">
            <v>NSFC2103</v>
          </cell>
          <cell r="H555" t="str">
            <v>BB</v>
          </cell>
          <cell r="J555">
            <v>4.1399999999999997</v>
          </cell>
          <cell r="K555">
            <v>5.0350000000000001</v>
          </cell>
        </row>
        <row r="556">
          <cell r="D556" t="str">
            <v>049H</v>
          </cell>
          <cell r="E556">
            <v>9.17</v>
          </cell>
          <cell r="F556">
            <v>7.22</v>
          </cell>
          <cell r="G556" t="str">
            <v>NSFC2103</v>
          </cell>
          <cell r="H556" t="str">
            <v>BB</v>
          </cell>
          <cell r="J556">
            <v>0</v>
          </cell>
          <cell r="K556">
            <v>4.8550000000000004</v>
          </cell>
        </row>
        <row r="557">
          <cell r="D557" t="str">
            <v>075E</v>
          </cell>
          <cell r="E557">
            <v>9.9</v>
          </cell>
          <cell r="F557">
            <v>7.75</v>
          </cell>
          <cell r="G557" t="str">
            <v>NSFC2103</v>
          </cell>
          <cell r="H557" t="str">
            <v>RC</v>
          </cell>
          <cell r="J557">
            <v>4.08</v>
          </cell>
          <cell r="K557">
            <v>4.7649999999999997</v>
          </cell>
        </row>
        <row r="558">
          <cell r="D558" t="str">
            <v>099E</v>
          </cell>
          <cell r="E558">
            <v>7.16</v>
          </cell>
          <cell r="F558">
            <v>5.62</v>
          </cell>
          <cell r="G558" t="str">
            <v>NSFC2104</v>
          </cell>
          <cell r="H558" t="str">
            <v>RC</v>
          </cell>
          <cell r="J558">
            <v>4.79</v>
          </cell>
          <cell r="K558">
            <v>4.55</v>
          </cell>
        </row>
        <row r="559">
          <cell r="D559" t="str">
            <v>037B</v>
          </cell>
          <cell r="E559">
            <v>8.3000000000000007</v>
          </cell>
          <cell r="F559">
            <v>6.48</v>
          </cell>
          <cell r="G559" t="str">
            <v>NSFC2103</v>
          </cell>
          <cell r="H559" t="str">
            <v>RC</v>
          </cell>
          <cell r="J559">
            <v>4.54</v>
          </cell>
          <cell r="K559">
            <v>4.6500000000000004</v>
          </cell>
        </row>
        <row r="560">
          <cell r="D560" t="str">
            <v>017H</v>
          </cell>
          <cell r="E560">
            <v>7.13</v>
          </cell>
          <cell r="F560">
            <v>5.74</v>
          </cell>
          <cell r="G560" t="str">
            <v>NSFC2104</v>
          </cell>
          <cell r="H560" t="str">
            <v>BB</v>
          </cell>
          <cell r="J560">
            <v>0</v>
          </cell>
          <cell r="K560">
            <v>4.97</v>
          </cell>
        </row>
        <row r="561">
          <cell r="D561" t="str">
            <v>017A</v>
          </cell>
          <cell r="E561">
            <v>9.2100000000000009</v>
          </cell>
          <cell r="F561">
            <v>7.28</v>
          </cell>
          <cell r="G561" t="str">
            <v>NSFC2104</v>
          </cell>
          <cell r="H561" t="str">
            <v>BB</v>
          </cell>
          <cell r="J561">
            <v>4.13</v>
          </cell>
          <cell r="K561">
            <v>4.7350000000000003</v>
          </cell>
        </row>
        <row r="562">
          <cell r="D562" t="str">
            <v>091A</v>
          </cell>
          <cell r="E562">
            <v>7.46</v>
          </cell>
          <cell r="F562">
            <v>5.79</v>
          </cell>
          <cell r="G562" t="str">
            <v>NSFC2104</v>
          </cell>
          <cell r="H562" t="str">
            <v>BB</v>
          </cell>
          <cell r="J562">
            <v>4.57</v>
          </cell>
          <cell r="K562">
            <v>4.0999999999999996</v>
          </cell>
        </row>
        <row r="563">
          <cell r="D563" t="str">
            <v>070B1</v>
          </cell>
          <cell r="E563">
            <v>11.75</v>
          </cell>
          <cell r="F563">
            <v>9.25</v>
          </cell>
          <cell r="G563" t="str">
            <v>NSFC2104</v>
          </cell>
          <cell r="H563" t="str">
            <v>RC</v>
          </cell>
          <cell r="J563">
            <v>4.58</v>
          </cell>
          <cell r="K563">
            <v>4.9950000000000001</v>
          </cell>
        </row>
        <row r="564">
          <cell r="D564" t="str">
            <v>091C</v>
          </cell>
          <cell r="E564">
            <v>17.239999999999998</v>
          </cell>
          <cell r="F564">
            <v>13.68</v>
          </cell>
          <cell r="G564" t="str">
            <v>NSFC2104</v>
          </cell>
          <cell r="H564" t="str">
            <v>RC</v>
          </cell>
          <cell r="J564">
            <v>4.53</v>
          </cell>
          <cell r="K564">
            <v>4.3899999999999997</v>
          </cell>
        </row>
        <row r="565">
          <cell r="D565" t="str">
            <v>017L</v>
          </cell>
          <cell r="E565">
            <v>9.34</v>
          </cell>
          <cell r="F565">
            <v>7.47</v>
          </cell>
          <cell r="G565" t="str">
            <v>NSFC2104</v>
          </cell>
          <cell r="H565" t="str">
            <v>RC</v>
          </cell>
          <cell r="J565">
            <v>0</v>
          </cell>
          <cell r="K565">
            <v>4.9349999999999996</v>
          </cell>
        </row>
        <row r="566">
          <cell r="D566" t="str">
            <v>068A</v>
          </cell>
          <cell r="E566">
            <v>6.2</v>
          </cell>
          <cell r="F566">
            <v>4.9000000000000004</v>
          </cell>
          <cell r="G566" t="str">
            <v>NSFC2104</v>
          </cell>
          <cell r="H566" t="str">
            <v>SK</v>
          </cell>
          <cell r="J566">
            <v>0</v>
          </cell>
          <cell r="K566">
            <v>4.87</v>
          </cell>
        </row>
        <row r="567">
          <cell r="D567" t="str">
            <v>062I</v>
          </cell>
          <cell r="E567">
            <v>16.22</v>
          </cell>
          <cell r="F567">
            <v>12.94</v>
          </cell>
          <cell r="G567" t="str">
            <v>NSFC2104</v>
          </cell>
          <cell r="H567" t="str">
            <v>RC</v>
          </cell>
          <cell r="J567">
            <v>4.68</v>
          </cell>
          <cell r="K567">
            <v>4.3899999999999997</v>
          </cell>
        </row>
        <row r="568">
          <cell r="D568" t="str">
            <v>062A3</v>
          </cell>
          <cell r="E568">
            <v>10.52</v>
          </cell>
          <cell r="F568">
            <v>8.4499999999999993</v>
          </cell>
          <cell r="G568" t="str">
            <v>NSFC2104</v>
          </cell>
          <cell r="H568" t="str">
            <v>RC</v>
          </cell>
          <cell r="I568" t="str">
            <v>PS NS</v>
          </cell>
          <cell r="J568">
            <v>4.83</v>
          </cell>
          <cell r="K568">
            <v>4.9749999999999996</v>
          </cell>
        </row>
        <row r="569">
          <cell r="D569" t="str">
            <v>047E</v>
          </cell>
          <cell r="E569">
            <v>6.6</v>
          </cell>
          <cell r="F569">
            <v>5.38</v>
          </cell>
          <cell r="G569" t="str">
            <v>NSFC2104</v>
          </cell>
          <cell r="H569" t="str">
            <v>BB</v>
          </cell>
          <cell r="J569">
            <v>4.16</v>
          </cell>
          <cell r="K569">
            <v>4.79</v>
          </cell>
        </row>
        <row r="570">
          <cell r="D570" t="str">
            <v>083J</v>
          </cell>
          <cell r="E570">
            <v>14.68</v>
          </cell>
          <cell r="F570">
            <v>11.63</v>
          </cell>
          <cell r="G570" t="str">
            <v>NSFC2104</v>
          </cell>
          <cell r="H570" t="str">
            <v>RC</v>
          </cell>
          <cell r="J570">
            <v>4.51</v>
          </cell>
          <cell r="K570">
            <v>4.71</v>
          </cell>
        </row>
        <row r="571">
          <cell r="D571" t="str">
            <v>072L</v>
          </cell>
          <cell r="E571">
            <v>12.64</v>
          </cell>
          <cell r="F571">
            <v>10</v>
          </cell>
          <cell r="G571" t="str">
            <v>NSFC2104</v>
          </cell>
          <cell r="H571" t="str">
            <v>RC</v>
          </cell>
          <cell r="J571">
            <v>4.2699999999999996</v>
          </cell>
          <cell r="K571">
            <v>4.63</v>
          </cell>
        </row>
        <row r="572">
          <cell r="D572" t="str">
            <v>083B</v>
          </cell>
          <cell r="E572">
            <v>4.45</v>
          </cell>
          <cell r="F572">
            <v>3.41</v>
          </cell>
          <cell r="G572" t="str">
            <v>NSFC2104</v>
          </cell>
          <cell r="H572" t="str">
            <v>BB</v>
          </cell>
          <cell r="J572">
            <v>4.3</v>
          </cell>
          <cell r="K572">
            <v>4.8899999999999997</v>
          </cell>
        </row>
        <row r="573">
          <cell r="D573" t="str">
            <v>055F1</v>
          </cell>
          <cell r="E573">
            <v>13.42</v>
          </cell>
          <cell r="F573">
            <v>10.66</v>
          </cell>
          <cell r="G573" t="str">
            <v>NSFC2105</v>
          </cell>
          <cell r="H573" t="str">
            <v>RC</v>
          </cell>
          <cell r="I573" t="str">
            <v>PS NS</v>
          </cell>
          <cell r="J573">
            <v>4.8600000000000003</v>
          </cell>
          <cell r="K573">
            <v>5.09</v>
          </cell>
        </row>
        <row r="574">
          <cell r="D574" t="str">
            <v>033A</v>
          </cell>
          <cell r="E574">
            <v>8.3699999999999992</v>
          </cell>
          <cell r="F574">
            <v>6.68</v>
          </cell>
          <cell r="G574" t="str">
            <v>NSFC2105</v>
          </cell>
          <cell r="H574" t="str">
            <v>BB</v>
          </cell>
          <cell r="J574">
            <v>4.33</v>
          </cell>
          <cell r="K574">
            <v>5.0149999999999997</v>
          </cell>
        </row>
        <row r="575">
          <cell r="D575" t="str">
            <v>055E</v>
          </cell>
          <cell r="E575">
            <v>9.76</v>
          </cell>
          <cell r="F575">
            <v>7.66</v>
          </cell>
          <cell r="G575" t="str">
            <v>NSFC2105</v>
          </cell>
          <cell r="H575" t="str">
            <v>RC</v>
          </cell>
          <cell r="I575" t="str">
            <v>PS NS</v>
          </cell>
          <cell r="J575">
            <v>5.3</v>
          </cell>
          <cell r="K575">
            <v>5.17</v>
          </cell>
        </row>
        <row r="576">
          <cell r="D576" t="str">
            <v>066H1</v>
          </cell>
          <cell r="E576">
            <v>7.3</v>
          </cell>
          <cell r="F576">
            <v>5.7</v>
          </cell>
          <cell r="G576" t="str">
            <v>NSFC2105</v>
          </cell>
          <cell r="H576" t="str">
            <v>RC</v>
          </cell>
          <cell r="J576">
            <v>4.46</v>
          </cell>
          <cell r="K576">
            <v>4.46</v>
          </cell>
        </row>
        <row r="577">
          <cell r="D577" t="str">
            <v>033D</v>
          </cell>
          <cell r="E577">
            <v>12.07</v>
          </cell>
          <cell r="F577">
            <v>9.5500000000000007</v>
          </cell>
          <cell r="G577" t="str">
            <v>NSFC2105</v>
          </cell>
          <cell r="H577" t="str">
            <v>RC</v>
          </cell>
          <cell r="J577">
            <v>4.3099999999999996</v>
          </cell>
          <cell r="K577">
            <v>4.92</v>
          </cell>
        </row>
        <row r="578">
          <cell r="D578" t="str">
            <v>056G</v>
          </cell>
          <cell r="E578">
            <v>17.2</v>
          </cell>
          <cell r="F578">
            <v>13.6</v>
          </cell>
          <cell r="G578" t="str">
            <v>NSFC2105</v>
          </cell>
          <cell r="H578" t="str">
            <v>BB</v>
          </cell>
          <cell r="J578">
            <v>4.1900000000000004</v>
          </cell>
          <cell r="K578">
            <v>4.3650000000000002</v>
          </cell>
        </row>
        <row r="579">
          <cell r="D579" t="str">
            <v>082G</v>
          </cell>
          <cell r="E579">
            <v>7.38</v>
          </cell>
          <cell r="F579">
            <v>5.88</v>
          </cell>
          <cell r="G579" t="str">
            <v>NSFC2105</v>
          </cell>
          <cell r="H579" t="str">
            <v>BB</v>
          </cell>
          <cell r="J579">
            <v>4.47</v>
          </cell>
          <cell r="K579">
            <v>4.67</v>
          </cell>
        </row>
        <row r="580">
          <cell r="D580" t="str">
            <v>033C</v>
          </cell>
          <cell r="E580">
            <v>8.6</v>
          </cell>
          <cell r="F580">
            <v>6.78</v>
          </cell>
          <cell r="G580" t="str">
            <v>NSFC2106</v>
          </cell>
          <cell r="H580" t="str">
            <v>RC</v>
          </cell>
          <cell r="J580">
            <v>4.22</v>
          </cell>
          <cell r="K580">
            <v>5.1849999999999996</v>
          </cell>
        </row>
        <row r="581">
          <cell r="D581" t="str">
            <v>001D</v>
          </cell>
          <cell r="E581">
            <v>6.76</v>
          </cell>
          <cell r="F581">
            <v>5.41</v>
          </cell>
          <cell r="G581" t="str">
            <v>NSFC2106</v>
          </cell>
          <cell r="H581" t="str">
            <v>SK</v>
          </cell>
          <cell r="J581">
            <v>6.32</v>
          </cell>
          <cell r="K581">
            <v>4.8899999999999997</v>
          </cell>
        </row>
        <row r="582">
          <cell r="D582" t="str">
            <v>047I</v>
          </cell>
          <cell r="E582">
            <v>21.08</v>
          </cell>
          <cell r="F582">
            <v>16.75</v>
          </cell>
          <cell r="G582" t="str">
            <v>NSFC2106</v>
          </cell>
          <cell r="H582" t="str">
            <v>BB</v>
          </cell>
          <cell r="J582">
            <v>4.0999999999999996</v>
          </cell>
          <cell r="K582">
            <v>4.6500000000000004</v>
          </cell>
        </row>
        <row r="583">
          <cell r="D583" t="str">
            <v>066B</v>
          </cell>
          <cell r="E583">
            <v>8.92</v>
          </cell>
          <cell r="F583">
            <v>7.06</v>
          </cell>
          <cell r="G583" t="str">
            <v>NSFC2106</v>
          </cell>
          <cell r="H583" t="str">
            <v>RC</v>
          </cell>
          <cell r="J583">
            <v>4.33</v>
          </cell>
          <cell r="K583">
            <v>4.7300000000000004</v>
          </cell>
        </row>
        <row r="584">
          <cell r="D584" t="str">
            <v>066G1</v>
          </cell>
          <cell r="E584">
            <v>7.58</v>
          </cell>
          <cell r="F584">
            <v>6.05</v>
          </cell>
          <cell r="G584" t="str">
            <v>NSFC2106</v>
          </cell>
          <cell r="H584" t="str">
            <v>BB</v>
          </cell>
          <cell r="J584">
            <v>4.7</v>
          </cell>
          <cell r="K584">
            <v>4.46</v>
          </cell>
        </row>
        <row r="585">
          <cell r="D585" t="str">
            <v>027D</v>
          </cell>
          <cell r="E585">
            <v>3.21</v>
          </cell>
          <cell r="F585">
            <v>2.5</v>
          </cell>
          <cell r="G585" t="str">
            <v>NSFC2106</v>
          </cell>
          <cell r="H585" t="str">
            <v>BB</v>
          </cell>
          <cell r="J585">
            <v>4.3899999999999997</v>
          </cell>
          <cell r="K585">
            <v>0</v>
          </cell>
        </row>
        <row r="586">
          <cell r="D586" t="str">
            <v>027J</v>
          </cell>
          <cell r="E586">
            <v>2.57</v>
          </cell>
          <cell r="F586">
            <v>2.0299999999999998</v>
          </cell>
          <cell r="G586" t="str">
            <v>NSFC2106</v>
          </cell>
          <cell r="H586" t="str">
            <v>BB</v>
          </cell>
          <cell r="J586">
            <v>4.1100000000000003</v>
          </cell>
          <cell r="K586">
            <v>0</v>
          </cell>
        </row>
        <row r="587">
          <cell r="D587" t="str">
            <v>005C</v>
          </cell>
          <cell r="E587">
            <v>8.6</v>
          </cell>
          <cell r="F587">
            <v>6.94</v>
          </cell>
          <cell r="G587" t="str">
            <v>NSFC2106</v>
          </cell>
          <cell r="H587" t="str">
            <v>PS</v>
          </cell>
          <cell r="I587" t="str">
            <v>PS</v>
          </cell>
          <cell r="J587">
            <v>6.47</v>
          </cell>
          <cell r="K587">
            <v>4.83</v>
          </cell>
        </row>
        <row r="588">
          <cell r="D588" t="str">
            <v>082C</v>
          </cell>
          <cell r="E588">
            <v>13.46</v>
          </cell>
          <cell r="F588">
            <v>10.5</v>
          </cell>
          <cell r="G588" t="str">
            <v>NSFC2106</v>
          </cell>
          <cell r="H588" t="str">
            <v>RC</v>
          </cell>
          <cell r="J588">
            <v>4.5599999999999996</v>
          </cell>
          <cell r="K588">
            <v>4.79</v>
          </cell>
        </row>
        <row r="589">
          <cell r="D589" t="str">
            <v>061A</v>
          </cell>
          <cell r="E589">
            <v>20.62</v>
          </cell>
          <cell r="F589">
            <v>16.440000000000001</v>
          </cell>
          <cell r="G589" t="str">
            <v>NSFC2106</v>
          </cell>
          <cell r="H589" t="str">
            <v>BB</v>
          </cell>
          <cell r="I589" t="str">
            <v>PS NS</v>
          </cell>
          <cell r="J589">
            <v>4.96</v>
          </cell>
          <cell r="K589">
            <v>4.82</v>
          </cell>
        </row>
        <row r="590">
          <cell r="D590" t="str">
            <v>082C1</v>
          </cell>
          <cell r="E590">
            <v>1.1399999999999999</v>
          </cell>
          <cell r="F590">
            <v>0.89</v>
          </cell>
          <cell r="G590" t="str">
            <v>NSFC2106</v>
          </cell>
          <cell r="H590" t="str">
            <v>RC</v>
          </cell>
          <cell r="J590">
            <v>4.5599999999999996</v>
          </cell>
          <cell r="K590">
            <v>4.79</v>
          </cell>
        </row>
        <row r="591">
          <cell r="D591" t="str">
            <v>084F</v>
          </cell>
          <cell r="E591">
            <v>13.68</v>
          </cell>
          <cell r="F591">
            <v>10.88</v>
          </cell>
          <cell r="G591" t="str">
            <v>NSFC2106</v>
          </cell>
          <cell r="H591" t="str">
            <v>RC</v>
          </cell>
          <cell r="J591">
            <v>4.6100000000000003</v>
          </cell>
          <cell r="K591">
            <v>0</v>
          </cell>
        </row>
        <row r="592">
          <cell r="D592" t="str">
            <v>085H1</v>
          </cell>
          <cell r="E592">
            <v>10.25</v>
          </cell>
          <cell r="F592">
            <v>8.18</v>
          </cell>
          <cell r="G592" t="str">
            <v>NSFC2106</v>
          </cell>
          <cell r="H592" t="str">
            <v>BB</v>
          </cell>
          <cell r="J592">
            <v>4.4800000000000004</v>
          </cell>
          <cell r="K592">
            <v>0</v>
          </cell>
        </row>
        <row r="593">
          <cell r="D593" t="str">
            <v>096J</v>
          </cell>
          <cell r="E593">
            <v>15.58</v>
          </cell>
          <cell r="F593">
            <v>12.38</v>
          </cell>
          <cell r="G593" t="str">
            <v>NSFC2107</v>
          </cell>
          <cell r="H593" t="str">
            <v>BB</v>
          </cell>
          <cell r="J593">
            <v>3.96</v>
          </cell>
          <cell r="K593">
            <v>4.53</v>
          </cell>
        </row>
        <row r="594">
          <cell r="D594" t="str">
            <v>047J1</v>
          </cell>
          <cell r="E594">
            <v>13.26</v>
          </cell>
          <cell r="F594">
            <v>10.48</v>
          </cell>
          <cell r="G594" t="str">
            <v>NSFC2106</v>
          </cell>
          <cell r="H594" t="str">
            <v>BB</v>
          </cell>
          <cell r="J594">
            <v>4.38</v>
          </cell>
          <cell r="K594">
            <v>4.5750000000000002</v>
          </cell>
        </row>
        <row r="595">
          <cell r="D595" t="str">
            <v>047K1</v>
          </cell>
          <cell r="E595">
            <v>6.48</v>
          </cell>
          <cell r="F595">
            <v>5.25</v>
          </cell>
          <cell r="G595" t="str">
            <v>NSFC2106</v>
          </cell>
          <cell r="H595" t="str">
            <v>BB</v>
          </cell>
          <cell r="J595">
            <v>4.1399999999999997</v>
          </cell>
          <cell r="K595">
            <v>4.4450000000000003</v>
          </cell>
        </row>
        <row r="596">
          <cell r="D596" t="str">
            <v>066G</v>
          </cell>
          <cell r="E596">
            <v>16.940000000000001</v>
          </cell>
          <cell r="F596">
            <v>13.48</v>
          </cell>
          <cell r="G596" t="str">
            <v>NSFC2107</v>
          </cell>
          <cell r="H596" t="str">
            <v>RC</v>
          </cell>
          <cell r="J596">
            <v>4.4800000000000004</v>
          </cell>
          <cell r="K596">
            <v>4.49</v>
          </cell>
        </row>
        <row r="597">
          <cell r="D597" t="str">
            <v>093E</v>
          </cell>
          <cell r="E597">
            <v>13.38</v>
          </cell>
          <cell r="F597">
            <v>10.62</v>
          </cell>
          <cell r="G597" t="str">
            <v>NSFC2106</v>
          </cell>
          <cell r="H597" t="str">
            <v>RC</v>
          </cell>
          <cell r="J597">
            <v>4.5599999999999996</v>
          </cell>
          <cell r="K597">
            <v>4.68</v>
          </cell>
        </row>
        <row r="598">
          <cell r="D598" t="str">
            <v>050D</v>
          </cell>
          <cell r="E598">
            <v>8.2200000000000006</v>
          </cell>
          <cell r="F598">
            <v>6.5</v>
          </cell>
          <cell r="G598" t="str">
            <v>NSFC2107</v>
          </cell>
          <cell r="H598" t="str">
            <v>RC</v>
          </cell>
          <cell r="I598" t="str">
            <v>PS NS</v>
          </cell>
          <cell r="J598">
            <v>4.8</v>
          </cell>
          <cell r="K598">
            <v>5.0449999999999999</v>
          </cell>
        </row>
        <row r="599">
          <cell r="D599" t="str">
            <v>067G</v>
          </cell>
          <cell r="E599">
            <v>2.42</v>
          </cell>
          <cell r="F599">
            <v>1.92</v>
          </cell>
          <cell r="G599" t="str">
            <v>NSFC2107</v>
          </cell>
          <cell r="H599" t="str">
            <v>SK</v>
          </cell>
          <cell r="J599">
            <v>0</v>
          </cell>
          <cell r="K599">
            <v>4.78</v>
          </cell>
        </row>
        <row r="600">
          <cell r="D600" t="str">
            <v>067E</v>
          </cell>
          <cell r="E600">
            <v>10.49</v>
          </cell>
          <cell r="F600">
            <v>8.39</v>
          </cell>
          <cell r="G600" t="str">
            <v>NSFC2106</v>
          </cell>
          <cell r="H600" t="str">
            <v>SK</v>
          </cell>
          <cell r="J600">
            <v>4.5199999999999996</v>
          </cell>
          <cell r="K600">
            <v>4.74</v>
          </cell>
        </row>
        <row r="601">
          <cell r="D601" t="str">
            <v>003J</v>
          </cell>
          <cell r="E601">
            <v>6</v>
          </cell>
          <cell r="F601">
            <v>4.9000000000000004</v>
          </cell>
          <cell r="G601" t="str">
            <v>NSFC2106</v>
          </cell>
          <cell r="H601" t="str">
            <v>BB</v>
          </cell>
          <cell r="J601">
            <v>4.3600000000000003</v>
          </cell>
          <cell r="K601">
            <v>5.1849999999999996</v>
          </cell>
        </row>
        <row r="602">
          <cell r="D602" t="str">
            <v>067D</v>
          </cell>
          <cell r="E602">
            <v>7.83</v>
          </cell>
          <cell r="F602">
            <v>6.21</v>
          </cell>
          <cell r="G602" t="str">
            <v>NSFC2106</v>
          </cell>
          <cell r="H602" t="str">
            <v>SK</v>
          </cell>
          <cell r="J602">
            <v>4.25</v>
          </cell>
          <cell r="K602">
            <v>4.47</v>
          </cell>
        </row>
        <row r="603">
          <cell r="D603" t="str">
            <v>067C</v>
          </cell>
          <cell r="E603">
            <v>7.62</v>
          </cell>
          <cell r="F603">
            <v>6.09</v>
          </cell>
          <cell r="G603" t="str">
            <v>NSFC2107</v>
          </cell>
          <cell r="H603" t="str">
            <v>SK</v>
          </cell>
          <cell r="J603">
            <v>4.42</v>
          </cell>
          <cell r="K603">
            <v>4.6399999999999997</v>
          </cell>
        </row>
        <row r="604">
          <cell r="D604" t="str">
            <v>073L</v>
          </cell>
          <cell r="E604">
            <v>14.82</v>
          </cell>
          <cell r="F604">
            <v>11.91</v>
          </cell>
          <cell r="G604" t="str">
            <v>NSFC2107</v>
          </cell>
          <cell r="H604" t="str">
            <v>SK</v>
          </cell>
          <cell r="J604">
            <v>0</v>
          </cell>
          <cell r="K604">
            <v>4.34</v>
          </cell>
        </row>
        <row r="605">
          <cell r="D605" t="str">
            <v>012B</v>
          </cell>
          <cell r="E605">
            <v>12.96</v>
          </cell>
          <cell r="F605">
            <v>10.3</v>
          </cell>
          <cell r="G605" t="str">
            <v>NSFC2106</v>
          </cell>
          <cell r="H605" t="str">
            <v>PS</v>
          </cell>
          <cell r="I605" t="str">
            <v>PS</v>
          </cell>
          <cell r="J605">
            <v>4.51</v>
          </cell>
          <cell r="K605">
            <v>4.78</v>
          </cell>
        </row>
        <row r="606">
          <cell r="D606" t="str">
            <v>010B</v>
          </cell>
          <cell r="E606">
            <v>4.29</v>
          </cell>
          <cell r="F606">
            <v>3.34</v>
          </cell>
          <cell r="G606" t="str">
            <v>NSFC2106</v>
          </cell>
          <cell r="H606" t="str">
            <v>BB</v>
          </cell>
          <cell r="J606">
            <v>4.1900000000000004</v>
          </cell>
          <cell r="K606">
            <v>4.6050000000000004</v>
          </cell>
        </row>
        <row r="607">
          <cell r="D607" t="str">
            <v>050A</v>
          </cell>
          <cell r="E607">
            <v>15.56</v>
          </cell>
          <cell r="F607">
            <v>12.16</v>
          </cell>
          <cell r="G607" t="str">
            <v>NSFC2107</v>
          </cell>
          <cell r="H607" t="str">
            <v>RC</v>
          </cell>
          <cell r="I607" t="str">
            <v>PS NS</v>
          </cell>
          <cell r="J607">
            <v>0</v>
          </cell>
          <cell r="K607">
            <v>5.09</v>
          </cell>
        </row>
        <row r="608">
          <cell r="D608" t="str">
            <v>073C</v>
          </cell>
          <cell r="E608">
            <v>8.15</v>
          </cell>
          <cell r="F608">
            <v>6.56</v>
          </cell>
          <cell r="G608" t="str">
            <v>NSFC2107</v>
          </cell>
          <cell r="H608" t="str">
            <v>SK</v>
          </cell>
          <cell r="J608">
            <v>0</v>
          </cell>
          <cell r="K608">
            <v>0</v>
          </cell>
        </row>
        <row r="609">
          <cell r="D609" t="str">
            <v>088C3</v>
          </cell>
          <cell r="E609">
            <v>10.24</v>
          </cell>
          <cell r="F609">
            <v>8.2799999999999994</v>
          </cell>
          <cell r="G609" t="str">
            <v>NSFC2107</v>
          </cell>
          <cell r="H609" t="str">
            <v>RC</v>
          </cell>
          <cell r="I609" t="str">
            <v>PS NS</v>
          </cell>
          <cell r="J609">
            <v>4.41</v>
          </cell>
          <cell r="K609">
            <v>0</v>
          </cell>
        </row>
        <row r="610">
          <cell r="D610" t="str">
            <v>073E</v>
          </cell>
          <cell r="E610">
            <v>10.32</v>
          </cell>
          <cell r="F610">
            <v>8.2799999999999994</v>
          </cell>
          <cell r="G610" t="str">
            <v>NSFC2107</v>
          </cell>
          <cell r="H610" t="str">
            <v>SK</v>
          </cell>
          <cell r="J610">
            <v>0</v>
          </cell>
          <cell r="K610">
            <v>0</v>
          </cell>
        </row>
        <row r="611">
          <cell r="D611" t="str">
            <v>066Q2</v>
          </cell>
          <cell r="E611">
            <v>10.35</v>
          </cell>
          <cell r="F611">
            <v>8.1300000000000008</v>
          </cell>
          <cell r="G611" t="str">
            <v>NSFC2107</v>
          </cell>
          <cell r="H611" t="str">
            <v>BB</v>
          </cell>
          <cell r="J611">
            <v>4.25</v>
          </cell>
          <cell r="K611">
            <v>4.7649999999999997</v>
          </cell>
        </row>
        <row r="612">
          <cell r="D612" t="str">
            <v>066T</v>
          </cell>
          <cell r="E612">
            <v>9.56</v>
          </cell>
          <cell r="F612">
            <v>7.7</v>
          </cell>
          <cell r="G612" t="str">
            <v>NSFC2107</v>
          </cell>
          <cell r="H612" t="str">
            <v>BB</v>
          </cell>
          <cell r="J612">
            <v>4</v>
          </cell>
          <cell r="K612">
            <v>4.8</v>
          </cell>
        </row>
        <row r="613">
          <cell r="D613" t="str">
            <v>062A1</v>
          </cell>
          <cell r="E613">
            <v>7.25</v>
          </cell>
          <cell r="F613">
            <v>5.7</v>
          </cell>
          <cell r="G613" t="str">
            <v>NSFC2107</v>
          </cell>
          <cell r="H613" t="str">
            <v>BB</v>
          </cell>
          <cell r="I613" t="str">
            <v>PS NS</v>
          </cell>
          <cell r="J613">
            <v>4.4400000000000004</v>
          </cell>
          <cell r="K613">
            <v>4.6100000000000003</v>
          </cell>
        </row>
        <row r="614">
          <cell r="D614" t="str">
            <v>072H1</v>
          </cell>
          <cell r="E614">
            <v>13.28</v>
          </cell>
          <cell r="F614">
            <v>10.52</v>
          </cell>
          <cell r="G614" t="str">
            <v>NSFC2107</v>
          </cell>
          <cell r="H614" t="str">
            <v>SK</v>
          </cell>
          <cell r="J614">
            <v>0</v>
          </cell>
          <cell r="K614">
            <v>4.71</v>
          </cell>
        </row>
        <row r="615">
          <cell r="D615" t="str">
            <v>034D</v>
          </cell>
          <cell r="E615">
            <v>12.93</v>
          </cell>
          <cell r="F615">
            <v>10.31</v>
          </cell>
          <cell r="G615" t="str">
            <v>NSFC2107</v>
          </cell>
          <cell r="H615" t="str">
            <v>BB</v>
          </cell>
          <cell r="J615">
            <v>0</v>
          </cell>
          <cell r="K615">
            <v>4.6950000000000003</v>
          </cell>
        </row>
        <row r="616">
          <cell r="D616" t="str">
            <v>034C</v>
          </cell>
          <cell r="E616">
            <v>10.24</v>
          </cell>
          <cell r="F616">
            <v>8.09</v>
          </cell>
          <cell r="G616" t="str">
            <v>NSFC2107</v>
          </cell>
          <cell r="H616" t="str">
            <v>BB</v>
          </cell>
          <cell r="J616">
            <v>0</v>
          </cell>
          <cell r="K616">
            <v>4.6950000000000003</v>
          </cell>
        </row>
        <row r="617">
          <cell r="D617" t="str">
            <v>073B</v>
          </cell>
          <cell r="E617">
            <v>11.21</v>
          </cell>
          <cell r="F617">
            <v>8.83</v>
          </cell>
          <cell r="G617" t="str">
            <v>NSFC2108</v>
          </cell>
          <cell r="H617" t="str">
            <v>SK</v>
          </cell>
          <cell r="J617">
            <v>0</v>
          </cell>
          <cell r="K617">
            <v>0</v>
          </cell>
        </row>
        <row r="618">
          <cell r="D618" t="str">
            <v>073F</v>
          </cell>
          <cell r="E618">
            <v>7.53</v>
          </cell>
          <cell r="F618">
            <v>6.02</v>
          </cell>
          <cell r="G618" t="str">
            <v>NSFC2107</v>
          </cell>
          <cell r="H618" t="str">
            <v>SK</v>
          </cell>
          <cell r="J618">
            <v>0</v>
          </cell>
          <cell r="K618">
            <v>0</v>
          </cell>
        </row>
        <row r="619">
          <cell r="D619" t="str">
            <v>078F</v>
          </cell>
          <cell r="E619">
            <v>12</v>
          </cell>
          <cell r="F619">
            <v>9.51</v>
          </cell>
          <cell r="G619" t="str">
            <v>NSFC2108</v>
          </cell>
          <cell r="H619" t="str">
            <v>RC</v>
          </cell>
          <cell r="I619" t="str">
            <v>PS NS</v>
          </cell>
          <cell r="J619">
            <v>4.71</v>
          </cell>
          <cell r="K619">
            <v>4.99</v>
          </cell>
        </row>
        <row r="620">
          <cell r="D620" t="str">
            <v>069D1</v>
          </cell>
          <cell r="E620">
            <v>8.1</v>
          </cell>
          <cell r="F620">
            <v>6.32</v>
          </cell>
          <cell r="G620" t="str">
            <v>NSFC2107</v>
          </cell>
          <cell r="H620" t="str">
            <v>RC</v>
          </cell>
          <cell r="J620">
            <v>4.6900000000000004</v>
          </cell>
          <cell r="K620">
            <v>4.7350000000000003</v>
          </cell>
        </row>
        <row r="621">
          <cell r="D621" t="str">
            <v>026A</v>
          </cell>
          <cell r="E621">
            <v>6.89</v>
          </cell>
          <cell r="F621">
            <v>5.5</v>
          </cell>
          <cell r="G621" t="str">
            <v>NSFC2107</v>
          </cell>
          <cell r="H621" t="str">
            <v>BB</v>
          </cell>
          <cell r="J621">
            <v>4.2300000000000004</v>
          </cell>
          <cell r="K621">
            <v>4.915</v>
          </cell>
        </row>
        <row r="622">
          <cell r="D622" t="str">
            <v>062I1</v>
          </cell>
          <cell r="E622">
            <v>0.91</v>
          </cell>
          <cell r="F622">
            <v>0.72</v>
          </cell>
          <cell r="G622" t="str">
            <v>NSFC2107</v>
          </cell>
          <cell r="H622" t="str">
            <v>SK</v>
          </cell>
          <cell r="J622">
            <v>0</v>
          </cell>
          <cell r="K622">
            <v>0</v>
          </cell>
        </row>
        <row r="623">
          <cell r="D623" t="str">
            <v>026B</v>
          </cell>
          <cell r="E623">
            <v>10.41</v>
          </cell>
          <cell r="F623">
            <v>8.18</v>
          </cell>
          <cell r="G623" t="str">
            <v>NSFC2107</v>
          </cell>
          <cell r="H623" t="str">
            <v>RC</v>
          </cell>
          <cell r="J623">
            <v>4.76</v>
          </cell>
          <cell r="K623">
            <v>4.9400000000000004</v>
          </cell>
        </row>
        <row r="624">
          <cell r="D624" t="str">
            <v>084G</v>
          </cell>
          <cell r="E624">
            <v>7.85</v>
          </cell>
          <cell r="F624">
            <v>6.3</v>
          </cell>
          <cell r="G624" t="str">
            <v>NSFC2108</v>
          </cell>
          <cell r="H624" t="str">
            <v>BB</v>
          </cell>
          <cell r="J624">
            <v>4.6399999999999997</v>
          </cell>
          <cell r="K624">
            <v>4.835</v>
          </cell>
        </row>
        <row r="625">
          <cell r="D625" t="str">
            <v>004K</v>
          </cell>
          <cell r="E625">
            <v>12.28</v>
          </cell>
          <cell r="F625">
            <v>9.52</v>
          </cell>
          <cell r="G625" t="str">
            <v>NSFC2108</v>
          </cell>
          <cell r="H625" t="str">
            <v>PS</v>
          </cell>
          <cell r="I625" t="str">
            <v>PS</v>
          </cell>
          <cell r="J625">
            <v>5.21</v>
          </cell>
          <cell r="K625">
            <v>4.9850000000000003</v>
          </cell>
        </row>
        <row r="626">
          <cell r="D626" t="str">
            <v>072A</v>
          </cell>
          <cell r="E626">
            <v>14.2</v>
          </cell>
          <cell r="F626">
            <v>11.32</v>
          </cell>
          <cell r="G626" t="str">
            <v>NSFC2107</v>
          </cell>
          <cell r="H626" t="str">
            <v>RC</v>
          </cell>
          <cell r="J626">
            <v>4.0999999999999996</v>
          </cell>
          <cell r="K626">
            <v>4.67</v>
          </cell>
        </row>
        <row r="627">
          <cell r="D627" t="str">
            <v>029G</v>
          </cell>
          <cell r="E627">
            <v>4.9400000000000004</v>
          </cell>
          <cell r="F627">
            <v>3.9</v>
          </cell>
          <cell r="G627" t="str">
            <v>NSFC2108</v>
          </cell>
          <cell r="H627" t="str">
            <v>RC</v>
          </cell>
          <cell r="J627">
            <v>4.16</v>
          </cell>
          <cell r="K627">
            <v>4.62</v>
          </cell>
        </row>
        <row r="628">
          <cell r="D628" t="str">
            <v>004I</v>
          </cell>
          <cell r="E628">
            <v>6.46</v>
          </cell>
          <cell r="F628">
            <v>5.05</v>
          </cell>
          <cell r="G628" t="str">
            <v>NSFC2108</v>
          </cell>
          <cell r="H628" t="str">
            <v>PS</v>
          </cell>
          <cell r="I628" t="str">
            <v>PS</v>
          </cell>
          <cell r="J628">
            <v>5.61</v>
          </cell>
          <cell r="K628">
            <v>4.6349999999999998</v>
          </cell>
        </row>
        <row r="629">
          <cell r="D629" t="str">
            <v>068B</v>
          </cell>
          <cell r="E629">
            <v>1.77</v>
          </cell>
          <cell r="F629">
            <v>1.42</v>
          </cell>
          <cell r="G629" t="str">
            <v>NSFC2108</v>
          </cell>
          <cell r="H629" t="str">
            <v>SK</v>
          </cell>
          <cell r="J629">
            <v>4.38</v>
          </cell>
          <cell r="K629">
            <v>0</v>
          </cell>
        </row>
        <row r="630">
          <cell r="D630" t="str">
            <v>070C</v>
          </cell>
          <cell r="E630">
            <v>14.17</v>
          </cell>
          <cell r="F630">
            <v>11.07</v>
          </cell>
          <cell r="G630" t="str">
            <v>NSFC2108</v>
          </cell>
          <cell r="H630" t="str">
            <v>BB</v>
          </cell>
          <cell r="J630">
            <v>3.65</v>
          </cell>
          <cell r="K630">
            <v>4.585</v>
          </cell>
        </row>
        <row r="631">
          <cell r="D631" t="str">
            <v>038C</v>
          </cell>
          <cell r="E631">
            <v>14.76</v>
          </cell>
          <cell r="F631">
            <v>11.65</v>
          </cell>
          <cell r="G631" t="str">
            <v>NSFC2108</v>
          </cell>
          <cell r="H631" t="str">
            <v>RC</v>
          </cell>
          <cell r="J631">
            <v>3.96</v>
          </cell>
          <cell r="K631">
            <v>4.57</v>
          </cell>
        </row>
        <row r="632">
          <cell r="D632" t="str">
            <v>075B</v>
          </cell>
          <cell r="E632">
            <v>13.32</v>
          </cell>
          <cell r="F632">
            <v>10.64</v>
          </cell>
          <cell r="G632" t="str">
            <v>NSFC2108</v>
          </cell>
          <cell r="H632" t="str">
            <v>RC</v>
          </cell>
          <cell r="I632" t="str">
            <v>PS NS</v>
          </cell>
          <cell r="J632">
            <v>5.1100000000000003</v>
          </cell>
          <cell r="K632">
            <v>4.62</v>
          </cell>
        </row>
        <row r="633">
          <cell r="D633" t="str">
            <v>085H</v>
          </cell>
          <cell r="E633">
            <v>15.5</v>
          </cell>
          <cell r="F633">
            <v>12.31</v>
          </cell>
          <cell r="G633" t="str">
            <v>NSFC2108</v>
          </cell>
          <cell r="H633" t="str">
            <v>RC</v>
          </cell>
          <cell r="J633">
            <v>0</v>
          </cell>
          <cell r="K633">
            <v>4.7850000000000001</v>
          </cell>
        </row>
        <row r="634">
          <cell r="D634" t="str">
            <v>073D1</v>
          </cell>
          <cell r="E634">
            <v>16.34</v>
          </cell>
          <cell r="F634">
            <v>12.82</v>
          </cell>
          <cell r="G634" t="str">
            <v>NSFC2108</v>
          </cell>
          <cell r="H634" t="str">
            <v>SK</v>
          </cell>
          <cell r="J634">
            <v>0</v>
          </cell>
          <cell r="K634">
            <v>4.25</v>
          </cell>
        </row>
        <row r="635">
          <cell r="D635" t="str">
            <v>085A</v>
          </cell>
          <cell r="E635">
            <v>11.26</v>
          </cell>
          <cell r="F635">
            <v>8.9499999999999993</v>
          </cell>
          <cell r="G635" t="str">
            <v>NSFC2108</v>
          </cell>
          <cell r="H635" t="str">
            <v>RC</v>
          </cell>
          <cell r="J635">
            <v>4.5</v>
          </cell>
          <cell r="K635">
            <v>4.9400000000000004</v>
          </cell>
        </row>
        <row r="636">
          <cell r="D636" t="str">
            <v>097D1</v>
          </cell>
          <cell r="E636">
            <v>11.7</v>
          </cell>
          <cell r="F636">
            <v>9.19</v>
          </cell>
          <cell r="G636" t="str">
            <v>NSFC2108</v>
          </cell>
          <cell r="H636" t="str">
            <v>RC</v>
          </cell>
          <cell r="J636">
            <v>4.5199999999999996</v>
          </cell>
          <cell r="K636">
            <v>4.8</v>
          </cell>
        </row>
        <row r="637">
          <cell r="D637" t="str">
            <v>074D</v>
          </cell>
          <cell r="E637">
            <v>8.18</v>
          </cell>
          <cell r="F637">
            <v>6.15</v>
          </cell>
          <cell r="G637" t="str">
            <v>NSFC2108</v>
          </cell>
          <cell r="H637" t="str">
            <v>SK</v>
          </cell>
          <cell r="J637">
            <v>0</v>
          </cell>
          <cell r="K637">
            <v>4.4400000000000004</v>
          </cell>
        </row>
        <row r="638">
          <cell r="D638" t="str">
            <v>008F9</v>
          </cell>
          <cell r="E638">
            <v>11.1</v>
          </cell>
          <cell r="F638">
            <v>8.85</v>
          </cell>
          <cell r="G638" t="str">
            <v>NSFC2108</v>
          </cell>
          <cell r="H638" t="str">
            <v>BB</v>
          </cell>
          <cell r="J638">
            <v>4.16</v>
          </cell>
          <cell r="K638">
            <v>4.84</v>
          </cell>
        </row>
        <row r="639">
          <cell r="D639" t="str">
            <v>068C</v>
          </cell>
          <cell r="E639">
            <v>9.36</v>
          </cell>
          <cell r="F639">
            <v>7.46</v>
          </cell>
          <cell r="G639" t="str">
            <v>NSFC2108</v>
          </cell>
          <cell r="H639" t="str">
            <v>SK</v>
          </cell>
          <cell r="J639">
            <v>4.38</v>
          </cell>
          <cell r="K639">
            <v>4.4400000000000004</v>
          </cell>
        </row>
        <row r="640">
          <cell r="D640" t="str">
            <v>075C</v>
          </cell>
          <cell r="E640">
            <v>12.38</v>
          </cell>
          <cell r="F640">
            <v>9.9</v>
          </cell>
          <cell r="G640" t="str">
            <v>NSFC2108</v>
          </cell>
          <cell r="H640" t="str">
            <v>RC</v>
          </cell>
          <cell r="I640" t="str">
            <v>PS NS</v>
          </cell>
          <cell r="J640">
            <v>4.93</v>
          </cell>
          <cell r="K640">
            <v>4.66</v>
          </cell>
        </row>
        <row r="641">
          <cell r="D641" t="str">
            <v>055H</v>
          </cell>
          <cell r="E641">
            <v>12.6</v>
          </cell>
          <cell r="F641">
            <v>9.8800000000000008</v>
          </cell>
          <cell r="G641" t="str">
            <v>NSFC2108</v>
          </cell>
          <cell r="H641" t="str">
            <v>RC</v>
          </cell>
          <cell r="I641" t="str">
            <v>PS NS</v>
          </cell>
          <cell r="J641">
            <v>4.6500000000000004</v>
          </cell>
          <cell r="K641">
            <v>5.05</v>
          </cell>
        </row>
        <row r="642">
          <cell r="D642" t="str">
            <v>055I</v>
          </cell>
          <cell r="E642">
            <v>5</v>
          </cell>
          <cell r="F642">
            <v>3.92</v>
          </cell>
          <cell r="G642" t="str">
            <v>NSFC2109</v>
          </cell>
          <cell r="H642" t="str">
            <v>RC</v>
          </cell>
          <cell r="I642" t="str">
            <v>PS NS</v>
          </cell>
          <cell r="J642">
            <v>0</v>
          </cell>
          <cell r="K642">
            <v>5.12</v>
          </cell>
        </row>
        <row r="643">
          <cell r="D643" t="str">
            <v>037E</v>
          </cell>
          <cell r="E643">
            <v>13.3</v>
          </cell>
          <cell r="F643">
            <v>10.52</v>
          </cell>
          <cell r="G643" t="str">
            <v>NSFC2108</v>
          </cell>
          <cell r="H643" t="str">
            <v>RC</v>
          </cell>
          <cell r="J643">
            <v>4.54</v>
          </cell>
          <cell r="K643">
            <v>4.5599999999999996</v>
          </cell>
        </row>
        <row r="644">
          <cell r="D644" t="str">
            <v>037C2</v>
          </cell>
          <cell r="E644">
            <v>5.03</v>
          </cell>
          <cell r="F644">
            <v>3.95</v>
          </cell>
          <cell r="G644" t="str">
            <v>NSFC2108</v>
          </cell>
          <cell r="H644" t="str">
            <v>RC</v>
          </cell>
          <cell r="J644">
            <v>4.22</v>
          </cell>
          <cell r="K644">
            <v>4.2</v>
          </cell>
        </row>
        <row r="645">
          <cell r="D645" t="str">
            <v>055C</v>
          </cell>
          <cell r="E645">
            <v>23.44</v>
          </cell>
          <cell r="F645">
            <v>18.61</v>
          </cell>
          <cell r="G645" t="str">
            <v>NSFC2109</v>
          </cell>
          <cell r="H645" t="str">
            <v>RC</v>
          </cell>
          <cell r="I645" t="str">
            <v>PS NS</v>
          </cell>
          <cell r="J645">
            <v>0</v>
          </cell>
          <cell r="K645">
            <v>4.58</v>
          </cell>
        </row>
        <row r="646">
          <cell r="D646" t="str">
            <v>074C</v>
          </cell>
          <cell r="E646">
            <v>10.88</v>
          </cell>
          <cell r="F646">
            <v>8.6999999999999993</v>
          </cell>
          <cell r="G646" t="str">
            <v>NSFC2108</v>
          </cell>
          <cell r="H646" t="str">
            <v>SK</v>
          </cell>
          <cell r="J646">
            <v>0</v>
          </cell>
          <cell r="K646">
            <v>4.5549999999999997</v>
          </cell>
        </row>
        <row r="647">
          <cell r="D647" t="str">
            <v>082A</v>
          </cell>
          <cell r="E647">
            <v>17.96</v>
          </cell>
          <cell r="F647">
            <v>14.13</v>
          </cell>
          <cell r="G647" t="str">
            <v>NSFC2109</v>
          </cell>
          <cell r="H647" t="str">
            <v>RC</v>
          </cell>
          <cell r="J647">
            <v>4.5</v>
          </cell>
          <cell r="K647">
            <v>4.8150000000000004</v>
          </cell>
        </row>
        <row r="648">
          <cell r="D648" t="str">
            <v>074B</v>
          </cell>
          <cell r="E648">
            <v>5.2</v>
          </cell>
          <cell r="F648">
            <v>4.17</v>
          </cell>
          <cell r="G648" t="str">
            <v>NSFC2108</v>
          </cell>
          <cell r="H648" t="str">
            <v>SK</v>
          </cell>
          <cell r="J648">
            <v>0</v>
          </cell>
          <cell r="K648">
            <v>4.2699999999999996</v>
          </cell>
        </row>
        <row r="649">
          <cell r="D649" t="str">
            <v>090C</v>
          </cell>
          <cell r="E649">
            <v>10.1</v>
          </cell>
          <cell r="F649">
            <v>7.88</v>
          </cell>
          <cell r="G649" t="str">
            <v>NSFC2109</v>
          </cell>
          <cell r="H649" t="str">
            <v>BB</v>
          </cell>
          <cell r="J649">
            <v>4.34</v>
          </cell>
          <cell r="K649">
            <v>4.7</v>
          </cell>
        </row>
        <row r="650">
          <cell r="D650" t="str">
            <v>061C</v>
          </cell>
          <cell r="E650">
            <v>13.98</v>
          </cell>
          <cell r="F650">
            <v>11.03</v>
          </cell>
          <cell r="G650" t="str">
            <v>NSFC2109</v>
          </cell>
          <cell r="H650" t="str">
            <v>BB</v>
          </cell>
          <cell r="J650">
            <v>4.43</v>
          </cell>
          <cell r="K650">
            <v>4.49</v>
          </cell>
        </row>
        <row r="651">
          <cell r="D651" t="str">
            <v>090D</v>
          </cell>
          <cell r="E651">
            <v>12.68</v>
          </cell>
          <cell r="F651">
            <v>9.9</v>
          </cell>
          <cell r="G651" t="str">
            <v>NSFC2109</v>
          </cell>
          <cell r="H651" t="str">
            <v>RC</v>
          </cell>
          <cell r="J651">
            <v>4.4249999999999998</v>
          </cell>
          <cell r="K651">
            <v>4.6100000000000003</v>
          </cell>
        </row>
        <row r="652">
          <cell r="D652" t="str">
            <v>024I</v>
          </cell>
          <cell r="E652">
            <v>14.3</v>
          </cell>
          <cell r="F652">
            <v>11.33</v>
          </cell>
          <cell r="G652" t="str">
            <v>NSFC2109</v>
          </cell>
          <cell r="H652" t="str">
            <v>RC</v>
          </cell>
          <cell r="I652" t="str">
            <v>PS NS</v>
          </cell>
          <cell r="J652">
            <v>4.58</v>
          </cell>
          <cell r="K652">
            <v>4.9800000000000004</v>
          </cell>
        </row>
        <row r="653">
          <cell r="D653" t="str">
            <v>090E</v>
          </cell>
          <cell r="E653">
            <v>14.2</v>
          </cell>
          <cell r="F653">
            <v>11.24</v>
          </cell>
          <cell r="G653" t="str">
            <v>NSFC2109</v>
          </cell>
          <cell r="H653" t="str">
            <v>BB</v>
          </cell>
          <cell r="J653">
            <v>4.2</v>
          </cell>
          <cell r="K653">
            <v>4.54</v>
          </cell>
        </row>
        <row r="654">
          <cell r="D654" t="str">
            <v>016B</v>
          </cell>
          <cell r="E654">
            <v>14.2</v>
          </cell>
          <cell r="F654">
            <v>11.2</v>
          </cell>
          <cell r="G654" t="str">
            <v>NSFC2109</v>
          </cell>
          <cell r="H654" t="str">
            <v>RC</v>
          </cell>
          <cell r="J654">
            <v>4.49</v>
          </cell>
          <cell r="K654">
            <v>4.22</v>
          </cell>
        </row>
        <row r="655">
          <cell r="D655" t="str">
            <v>025E</v>
          </cell>
          <cell r="E655">
            <v>10.65</v>
          </cell>
          <cell r="F655">
            <v>8.35</v>
          </cell>
          <cell r="G655" t="str">
            <v>NSFC2109</v>
          </cell>
          <cell r="H655" t="str">
            <v>RC</v>
          </cell>
          <cell r="J655">
            <v>4.1900000000000004</v>
          </cell>
          <cell r="K655">
            <v>4.05</v>
          </cell>
        </row>
        <row r="656">
          <cell r="D656" t="str">
            <v>074A</v>
          </cell>
          <cell r="E656">
            <v>9.3000000000000007</v>
          </cell>
          <cell r="F656">
            <v>7.48</v>
          </cell>
          <cell r="G656" t="str">
            <v>NSFC2109</v>
          </cell>
          <cell r="H656" t="str">
            <v>SK</v>
          </cell>
          <cell r="J656">
            <v>0</v>
          </cell>
          <cell r="K656">
            <v>4.28</v>
          </cell>
        </row>
        <row r="657">
          <cell r="D657" t="str">
            <v>083F</v>
          </cell>
          <cell r="E657">
            <v>11.42</v>
          </cell>
          <cell r="F657">
            <v>9.16</v>
          </cell>
          <cell r="G657" t="str">
            <v>NSFC2109</v>
          </cell>
          <cell r="H657" t="str">
            <v>RC</v>
          </cell>
          <cell r="J657">
            <v>4.2300000000000004</v>
          </cell>
          <cell r="K657">
            <v>4.6500000000000004</v>
          </cell>
        </row>
        <row r="658">
          <cell r="D658" t="str">
            <v>063A</v>
          </cell>
          <cell r="E658">
            <v>12.6</v>
          </cell>
          <cell r="F658">
            <v>9.9700000000000006</v>
          </cell>
          <cell r="G658" t="str">
            <v>NSFC2109</v>
          </cell>
          <cell r="H658" t="str">
            <v>RC</v>
          </cell>
          <cell r="I658" t="str">
            <v>PS NS</v>
          </cell>
          <cell r="J658">
            <v>4.51</v>
          </cell>
          <cell r="K658">
            <v>4.74</v>
          </cell>
        </row>
        <row r="659">
          <cell r="D659" t="str">
            <v>099B1</v>
          </cell>
          <cell r="E659">
            <v>6.81</v>
          </cell>
          <cell r="F659">
            <v>5.4</v>
          </cell>
          <cell r="G659" t="str">
            <v>NSFC2110</v>
          </cell>
          <cell r="H659" t="str">
            <v>RC</v>
          </cell>
          <cell r="J659">
            <v>4.34</v>
          </cell>
          <cell r="K659">
            <v>4.6500000000000004</v>
          </cell>
        </row>
        <row r="660">
          <cell r="D660" t="str">
            <v>074G</v>
          </cell>
          <cell r="E660">
            <v>8.26</v>
          </cell>
          <cell r="F660">
            <v>6.5</v>
          </cell>
          <cell r="G660" t="str">
            <v>NSFC2110</v>
          </cell>
          <cell r="H660" t="str">
            <v>SK</v>
          </cell>
          <cell r="J660">
            <v>0</v>
          </cell>
          <cell r="K660">
            <v>0</v>
          </cell>
        </row>
        <row r="661">
          <cell r="D661" t="str">
            <v>082H</v>
          </cell>
          <cell r="E661">
            <v>12.2</v>
          </cell>
          <cell r="F661">
            <v>9.58</v>
          </cell>
          <cell r="G661" t="str">
            <v>NSFC2110</v>
          </cell>
          <cell r="H661" t="str">
            <v>RC</v>
          </cell>
          <cell r="J661">
            <v>4.33</v>
          </cell>
          <cell r="K661">
            <v>4.0199999999999996</v>
          </cell>
        </row>
        <row r="662">
          <cell r="D662" t="str">
            <v>082I</v>
          </cell>
          <cell r="E662">
            <v>14.24</v>
          </cell>
          <cell r="F662">
            <v>11.22</v>
          </cell>
          <cell r="G662" t="str">
            <v>NSFC2110</v>
          </cell>
          <cell r="H662" t="str">
            <v>RC</v>
          </cell>
          <cell r="J662">
            <v>4.3600000000000003</v>
          </cell>
          <cell r="K662">
            <v>4.62</v>
          </cell>
        </row>
        <row r="663">
          <cell r="D663" t="str">
            <v>063B</v>
          </cell>
          <cell r="E663">
            <v>14.58</v>
          </cell>
          <cell r="F663">
            <v>11.4</v>
          </cell>
          <cell r="G663" t="str">
            <v>NSFC2110</v>
          </cell>
          <cell r="H663" t="str">
            <v>RC</v>
          </cell>
          <cell r="I663" t="str">
            <v>PS NS</v>
          </cell>
          <cell r="J663">
            <v>4.18</v>
          </cell>
          <cell r="K663">
            <v>4.16</v>
          </cell>
        </row>
        <row r="664">
          <cell r="D664" t="str">
            <v>099B</v>
          </cell>
          <cell r="E664">
            <v>8.7200000000000006</v>
          </cell>
          <cell r="F664">
            <v>6.93</v>
          </cell>
          <cell r="G664" t="str">
            <v>NSFC2110</v>
          </cell>
          <cell r="H664" t="str">
            <v>BB</v>
          </cell>
          <cell r="J664">
            <v>4.6500000000000004</v>
          </cell>
          <cell r="K664">
            <v>4.41</v>
          </cell>
        </row>
        <row r="665">
          <cell r="D665" t="str">
            <v>050C1</v>
          </cell>
          <cell r="E665">
            <v>8.86</v>
          </cell>
          <cell r="F665">
            <v>6.83</v>
          </cell>
          <cell r="G665" t="str">
            <v>NSFC2110</v>
          </cell>
          <cell r="H665" t="str">
            <v>RC</v>
          </cell>
          <cell r="I665" t="str">
            <v>PS NS NS</v>
          </cell>
          <cell r="J665">
            <v>4.28</v>
          </cell>
          <cell r="K665">
            <v>4.4000000000000004</v>
          </cell>
        </row>
        <row r="666">
          <cell r="D666" t="str">
            <v>048C</v>
          </cell>
          <cell r="E666">
            <v>7.83</v>
          </cell>
          <cell r="F666">
            <v>6.27</v>
          </cell>
          <cell r="G666" t="str">
            <v>NSFC2110</v>
          </cell>
          <cell r="H666" t="str">
            <v>BB</v>
          </cell>
          <cell r="J666">
            <v>0</v>
          </cell>
          <cell r="K666">
            <v>4.4050000000000002</v>
          </cell>
        </row>
        <row r="667">
          <cell r="D667" t="str">
            <v>026D</v>
          </cell>
          <cell r="E667">
            <v>10.8</v>
          </cell>
          <cell r="F667">
            <v>9.3000000000000007</v>
          </cell>
          <cell r="G667" t="str">
            <v>NSFC2110</v>
          </cell>
          <cell r="H667" t="str">
            <v>RC</v>
          </cell>
          <cell r="J667">
            <v>4.625</v>
          </cell>
          <cell r="K667">
            <v>4.5</v>
          </cell>
        </row>
        <row r="668">
          <cell r="D668" t="str">
            <v>022A</v>
          </cell>
          <cell r="E668">
            <v>10.46</v>
          </cell>
          <cell r="F668">
            <v>8.1999999999999993</v>
          </cell>
          <cell r="G668" t="str">
            <v>NSFC2110</v>
          </cell>
          <cell r="H668" t="str">
            <v>RC</v>
          </cell>
          <cell r="J668">
            <v>4.585</v>
          </cell>
          <cell r="K668">
            <v>4.55</v>
          </cell>
        </row>
        <row r="669">
          <cell r="D669" t="str">
            <v>074F</v>
          </cell>
          <cell r="E669">
            <v>8.93</v>
          </cell>
          <cell r="F669">
            <v>7.05</v>
          </cell>
          <cell r="G669" t="str">
            <v>NSFC2110</v>
          </cell>
          <cell r="H669" t="str">
            <v>SK</v>
          </cell>
          <cell r="J669">
            <v>0</v>
          </cell>
          <cell r="K669">
            <v>4.33</v>
          </cell>
        </row>
        <row r="670">
          <cell r="D670" t="str">
            <v>055F</v>
          </cell>
          <cell r="E670">
            <v>15.46</v>
          </cell>
          <cell r="F670">
            <v>12.28</v>
          </cell>
          <cell r="G670" t="str">
            <v>NSFC2110</v>
          </cell>
          <cell r="H670" t="str">
            <v>RC</v>
          </cell>
          <cell r="I670" t="str">
            <v>PS NS</v>
          </cell>
          <cell r="J670">
            <v>5.34</v>
          </cell>
          <cell r="K670">
            <v>4.7649999999999997</v>
          </cell>
        </row>
        <row r="671">
          <cell r="D671" t="str">
            <v>074H1</v>
          </cell>
          <cell r="E671">
            <v>8.4600000000000009</v>
          </cell>
          <cell r="F671">
            <v>6.63</v>
          </cell>
          <cell r="G671" t="str">
            <v>NSFC2110</v>
          </cell>
          <cell r="H671" t="str">
            <v>SK</v>
          </cell>
          <cell r="J671">
            <v>0</v>
          </cell>
          <cell r="K671">
            <v>4.22</v>
          </cell>
        </row>
        <row r="672">
          <cell r="D672" t="str">
            <v>059D</v>
          </cell>
          <cell r="E672">
            <v>7.61</v>
          </cell>
          <cell r="F672">
            <v>6.2</v>
          </cell>
          <cell r="G672" t="str">
            <v>NSFC2110</v>
          </cell>
          <cell r="H672" t="str">
            <v>RC</v>
          </cell>
          <cell r="I672" t="str">
            <v>PS NS NS</v>
          </cell>
          <cell r="J672">
            <v>0</v>
          </cell>
          <cell r="K672">
            <v>4.42</v>
          </cell>
        </row>
        <row r="673">
          <cell r="D673" t="str">
            <v>034E1</v>
          </cell>
          <cell r="E673">
            <v>6.7</v>
          </cell>
          <cell r="F673">
            <v>5.23</v>
          </cell>
          <cell r="G673" t="str">
            <v>NSFC2110</v>
          </cell>
          <cell r="H673" t="str">
            <v>RC</v>
          </cell>
          <cell r="J673">
            <v>0</v>
          </cell>
          <cell r="K673">
            <v>4.6550000000000002</v>
          </cell>
        </row>
        <row r="674">
          <cell r="D674" t="str">
            <v>027G</v>
          </cell>
          <cell r="E674">
            <v>8.4</v>
          </cell>
          <cell r="F674">
            <v>6.75</v>
          </cell>
          <cell r="G674" t="str">
            <v>NSFC2110</v>
          </cell>
          <cell r="H674" t="str">
            <v>BB</v>
          </cell>
          <cell r="J674">
            <v>4.4000000000000004</v>
          </cell>
          <cell r="K674">
            <v>4.5449999999999999</v>
          </cell>
        </row>
        <row r="675">
          <cell r="D675" t="str">
            <v>093B</v>
          </cell>
          <cell r="E675">
            <v>8.52</v>
          </cell>
          <cell r="F675">
            <v>6.81</v>
          </cell>
          <cell r="G675" t="str">
            <v>NSFC2111</v>
          </cell>
          <cell r="H675" t="str">
            <v>RC</v>
          </cell>
          <cell r="J675">
            <v>0</v>
          </cell>
          <cell r="K675">
            <v>4.55</v>
          </cell>
        </row>
        <row r="676">
          <cell r="D676" t="str">
            <v>057D</v>
          </cell>
          <cell r="E676">
            <v>7.66</v>
          </cell>
          <cell r="F676">
            <v>6.13</v>
          </cell>
          <cell r="G676" t="str">
            <v>NSFC2110</v>
          </cell>
          <cell r="H676" t="str">
            <v>RC</v>
          </cell>
          <cell r="J676">
            <v>4.5</v>
          </cell>
          <cell r="K676">
            <v>4.625</v>
          </cell>
        </row>
        <row r="677">
          <cell r="D677" t="str">
            <v>018F</v>
          </cell>
          <cell r="E677">
            <v>14.78</v>
          </cell>
          <cell r="F677">
            <v>11.63</v>
          </cell>
          <cell r="G677" t="str">
            <v>NSFC2111</v>
          </cell>
          <cell r="H677" t="str">
            <v>RC</v>
          </cell>
          <cell r="I677" t="str">
            <v>PS NS</v>
          </cell>
          <cell r="J677">
            <v>5.0949999999999998</v>
          </cell>
          <cell r="K677">
            <v>5.165</v>
          </cell>
        </row>
        <row r="678">
          <cell r="D678" t="str">
            <v>099A</v>
          </cell>
          <cell r="E678">
            <v>11.45</v>
          </cell>
          <cell r="F678">
            <v>9.09</v>
          </cell>
          <cell r="G678" t="str">
            <v>NSFC2111</v>
          </cell>
          <cell r="H678" t="str">
            <v>BB</v>
          </cell>
          <cell r="J678">
            <v>4.58</v>
          </cell>
          <cell r="K678">
            <v>4.5999999999999996</v>
          </cell>
        </row>
        <row r="679">
          <cell r="D679" t="str">
            <v>028C</v>
          </cell>
          <cell r="E679">
            <v>13.42</v>
          </cell>
          <cell r="F679">
            <v>10.52</v>
          </cell>
          <cell r="G679" t="str">
            <v>NSFC2111</v>
          </cell>
          <cell r="H679" t="str">
            <v>RC</v>
          </cell>
          <cell r="J679">
            <v>4.4850000000000003</v>
          </cell>
          <cell r="K679">
            <v>4.625</v>
          </cell>
        </row>
        <row r="680">
          <cell r="D680" t="str">
            <v>076A5</v>
          </cell>
          <cell r="E680">
            <v>6.62</v>
          </cell>
          <cell r="F680">
            <v>5.1100000000000003</v>
          </cell>
          <cell r="G680" t="str">
            <v>NSFC2112</v>
          </cell>
          <cell r="H680" t="str">
            <v>NR</v>
          </cell>
          <cell r="J680">
            <v>0</v>
          </cell>
          <cell r="K680">
            <v>4.4749999999999996</v>
          </cell>
        </row>
        <row r="681">
          <cell r="D681" t="str">
            <v>074E</v>
          </cell>
          <cell r="E681">
            <v>9.0500000000000007</v>
          </cell>
          <cell r="F681">
            <v>7.1</v>
          </cell>
          <cell r="G681" t="str">
            <v>NSFC2112</v>
          </cell>
          <cell r="H681" t="str">
            <v>SK</v>
          </cell>
          <cell r="J681">
            <v>0</v>
          </cell>
          <cell r="K681">
            <v>4.29</v>
          </cell>
        </row>
        <row r="682">
          <cell r="D682" t="str">
            <v>088C2</v>
          </cell>
          <cell r="E682">
            <v>12.02</v>
          </cell>
          <cell r="F682">
            <v>9.4600000000000009</v>
          </cell>
          <cell r="G682" t="str">
            <v>NSFC2112</v>
          </cell>
          <cell r="H682" t="str">
            <v>RC</v>
          </cell>
          <cell r="I682" t="str">
            <v>PS NS NS</v>
          </cell>
          <cell r="J682">
            <v>4.7699999999999996</v>
          </cell>
          <cell r="K682">
            <v>4.7549999999999999</v>
          </cell>
        </row>
        <row r="683">
          <cell r="D683" t="str">
            <v>076E2</v>
          </cell>
          <cell r="E683">
            <v>4.95</v>
          </cell>
          <cell r="F683">
            <v>3.92</v>
          </cell>
          <cell r="G683" t="str">
            <v>NSFC2112</v>
          </cell>
          <cell r="H683" t="str">
            <v>NR</v>
          </cell>
          <cell r="J683">
            <v>0</v>
          </cell>
          <cell r="K683">
            <v>4.3600000000000003</v>
          </cell>
        </row>
        <row r="684">
          <cell r="D684" t="str">
            <v>039C</v>
          </cell>
          <cell r="E684">
            <v>18.62</v>
          </cell>
          <cell r="F684">
            <v>14.38</v>
          </cell>
          <cell r="G684" t="str">
            <v>NSFC2111</v>
          </cell>
          <cell r="H684" t="str">
            <v>BB</v>
          </cell>
          <cell r="J684">
            <v>4.34</v>
          </cell>
          <cell r="K684">
            <v>4.72</v>
          </cell>
        </row>
        <row r="685">
          <cell r="D685" t="str">
            <v>056F</v>
          </cell>
          <cell r="E685">
            <v>13.15</v>
          </cell>
          <cell r="F685">
            <v>10.06</v>
          </cell>
          <cell r="G685" t="str">
            <v>NSFC2112</v>
          </cell>
          <cell r="H685" t="str">
            <v>BB</v>
          </cell>
          <cell r="J685">
            <v>4.29</v>
          </cell>
          <cell r="K685">
            <v>4.2300000000000004</v>
          </cell>
        </row>
        <row r="686">
          <cell r="D686" t="str">
            <v>059C</v>
          </cell>
          <cell r="E686">
            <v>8.9700000000000006</v>
          </cell>
          <cell r="F686">
            <v>7.03</v>
          </cell>
          <cell r="G686" t="str">
            <v>NSFC2112</v>
          </cell>
          <cell r="H686" t="str">
            <v>RC</v>
          </cell>
          <cell r="I686" t="str">
            <v>PS NS NS</v>
          </cell>
          <cell r="J686">
            <v>4.63</v>
          </cell>
          <cell r="K686">
            <v>0</v>
          </cell>
        </row>
        <row r="687">
          <cell r="D687" t="str">
            <v>095B</v>
          </cell>
          <cell r="E687">
            <v>8.66</v>
          </cell>
          <cell r="F687">
            <v>6.6</v>
          </cell>
          <cell r="G687" t="str">
            <v>NSFC2112</v>
          </cell>
          <cell r="H687" t="str">
            <v>RC</v>
          </cell>
          <cell r="J687">
            <v>4.22</v>
          </cell>
          <cell r="K687">
            <v>4.4850000000000003</v>
          </cell>
        </row>
        <row r="688">
          <cell r="D688" t="str">
            <v>079C</v>
          </cell>
          <cell r="E688">
            <v>6.6</v>
          </cell>
          <cell r="F688">
            <v>5.26</v>
          </cell>
          <cell r="G688" t="str">
            <v>NSFC2112</v>
          </cell>
          <cell r="H688" t="str">
            <v>RC</v>
          </cell>
          <cell r="I688" t="str">
            <v>PS NS NS</v>
          </cell>
          <cell r="J688">
            <v>4.45</v>
          </cell>
          <cell r="K688">
            <v>4.66</v>
          </cell>
        </row>
        <row r="689">
          <cell r="D689" t="str">
            <v>077C1</v>
          </cell>
          <cell r="E689">
            <v>8.8000000000000007</v>
          </cell>
          <cell r="F689">
            <v>6.8</v>
          </cell>
          <cell r="G689" t="str">
            <v>NSFC2112</v>
          </cell>
          <cell r="H689" t="str">
            <v>RC</v>
          </cell>
          <cell r="J689">
            <v>4.4050000000000002</v>
          </cell>
          <cell r="K689">
            <v>4.66</v>
          </cell>
        </row>
        <row r="690">
          <cell r="D690" t="str">
            <v>072G</v>
          </cell>
          <cell r="E690">
            <v>7.92</v>
          </cell>
          <cell r="F690">
            <v>6.05</v>
          </cell>
          <cell r="G690" t="str">
            <v>NSFC2112</v>
          </cell>
          <cell r="H690" t="str">
            <v>RC</v>
          </cell>
          <cell r="I690" t="str">
            <v>PS NS NS NS</v>
          </cell>
          <cell r="J690">
            <v>4.25</v>
          </cell>
          <cell r="K690">
            <v>4.4400000000000004</v>
          </cell>
        </row>
        <row r="691">
          <cell r="D691" t="str">
            <v>056F1</v>
          </cell>
          <cell r="E691">
            <v>9.48</v>
          </cell>
          <cell r="F691">
            <v>7.25</v>
          </cell>
          <cell r="G691" t="str">
            <v>NSFC2112</v>
          </cell>
          <cell r="H691" t="str">
            <v>BB</v>
          </cell>
          <cell r="J691">
            <v>4.3449999999999998</v>
          </cell>
          <cell r="K691">
            <v>4.47</v>
          </cell>
        </row>
        <row r="692">
          <cell r="D692" t="str">
            <v>020G</v>
          </cell>
          <cell r="E692">
            <v>7.6</v>
          </cell>
          <cell r="F692">
            <v>5.76</v>
          </cell>
          <cell r="G692" t="str">
            <v>NSFC2112</v>
          </cell>
          <cell r="H692" t="str">
            <v>PS</v>
          </cell>
          <cell r="I692" t="str">
            <v>PS</v>
          </cell>
          <cell r="J692">
            <v>5.18</v>
          </cell>
          <cell r="K692">
            <v>5.6550000000000002</v>
          </cell>
        </row>
        <row r="693">
          <cell r="D693" t="str">
            <v>038E</v>
          </cell>
          <cell r="E693">
            <v>8.2100000000000009</v>
          </cell>
          <cell r="F693">
            <v>6.41</v>
          </cell>
          <cell r="G693" t="str">
            <v>NSFC2112</v>
          </cell>
          <cell r="H693" t="str">
            <v>RC</v>
          </cell>
          <cell r="J693">
            <v>4.29</v>
          </cell>
          <cell r="K693">
            <v>4.2949999999999999</v>
          </cell>
        </row>
        <row r="694">
          <cell r="D694" t="str">
            <v>070G</v>
          </cell>
          <cell r="E694">
            <v>5.46</v>
          </cell>
          <cell r="F694">
            <v>4.25</v>
          </cell>
          <cell r="G694" t="str">
            <v>NSFC2112</v>
          </cell>
          <cell r="H694" t="str">
            <v>RC</v>
          </cell>
          <cell r="J694">
            <v>4.165</v>
          </cell>
          <cell r="K694">
            <v>4.13</v>
          </cell>
        </row>
        <row r="695">
          <cell r="D695" t="str">
            <v>004J2</v>
          </cell>
          <cell r="E695">
            <v>5.24</v>
          </cell>
          <cell r="F695">
            <v>3.98</v>
          </cell>
          <cell r="G695" t="str">
            <v>NSFC2112</v>
          </cell>
          <cell r="H695" t="str">
            <v>PS</v>
          </cell>
          <cell r="I695" t="str">
            <v>PS JG</v>
          </cell>
          <cell r="J695">
            <v>5.3949999999999996</v>
          </cell>
          <cell r="K695">
            <v>5.0599999999999996</v>
          </cell>
        </row>
        <row r="696">
          <cell r="D696" t="str">
            <v>088A</v>
          </cell>
          <cell r="E696">
            <v>11.56</v>
          </cell>
          <cell r="F696">
            <v>8.9499999999999993</v>
          </cell>
          <cell r="G696" t="str">
            <v>NSFC2201</v>
          </cell>
          <cell r="H696" t="str">
            <v>RC</v>
          </cell>
          <cell r="I696" t="str">
            <v>PS NS NS</v>
          </cell>
          <cell r="J696">
            <v>4.3099999999999996</v>
          </cell>
          <cell r="K696">
            <v>4.9850000000000003</v>
          </cell>
        </row>
        <row r="697">
          <cell r="D697" t="str">
            <v>060C</v>
          </cell>
          <cell r="E697">
            <v>13.27</v>
          </cell>
          <cell r="F697">
            <v>10.14</v>
          </cell>
          <cell r="G697" t="str">
            <v>NSFC2201</v>
          </cell>
          <cell r="H697" t="str">
            <v>BB</v>
          </cell>
          <cell r="I697" t="str">
            <v>PS NS NS</v>
          </cell>
          <cell r="J697">
            <v>5.29</v>
          </cell>
          <cell r="K697">
            <v>4.91</v>
          </cell>
        </row>
        <row r="698">
          <cell r="D698" t="str">
            <v>088B</v>
          </cell>
          <cell r="E698">
            <v>8.2799999999999994</v>
          </cell>
          <cell r="F698">
            <v>6.41</v>
          </cell>
          <cell r="G698" t="str">
            <v>NSFC2201</v>
          </cell>
          <cell r="H698" t="str">
            <v>RC</v>
          </cell>
          <cell r="I698" t="str">
            <v>PS NS NS</v>
          </cell>
          <cell r="J698">
            <v>4.62</v>
          </cell>
          <cell r="K698">
            <v>4.6150000000000002</v>
          </cell>
        </row>
        <row r="699">
          <cell r="D699" t="str">
            <v>021A</v>
          </cell>
          <cell r="E699">
            <v>9.66</v>
          </cell>
          <cell r="F699">
            <v>7.65</v>
          </cell>
          <cell r="G699" t="str">
            <v>NSFC2201</v>
          </cell>
          <cell r="H699" t="str">
            <v>RC</v>
          </cell>
          <cell r="J699">
            <v>4.4749999999999996</v>
          </cell>
          <cell r="K699">
            <v>4.6749999999999998</v>
          </cell>
        </row>
        <row r="700">
          <cell r="D700" t="str">
            <v>077C</v>
          </cell>
          <cell r="E700">
            <v>14.32</v>
          </cell>
          <cell r="F700">
            <v>11.2</v>
          </cell>
          <cell r="G700" t="str">
            <v>NSFC2201</v>
          </cell>
          <cell r="H700" t="str">
            <v>RC</v>
          </cell>
          <cell r="J700">
            <v>4.71</v>
          </cell>
          <cell r="K700">
            <v>4.6900000000000004</v>
          </cell>
        </row>
        <row r="701">
          <cell r="D701" t="str">
            <v>071A</v>
          </cell>
          <cell r="E701">
            <v>14.62</v>
          </cell>
          <cell r="F701">
            <v>11.27</v>
          </cell>
          <cell r="G701" t="str">
            <v>NSFC2201</v>
          </cell>
          <cell r="H701" t="str">
            <v>RC</v>
          </cell>
          <cell r="J701">
            <v>4.5199999999999996</v>
          </cell>
          <cell r="K701">
            <v>4.4649999999999999</v>
          </cell>
        </row>
        <row r="702">
          <cell r="D702" t="str">
            <v>028Q</v>
          </cell>
          <cell r="E702">
            <v>10</v>
          </cell>
          <cell r="F702">
            <v>7.82</v>
          </cell>
          <cell r="G702" t="str">
            <v>NSFC2202</v>
          </cell>
          <cell r="H702" t="str">
            <v>BB</v>
          </cell>
          <cell r="J702">
            <v>0</v>
          </cell>
          <cell r="K702">
            <v>0</v>
          </cell>
        </row>
        <row r="703">
          <cell r="D703" t="str">
            <v>032A</v>
          </cell>
          <cell r="E703">
            <v>11.52</v>
          </cell>
          <cell r="F703">
            <v>9.2100000000000009</v>
          </cell>
          <cell r="G703" t="str">
            <v>NSFC2201</v>
          </cell>
          <cell r="H703" t="str">
            <v>RC</v>
          </cell>
          <cell r="I703" t="str">
            <v>PS NS</v>
          </cell>
          <cell r="J703">
            <v>4.7750000000000004</v>
          </cell>
          <cell r="K703">
            <v>4.8499999999999996</v>
          </cell>
        </row>
        <row r="704">
          <cell r="D704" t="str">
            <v>021E</v>
          </cell>
          <cell r="E704">
            <v>10.14</v>
          </cell>
          <cell r="F704">
            <v>8.01</v>
          </cell>
          <cell r="G704" t="str">
            <v>NSFC2201</v>
          </cell>
          <cell r="H704" t="str">
            <v>RC</v>
          </cell>
          <cell r="J704">
            <v>4.66</v>
          </cell>
          <cell r="K704">
            <v>5.31</v>
          </cell>
        </row>
        <row r="705">
          <cell r="D705" t="str">
            <v>032E</v>
          </cell>
          <cell r="E705">
            <v>16.53</v>
          </cell>
          <cell r="F705">
            <v>13.18</v>
          </cell>
          <cell r="G705" t="str">
            <v>NSFC2201</v>
          </cell>
          <cell r="H705" t="str">
            <v>RC</v>
          </cell>
          <cell r="I705" t="str">
            <v>PS NS</v>
          </cell>
          <cell r="J705">
            <v>4.7750000000000004</v>
          </cell>
          <cell r="K705">
            <v>4.92</v>
          </cell>
        </row>
        <row r="706">
          <cell r="D706" t="str">
            <v>076D</v>
          </cell>
          <cell r="E706">
            <v>7.13</v>
          </cell>
          <cell r="F706">
            <v>5.73</v>
          </cell>
          <cell r="G706" t="str">
            <v>NSFC2201</v>
          </cell>
          <cell r="H706" t="str">
            <v>RC</v>
          </cell>
          <cell r="J706">
            <v>4.3499999999999996</v>
          </cell>
          <cell r="K706">
            <v>4.5149999999999997</v>
          </cell>
        </row>
        <row r="707">
          <cell r="D707" t="str">
            <v>021F</v>
          </cell>
          <cell r="E707">
            <v>12.84</v>
          </cell>
          <cell r="F707">
            <v>10.16</v>
          </cell>
          <cell r="G707" t="str">
            <v>NSFC2201</v>
          </cell>
          <cell r="H707" t="str">
            <v>RC</v>
          </cell>
          <cell r="J707">
            <v>4.4550000000000001</v>
          </cell>
          <cell r="K707">
            <v>4.3650000000000002</v>
          </cell>
        </row>
        <row r="708">
          <cell r="D708" t="str">
            <v>032B</v>
          </cell>
          <cell r="E708">
            <v>12.15</v>
          </cell>
          <cell r="F708">
            <v>9.68</v>
          </cell>
          <cell r="G708" t="str">
            <v>NSFC2201</v>
          </cell>
          <cell r="H708" t="str">
            <v>RC</v>
          </cell>
          <cell r="I708" t="str">
            <v>PS NS</v>
          </cell>
          <cell r="J708">
            <v>4.875</v>
          </cell>
          <cell r="K708">
            <v>5</v>
          </cell>
        </row>
        <row r="709">
          <cell r="D709" t="str">
            <v>010A</v>
          </cell>
          <cell r="E709">
            <v>5.9</v>
          </cell>
          <cell r="F709">
            <v>4.78</v>
          </cell>
          <cell r="G709" t="str">
            <v>NSFC2201</v>
          </cell>
          <cell r="H709" t="str">
            <v>RC</v>
          </cell>
          <cell r="I709" t="str">
            <v>PS NS</v>
          </cell>
          <cell r="J709">
            <v>4.9550000000000001</v>
          </cell>
          <cell r="K709">
            <v>4.8849999999999998</v>
          </cell>
        </row>
        <row r="710">
          <cell r="D710" t="str">
            <v>033B2</v>
          </cell>
          <cell r="E710">
            <v>11.33</v>
          </cell>
          <cell r="F710">
            <v>9.15</v>
          </cell>
          <cell r="G710" t="str">
            <v>NSFC2201</v>
          </cell>
          <cell r="H710" t="str">
            <v>RC</v>
          </cell>
          <cell r="J710">
            <v>4.42</v>
          </cell>
          <cell r="K710">
            <v>4.76</v>
          </cell>
        </row>
        <row r="711">
          <cell r="D711" t="str">
            <v>076E1</v>
          </cell>
          <cell r="E711">
            <v>13</v>
          </cell>
          <cell r="F711">
            <v>9.98</v>
          </cell>
          <cell r="G711" t="str">
            <v>NSFC2201</v>
          </cell>
          <cell r="H711" t="str">
            <v>NR</v>
          </cell>
          <cell r="J711">
            <v>0</v>
          </cell>
          <cell r="K711">
            <v>4.3449999999999998</v>
          </cell>
        </row>
        <row r="712">
          <cell r="D712" t="str">
            <v>098M</v>
          </cell>
          <cell r="E712">
            <v>8.5399999999999991</v>
          </cell>
          <cell r="F712">
            <v>6.82</v>
          </cell>
          <cell r="G712" t="str">
            <v>NSFC2201</v>
          </cell>
          <cell r="H712" t="str">
            <v>BB</v>
          </cell>
          <cell r="J712">
            <v>3.3450000000000002</v>
          </cell>
          <cell r="K712">
            <v>4.62</v>
          </cell>
        </row>
        <row r="713">
          <cell r="D713" t="str">
            <v>006D</v>
          </cell>
          <cell r="E713">
            <v>5.43</v>
          </cell>
          <cell r="F713">
            <v>4.28</v>
          </cell>
          <cell r="G713" t="str">
            <v>NSFC2202</v>
          </cell>
          <cell r="H713" t="str">
            <v>PS</v>
          </cell>
          <cell r="I713" t="str">
            <v>PS</v>
          </cell>
          <cell r="J713">
            <v>0</v>
          </cell>
          <cell r="K713">
            <v>5.0199999999999996</v>
          </cell>
        </row>
        <row r="714">
          <cell r="D714" t="str">
            <v>017M</v>
          </cell>
          <cell r="E714">
            <v>3.26</v>
          </cell>
          <cell r="F714">
            <v>2.61</v>
          </cell>
          <cell r="G714" t="str">
            <v>NSFC2202</v>
          </cell>
          <cell r="H714" t="str">
            <v>NR</v>
          </cell>
          <cell r="K714">
            <v>4.5149999999999997</v>
          </cell>
        </row>
        <row r="715">
          <cell r="D715" t="str">
            <v>033B1</v>
          </cell>
          <cell r="E715">
            <v>12.33</v>
          </cell>
          <cell r="F715">
            <v>9.93</v>
          </cell>
          <cell r="G715" t="str">
            <v>NSST2201</v>
          </cell>
          <cell r="H715" t="str">
            <v>RC</v>
          </cell>
          <cell r="J715">
            <v>4.4400000000000004</v>
          </cell>
          <cell r="K715">
            <v>5.63</v>
          </cell>
        </row>
        <row r="716">
          <cell r="D716" t="str">
            <v>031B</v>
          </cell>
          <cell r="E716">
            <v>13.84</v>
          </cell>
          <cell r="F716">
            <v>10.9</v>
          </cell>
          <cell r="G716" t="str">
            <v>NSST2201</v>
          </cell>
          <cell r="H716" t="str">
            <v>RC</v>
          </cell>
          <cell r="J716">
            <v>4.2300000000000004</v>
          </cell>
          <cell r="K716">
            <v>4.57</v>
          </cell>
        </row>
        <row r="717">
          <cell r="D717" t="str">
            <v>098M1</v>
          </cell>
          <cell r="E717">
            <v>8.32</v>
          </cell>
          <cell r="F717">
            <v>6.49</v>
          </cell>
          <cell r="G717" t="str">
            <v>NSST2201</v>
          </cell>
          <cell r="H717" t="str">
            <v>BB</v>
          </cell>
          <cell r="J717">
            <v>4.2699999999999996</v>
          </cell>
          <cell r="K717">
            <v>4.6100000000000003</v>
          </cell>
        </row>
        <row r="718">
          <cell r="D718" t="str">
            <v>039C2</v>
          </cell>
          <cell r="E718">
            <v>2.63</v>
          </cell>
          <cell r="F718">
            <v>2.02</v>
          </cell>
          <cell r="G718" t="str">
            <v>NSST2201</v>
          </cell>
          <cell r="H718" t="str">
            <v>NR</v>
          </cell>
          <cell r="J718">
            <v>4.4850000000000003</v>
          </cell>
          <cell r="K718">
            <v>4.415</v>
          </cell>
        </row>
        <row r="719">
          <cell r="D719" t="str">
            <v>076E</v>
          </cell>
          <cell r="E719">
            <v>15.08</v>
          </cell>
          <cell r="F719">
            <v>11.77</v>
          </cell>
          <cell r="G719" t="str">
            <v>NSST2201</v>
          </cell>
          <cell r="H719" t="str">
            <v>RC</v>
          </cell>
          <cell r="J719">
            <v>4.4649999999999999</v>
          </cell>
          <cell r="K719">
            <v>4.5049999999999999</v>
          </cell>
        </row>
        <row r="720">
          <cell r="D720" t="str">
            <v>006F</v>
          </cell>
          <cell r="E720">
            <v>10.039999999999999</v>
          </cell>
          <cell r="F720">
            <v>8.1199999999999992</v>
          </cell>
          <cell r="G720" t="str">
            <v>NSST2201</v>
          </cell>
          <cell r="H720" t="str">
            <v>PS</v>
          </cell>
          <cell r="I720" t="str">
            <v>PS</v>
          </cell>
          <cell r="J720">
            <v>0</v>
          </cell>
          <cell r="K720">
            <v>5.23</v>
          </cell>
        </row>
        <row r="721">
          <cell r="D721" t="str">
            <v>051A</v>
          </cell>
          <cell r="E721">
            <v>13.66</v>
          </cell>
          <cell r="F721">
            <v>10.9</v>
          </cell>
          <cell r="G721" t="str">
            <v>NSST2201</v>
          </cell>
          <cell r="H721" t="str">
            <v>RC</v>
          </cell>
          <cell r="I721" t="str">
            <v>PS NS NS</v>
          </cell>
          <cell r="J721">
            <v>4.2850000000000001</v>
          </cell>
          <cell r="K721">
            <v>4.4749999999999996</v>
          </cell>
        </row>
        <row r="722">
          <cell r="D722" t="str">
            <v>097C</v>
          </cell>
          <cell r="E722">
            <v>12.26</v>
          </cell>
          <cell r="F722">
            <v>9.84</v>
          </cell>
          <cell r="G722" t="str">
            <v>NSST2202</v>
          </cell>
          <cell r="H722" t="str">
            <v>RC</v>
          </cell>
          <cell r="J722">
            <v>4.4249999999999998</v>
          </cell>
          <cell r="K722">
            <v>4.6349999999999998</v>
          </cell>
        </row>
        <row r="723">
          <cell r="D723" t="str">
            <v>070J</v>
          </cell>
          <cell r="E723">
            <v>11.6</v>
          </cell>
          <cell r="F723">
            <v>9.14</v>
          </cell>
          <cell r="G723" t="str">
            <v>NSST2201</v>
          </cell>
          <cell r="H723" t="str">
            <v>RC</v>
          </cell>
          <cell r="J723">
            <v>4.3600000000000003</v>
          </cell>
          <cell r="K723">
            <v>4.5599999999999996</v>
          </cell>
        </row>
        <row r="724">
          <cell r="D724" t="str">
            <v>083E</v>
          </cell>
          <cell r="E724">
            <v>11.28</v>
          </cell>
          <cell r="F724">
            <v>8.8800000000000008</v>
          </cell>
          <cell r="G724" t="str">
            <v>NSST2202</v>
          </cell>
          <cell r="H724" t="str">
            <v>RC</v>
          </cell>
          <cell r="J724">
            <v>4.3650000000000002</v>
          </cell>
          <cell r="K724">
            <v>4.63</v>
          </cell>
        </row>
        <row r="725">
          <cell r="D725" t="str">
            <v>006E</v>
          </cell>
          <cell r="E725">
            <v>12.28</v>
          </cell>
          <cell r="F725">
            <v>9.68</v>
          </cell>
          <cell r="G725" t="str">
            <v>NSST2201</v>
          </cell>
          <cell r="H725" t="str">
            <v>PS</v>
          </cell>
          <cell r="I725" t="str">
            <v>PS</v>
          </cell>
          <cell r="J725">
            <v>0</v>
          </cell>
          <cell r="K725">
            <v>5.15</v>
          </cell>
        </row>
        <row r="726">
          <cell r="D726" t="str">
            <v>083C</v>
          </cell>
          <cell r="E726">
            <v>11</v>
          </cell>
          <cell r="F726">
            <v>8.73</v>
          </cell>
          <cell r="G726" t="str">
            <v>NSST2202</v>
          </cell>
          <cell r="H726" t="str">
            <v>RC</v>
          </cell>
          <cell r="J726">
            <v>4.41</v>
          </cell>
          <cell r="K726">
            <v>4.835</v>
          </cell>
        </row>
        <row r="727">
          <cell r="D727" t="str">
            <v>094F</v>
          </cell>
          <cell r="E727">
            <v>11.46</v>
          </cell>
          <cell r="F727">
            <v>9.1</v>
          </cell>
          <cell r="G727" t="str">
            <v>NSBK2108</v>
          </cell>
          <cell r="H727" t="str">
            <v>RC</v>
          </cell>
          <cell r="J727">
            <v>4.5</v>
          </cell>
          <cell r="K727">
            <v>4.6849999999999996</v>
          </cell>
        </row>
        <row r="728">
          <cell r="D728" t="str">
            <v>006G</v>
          </cell>
          <cell r="E728">
            <v>9.66</v>
          </cell>
          <cell r="F728">
            <v>7.7</v>
          </cell>
          <cell r="G728" t="str">
            <v>NSST2201</v>
          </cell>
          <cell r="H728" t="str">
            <v>PS</v>
          </cell>
          <cell r="I728" t="str">
            <v>PS</v>
          </cell>
          <cell r="J728">
            <v>0</v>
          </cell>
          <cell r="K728">
            <v>5.27</v>
          </cell>
        </row>
        <row r="730">
          <cell r="D730" t="str">
            <v>066A</v>
          </cell>
          <cell r="E730">
            <v>11.64</v>
          </cell>
          <cell r="F730">
            <v>9.16</v>
          </cell>
          <cell r="G730" t="str">
            <v>NSST2201</v>
          </cell>
          <cell r="H730" t="str">
            <v>RC</v>
          </cell>
          <cell r="J730">
            <v>4.3849999999999998</v>
          </cell>
          <cell r="K730">
            <v>0</v>
          </cell>
        </row>
        <row r="731">
          <cell r="D731" t="str">
            <v>049C3</v>
          </cell>
          <cell r="E731">
            <v>9.7799999999999994</v>
          </cell>
          <cell r="F731">
            <v>7.75</v>
          </cell>
          <cell r="G731" t="str">
            <v>NSST2202</v>
          </cell>
          <cell r="H731" t="str">
            <v>RC</v>
          </cell>
          <cell r="I731" t="str">
            <v>PS NS NS</v>
          </cell>
          <cell r="J731">
            <v>4.51</v>
          </cell>
          <cell r="K731">
            <v>4.6449999999999996</v>
          </cell>
        </row>
        <row r="732">
          <cell r="D732" t="str">
            <v>049C2</v>
          </cell>
          <cell r="E732">
            <v>12.57</v>
          </cell>
          <cell r="F732">
            <v>10.050000000000001</v>
          </cell>
          <cell r="G732" t="str">
            <v>NSST2202</v>
          </cell>
          <cell r="H732" t="str">
            <v>RC</v>
          </cell>
          <cell r="I732" t="str">
            <v>PS NS NS</v>
          </cell>
          <cell r="J732">
            <v>4.4349999999999996</v>
          </cell>
          <cell r="K732">
            <v>4.74</v>
          </cell>
        </row>
        <row r="733">
          <cell r="D733" t="str">
            <v>049C1</v>
          </cell>
          <cell r="E733">
            <v>11.91</v>
          </cell>
          <cell r="F733">
            <v>9.4</v>
          </cell>
          <cell r="G733" t="str">
            <v>NSST2202</v>
          </cell>
          <cell r="H733" t="str">
            <v>RC</v>
          </cell>
          <cell r="I733" t="str">
            <v>PS NS NS</v>
          </cell>
          <cell r="J733">
            <v>4.51</v>
          </cell>
          <cell r="K733">
            <v>4.78</v>
          </cell>
        </row>
        <row r="734">
          <cell r="D734" t="str">
            <v>047A</v>
          </cell>
          <cell r="E734">
            <v>17.52</v>
          </cell>
          <cell r="F734">
            <v>13.91</v>
          </cell>
          <cell r="G734" t="str">
            <v>NSST2202</v>
          </cell>
          <cell r="H734" t="str">
            <v>BB</v>
          </cell>
          <cell r="J734">
            <v>4.2249999999999996</v>
          </cell>
          <cell r="K734">
            <v>4.6449999999999996</v>
          </cell>
        </row>
        <row r="735">
          <cell r="D735" t="str">
            <v>028P1</v>
          </cell>
          <cell r="E735">
            <v>10.220000000000001</v>
          </cell>
          <cell r="F735">
            <v>7.93</v>
          </cell>
          <cell r="G735" t="str">
            <v>NSBK2110</v>
          </cell>
          <cell r="H735" t="str">
            <v>BB</v>
          </cell>
          <cell r="J735">
            <v>4.0599999999999996</v>
          </cell>
          <cell r="K735">
            <v>5.0350000000000001</v>
          </cell>
        </row>
        <row r="736">
          <cell r="D736" t="str">
            <v>026C</v>
          </cell>
          <cell r="E736">
            <v>8.24</v>
          </cell>
          <cell r="F736">
            <v>6.48</v>
          </cell>
          <cell r="G736" t="str">
            <v>NSBK2110</v>
          </cell>
          <cell r="H736" t="str">
            <v>RC</v>
          </cell>
          <cell r="J736">
            <v>4.5</v>
          </cell>
          <cell r="K736">
            <v>4.79</v>
          </cell>
        </row>
        <row r="737">
          <cell r="D737" t="str">
            <v>016A</v>
          </cell>
          <cell r="E737">
            <v>4.5</v>
          </cell>
          <cell r="F737">
            <v>3.59</v>
          </cell>
          <cell r="G737" t="str">
            <v>NSBK2110</v>
          </cell>
          <cell r="H737" t="str">
            <v>RC</v>
          </cell>
          <cell r="J737">
            <v>4.3499999999999996</v>
          </cell>
          <cell r="K737">
            <v>4.78</v>
          </cell>
        </row>
        <row r="738">
          <cell r="D738" t="str">
            <v>028P</v>
          </cell>
          <cell r="E738">
            <v>11.6</v>
          </cell>
          <cell r="F738">
            <v>9.02</v>
          </cell>
          <cell r="G738" t="str">
            <v>NSBK2110</v>
          </cell>
          <cell r="H738" t="str">
            <v>BB</v>
          </cell>
          <cell r="J738">
            <v>4.0599999999999996</v>
          </cell>
          <cell r="K738">
            <v>4.9349999999999996</v>
          </cell>
        </row>
        <row r="739">
          <cell r="D739" t="str">
            <v>016B1</v>
          </cell>
          <cell r="E739">
            <v>6.85</v>
          </cell>
          <cell r="F739">
            <v>5.37</v>
          </cell>
          <cell r="G739" t="str">
            <v>NSBK2110</v>
          </cell>
          <cell r="H739" t="str">
            <v>RC</v>
          </cell>
          <cell r="J739">
            <v>4.2149999999999999</v>
          </cell>
        </row>
        <row r="740">
          <cell r="D740" t="str">
            <v>028Q1</v>
          </cell>
          <cell r="E740">
            <v>12.18</v>
          </cell>
          <cell r="F740">
            <v>9.5299999999999994</v>
          </cell>
          <cell r="G740" t="str">
            <v>NSBK2110</v>
          </cell>
          <cell r="H740" t="str">
            <v>RC</v>
          </cell>
          <cell r="J740">
            <v>4.3899999999999997</v>
          </cell>
          <cell r="K740">
            <v>4.665</v>
          </cell>
        </row>
        <row r="741">
          <cell r="D741" t="str">
            <v>086C</v>
          </cell>
          <cell r="E741">
            <v>7.59</v>
          </cell>
          <cell r="F741">
            <v>5.86</v>
          </cell>
          <cell r="G741" t="str">
            <v>NSBK2111</v>
          </cell>
          <cell r="H741" t="str">
            <v>BB</v>
          </cell>
          <cell r="J741">
            <v>4.12</v>
          </cell>
          <cell r="K741">
            <v>5.0599999999999996</v>
          </cell>
        </row>
        <row r="742">
          <cell r="D742" t="str">
            <v>083A</v>
          </cell>
          <cell r="E742">
            <v>14.37</v>
          </cell>
          <cell r="F742">
            <v>11.37</v>
          </cell>
          <cell r="G742" t="str">
            <v>NSBK2112</v>
          </cell>
          <cell r="H742" t="str">
            <v>RC</v>
          </cell>
          <cell r="J742">
            <v>4.87</v>
          </cell>
          <cell r="K742">
            <v>4.6950000000000003</v>
          </cell>
        </row>
        <row r="743">
          <cell r="D743" t="str">
            <v>046E</v>
          </cell>
          <cell r="E743">
            <v>14.68</v>
          </cell>
          <cell r="F743">
            <v>11.65</v>
          </cell>
          <cell r="G743" t="str">
            <v>NSBK2110</v>
          </cell>
          <cell r="H743" t="str">
            <v>RC</v>
          </cell>
          <cell r="J743">
            <v>4.2249999999999996</v>
          </cell>
          <cell r="K743">
            <v>4.46</v>
          </cell>
        </row>
        <row r="744">
          <cell r="D744" t="str">
            <v>011A</v>
          </cell>
          <cell r="E744">
            <v>5.9</v>
          </cell>
          <cell r="F744">
            <v>4.62</v>
          </cell>
          <cell r="G744" t="str">
            <v>PSBK2109</v>
          </cell>
          <cell r="H744" t="str">
            <v>JG</v>
          </cell>
          <cell r="I744" t="str">
            <v>PS NS JG</v>
          </cell>
          <cell r="J744">
            <v>0</v>
          </cell>
          <cell r="K744">
            <v>5.23</v>
          </cell>
        </row>
        <row r="745">
          <cell r="D745" t="str">
            <v>069E</v>
          </cell>
          <cell r="E745">
            <v>19.02</v>
          </cell>
          <cell r="F745">
            <v>15.02</v>
          </cell>
          <cell r="G745" t="str">
            <v>NSBK2110</v>
          </cell>
          <cell r="H745" t="str">
            <v>RC</v>
          </cell>
          <cell r="J745">
            <v>4.2699999999999996</v>
          </cell>
          <cell r="K745">
            <v>4.53</v>
          </cell>
        </row>
        <row r="746">
          <cell r="D746" t="str">
            <v>020H</v>
          </cell>
          <cell r="E746">
            <v>6.79</v>
          </cell>
          <cell r="F746">
            <v>5.35</v>
          </cell>
          <cell r="G746" t="str">
            <v>NSBK2112</v>
          </cell>
          <cell r="H746" t="str">
            <v>RC</v>
          </cell>
          <cell r="I746" t="str">
            <v>PS NS NS</v>
          </cell>
          <cell r="J746">
            <v>4.7549999999999999</v>
          </cell>
          <cell r="K746">
            <v>5.14</v>
          </cell>
        </row>
        <row r="747">
          <cell r="D747" t="str">
            <v>004H</v>
          </cell>
          <cell r="E747">
            <v>12.47</v>
          </cell>
          <cell r="F747">
            <v>9.91</v>
          </cell>
          <cell r="G747" t="str">
            <v>NSBK2112</v>
          </cell>
          <cell r="H747" t="str">
            <v>RC</v>
          </cell>
          <cell r="J747">
            <v>4.38</v>
          </cell>
          <cell r="K747">
            <v>4.6900000000000004</v>
          </cell>
        </row>
        <row r="748">
          <cell r="D748" t="str">
            <v>048A</v>
          </cell>
          <cell r="E748">
            <v>8.35</v>
          </cell>
          <cell r="F748">
            <v>6.6</v>
          </cell>
          <cell r="G748" t="str">
            <v>NSBK2111</v>
          </cell>
          <cell r="H748" t="str">
            <v>BB</v>
          </cell>
          <cell r="J748">
            <v>4.07</v>
          </cell>
          <cell r="K748">
            <v>4.665</v>
          </cell>
        </row>
        <row r="749">
          <cell r="D749" t="str">
            <v>047C</v>
          </cell>
          <cell r="E749">
            <v>14.15</v>
          </cell>
          <cell r="F749">
            <v>11.3</v>
          </cell>
          <cell r="G749" t="str">
            <v>NSBK2111</v>
          </cell>
          <cell r="H749" t="str">
            <v>BB</v>
          </cell>
          <cell r="J749">
            <v>4.1349999999999998</v>
          </cell>
          <cell r="K749">
            <v>4.78</v>
          </cell>
        </row>
        <row r="750">
          <cell r="D750" t="str">
            <v>012E</v>
          </cell>
          <cell r="E750">
            <v>9.8699999999999992</v>
          </cell>
          <cell r="F750">
            <v>7.75</v>
          </cell>
          <cell r="G750" t="str">
            <v>NSBK2111</v>
          </cell>
          <cell r="H750" t="str">
            <v>RC</v>
          </cell>
          <cell r="I750" t="str">
            <v>PS NS</v>
          </cell>
          <cell r="J750">
            <v>4.8499999999999996</v>
          </cell>
          <cell r="K750">
            <v>5.1749999999999998</v>
          </cell>
        </row>
        <row r="751">
          <cell r="D751" t="str">
            <v>094I9</v>
          </cell>
          <cell r="E751">
            <v>10.02</v>
          </cell>
          <cell r="F751">
            <v>7.93</v>
          </cell>
          <cell r="G751" t="str">
            <v>NSBK2111</v>
          </cell>
          <cell r="H751" t="str">
            <v>BB</v>
          </cell>
          <cell r="K751">
            <v>4.72</v>
          </cell>
        </row>
        <row r="752">
          <cell r="D752" t="str">
            <v>094D</v>
          </cell>
          <cell r="E752">
            <v>6.6</v>
          </cell>
          <cell r="F752">
            <v>5.3</v>
          </cell>
          <cell r="G752" t="str">
            <v>NSBK2111</v>
          </cell>
          <cell r="H752" t="str">
            <v>RC</v>
          </cell>
          <cell r="J752">
            <v>4.2549999999999999</v>
          </cell>
          <cell r="K752">
            <v>4.9400000000000004</v>
          </cell>
        </row>
        <row r="753">
          <cell r="D753" t="str">
            <v>096I</v>
          </cell>
          <cell r="E753">
            <v>5.88</v>
          </cell>
          <cell r="F753">
            <v>4.5999999999999996</v>
          </cell>
          <cell r="G753" t="str">
            <v>NSBK2112</v>
          </cell>
          <cell r="H753" t="str">
            <v>RC</v>
          </cell>
          <cell r="J753">
            <v>4.7649999999999997</v>
          </cell>
          <cell r="K753">
            <v>4.49</v>
          </cell>
        </row>
        <row r="754">
          <cell r="D754" t="str">
            <v>076C1</v>
          </cell>
          <cell r="E754">
            <v>12.56</v>
          </cell>
          <cell r="F754">
            <v>9.9499999999999993</v>
          </cell>
          <cell r="G754" t="str">
            <v>NSBK2112</v>
          </cell>
          <cell r="H754" t="str">
            <v>RC</v>
          </cell>
          <cell r="J754">
            <v>4.43</v>
          </cell>
          <cell r="K754">
            <v>4.4649999999999999</v>
          </cell>
        </row>
        <row r="755">
          <cell r="D755" t="str">
            <v>004F</v>
          </cell>
          <cell r="E755">
            <v>11.4</v>
          </cell>
          <cell r="F755">
            <v>9.08</v>
          </cell>
          <cell r="G755" t="str">
            <v>NSBK2111</v>
          </cell>
          <cell r="H755" t="str">
            <v>RC</v>
          </cell>
          <cell r="J755">
            <v>4.5</v>
          </cell>
          <cell r="K755">
            <v>4.79</v>
          </cell>
        </row>
        <row r="756">
          <cell r="D756" t="str">
            <v>057E</v>
          </cell>
          <cell r="E756">
            <v>6.33</v>
          </cell>
          <cell r="F756">
            <v>5.09</v>
          </cell>
          <cell r="G756" t="str">
            <v>NSBK2111</v>
          </cell>
          <cell r="H756" t="str">
            <v>BB</v>
          </cell>
          <cell r="K756">
            <v>4.6100000000000003</v>
          </cell>
        </row>
        <row r="757">
          <cell r="D757" t="str">
            <v>023E</v>
          </cell>
          <cell r="E757">
            <v>8.9</v>
          </cell>
          <cell r="F757">
            <v>6.96</v>
          </cell>
          <cell r="G757" t="str">
            <v>NSBK2112</v>
          </cell>
          <cell r="H757" t="str">
            <v>RC</v>
          </cell>
          <cell r="I757" t="str">
            <v>PS NS</v>
          </cell>
          <cell r="J757">
            <v>4.7050000000000001</v>
          </cell>
          <cell r="K757">
            <v>5.18</v>
          </cell>
        </row>
        <row r="758">
          <cell r="D758" t="str">
            <v>066L</v>
          </cell>
          <cell r="E758">
            <v>7.58</v>
          </cell>
          <cell r="F758">
            <v>5.92</v>
          </cell>
          <cell r="G758" t="str">
            <v>NSBK2110</v>
          </cell>
          <cell r="H758" t="str">
            <v>RC</v>
          </cell>
          <cell r="J758">
            <v>4.42</v>
          </cell>
          <cell r="K758">
            <v>4.7649999999999997</v>
          </cell>
        </row>
        <row r="759">
          <cell r="D759" t="str">
            <v>023A</v>
          </cell>
          <cell r="E759">
            <v>14.9</v>
          </cell>
          <cell r="F759">
            <v>11.71</v>
          </cell>
          <cell r="G759" t="str">
            <v>NSBK2111</v>
          </cell>
          <cell r="H759" t="str">
            <v>RC</v>
          </cell>
          <cell r="I759" t="str">
            <v>PS NS</v>
          </cell>
          <cell r="J759">
            <v>4.47</v>
          </cell>
          <cell r="K759">
            <v>4.8949999999999996</v>
          </cell>
        </row>
        <row r="760">
          <cell r="D760" t="str">
            <v>079B</v>
          </cell>
          <cell r="E760">
            <v>4.22</v>
          </cell>
          <cell r="F760">
            <v>3.31</v>
          </cell>
          <cell r="G760" t="str">
            <v>NSBK2112</v>
          </cell>
          <cell r="H760" t="str">
            <v>RC</v>
          </cell>
          <cell r="I760" t="str">
            <v>PS NT NS NS</v>
          </cell>
          <cell r="J760">
            <v>4.12</v>
          </cell>
          <cell r="K760">
            <v>4.2300000000000004</v>
          </cell>
        </row>
        <row r="761">
          <cell r="D761" t="str">
            <v>055D</v>
          </cell>
          <cell r="E761">
            <v>6.63</v>
          </cell>
          <cell r="F761">
            <v>5.2</v>
          </cell>
          <cell r="G761" t="str">
            <v>NSBK2111</v>
          </cell>
          <cell r="H761" t="str">
            <v>RC</v>
          </cell>
          <cell r="I761" t="str">
            <v>PS NS</v>
          </cell>
          <cell r="J761">
            <v>5.37</v>
          </cell>
          <cell r="K761">
            <v>5.1150000000000002</v>
          </cell>
        </row>
        <row r="762">
          <cell r="D762" t="str">
            <v>049D</v>
          </cell>
          <cell r="E762">
            <v>10.88</v>
          </cell>
          <cell r="F762">
            <v>8.6999999999999993</v>
          </cell>
          <cell r="G762" t="str">
            <v>NSBK2201</v>
          </cell>
          <cell r="H762" t="str">
            <v>RC</v>
          </cell>
          <cell r="J762">
            <v>4.3949999999999996</v>
          </cell>
          <cell r="K762">
            <v>4.6449999999999996</v>
          </cell>
        </row>
        <row r="763">
          <cell r="D763" t="str">
            <v>021E1</v>
          </cell>
          <cell r="E763">
            <v>1.83</v>
          </cell>
          <cell r="F763">
            <v>1.42</v>
          </cell>
          <cell r="G763" t="str">
            <v>SKFC2106</v>
          </cell>
          <cell r="H763" t="str">
            <v>SK</v>
          </cell>
          <cell r="J763">
            <v>4.5250000000000004</v>
          </cell>
          <cell r="K763">
            <v>4.6950000000000003</v>
          </cell>
        </row>
        <row r="764">
          <cell r="D764" t="str">
            <v>057B</v>
          </cell>
          <cell r="E764">
            <v>7.28</v>
          </cell>
          <cell r="F764">
            <v>5.83</v>
          </cell>
          <cell r="G764" t="str">
            <v>NSBK2112</v>
          </cell>
          <cell r="H764" t="str">
            <v>RC</v>
          </cell>
          <cell r="K764">
            <v>4.55</v>
          </cell>
        </row>
        <row r="765">
          <cell r="D765" t="str">
            <v>089C</v>
          </cell>
          <cell r="E765">
            <v>17</v>
          </cell>
          <cell r="F765">
            <v>13.36</v>
          </cell>
          <cell r="G765" t="str">
            <v>NSBK2111</v>
          </cell>
          <cell r="H765" t="str">
            <v>RC</v>
          </cell>
          <cell r="J765">
            <v>4.18</v>
          </cell>
          <cell r="K765">
            <v>4.2850000000000001</v>
          </cell>
        </row>
        <row r="766">
          <cell r="D766" t="str">
            <v>021C</v>
          </cell>
          <cell r="E766">
            <v>10.73</v>
          </cell>
          <cell r="F766">
            <v>8.5</v>
          </cell>
          <cell r="G766" t="str">
            <v>NSBK2201</v>
          </cell>
          <cell r="H766" t="str">
            <v>BB</v>
          </cell>
          <cell r="J766">
            <v>4.335</v>
          </cell>
          <cell r="K766">
            <v>4.835</v>
          </cell>
        </row>
        <row r="767">
          <cell r="D767" t="str">
            <v>075G</v>
          </cell>
          <cell r="E767">
            <v>7.25</v>
          </cell>
          <cell r="F767">
            <v>5.62</v>
          </cell>
          <cell r="G767" t="str">
            <v>NSBK2111</v>
          </cell>
          <cell r="H767" t="str">
            <v>BB</v>
          </cell>
          <cell r="J767">
            <v>4.1950000000000003</v>
          </cell>
          <cell r="K767">
            <v>4.87</v>
          </cell>
        </row>
        <row r="768">
          <cell r="D768" t="str">
            <v>089B</v>
          </cell>
          <cell r="E768">
            <v>12.42</v>
          </cell>
          <cell r="F768">
            <v>9.82</v>
          </cell>
          <cell r="G768" t="str">
            <v>NSBK2111</v>
          </cell>
          <cell r="H768" t="str">
            <v>RC</v>
          </cell>
          <cell r="J768">
            <v>4.1900000000000004</v>
          </cell>
          <cell r="K768">
            <v>4.085</v>
          </cell>
        </row>
        <row r="769">
          <cell r="D769" t="str">
            <v>075I</v>
          </cell>
          <cell r="E769">
            <v>10.81</v>
          </cell>
          <cell r="F769">
            <v>8.42</v>
          </cell>
          <cell r="G769" t="str">
            <v>NSBK2111</v>
          </cell>
          <cell r="H769" t="str">
            <v>BB</v>
          </cell>
          <cell r="J769">
            <v>4.2350000000000003</v>
          </cell>
          <cell r="K769">
            <v>4.76</v>
          </cell>
        </row>
        <row r="770">
          <cell r="D770" t="str">
            <v>021B</v>
          </cell>
          <cell r="E770">
            <v>15.6</v>
          </cell>
          <cell r="F770">
            <v>12.3</v>
          </cell>
          <cell r="G770" t="str">
            <v>NSBK2201</v>
          </cell>
          <cell r="H770" t="str">
            <v>BB</v>
          </cell>
          <cell r="J770">
            <v>4.37</v>
          </cell>
          <cell r="K770">
            <v>4.8550000000000004</v>
          </cell>
        </row>
        <row r="771">
          <cell r="D771" t="str">
            <v>015B1</v>
          </cell>
          <cell r="E771">
            <v>14.13</v>
          </cell>
          <cell r="F771">
            <v>11.22</v>
          </cell>
          <cell r="G771" t="str">
            <v>NSBK2201</v>
          </cell>
          <cell r="H771" t="str">
            <v>BB</v>
          </cell>
          <cell r="J771">
            <v>3.99</v>
          </cell>
          <cell r="K771">
            <v>4.78</v>
          </cell>
        </row>
        <row r="772">
          <cell r="D772" t="str">
            <v>068D</v>
          </cell>
          <cell r="E772">
            <v>5.44</v>
          </cell>
          <cell r="F772">
            <v>4.18</v>
          </cell>
          <cell r="G772" t="str">
            <v>SKBK2112</v>
          </cell>
          <cell r="H772" t="str">
            <v>SK</v>
          </cell>
          <cell r="K772">
            <v>4.66</v>
          </cell>
        </row>
        <row r="773">
          <cell r="D773" t="str">
            <v>071B</v>
          </cell>
          <cell r="E773">
            <v>12.1</v>
          </cell>
          <cell r="F773">
            <v>9.5500000000000007</v>
          </cell>
          <cell r="G773" t="str">
            <v>NSBK2201</v>
          </cell>
          <cell r="H773" t="str">
            <v>RC</v>
          </cell>
          <cell r="J773">
            <v>4.1100000000000003</v>
          </cell>
          <cell r="K773">
            <v>4.6150000000000002</v>
          </cell>
        </row>
        <row r="774">
          <cell r="D774" t="str">
            <v>015A</v>
          </cell>
          <cell r="E774">
            <v>5.76</v>
          </cell>
          <cell r="F774">
            <v>4.57</v>
          </cell>
          <cell r="G774" t="str">
            <v>NSBK2201</v>
          </cell>
          <cell r="H774" t="str">
            <v>RC</v>
          </cell>
          <cell r="J774">
            <v>4.3499999999999996</v>
          </cell>
          <cell r="K774">
            <v>4.6399999999999997</v>
          </cell>
        </row>
        <row r="775">
          <cell r="D775" t="str">
            <v>021D</v>
          </cell>
          <cell r="E775">
            <v>6.45</v>
          </cell>
          <cell r="F775">
            <v>5.14</v>
          </cell>
          <cell r="G775" t="str">
            <v>NSBK2201</v>
          </cell>
          <cell r="H775" t="str">
            <v>BB</v>
          </cell>
          <cell r="J775">
            <v>4.5250000000000004</v>
          </cell>
          <cell r="K775">
            <v>5.0250000000000004</v>
          </cell>
        </row>
        <row r="776">
          <cell r="D776" t="str">
            <v>073A1</v>
          </cell>
          <cell r="E776">
            <v>8.1999999999999993</v>
          </cell>
          <cell r="F776">
            <v>6.4</v>
          </cell>
          <cell r="G776" t="str">
            <v>NSBK2111</v>
          </cell>
          <cell r="H776" t="str">
            <v>RC</v>
          </cell>
          <cell r="J776">
            <v>3.9550000000000001</v>
          </cell>
          <cell r="K776">
            <v>4.5</v>
          </cell>
        </row>
        <row r="777">
          <cell r="D777" t="str">
            <v>047D</v>
          </cell>
          <cell r="E777">
            <v>9.07</v>
          </cell>
          <cell r="F777">
            <v>7.22</v>
          </cell>
          <cell r="G777" t="str">
            <v>NSBK2201</v>
          </cell>
          <cell r="H777" t="str">
            <v>RC</v>
          </cell>
          <cell r="J777">
            <v>3.84</v>
          </cell>
          <cell r="K777">
            <v>4.5250000000000004</v>
          </cell>
        </row>
        <row r="778">
          <cell r="D778" t="str">
            <v>083D</v>
          </cell>
          <cell r="E778">
            <v>12.36</v>
          </cell>
          <cell r="F778">
            <v>9.68</v>
          </cell>
          <cell r="G778" t="str">
            <v>NSBK2112</v>
          </cell>
          <cell r="H778" t="str">
            <v>BB</v>
          </cell>
          <cell r="J778">
            <v>4.3550000000000004</v>
          </cell>
          <cell r="K778">
            <v>4.58</v>
          </cell>
        </row>
        <row r="779">
          <cell r="D779" t="str">
            <v>042D</v>
          </cell>
          <cell r="E779">
            <v>16.78</v>
          </cell>
          <cell r="F779">
            <v>13.32</v>
          </cell>
          <cell r="G779" t="str">
            <v>NSBK2111</v>
          </cell>
          <cell r="H779" t="str">
            <v>RC</v>
          </cell>
          <cell r="J779">
            <v>4.26</v>
          </cell>
          <cell r="K779">
            <v>4.8650000000000002</v>
          </cell>
        </row>
        <row r="780">
          <cell r="D780" t="str">
            <v>063I</v>
          </cell>
          <cell r="E780">
            <v>12.26</v>
          </cell>
          <cell r="F780">
            <v>9.58</v>
          </cell>
          <cell r="G780" t="str">
            <v>NSSC2102</v>
          </cell>
          <cell r="H780" t="str">
            <v>RC</v>
          </cell>
          <cell r="J780">
            <v>4.4749999999999996</v>
          </cell>
          <cell r="K780">
            <v>4.3899999999999997</v>
          </cell>
        </row>
        <row r="781">
          <cell r="D781" t="str">
            <v>095A</v>
          </cell>
          <cell r="E781">
            <v>8.98</v>
          </cell>
          <cell r="F781">
            <v>7.19</v>
          </cell>
          <cell r="G781" t="str">
            <v>NSBK2202</v>
          </cell>
          <cell r="H781" t="str">
            <v>BB</v>
          </cell>
          <cell r="J781">
            <v>4.67</v>
          </cell>
          <cell r="K781">
            <v>4.9850000000000003</v>
          </cell>
        </row>
        <row r="782">
          <cell r="D782" t="str">
            <v>095H</v>
          </cell>
          <cell r="E782">
            <v>10.3</v>
          </cell>
          <cell r="F782">
            <v>8.14</v>
          </cell>
          <cell r="G782" t="str">
            <v>NSBK2112</v>
          </cell>
          <cell r="H782" t="str">
            <v>BB</v>
          </cell>
          <cell r="J782">
            <v>4.7050000000000001</v>
          </cell>
          <cell r="K782">
            <v>4.79</v>
          </cell>
        </row>
        <row r="783">
          <cell r="D783" t="str">
            <v>060A</v>
          </cell>
          <cell r="E783">
            <v>13.55</v>
          </cell>
          <cell r="F783">
            <v>10.58</v>
          </cell>
          <cell r="G783" t="str">
            <v>NSBK2201</v>
          </cell>
          <cell r="H783" t="str">
            <v>RC</v>
          </cell>
          <cell r="I783" t="str">
            <v>PS NS NS</v>
          </cell>
          <cell r="J783">
            <v>4.8499999999999996</v>
          </cell>
          <cell r="K783">
            <v>4.74</v>
          </cell>
        </row>
        <row r="784">
          <cell r="D784" t="str">
            <v>079A</v>
          </cell>
          <cell r="E784">
            <v>8.15</v>
          </cell>
          <cell r="F784">
            <v>6.42</v>
          </cell>
          <cell r="G784" t="str">
            <v>NSSC2102</v>
          </cell>
          <cell r="H784" t="str">
            <v>RC</v>
          </cell>
          <cell r="I784" t="str">
            <v>PS NS NS SK NS</v>
          </cell>
          <cell r="J784">
            <v>4.16</v>
          </cell>
          <cell r="K784">
            <v>4.6150000000000002</v>
          </cell>
        </row>
        <row r="785">
          <cell r="D785" t="str">
            <v>079A1</v>
          </cell>
          <cell r="E785">
            <v>14.78</v>
          </cell>
          <cell r="F785">
            <v>11.75</v>
          </cell>
          <cell r="G785" t="str">
            <v>NSSC2102</v>
          </cell>
          <cell r="H785" t="str">
            <v>RC</v>
          </cell>
          <cell r="I785" t="str">
            <v>PS NS NS SK NS</v>
          </cell>
          <cell r="J785">
            <v>4.6349999999999998</v>
          </cell>
          <cell r="K785">
            <v>4.58</v>
          </cell>
        </row>
        <row r="786">
          <cell r="D786" t="str">
            <v>085G</v>
          </cell>
          <cell r="E786">
            <v>15.08</v>
          </cell>
          <cell r="F786">
            <v>11.62</v>
          </cell>
          <cell r="G786" t="str">
            <v>NSBK2202</v>
          </cell>
          <cell r="H786" t="str">
            <v>RC</v>
          </cell>
          <cell r="J786">
            <v>4.54</v>
          </cell>
          <cell r="K786">
            <v>5.0250000000000004</v>
          </cell>
        </row>
        <row r="787">
          <cell r="D787" t="str">
            <v>095J</v>
          </cell>
          <cell r="E787">
            <v>9.57</v>
          </cell>
          <cell r="F787">
            <v>7.51</v>
          </cell>
          <cell r="G787" t="str">
            <v>NSBK2202</v>
          </cell>
          <cell r="H787" t="str">
            <v>BB</v>
          </cell>
          <cell r="J787">
            <v>4.665</v>
          </cell>
          <cell r="K787">
            <v>4.7350000000000003</v>
          </cell>
        </row>
        <row r="788">
          <cell r="D788" t="str">
            <v>097D</v>
          </cell>
          <cell r="E788">
            <v>11.81</v>
          </cell>
          <cell r="F788">
            <v>9.3800000000000008</v>
          </cell>
          <cell r="G788" t="str">
            <v>NSBK2202</v>
          </cell>
          <cell r="H788" t="str">
            <v>RC</v>
          </cell>
          <cell r="J788">
            <v>4.2750000000000004</v>
          </cell>
          <cell r="K788">
            <v>4.62</v>
          </cell>
        </row>
        <row r="789">
          <cell r="D789" t="str">
            <v>052I</v>
          </cell>
          <cell r="E789">
            <v>10.26</v>
          </cell>
          <cell r="F789">
            <v>8.1999999999999993</v>
          </cell>
          <cell r="G789" t="str">
            <v>NSBK2201</v>
          </cell>
          <cell r="H789" t="str">
            <v>BB</v>
          </cell>
          <cell r="J789">
            <v>3.77</v>
          </cell>
          <cell r="K789">
            <v>4.1950000000000003</v>
          </cell>
        </row>
        <row r="790">
          <cell r="D790" t="str">
            <v>025D</v>
          </cell>
          <cell r="E790">
            <v>7.3</v>
          </cell>
          <cell r="F790">
            <v>5.86</v>
          </cell>
          <cell r="G790" t="str">
            <v>NSBK2202</v>
          </cell>
          <cell r="H790" t="str">
            <v>BB</v>
          </cell>
          <cell r="J790">
            <v>4.3849999999999998</v>
          </cell>
        </row>
        <row r="791">
          <cell r="D791" t="str">
            <v>025G</v>
          </cell>
          <cell r="E791">
            <v>10.64</v>
          </cell>
          <cell r="F791">
            <v>8.41</v>
          </cell>
          <cell r="G791" t="str">
            <v>NSBK2202</v>
          </cell>
          <cell r="H791" t="str">
            <v>BB</v>
          </cell>
          <cell r="J791">
            <v>4.4050000000000002</v>
          </cell>
          <cell r="K791">
            <v>4.47</v>
          </cell>
        </row>
        <row r="792">
          <cell r="D792" t="str">
            <v>020A</v>
          </cell>
          <cell r="E792">
            <v>13.66</v>
          </cell>
          <cell r="F792">
            <v>10.98</v>
          </cell>
          <cell r="G792" t="str">
            <v>NSSC2102</v>
          </cell>
          <cell r="H792" t="str">
            <v>RC</v>
          </cell>
          <cell r="I792" t="str">
            <v>PS NS</v>
          </cell>
          <cell r="J792">
            <v>4.99</v>
          </cell>
          <cell r="K792">
            <v>4.9550000000000001</v>
          </cell>
        </row>
        <row r="793">
          <cell r="D793" t="str">
            <v>009F</v>
          </cell>
          <cell r="E793">
            <v>11.7</v>
          </cell>
          <cell r="F793">
            <v>9.15</v>
          </cell>
          <cell r="G793" t="str">
            <v>NSSC2102</v>
          </cell>
          <cell r="H793" t="str">
            <v>RC</v>
          </cell>
          <cell r="I793" t="str">
            <v>PS NS</v>
          </cell>
          <cell r="J793">
            <v>4.8899999999999997</v>
          </cell>
          <cell r="K793">
            <v>4.5199999999999996</v>
          </cell>
        </row>
        <row r="794">
          <cell r="D794" t="str">
            <v>084D</v>
          </cell>
          <cell r="E794">
            <v>15.9</v>
          </cell>
          <cell r="F794">
            <v>12.42</v>
          </cell>
          <cell r="G794" t="str">
            <v>NSBK2202</v>
          </cell>
          <cell r="H794" t="str">
            <v>RC</v>
          </cell>
          <cell r="J794">
            <v>4.4800000000000004</v>
          </cell>
          <cell r="K794">
            <v>4.7850000000000001</v>
          </cell>
        </row>
        <row r="795">
          <cell r="D795" t="str">
            <v>052A</v>
          </cell>
          <cell r="E795">
            <v>7.23</v>
          </cell>
          <cell r="F795">
            <v>6.06</v>
          </cell>
          <cell r="G795" t="str">
            <v>NSSC2102</v>
          </cell>
          <cell r="H795" t="str">
            <v>RC</v>
          </cell>
          <cell r="I795" t="str">
            <v>PS NS NS</v>
          </cell>
          <cell r="J795">
            <v>4.2249999999999996</v>
          </cell>
          <cell r="K795">
            <v>4.3600000000000003</v>
          </cell>
        </row>
        <row r="796">
          <cell r="D796" t="str">
            <v>094E</v>
          </cell>
          <cell r="E796">
            <v>9.52</v>
          </cell>
          <cell r="F796">
            <v>7.53</v>
          </cell>
          <cell r="G796" t="str">
            <v>NSBK2202</v>
          </cell>
          <cell r="H796" t="str">
            <v>RC</v>
          </cell>
          <cell r="J796">
            <v>4.29</v>
          </cell>
          <cell r="K796">
            <v>4.5049999999999999</v>
          </cell>
        </row>
        <row r="797">
          <cell r="D797" t="str">
            <v>057A</v>
          </cell>
          <cell r="E797">
            <v>17.04</v>
          </cell>
          <cell r="F797">
            <v>14.12</v>
          </cell>
          <cell r="G797" t="str">
            <v>NSSC2103</v>
          </cell>
          <cell r="H797" t="str">
            <v>RC</v>
          </cell>
          <cell r="J797">
            <v>4.3499999999999996</v>
          </cell>
          <cell r="K797">
            <v>4.62</v>
          </cell>
        </row>
        <row r="798">
          <cell r="D798" t="str">
            <v>094C</v>
          </cell>
          <cell r="E798">
            <v>10.52</v>
          </cell>
          <cell r="F798">
            <v>8.34</v>
          </cell>
          <cell r="G798" t="str">
            <v>NSBK2202</v>
          </cell>
          <cell r="H798" t="str">
            <v>RC</v>
          </cell>
          <cell r="J798">
            <v>4.3849999999999998</v>
          </cell>
          <cell r="K798">
            <v>4.58</v>
          </cell>
        </row>
        <row r="799">
          <cell r="D799" t="str">
            <v>097A1</v>
          </cell>
          <cell r="E799">
            <v>14.7</v>
          </cell>
          <cell r="F799">
            <v>11.66</v>
          </cell>
          <cell r="G799" t="str">
            <v>NSSC2102</v>
          </cell>
          <cell r="H799" t="str">
            <v>RC</v>
          </cell>
          <cell r="J799">
            <v>4.6500000000000004</v>
          </cell>
          <cell r="K799">
            <v>4.5250000000000004</v>
          </cell>
        </row>
        <row r="800">
          <cell r="D800" t="str">
            <v>094H</v>
          </cell>
          <cell r="E800">
            <v>7.9</v>
          </cell>
          <cell r="F800">
            <v>6.26</v>
          </cell>
          <cell r="G800" t="str">
            <v>NSBK2202</v>
          </cell>
          <cell r="H800" t="str">
            <v>RC</v>
          </cell>
          <cell r="J800">
            <v>4.4000000000000004</v>
          </cell>
          <cell r="K800">
            <v>4.8250000000000002</v>
          </cell>
        </row>
        <row r="801">
          <cell r="D801" t="str">
            <v>039E</v>
          </cell>
          <cell r="E801">
            <v>12.6</v>
          </cell>
          <cell r="F801">
            <v>10.34</v>
          </cell>
          <cell r="G801" t="str">
            <v>NSSC2102</v>
          </cell>
          <cell r="H801" t="str">
            <v>RC</v>
          </cell>
          <cell r="J801">
            <v>4.1100000000000003</v>
          </cell>
          <cell r="K801">
            <v>4.5999999999999996</v>
          </cell>
        </row>
        <row r="802">
          <cell r="D802" t="str">
            <v>083A1</v>
          </cell>
          <cell r="E802">
            <v>4.3600000000000003</v>
          </cell>
          <cell r="F802">
            <v>3.52</v>
          </cell>
          <cell r="G802" t="str">
            <v>NSSC2101</v>
          </cell>
          <cell r="H802" t="str">
            <v>RC</v>
          </cell>
          <cell r="J802">
            <v>4.3099999999999996</v>
          </cell>
          <cell r="K802">
            <v>4.4249999999999998</v>
          </cell>
        </row>
        <row r="803">
          <cell r="D803" t="str">
            <v>052G</v>
          </cell>
          <cell r="E803">
            <v>7.06</v>
          </cell>
          <cell r="F803">
            <v>5.86</v>
          </cell>
          <cell r="G803" t="str">
            <v>NSSC2107</v>
          </cell>
          <cell r="H803" t="str">
            <v>RC</v>
          </cell>
          <cell r="I803" t="str">
            <v>PS NS NS</v>
          </cell>
          <cell r="J803">
            <v>4.2549999999999999</v>
          </cell>
          <cell r="K803">
            <v>4.2750000000000004</v>
          </cell>
        </row>
        <row r="804">
          <cell r="D804" t="str">
            <v>055K</v>
          </cell>
          <cell r="E804">
            <v>8.1999999999999993</v>
          </cell>
          <cell r="F804">
            <v>6.78</v>
          </cell>
          <cell r="G804" t="str">
            <v>NSSC2102</v>
          </cell>
          <cell r="H804" t="str">
            <v>RC</v>
          </cell>
          <cell r="I804" t="str">
            <v>PS NS</v>
          </cell>
          <cell r="J804">
            <v>4.55</v>
          </cell>
          <cell r="K804">
            <v>4.7</v>
          </cell>
        </row>
        <row r="805">
          <cell r="D805" t="str">
            <v>069C5</v>
          </cell>
          <cell r="E805">
            <v>13</v>
          </cell>
          <cell r="F805">
            <v>10.7</v>
          </cell>
          <cell r="G805" t="str">
            <v>NSBK2110</v>
          </cell>
          <cell r="H805" t="str">
            <v>RC</v>
          </cell>
          <cell r="J805">
            <v>4.5199999999999996</v>
          </cell>
          <cell r="K805">
            <v>4.8449999999999998</v>
          </cell>
        </row>
        <row r="806">
          <cell r="D806" t="str">
            <v>067A</v>
          </cell>
          <cell r="E806">
            <v>14.34</v>
          </cell>
          <cell r="F806">
            <v>11.52</v>
          </cell>
          <cell r="G806" t="str">
            <v>NSBK2202</v>
          </cell>
          <cell r="H806" t="str">
            <v>RC</v>
          </cell>
          <cell r="I806" t="str">
            <v>PS NS NS NS</v>
          </cell>
          <cell r="J806">
            <v>4.2649999999999997</v>
          </cell>
        </row>
        <row r="807">
          <cell r="D807" t="str">
            <v>094B1</v>
          </cell>
          <cell r="E807">
            <v>8.85</v>
          </cell>
          <cell r="F807">
            <v>7.08</v>
          </cell>
          <cell r="G807" t="str">
            <v>NSSC2103</v>
          </cell>
          <cell r="H807" t="str">
            <v>RC</v>
          </cell>
          <cell r="J807">
            <v>4.3150000000000004</v>
          </cell>
          <cell r="K807">
            <v>4.5599999999999996</v>
          </cell>
        </row>
        <row r="808">
          <cell r="D808" t="str">
            <v>055K2</v>
          </cell>
          <cell r="E808">
            <v>6.67</v>
          </cell>
          <cell r="F808">
            <v>5.52</v>
          </cell>
          <cell r="G808" t="str">
            <v>NSSC2102</v>
          </cell>
          <cell r="H808" t="str">
            <v>RC</v>
          </cell>
          <cell r="I808" t="str">
            <v>PS NS</v>
          </cell>
          <cell r="J808">
            <v>4.34</v>
          </cell>
          <cell r="K808">
            <v>4.9550000000000001</v>
          </cell>
        </row>
        <row r="809">
          <cell r="D809" t="str">
            <v>062G2</v>
          </cell>
          <cell r="E809">
            <v>6.4</v>
          </cell>
          <cell r="F809">
            <v>5.23</v>
          </cell>
          <cell r="G809" t="str">
            <v>NSSC2103</v>
          </cell>
          <cell r="H809" t="str">
            <v>RC</v>
          </cell>
          <cell r="J809">
            <v>4.2450000000000001</v>
          </cell>
          <cell r="K809">
            <v>4.4450000000000003</v>
          </cell>
        </row>
        <row r="810">
          <cell r="D810" t="str">
            <v>027C</v>
          </cell>
          <cell r="E810">
            <v>14.67</v>
          </cell>
          <cell r="F810">
            <v>12.21</v>
          </cell>
          <cell r="G810" t="str">
            <v>NSBK2202</v>
          </cell>
          <cell r="H810" t="str">
            <v>BB</v>
          </cell>
          <cell r="J810">
            <v>4.0999999999999996</v>
          </cell>
          <cell r="K810">
            <v>4.91</v>
          </cell>
        </row>
        <row r="811">
          <cell r="D811" t="str">
            <v>018D</v>
          </cell>
          <cell r="E811">
            <v>9</v>
          </cell>
          <cell r="F811">
            <v>7.41</v>
          </cell>
          <cell r="G811" t="str">
            <v>PS3R2107</v>
          </cell>
          <cell r="H811" t="str">
            <v>PS</v>
          </cell>
          <cell r="I811" t="str">
            <v>PS</v>
          </cell>
          <cell r="J811">
            <v>5.17</v>
          </cell>
          <cell r="K811">
            <v>4.8949999999999996</v>
          </cell>
        </row>
        <row r="812">
          <cell r="D812" t="str">
            <v>011B</v>
          </cell>
          <cell r="E812">
            <v>8.56</v>
          </cell>
          <cell r="F812">
            <v>6.94</v>
          </cell>
          <cell r="G812" t="str">
            <v>PS4R2103</v>
          </cell>
          <cell r="H812" t="str">
            <v>PS</v>
          </cell>
          <cell r="I812" t="str">
            <v>PS</v>
          </cell>
          <cell r="J812">
            <v>4.9850000000000003</v>
          </cell>
          <cell r="K812">
            <v>4.8449999999999998</v>
          </cell>
        </row>
        <row r="813">
          <cell r="D813" t="str">
            <v>027F</v>
          </cell>
          <cell r="E813">
            <v>9.06</v>
          </cell>
          <cell r="F813">
            <v>7.44</v>
          </cell>
          <cell r="G813" t="str">
            <v>NSBK2201</v>
          </cell>
          <cell r="H813" t="str">
            <v>RC</v>
          </cell>
          <cell r="J813">
            <v>4.2149999999999999</v>
          </cell>
          <cell r="K813">
            <v>5.24</v>
          </cell>
        </row>
        <row r="814">
          <cell r="D814" t="str">
            <v>027K</v>
          </cell>
          <cell r="E814">
            <v>10.68</v>
          </cell>
          <cell r="F814">
            <v>8.7799999999999994</v>
          </cell>
          <cell r="G814" t="str">
            <v>NSBK2202</v>
          </cell>
          <cell r="H814" t="str">
            <v>RC</v>
          </cell>
          <cell r="J814">
            <v>4.2149999999999999</v>
          </cell>
          <cell r="K814">
            <v>4.7249999999999996</v>
          </cell>
        </row>
        <row r="815">
          <cell r="D815" t="str">
            <v>022B</v>
          </cell>
          <cell r="E815">
            <v>8.25</v>
          </cell>
          <cell r="F815">
            <v>6.9</v>
          </cell>
          <cell r="G815" t="str">
            <v>NSSC2102</v>
          </cell>
          <cell r="H815" t="str">
            <v>RC</v>
          </cell>
          <cell r="J815">
            <v>4.3600000000000003</v>
          </cell>
        </row>
        <row r="816">
          <cell r="D816" t="str">
            <v>022C</v>
          </cell>
          <cell r="E816">
            <v>10.98</v>
          </cell>
          <cell r="F816">
            <v>8.8800000000000008</v>
          </cell>
          <cell r="G816" t="str">
            <v>NSSC2102</v>
          </cell>
          <cell r="H816" t="str">
            <v>RC</v>
          </cell>
          <cell r="J816">
            <v>4.2949999999999999</v>
          </cell>
        </row>
        <row r="817">
          <cell r="D817" t="str">
            <v>095D</v>
          </cell>
          <cell r="E817">
            <v>8.32</v>
          </cell>
          <cell r="F817">
            <v>6.52</v>
          </cell>
          <cell r="G817" t="str">
            <v>NSBK2201</v>
          </cell>
          <cell r="H817" t="str">
            <v>BB</v>
          </cell>
          <cell r="J817">
            <v>4.24</v>
          </cell>
          <cell r="K817">
            <v>4.46</v>
          </cell>
        </row>
        <row r="818">
          <cell r="D818" t="str">
            <v>015B</v>
          </cell>
          <cell r="E818">
            <v>6.56</v>
          </cell>
          <cell r="F818">
            <v>5.48</v>
          </cell>
          <cell r="G818" t="str">
            <v>NSSC2103</v>
          </cell>
          <cell r="H818" t="str">
            <v>RC</v>
          </cell>
          <cell r="J818">
            <v>4.33</v>
          </cell>
        </row>
        <row r="819">
          <cell r="D819" t="str">
            <v>032D</v>
          </cell>
          <cell r="E819">
            <v>11.24</v>
          </cell>
          <cell r="F819">
            <v>9.34</v>
          </cell>
          <cell r="G819" t="str">
            <v>NSSC2101</v>
          </cell>
          <cell r="H819" t="str">
            <v>RC</v>
          </cell>
          <cell r="J819">
            <v>4.4000000000000004</v>
          </cell>
        </row>
        <row r="820">
          <cell r="D820" t="str">
            <v>073A</v>
          </cell>
          <cell r="E820">
            <v>8.23</v>
          </cell>
          <cell r="F820">
            <v>6.54</v>
          </cell>
          <cell r="G820" t="str">
            <v>NSBK2112</v>
          </cell>
          <cell r="H820" t="str">
            <v>RC</v>
          </cell>
          <cell r="I820" t="str">
            <v>PS NT NS NS</v>
          </cell>
          <cell r="J820">
            <v>4.2850000000000001</v>
          </cell>
          <cell r="K820">
            <v>4.8150000000000004</v>
          </cell>
        </row>
        <row r="821">
          <cell r="D821" t="str">
            <v>022D</v>
          </cell>
          <cell r="E821">
            <v>10.1</v>
          </cell>
          <cell r="F821">
            <v>8.1</v>
          </cell>
          <cell r="G821" t="str">
            <v>NSSC2104</v>
          </cell>
          <cell r="H821" t="str">
            <v>RC</v>
          </cell>
          <cell r="J821">
            <v>4.21</v>
          </cell>
        </row>
        <row r="822">
          <cell r="D822" t="str">
            <v>098H</v>
          </cell>
          <cell r="E822">
            <v>4.78</v>
          </cell>
          <cell r="F822">
            <v>3.86</v>
          </cell>
          <cell r="G822" t="str">
            <v>NSBK2202</v>
          </cell>
          <cell r="H822" t="str">
            <v>RC</v>
          </cell>
          <cell r="J822">
            <v>4.2350000000000003</v>
          </cell>
          <cell r="K822">
            <v>4.59</v>
          </cell>
        </row>
        <row r="823">
          <cell r="D823" t="str">
            <v>098G</v>
          </cell>
          <cell r="E823">
            <v>8.9</v>
          </cell>
          <cell r="F823">
            <v>7.17</v>
          </cell>
          <cell r="G823" t="str">
            <v>NSBK2111</v>
          </cell>
          <cell r="H823" t="str">
            <v>RC</v>
          </cell>
          <cell r="J823">
            <v>4.3550000000000004</v>
          </cell>
        </row>
        <row r="824">
          <cell r="D824" t="str">
            <v>076H</v>
          </cell>
          <cell r="E824">
            <v>8.5</v>
          </cell>
          <cell r="F824">
            <v>6.65</v>
          </cell>
          <cell r="G824" t="str">
            <v>NSSC2102</v>
          </cell>
          <cell r="H824" t="str">
            <v>RC</v>
          </cell>
          <cell r="J824">
            <v>4.37</v>
          </cell>
        </row>
        <row r="825">
          <cell r="D825" t="str">
            <v>076I</v>
          </cell>
          <cell r="E825">
            <v>7.15</v>
          </cell>
          <cell r="F825">
            <v>5.73</v>
          </cell>
          <cell r="G825" t="str">
            <v>NSSC2102</v>
          </cell>
          <cell r="H825" t="str">
            <v>RC</v>
          </cell>
          <cell r="J825">
            <v>4.37</v>
          </cell>
        </row>
        <row r="826">
          <cell r="D826" t="str">
            <v>052C</v>
          </cell>
          <cell r="E826">
            <v>10.88</v>
          </cell>
          <cell r="F826">
            <v>9</v>
          </cell>
          <cell r="G826" t="str">
            <v>NSSC2103</v>
          </cell>
          <cell r="H826" t="str">
            <v>RC</v>
          </cell>
          <cell r="I826" t="str">
            <v>PS NS NS</v>
          </cell>
          <cell r="J826">
            <v>4.4550000000000001</v>
          </cell>
        </row>
        <row r="827">
          <cell r="D827" t="str">
            <v>098B1</v>
          </cell>
          <cell r="E827">
            <v>15.43</v>
          </cell>
          <cell r="F827">
            <v>12.28</v>
          </cell>
          <cell r="G827" t="str">
            <v>NSBK2111</v>
          </cell>
          <cell r="H827" t="str">
            <v>RC</v>
          </cell>
          <cell r="J827">
            <v>4.0999999999999996</v>
          </cell>
        </row>
        <row r="828">
          <cell r="D828" t="str">
            <v>052D</v>
          </cell>
          <cell r="E828">
            <v>13.04</v>
          </cell>
          <cell r="F828">
            <v>10.7</v>
          </cell>
          <cell r="G828" t="str">
            <v>NSSC2102</v>
          </cell>
          <cell r="H828" t="str">
            <v>RC</v>
          </cell>
          <cell r="I828" t="str">
            <v>PS NS NS</v>
          </cell>
          <cell r="J828">
            <v>4.1349999999999998</v>
          </cell>
        </row>
        <row r="829">
          <cell r="D829" t="str">
            <v>089A</v>
          </cell>
          <cell r="E829">
            <v>3.72</v>
          </cell>
          <cell r="F829">
            <v>3</v>
          </cell>
          <cell r="G829" t="str">
            <v>NSSC2103</v>
          </cell>
          <cell r="H829" t="str">
            <v>RC</v>
          </cell>
          <cell r="J829">
            <v>4.4400000000000004</v>
          </cell>
        </row>
        <row r="830">
          <cell r="D830" t="str">
            <v>052E</v>
          </cell>
          <cell r="E830">
            <v>14.73</v>
          </cell>
          <cell r="F830">
            <v>12.08</v>
          </cell>
          <cell r="G830" t="str">
            <v>NSSC2102</v>
          </cell>
          <cell r="H830" t="str">
            <v>RC</v>
          </cell>
          <cell r="I830" t="str">
            <v>PS NS NS</v>
          </cell>
          <cell r="J830">
            <v>4.21</v>
          </cell>
        </row>
        <row r="831">
          <cell r="D831" t="str">
            <v>004A</v>
          </cell>
          <cell r="E831">
            <v>10.6</v>
          </cell>
          <cell r="F831">
            <v>8.35</v>
          </cell>
          <cell r="G831" t="str">
            <v>PS3R2104</v>
          </cell>
          <cell r="H831" t="str">
            <v>PS</v>
          </cell>
          <cell r="I831" t="str">
            <v>PS</v>
          </cell>
          <cell r="J831">
            <v>4.8250000000000002</v>
          </cell>
        </row>
        <row r="832">
          <cell r="D832" t="str">
            <v>030B</v>
          </cell>
          <cell r="E832">
            <v>10.86</v>
          </cell>
          <cell r="F832">
            <v>8.84</v>
          </cell>
          <cell r="G832" t="str">
            <v>NSSC2108</v>
          </cell>
          <cell r="H832" t="str">
            <v>RC</v>
          </cell>
          <cell r="J832">
            <v>4.41</v>
          </cell>
        </row>
        <row r="833">
          <cell r="D833" t="str">
            <v>017K</v>
          </cell>
          <cell r="E833">
            <v>6.51</v>
          </cell>
          <cell r="F833">
            <v>5.25</v>
          </cell>
          <cell r="G833" t="str">
            <v>NSBB2105</v>
          </cell>
          <cell r="H833" t="str">
            <v>BB</v>
          </cell>
          <cell r="J833">
            <v>4.79</v>
          </cell>
        </row>
        <row r="834">
          <cell r="D834" t="str">
            <v>075A</v>
          </cell>
          <cell r="E834">
            <v>7.97</v>
          </cell>
          <cell r="F834">
            <v>6.43</v>
          </cell>
          <cell r="G834" t="str">
            <v>NSBB2105</v>
          </cell>
          <cell r="H834" t="str">
            <v>BB</v>
          </cell>
          <cell r="I834" t="str">
            <v>PS NS NS</v>
          </cell>
          <cell r="J834">
            <v>4.665</v>
          </cell>
        </row>
        <row r="835">
          <cell r="D835" t="str">
            <v>075F</v>
          </cell>
          <cell r="E835">
            <v>12.64</v>
          </cell>
          <cell r="F835">
            <v>10.07</v>
          </cell>
          <cell r="G835" t="str">
            <v>NSSC2106</v>
          </cell>
          <cell r="H835" t="str">
            <v>RC</v>
          </cell>
          <cell r="J835">
            <v>4.5949999999999998</v>
          </cell>
        </row>
        <row r="836">
          <cell r="D836" t="str">
            <v>072F</v>
          </cell>
          <cell r="E836">
            <v>12.25</v>
          </cell>
          <cell r="F836">
            <v>9.84</v>
          </cell>
          <cell r="G836" t="str">
            <v>NSBB2105</v>
          </cell>
          <cell r="H836" t="str">
            <v>BB</v>
          </cell>
          <cell r="J836">
            <v>4.3049999999999997</v>
          </cell>
        </row>
        <row r="837">
          <cell r="D837" t="str">
            <v>014F</v>
          </cell>
          <cell r="E837">
            <v>15.03</v>
          </cell>
          <cell r="F837">
            <v>12.15</v>
          </cell>
          <cell r="G837" t="str">
            <v>NSBB2109</v>
          </cell>
          <cell r="H837" t="str">
            <v>BB</v>
          </cell>
          <cell r="J837">
            <v>4.3</v>
          </cell>
        </row>
        <row r="838">
          <cell r="D838" t="str">
            <v>014E</v>
          </cell>
          <cell r="E838">
            <v>17.16</v>
          </cell>
          <cell r="F838">
            <v>13.8</v>
          </cell>
          <cell r="G838" t="str">
            <v>NSBB2111</v>
          </cell>
          <cell r="H838" t="str">
            <v>BB</v>
          </cell>
          <cell r="J838">
            <v>4.1550000000000002</v>
          </cell>
        </row>
        <row r="839">
          <cell r="D839" t="str">
            <v>100B</v>
          </cell>
          <cell r="E839">
            <v>9.86</v>
          </cell>
          <cell r="F839">
            <v>7.8</v>
          </cell>
          <cell r="G839" t="str">
            <v>NSBB2106</v>
          </cell>
          <cell r="H839" t="str">
            <v>BB</v>
          </cell>
          <cell r="J839">
            <v>4.29</v>
          </cell>
        </row>
        <row r="840">
          <cell r="D840" t="str">
            <v>071D1</v>
          </cell>
          <cell r="E840">
            <v>5.67</v>
          </cell>
          <cell r="F840">
            <v>4.8899999999999997</v>
          </cell>
          <cell r="G840" t="str">
            <v>NRBB2112</v>
          </cell>
          <cell r="H840" t="str">
            <v>NR</v>
          </cell>
          <cell r="J840">
            <v>3.93</v>
          </cell>
        </row>
        <row r="841">
          <cell r="D841" t="str">
            <v>086A2</v>
          </cell>
          <cell r="E841">
            <v>8.9600000000000009</v>
          </cell>
          <cell r="F841">
            <v>7.3</v>
          </cell>
          <cell r="G841" t="str">
            <v>NSSC2106</v>
          </cell>
          <cell r="H841" t="str">
            <v>RC</v>
          </cell>
          <cell r="J841">
            <v>4.2450000000000001</v>
          </cell>
        </row>
        <row r="842">
          <cell r="D842" t="str">
            <v>086A</v>
          </cell>
          <cell r="E842">
            <v>11.92</v>
          </cell>
          <cell r="F842">
            <v>9.56</v>
          </cell>
          <cell r="G842" t="str">
            <v>NSSC2105</v>
          </cell>
          <cell r="H842" t="str">
            <v>RC</v>
          </cell>
          <cell r="J842">
            <v>4.5149999999999997</v>
          </cell>
        </row>
        <row r="843">
          <cell r="D843" t="str">
            <v>028E</v>
          </cell>
          <cell r="E843">
            <v>4.8499999999999996</v>
          </cell>
          <cell r="F843">
            <v>4.0999999999999996</v>
          </cell>
          <cell r="G843" t="str">
            <v>NSSC2103</v>
          </cell>
          <cell r="H843" t="str">
            <v>RC</v>
          </cell>
          <cell r="J843">
            <v>4.29</v>
          </cell>
        </row>
        <row r="844">
          <cell r="D844" t="str">
            <v>097M</v>
          </cell>
          <cell r="E844">
            <v>14</v>
          </cell>
          <cell r="F844">
            <v>11.07</v>
          </cell>
          <cell r="G844" t="str">
            <v>NSSC2104</v>
          </cell>
          <cell r="H844" t="str">
            <v>RC</v>
          </cell>
          <cell r="J844">
            <v>4.34</v>
          </cell>
        </row>
        <row r="845">
          <cell r="D845" t="str">
            <v>086E</v>
          </cell>
          <cell r="E845">
            <v>4.4000000000000004</v>
          </cell>
          <cell r="F845">
            <v>3.45</v>
          </cell>
          <cell r="G845" t="str">
            <v>NSSC2103</v>
          </cell>
          <cell r="H845" t="str">
            <v>RC</v>
          </cell>
          <cell r="J845">
            <v>4.3150000000000004</v>
          </cell>
        </row>
        <row r="846">
          <cell r="D846" t="str">
            <v>086B</v>
          </cell>
          <cell r="E846">
            <v>11.4</v>
          </cell>
          <cell r="F846">
            <v>9.0500000000000007</v>
          </cell>
          <cell r="G846" t="str">
            <v>NSBB2106</v>
          </cell>
          <cell r="H846" t="str">
            <v>BB</v>
          </cell>
          <cell r="J846">
            <v>3.99</v>
          </cell>
        </row>
        <row r="847">
          <cell r="D847" t="str">
            <v>092G</v>
          </cell>
          <cell r="E847">
            <v>3.15</v>
          </cell>
          <cell r="F847">
            <v>2.52</v>
          </cell>
          <cell r="G847" t="str">
            <v>NSSC2103</v>
          </cell>
          <cell r="H847" t="str">
            <v>RC</v>
          </cell>
          <cell r="J847">
            <v>4.6500000000000004</v>
          </cell>
        </row>
        <row r="848">
          <cell r="D848" t="str">
            <v>094A</v>
          </cell>
          <cell r="E848">
            <v>9.18</v>
          </cell>
          <cell r="F848">
            <v>7.26</v>
          </cell>
          <cell r="G848" t="str">
            <v>NSBB2107</v>
          </cell>
          <cell r="H848" t="str">
            <v>BB</v>
          </cell>
          <cell r="J848">
            <v>4.1050000000000004</v>
          </cell>
        </row>
        <row r="849">
          <cell r="D849" t="str">
            <v>096H</v>
          </cell>
          <cell r="E849">
            <v>7.65</v>
          </cell>
          <cell r="F849">
            <v>6.14</v>
          </cell>
          <cell r="G849" t="str">
            <v>NSBB2108</v>
          </cell>
          <cell r="H849" t="str">
            <v>BB</v>
          </cell>
          <cell r="J849">
            <v>4.09</v>
          </cell>
        </row>
        <row r="850">
          <cell r="D850" t="str">
            <v>098D</v>
          </cell>
          <cell r="E850">
            <v>7.6</v>
          </cell>
          <cell r="F850">
            <v>6.12</v>
          </cell>
          <cell r="G850" t="str">
            <v>NSBB2108</v>
          </cell>
          <cell r="H850" t="str">
            <v>BB</v>
          </cell>
          <cell r="J850">
            <v>3.9750000000000001</v>
          </cell>
        </row>
        <row r="851">
          <cell r="D851" t="str">
            <v>098E</v>
          </cell>
          <cell r="E851">
            <v>13.08</v>
          </cell>
          <cell r="F851">
            <v>10.23</v>
          </cell>
          <cell r="G851" t="str">
            <v>NSBB2108</v>
          </cell>
          <cell r="H851" t="str">
            <v>BB</v>
          </cell>
          <cell r="J851">
            <v>4.0750000000000002</v>
          </cell>
        </row>
        <row r="852">
          <cell r="D852" t="str">
            <v>048G</v>
          </cell>
          <cell r="E852">
            <v>14.52</v>
          </cell>
          <cell r="F852">
            <v>11.86</v>
          </cell>
          <cell r="G852" t="str">
            <v>NSSC2106</v>
          </cell>
          <cell r="H852" t="str">
            <v>RC</v>
          </cell>
          <cell r="J852">
            <v>4.03</v>
          </cell>
        </row>
        <row r="853">
          <cell r="D853" t="str">
            <v>062K9</v>
          </cell>
          <cell r="E853">
            <v>8.26</v>
          </cell>
          <cell r="F853">
            <v>6.71</v>
          </cell>
          <cell r="G853" t="str">
            <v>NSSC2105</v>
          </cell>
          <cell r="H853" t="str">
            <v>RC</v>
          </cell>
          <cell r="J853">
            <v>4.0549999999999997</v>
          </cell>
        </row>
        <row r="854">
          <cell r="D854" t="str">
            <v>095G</v>
          </cell>
          <cell r="E854">
            <v>12.7</v>
          </cell>
          <cell r="F854">
            <v>10.130000000000001</v>
          </cell>
          <cell r="G854" t="str">
            <v>NSSC2106</v>
          </cell>
          <cell r="H854" t="str">
            <v>RC</v>
          </cell>
          <cell r="J854">
            <v>4.0049999999999999</v>
          </cell>
        </row>
        <row r="855">
          <cell r="D855" t="str">
            <v>070I</v>
          </cell>
          <cell r="E855">
            <v>14.24</v>
          </cell>
          <cell r="F855">
            <v>12.1</v>
          </cell>
          <cell r="G855" t="str">
            <v>NRBB2112</v>
          </cell>
          <cell r="H855" t="str">
            <v>NR</v>
          </cell>
          <cell r="J855">
            <v>4.43</v>
          </cell>
        </row>
        <row r="856">
          <cell r="D856" t="str">
            <v>097G</v>
          </cell>
          <cell r="E856">
            <v>13.2</v>
          </cell>
          <cell r="F856">
            <v>10.43</v>
          </cell>
          <cell r="G856" t="str">
            <v>NSBB2108</v>
          </cell>
          <cell r="H856" t="str">
            <v>BB</v>
          </cell>
          <cell r="J856">
            <v>4.2300000000000004</v>
          </cell>
        </row>
        <row r="857">
          <cell r="D857" t="str">
            <v>090G</v>
          </cell>
          <cell r="E857">
            <v>8.1</v>
          </cell>
          <cell r="F857">
            <v>6.46</v>
          </cell>
          <cell r="G857" t="str">
            <v>NSBB2108</v>
          </cell>
          <cell r="H857" t="str">
            <v>BB</v>
          </cell>
          <cell r="J857">
            <v>3.9950000000000001</v>
          </cell>
        </row>
        <row r="858">
          <cell r="D858" t="str">
            <v>091F</v>
          </cell>
          <cell r="E858">
            <v>8.1300000000000008</v>
          </cell>
          <cell r="F858">
            <v>6.42</v>
          </cell>
          <cell r="G858" t="str">
            <v>NSBB2108</v>
          </cell>
          <cell r="H858" t="str">
            <v>BB</v>
          </cell>
          <cell r="J858">
            <v>4.04</v>
          </cell>
        </row>
        <row r="859">
          <cell r="D859" t="str">
            <v>031E</v>
          </cell>
          <cell r="E859">
            <v>15.88</v>
          </cell>
          <cell r="F859">
            <v>12.68</v>
          </cell>
          <cell r="G859" t="str">
            <v>NSSC2105</v>
          </cell>
          <cell r="H859" t="str">
            <v>RC</v>
          </cell>
          <cell r="J859">
            <v>4.1950000000000003</v>
          </cell>
        </row>
        <row r="860">
          <cell r="D860" t="str">
            <v>003G</v>
          </cell>
          <cell r="E860">
            <v>6.5</v>
          </cell>
          <cell r="F860">
            <v>5.13</v>
          </cell>
          <cell r="G860" t="str">
            <v>NSBB2107</v>
          </cell>
          <cell r="H860" t="str">
            <v>BB</v>
          </cell>
          <cell r="J860">
            <v>4.5750000000000002</v>
          </cell>
        </row>
        <row r="861">
          <cell r="D861" t="str">
            <v>004M3</v>
          </cell>
          <cell r="E861">
            <v>7.42</v>
          </cell>
          <cell r="F861">
            <v>6.24</v>
          </cell>
          <cell r="G861" t="str">
            <v>NSBB2107</v>
          </cell>
          <cell r="H861" t="str">
            <v>BB</v>
          </cell>
          <cell r="J861">
            <v>4.3650000000000002</v>
          </cell>
        </row>
        <row r="862">
          <cell r="D862" t="str">
            <v>046P</v>
          </cell>
          <cell r="E862">
            <v>12.08</v>
          </cell>
          <cell r="F862">
            <v>9.8000000000000007</v>
          </cell>
          <cell r="G862" t="str">
            <v>NSBB2110</v>
          </cell>
          <cell r="H862" t="str">
            <v>BB</v>
          </cell>
          <cell r="J862">
            <v>3.9950000000000001</v>
          </cell>
        </row>
        <row r="863">
          <cell r="D863" t="str">
            <v>013G</v>
          </cell>
          <cell r="E863">
            <v>12.53</v>
          </cell>
          <cell r="F863">
            <v>9.83</v>
          </cell>
          <cell r="G863" t="str">
            <v>NSBB2108</v>
          </cell>
          <cell r="H863" t="str">
            <v>BB</v>
          </cell>
        </row>
        <row r="864">
          <cell r="D864" t="str">
            <v>052F</v>
          </cell>
          <cell r="E864">
            <v>4.82</v>
          </cell>
          <cell r="F864">
            <v>3.88</v>
          </cell>
          <cell r="G864" t="str">
            <v>NSSC2105</v>
          </cell>
          <cell r="H864" t="str">
            <v>RC</v>
          </cell>
          <cell r="J864">
            <v>4.07</v>
          </cell>
        </row>
        <row r="865">
          <cell r="D865" t="str">
            <v>052H</v>
          </cell>
          <cell r="E865">
            <v>8.84</v>
          </cell>
          <cell r="F865">
            <v>7.08</v>
          </cell>
          <cell r="G865" t="str">
            <v>NSSC2105</v>
          </cell>
          <cell r="H865" t="str">
            <v>RC</v>
          </cell>
          <cell r="I865" t="str">
            <v>PS NS NS</v>
          </cell>
          <cell r="J865">
            <v>4.165</v>
          </cell>
        </row>
        <row r="866">
          <cell r="D866" t="str">
            <v>071D</v>
          </cell>
          <cell r="E866">
            <v>12.93</v>
          </cell>
          <cell r="F866">
            <v>10.32</v>
          </cell>
          <cell r="G866" t="str">
            <v>NSSC2104</v>
          </cell>
          <cell r="H866" t="str">
            <v>RC</v>
          </cell>
          <cell r="J866">
            <v>3.9249999999999998</v>
          </cell>
        </row>
        <row r="867">
          <cell r="D867" t="str">
            <v>071B1</v>
          </cell>
          <cell r="E867">
            <v>15.17</v>
          </cell>
          <cell r="F867">
            <v>12.12</v>
          </cell>
          <cell r="G867" t="str">
            <v>NSSC2104</v>
          </cell>
          <cell r="H867" t="str">
            <v>RC</v>
          </cell>
          <cell r="J867">
            <v>4.2699999999999996</v>
          </cell>
        </row>
        <row r="868">
          <cell r="D868" t="str">
            <v>071B2</v>
          </cell>
          <cell r="E868">
            <v>5.6</v>
          </cell>
          <cell r="F868">
            <v>4.5</v>
          </cell>
          <cell r="G868" t="str">
            <v>NSSC2104</v>
          </cell>
          <cell r="H868" t="str">
            <v>RC</v>
          </cell>
          <cell r="J868">
            <v>4.51</v>
          </cell>
        </row>
        <row r="869">
          <cell r="D869" t="str">
            <v>080E</v>
          </cell>
          <cell r="E869">
            <v>6.3</v>
          </cell>
          <cell r="F869">
            <v>5</v>
          </cell>
          <cell r="G869" t="str">
            <v>NSSC2105</v>
          </cell>
          <cell r="H869" t="str">
            <v>RC</v>
          </cell>
          <cell r="I869" t="str">
            <v>PS NS NS</v>
          </cell>
          <cell r="J869">
            <v>4.12</v>
          </cell>
        </row>
        <row r="870">
          <cell r="D870" t="str">
            <v>086A1</v>
          </cell>
          <cell r="E870">
            <v>9.84</v>
          </cell>
          <cell r="F870">
            <v>7.87</v>
          </cell>
          <cell r="G870" t="str">
            <v>NSSC2106</v>
          </cell>
          <cell r="H870" t="str">
            <v>RC</v>
          </cell>
        </row>
        <row r="871">
          <cell r="D871" t="str">
            <v>097A</v>
          </cell>
          <cell r="E871">
            <v>14.92</v>
          </cell>
          <cell r="F871">
            <v>11.95</v>
          </cell>
          <cell r="G871" t="str">
            <v>NSSC2105</v>
          </cell>
          <cell r="H871" t="str">
            <v>RC</v>
          </cell>
        </row>
        <row r="872">
          <cell r="D872" t="str">
            <v>008D2</v>
          </cell>
          <cell r="E872">
            <v>6.27</v>
          </cell>
          <cell r="F872">
            <v>5.42</v>
          </cell>
          <cell r="G872" t="str">
            <v>PS3R2107</v>
          </cell>
          <cell r="H872" t="str">
            <v>PS</v>
          </cell>
          <cell r="I872" t="str">
            <v>PS</v>
          </cell>
          <cell r="J872">
            <v>5.24</v>
          </cell>
        </row>
        <row r="873">
          <cell r="D873" t="str">
            <v>018D2</v>
          </cell>
          <cell r="E873">
            <v>9.3800000000000008</v>
          </cell>
          <cell r="F873">
            <v>7.83</v>
          </cell>
          <cell r="G873" t="str">
            <v>PS3R2107</v>
          </cell>
          <cell r="H873" t="str">
            <v>PS</v>
          </cell>
          <cell r="I873" t="str">
            <v>PS</v>
          </cell>
        </row>
        <row r="874">
          <cell r="D874" t="str">
            <v>008C</v>
          </cell>
          <cell r="E874">
            <v>4.43</v>
          </cell>
          <cell r="F874">
            <v>3.78</v>
          </cell>
          <cell r="G874" t="str">
            <v>PS3R2107</v>
          </cell>
          <cell r="H874" t="str">
            <v>PS</v>
          </cell>
          <cell r="I874" t="str">
            <v>PS</v>
          </cell>
          <cell r="J874">
            <v>4.9950000000000001</v>
          </cell>
        </row>
        <row r="875">
          <cell r="D875" t="str">
            <v>008C2</v>
          </cell>
          <cell r="E875">
            <v>7.22</v>
          </cell>
          <cell r="F875">
            <v>6.19</v>
          </cell>
          <cell r="G875" t="str">
            <v>PS3R2109</v>
          </cell>
          <cell r="H875" t="str">
            <v>PS</v>
          </cell>
          <cell r="I875" t="str">
            <v>PS</v>
          </cell>
          <cell r="J875">
            <v>4.8650000000000002</v>
          </cell>
        </row>
        <row r="876">
          <cell r="D876" t="str">
            <v>008E1</v>
          </cell>
          <cell r="E876">
            <v>7.42</v>
          </cell>
          <cell r="F876">
            <v>6.12</v>
          </cell>
          <cell r="G876" t="str">
            <v>PSSR2102</v>
          </cell>
          <cell r="H876" t="str">
            <v>PS</v>
          </cell>
          <cell r="I876" t="str">
            <v>PS</v>
          </cell>
        </row>
        <row r="877">
          <cell r="D877" t="str">
            <v>008E2</v>
          </cell>
          <cell r="E877">
            <v>3.9</v>
          </cell>
          <cell r="F877">
            <v>3.15</v>
          </cell>
          <cell r="G877" t="str">
            <v>PS3R2110</v>
          </cell>
          <cell r="H877" t="str">
            <v>PS</v>
          </cell>
          <cell r="I877" t="str">
            <v>PS</v>
          </cell>
        </row>
        <row r="878">
          <cell r="D878" t="str">
            <v>093A</v>
          </cell>
          <cell r="E878">
            <v>8.07</v>
          </cell>
          <cell r="F878">
            <v>6.42</v>
          </cell>
          <cell r="G878" t="str">
            <v>NSSC2105</v>
          </cell>
          <cell r="H878" t="str">
            <v>RC</v>
          </cell>
        </row>
        <row r="879">
          <cell r="D879" t="str">
            <v>093H</v>
          </cell>
          <cell r="E879">
            <v>4.16</v>
          </cell>
          <cell r="F879">
            <v>3.31</v>
          </cell>
          <cell r="G879" t="str">
            <v>NSBB2110</v>
          </cell>
          <cell r="H879" t="str">
            <v>BB</v>
          </cell>
          <cell r="J879">
            <v>3.9350000000000001</v>
          </cell>
        </row>
        <row r="880">
          <cell r="D880" t="str">
            <v>028B</v>
          </cell>
          <cell r="E880">
            <v>10.88</v>
          </cell>
          <cell r="F880">
            <v>8.98</v>
          </cell>
          <cell r="G880" t="str">
            <v>NSSC2105</v>
          </cell>
          <cell r="H880" t="str">
            <v>RC</v>
          </cell>
        </row>
        <row r="881">
          <cell r="D881" t="str">
            <v>028D</v>
          </cell>
          <cell r="E881">
            <v>9.6</v>
          </cell>
          <cell r="F881">
            <v>7.85</v>
          </cell>
          <cell r="G881" t="str">
            <v>NSSC2105</v>
          </cell>
          <cell r="H881" t="str">
            <v>RC</v>
          </cell>
        </row>
        <row r="882">
          <cell r="D882" t="str">
            <v>026G</v>
          </cell>
          <cell r="E882">
            <v>12.28</v>
          </cell>
          <cell r="F882">
            <v>9.93</v>
          </cell>
          <cell r="G882" t="str">
            <v>NSBB2111</v>
          </cell>
          <cell r="H882" t="str">
            <v>BB</v>
          </cell>
          <cell r="J882">
            <v>4.0750000000000002</v>
          </cell>
        </row>
        <row r="883">
          <cell r="D883" t="str">
            <v>037A</v>
          </cell>
          <cell r="E883">
            <v>15.52</v>
          </cell>
          <cell r="F883">
            <v>12.85</v>
          </cell>
          <cell r="G883" t="str">
            <v>NSSC2105</v>
          </cell>
          <cell r="H883" t="str">
            <v>RC</v>
          </cell>
        </row>
        <row r="884">
          <cell r="D884" t="str">
            <v>078L</v>
          </cell>
          <cell r="E884">
            <v>7.38</v>
          </cell>
          <cell r="F884">
            <v>5.98</v>
          </cell>
          <cell r="G884" t="str">
            <v>NSSC2105</v>
          </cell>
          <cell r="H884" t="str">
            <v>RC</v>
          </cell>
        </row>
        <row r="885">
          <cell r="D885" t="str">
            <v>078M</v>
          </cell>
          <cell r="E885">
            <v>4.96</v>
          </cell>
          <cell r="F885">
            <v>4.04</v>
          </cell>
          <cell r="G885" t="str">
            <v>NSSC2105</v>
          </cell>
          <cell r="H885" t="str">
            <v>RC</v>
          </cell>
        </row>
        <row r="886">
          <cell r="D886" t="str">
            <v>076C</v>
          </cell>
          <cell r="E886">
            <v>12.28</v>
          </cell>
          <cell r="F886">
            <v>9.92</v>
          </cell>
          <cell r="G886" t="str">
            <v>NSSC2106</v>
          </cell>
          <cell r="H886" t="str">
            <v>RC</v>
          </cell>
        </row>
        <row r="887">
          <cell r="D887" t="str">
            <v>030A1</v>
          </cell>
          <cell r="E887">
            <v>19.36</v>
          </cell>
          <cell r="F887">
            <v>15.5</v>
          </cell>
          <cell r="G887" t="str">
            <v>NSBB2112</v>
          </cell>
          <cell r="H887" t="str">
            <v>BB</v>
          </cell>
        </row>
        <row r="888">
          <cell r="D888" t="str">
            <v>007D</v>
          </cell>
          <cell r="E888">
            <v>12.06</v>
          </cell>
          <cell r="F888">
            <v>9.6</v>
          </cell>
          <cell r="G888" t="str">
            <v>NSBB2109</v>
          </cell>
          <cell r="H888" t="str">
            <v>BB</v>
          </cell>
        </row>
        <row r="889">
          <cell r="D889" t="str">
            <v>003B</v>
          </cell>
          <cell r="E889">
            <v>7.8</v>
          </cell>
          <cell r="F889">
            <v>6.3</v>
          </cell>
          <cell r="G889" t="str">
            <v>NSBB2109</v>
          </cell>
          <cell r="H889" t="str">
            <v>BB</v>
          </cell>
        </row>
        <row r="890">
          <cell r="D890" t="str">
            <v>003C</v>
          </cell>
          <cell r="E890">
            <v>9.85</v>
          </cell>
          <cell r="F890">
            <v>7.8</v>
          </cell>
          <cell r="G890" t="str">
            <v>NSBB2109</v>
          </cell>
          <cell r="H890" t="str">
            <v>BB</v>
          </cell>
        </row>
        <row r="891">
          <cell r="D891" t="str">
            <v>092E</v>
          </cell>
          <cell r="E891">
            <v>20.04</v>
          </cell>
          <cell r="F891">
            <v>16.079999999999998</v>
          </cell>
          <cell r="G891" t="str">
            <v>NSBB2110</v>
          </cell>
          <cell r="H891" t="str">
            <v>BB</v>
          </cell>
        </row>
        <row r="892">
          <cell r="D892" t="str">
            <v>090A</v>
          </cell>
          <cell r="E892">
            <v>13.5</v>
          </cell>
          <cell r="F892">
            <v>10.82</v>
          </cell>
          <cell r="G892" t="str">
            <v>NSSC2107</v>
          </cell>
          <cell r="H892" t="str">
            <v>RC</v>
          </cell>
        </row>
        <row r="893">
          <cell r="D893" t="str">
            <v>094G</v>
          </cell>
          <cell r="E893">
            <v>10.67</v>
          </cell>
          <cell r="F893">
            <v>8.42</v>
          </cell>
          <cell r="G893" t="str">
            <v>NSSC2105</v>
          </cell>
          <cell r="H893" t="str">
            <v>RC</v>
          </cell>
        </row>
        <row r="894">
          <cell r="D894" t="str">
            <v>090B</v>
          </cell>
          <cell r="E894">
            <v>10.199999999999999</v>
          </cell>
          <cell r="F894">
            <v>8.24</v>
          </cell>
          <cell r="G894" t="str">
            <v>NSSC2107</v>
          </cell>
          <cell r="H894" t="str">
            <v>RC</v>
          </cell>
        </row>
        <row r="895">
          <cell r="D895" t="str">
            <v>098I1</v>
          </cell>
          <cell r="E895">
            <v>8.23</v>
          </cell>
          <cell r="F895">
            <v>6.6</v>
          </cell>
          <cell r="G895" t="str">
            <v>NSSC2109</v>
          </cell>
          <cell r="H895" t="str">
            <v>RC</v>
          </cell>
        </row>
        <row r="896">
          <cell r="D896" t="str">
            <v>098I</v>
          </cell>
          <cell r="E896">
            <v>9.81</v>
          </cell>
          <cell r="F896">
            <v>7.76</v>
          </cell>
          <cell r="G896" t="str">
            <v>NSSC2109</v>
          </cell>
          <cell r="H896" t="str">
            <v>RC</v>
          </cell>
        </row>
        <row r="897">
          <cell r="D897" t="str">
            <v>070L1</v>
          </cell>
          <cell r="E897">
            <v>9.8800000000000008</v>
          </cell>
          <cell r="F897">
            <v>7.75</v>
          </cell>
          <cell r="G897" t="str">
            <v>NSSC2107</v>
          </cell>
          <cell r="H897" t="str">
            <v>RC</v>
          </cell>
        </row>
        <row r="898">
          <cell r="D898" t="str">
            <v>005B</v>
          </cell>
          <cell r="E898">
            <v>14.66</v>
          </cell>
          <cell r="F898">
            <v>11.48</v>
          </cell>
          <cell r="G898" t="str">
            <v>NSBB2109</v>
          </cell>
          <cell r="H898" t="str">
            <v>BB</v>
          </cell>
        </row>
        <row r="899">
          <cell r="D899" t="str">
            <v>070M1</v>
          </cell>
          <cell r="E899">
            <v>8.7799999999999994</v>
          </cell>
          <cell r="F899">
            <v>6.93</v>
          </cell>
          <cell r="G899" t="str">
            <v>NSSC2107</v>
          </cell>
          <cell r="H899" t="str">
            <v>RC</v>
          </cell>
        </row>
        <row r="900">
          <cell r="D900" t="str">
            <v>029E</v>
          </cell>
          <cell r="E900">
            <v>8.4</v>
          </cell>
          <cell r="F900">
            <v>6.74</v>
          </cell>
          <cell r="G900" t="str">
            <v>NSSC2108</v>
          </cell>
          <cell r="H900" t="str">
            <v>RC</v>
          </cell>
          <cell r="I900" t="str">
            <v>PS NS NS</v>
          </cell>
        </row>
        <row r="901">
          <cell r="D901" t="str">
            <v>031A2</v>
          </cell>
          <cell r="E901">
            <v>13.48</v>
          </cell>
          <cell r="F901">
            <v>10.94</v>
          </cell>
          <cell r="G901" t="str">
            <v>NSSC2106</v>
          </cell>
          <cell r="H901" t="str">
            <v>RC</v>
          </cell>
        </row>
        <row r="902">
          <cell r="D902" t="str">
            <v>026F</v>
          </cell>
          <cell r="E902">
            <v>7.38</v>
          </cell>
          <cell r="F902">
            <v>5.96</v>
          </cell>
          <cell r="G902" t="str">
            <v>NSSC2109</v>
          </cell>
          <cell r="H902" t="str">
            <v>RC</v>
          </cell>
        </row>
        <row r="903">
          <cell r="D903" t="str">
            <v>045C</v>
          </cell>
          <cell r="E903">
            <v>19</v>
          </cell>
          <cell r="F903">
            <v>15.72</v>
          </cell>
          <cell r="G903" t="str">
            <v>NSSC2107</v>
          </cell>
          <cell r="H903" t="str">
            <v>RC</v>
          </cell>
        </row>
        <row r="904">
          <cell r="D904" t="str">
            <v>091E</v>
          </cell>
          <cell r="E904">
            <v>12.03</v>
          </cell>
          <cell r="F904">
            <v>9.6300000000000008</v>
          </cell>
          <cell r="G904" t="str">
            <v>NSSC2107</v>
          </cell>
          <cell r="H904" t="str">
            <v>RC</v>
          </cell>
        </row>
        <row r="905">
          <cell r="D905" t="str">
            <v>097F</v>
          </cell>
          <cell r="E905">
            <v>8.42</v>
          </cell>
          <cell r="F905">
            <v>6.75</v>
          </cell>
          <cell r="G905" t="str">
            <v>NSSC2108</v>
          </cell>
          <cell r="H905" t="str">
            <v>RC</v>
          </cell>
        </row>
        <row r="906">
          <cell r="D906" t="str">
            <v>092A</v>
          </cell>
          <cell r="E906">
            <v>13.13</v>
          </cell>
          <cell r="F906">
            <v>10.55</v>
          </cell>
          <cell r="G906" t="str">
            <v>NSSC2110</v>
          </cell>
          <cell r="H906" t="str">
            <v>RC</v>
          </cell>
        </row>
        <row r="907">
          <cell r="D907" t="str">
            <v>092F</v>
          </cell>
          <cell r="E907">
            <v>8.4</v>
          </cell>
          <cell r="F907">
            <v>6.65</v>
          </cell>
          <cell r="G907" t="str">
            <v>NSSC2107</v>
          </cell>
          <cell r="H907" t="str">
            <v>RC</v>
          </cell>
        </row>
        <row r="908">
          <cell r="D908" t="str">
            <v>088D</v>
          </cell>
          <cell r="E908">
            <v>16.440000000000001</v>
          </cell>
          <cell r="F908">
            <v>12.96</v>
          </cell>
          <cell r="G908" t="str">
            <v>NSSC2108</v>
          </cell>
          <cell r="H908" t="str">
            <v>RC</v>
          </cell>
          <cell r="I908" t="str">
            <v>PS NS NS</v>
          </cell>
        </row>
        <row r="909">
          <cell r="D909" t="str">
            <v>076F</v>
          </cell>
          <cell r="E909">
            <v>7.97</v>
          </cell>
          <cell r="F909">
            <v>6.5</v>
          </cell>
          <cell r="G909" t="str">
            <v>NSSC2107</v>
          </cell>
          <cell r="H909" t="str">
            <v>RC</v>
          </cell>
        </row>
        <row r="910">
          <cell r="D910" t="str">
            <v>076F3</v>
          </cell>
          <cell r="E910">
            <v>5.05</v>
          </cell>
          <cell r="F910">
            <v>3.95</v>
          </cell>
          <cell r="G910" t="str">
            <v>NSSC2107</v>
          </cell>
          <cell r="H910" t="str">
            <v>RC</v>
          </cell>
        </row>
        <row r="911">
          <cell r="D911" t="str">
            <v>067B</v>
          </cell>
          <cell r="E911">
            <v>10.72</v>
          </cell>
          <cell r="F911">
            <v>8.39</v>
          </cell>
          <cell r="G911" t="str">
            <v>NSSC2108</v>
          </cell>
          <cell r="H911" t="str">
            <v>RC</v>
          </cell>
          <cell r="I911" t="str">
            <v>PS NS NS SK NS</v>
          </cell>
        </row>
        <row r="912">
          <cell r="D912" t="str">
            <v>079E</v>
          </cell>
          <cell r="E912">
            <v>7.8</v>
          </cell>
          <cell r="F912">
            <v>6.27</v>
          </cell>
          <cell r="G912" t="str">
            <v>NSSC2110</v>
          </cell>
          <cell r="H912" t="str">
            <v>RC</v>
          </cell>
          <cell r="I912" t="str">
            <v>PS NS NS</v>
          </cell>
        </row>
        <row r="913">
          <cell r="D913" t="str">
            <v>024K</v>
          </cell>
          <cell r="E913">
            <v>5.52</v>
          </cell>
          <cell r="F913">
            <v>4.4400000000000004</v>
          </cell>
          <cell r="G913" t="str">
            <v>NSBB2111</v>
          </cell>
          <cell r="H913" t="str">
            <v>BB</v>
          </cell>
        </row>
        <row r="914">
          <cell r="D914" t="str">
            <v>065C</v>
          </cell>
          <cell r="E914">
            <v>12.75</v>
          </cell>
          <cell r="F914">
            <v>10.58</v>
          </cell>
          <cell r="G914" t="str">
            <v>NSSC2108</v>
          </cell>
          <cell r="H914" t="str">
            <v>RC</v>
          </cell>
        </row>
        <row r="915">
          <cell r="D915" t="str">
            <v>009B</v>
          </cell>
          <cell r="E915">
            <v>13.88</v>
          </cell>
          <cell r="F915">
            <v>11</v>
          </cell>
          <cell r="G915" t="str">
            <v>NSBB2111</v>
          </cell>
          <cell r="H915" t="str">
            <v>BB</v>
          </cell>
        </row>
        <row r="916">
          <cell r="D916" t="str">
            <v>008F</v>
          </cell>
          <cell r="E916">
            <v>12.15</v>
          </cell>
          <cell r="F916">
            <v>9.84</v>
          </cell>
          <cell r="G916" t="str">
            <v>NSBB2111</v>
          </cell>
          <cell r="H916" t="str">
            <v>BB</v>
          </cell>
        </row>
        <row r="917">
          <cell r="D917" t="str">
            <v>082B</v>
          </cell>
          <cell r="E917">
            <v>15.45</v>
          </cell>
          <cell r="F917">
            <v>12.32</v>
          </cell>
          <cell r="G917" t="str">
            <v>NSBB2112</v>
          </cell>
          <cell r="H917" t="str">
            <v>BB</v>
          </cell>
        </row>
        <row r="918">
          <cell r="D918" t="str">
            <v>065D</v>
          </cell>
          <cell r="E918">
            <v>11.9</v>
          </cell>
          <cell r="F918">
            <v>9.6999999999999993</v>
          </cell>
          <cell r="G918" t="str">
            <v>NSSC2109</v>
          </cell>
          <cell r="H918" t="str">
            <v>RC</v>
          </cell>
        </row>
        <row r="919">
          <cell r="D919" t="str">
            <v>065B</v>
          </cell>
          <cell r="E919">
            <v>13.58</v>
          </cell>
          <cell r="F919">
            <v>11.11</v>
          </cell>
          <cell r="G919" t="str">
            <v>NSSC2107</v>
          </cell>
          <cell r="H919" t="str">
            <v>RC</v>
          </cell>
        </row>
        <row r="920">
          <cell r="D920" t="str">
            <v>046D</v>
          </cell>
          <cell r="E920">
            <v>6.46</v>
          </cell>
          <cell r="F920">
            <v>5.38</v>
          </cell>
          <cell r="G920" t="str">
            <v>NSSC2108</v>
          </cell>
          <cell r="H920" t="str">
            <v>RC</v>
          </cell>
        </row>
        <row r="921">
          <cell r="D921" t="str">
            <v>045D</v>
          </cell>
          <cell r="E921">
            <v>13.25</v>
          </cell>
          <cell r="F921">
            <v>10.88</v>
          </cell>
          <cell r="G921" t="str">
            <v>NSSC2108</v>
          </cell>
          <cell r="H921" t="str">
            <v>RC</v>
          </cell>
        </row>
        <row r="922">
          <cell r="D922" t="str">
            <v>004G</v>
          </cell>
          <cell r="E922">
            <v>15.83</v>
          </cell>
          <cell r="F922">
            <v>12.35</v>
          </cell>
          <cell r="G922" t="str">
            <v>NSSC2108</v>
          </cell>
          <cell r="H922" t="str">
            <v>RC</v>
          </cell>
        </row>
        <row r="923">
          <cell r="D923" t="str">
            <v>003H</v>
          </cell>
          <cell r="E923">
            <v>10.66</v>
          </cell>
          <cell r="F923">
            <v>8.33</v>
          </cell>
          <cell r="G923" t="str">
            <v>NSSC2107</v>
          </cell>
          <cell r="H923" t="str">
            <v>RC</v>
          </cell>
        </row>
        <row r="924">
          <cell r="D924" t="str">
            <v>029E1</v>
          </cell>
          <cell r="E924">
            <v>16.559999999999999</v>
          </cell>
          <cell r="F924">
            <v>13.32</v>
          </cell>
          <cell r="G924" t="str">
            <v>NSSC2108</v>
          </cell>
          <cell r="H924" t="str">
            <v>RC</v>
          </cell>
          <cell r="I924" t="str">
            <v>PS NS NS</v>
          </cell>
        </row>
        <row r="925">
          <cell r="D925" t="str">
            <v>038B</v>
          </cell>
          <cell r="E925">
            <v>12.93</v>
          </cell>
          <cell r="F925">
            <v>10.41</v>
          </cell>
          <cell r="G925" t="str">
            <v>NSSC2109</v>
          </cell>
          <cell r="H925" t="str">
            <v>RC</v>
          </cell>
        </row>
        <row r="926">
          <cell r="D926" t="str">
            <v>069A</v>
          </cell>
          <cell r="E926">
            <v>11.78</v>
          </cell>
          <cell r="F926">
            <v>9.18</v>
          </cell>
          <cell r="G926" t="str">
            <v>NSSC2108</v>
          </cell>
          <cell r="H926" t="str">
            <v>RC</v>
          </cell>
        </row>
        <row r="927">
          <cell r="D927" t="str">
            <v>099C</v>
          </cell>
          <cell r="E927">
            <v>10.58</v>
          </cell>
          <cell r="F927">
            <v>8.5</v>
          </cell>
          <cell r="G927" t="str">
            <v>NSSC2109</v>
          </cell>
          <cell r="H927" t="str">
            <v>RC</v>
          </cell>
        </row>
        <row r="928">
          <cell r="D928" t="str">
            <v>099D</v>
          </cell>
          <cell r="E928">
            <v>7.28</v>
          </cell>
          <cell r="F928">
            <v>5.88</v>
          </cell>
          <cell r="G928" t="str">
            <v>NSSC2109</v>
          </cell>
          <cell r="H928" t="str">
            <v>RC</v>
          </cell>
        </row>
        <row r="929">
          <cell r="D929" t="str">
            <v>097B</v>
          </cell>
          <cell r="E929">
            <v>12.13</v>
          </cell>
          <cell r="F929">
            <v>9.6199999999999992</v>
          </cell>
          <cell r="G929" t="str">
            <v>NSSC2108</v>
          </cell>
          <cell r="H929" t="str">
            <v>RC</v>
          </cell>
        </row>
        <row r="930">
          <cell r="D930" t="str">
            <v>007E</v>
          </cell>
          <cell r="E930">
            <v>19</v>
          </cell>
          <cell r="F930">
            <v>15</v>
          </cell>
          <cell r="G930" t="str">
            <v>NSBB2111</v>
          </cell>
          <cell r="H930" t="str">
            <v>BB</v>
          </cell>
        </row>
        <row r="931">
          <cell r="D931" t="str">
            <v>004J</v>
          </cell>
          <cell r="E931">
            <v>7.54</v>
          </cell>
          <cell r="F931">
            <v>6.13</v>
          </cell>
          <cell r="G931" t="str">
            <v>NSSC2111</v>
          </cell>
          <cell r="H931" t="str">
            <v>RC</v>
          </cell>
        </row>
        <row r="932">
          <cell r="D932" t="str">
            <v>070H</v>
          </cell>
          <cell r="E932">
            <v>5.13</v>
          </cell>
          <cell r="F932">
            <v>4.1900000000000004</v>
          </cell>
          <cell r="G932" t="str">
            <v>NSSC2109</v>
          </cell>
          <cell r="H932" t="str">
            <v>RC</v>
          </cell>
        </row>
        <row r="933">
          <cell r="D933" t="str">
            <v>095C</v>
          </cell>
          <cell r="E933">
            <v>8.66</v>
          </cell>
          <cell r="F933">
            <v>6.82</v>
          </cell>
          <cell r="G933" t="str">
            <v>NSSC2108</v>
          </cell>
          <cell r="H933" t="str">
            <v>RC</v>
          </cell>
        </row>
        <row r="935">
          <cell r="D935" t="str">
            <v>038A</v>
          </cell>
          <cell r="E935">
            <v>15.84</v>
          </cell>
          <cell r="F935">
            <v>12.7</v>
          </cell>
          <cell r="G935" t="str">
            <v>NSSC2109</v>
          </cell>
          <cell r="H935" t="str">
            <v>RC</v>
          </cell>
        </row>
        <row r="936">
          <cell r="D936" t="str">
            <v>030E</v>
          </cell>
          <cell r="E936">
            <v>4.96</v>
          </cell>
          <cell r="F936">
            <v>4.08</v>
          </cell>
          <cell r="G936" t="str">
            <v>NSSC2109</v>
          </cell>
          <cell r="H936" t="str">
            <v>RC</v>
          </cell>
        </row>
        <row r="937">
          <cell r="D937" t="str">
            <v>083H</v>
          </cell>
          <cell r="E937">
            <v>12.86</v>
          </cell>
          <cell r="F937">
            <v>10.3</v>
          </cell>
          <cell r="G937" t="str">
            <v>NSSC2109</v>
          </cell>
          <cell r="H937" t="str">
            <v>RC</v>
          </cell>
        </row>
        <row r="938">
          <cell r="D938" t="str">
            <v>025A</v>
          </cell>
          <cell r="E938">
            <v>11.13</v>
          </cell>
          <cell r="F938">
            <v>8.7799999999999994</v>
          </cell>
          <cell r="G938" t="str">
            <v>NSSC2110</v>
          </cell>
          <cell r="H938" t="str">
            <v>RC</v>
          </cell>
        </row>
        <row r="939">
          <cell r="D939" t="str">
            <v>030H</v>
          </cell>
          <cell r="E939">
            <v>5.86</v>
          </cell>
          <cell r="F939">
            <v>4.74</v>
          </cell>
          <cell r="G939" t="str">
            <v>NSSC2110</v>
          </cell>
          <cell r="H939" t="str">
            <v>RC</v>
          </cell>
        </row>
        <row r="940">
          <cell r="D940" t="str">
            <v>080B1</v>
          </cell>
          <cell r="E940">
            <v>10.98</v>
          </cell>
          <cell r="F940">
            <v>8.57</v>
          </cell>
          <cell r="G940" t="str">
            <v>NSSC2110</v>
          </cell>
          <cell r="H940" t="str">
            <v>RC</v>
          </cell>
          <cell r="I940" t="str">
            <v>PS NS NS</v>
          </cell>
        </row>
        <row r="941">
          <cell r="D941" t="str">
            <v>092D</v>
          </cell>
          <cell r="E941">
            <v>14.5</v>
          </cell>
          <cell r="F941">
            <v>11.7</v>
          </cell>
          <cell r="G941" t="str">
            <v>NSSC2110</v>
          </cell>
          <cell r="H941" t="str">
            <v>RC</v>
          </cell>
        </row>
        <row r="942">
          <cell r="D942" t="str">
            <v>086D</v>
          </cell>
          <cell r="E942">
            <v>10.87</v>
          </cell>
          <cell r="F942">
            <v>8.7200000000000006</v>
          </cell>
          <cell r="G942" t="str">
            <v>NSSC2110</v>
          </cell>
          <cell r="H942" t="str">
            <v>RC</v>
          </cell>
        </row>
        <row r="943">
          <cell r="D943" t="str">
            <v>048B</v>
          </cell>
          <cell r="E943">
            <v>7.74</v>
          </cell>
          <cell r="F943">
            <v>6.37</v>
          </cell>
          <cell r="G943" t="str">
            <v>NSSC2110</v>
          </cell>
          <cell r="H943" t="str">
            <v>RC</v>
          </cell>
        </row>
        <row r="944">
          <cell r="D944" t="str">
            <v>042F</v>
          </cell>
          <cell r="E944">
            <v>16.2</v>
          </cell>
          <cell r="F944">
            <v>12.93</v>
          </cell>
          <cell r="G944" t="str">
            <v>NSSC2110</v>
          </cell>
          <cell r="H944" t="str">
            <v>RC</v>
          </cell>
        </row>
        <row r="945">
          <cell r="D945" t="str">
            <v>071C</v>
          </cell>
          <cell r="E945">
            <v>8.9</v>
          </cell>
          <cell r="F945">
            <v>7.11</v>
          </cell>
          <cell r="G945" t="str">
            <v>NSSC2111</v>
          </cell>
          <cell r="H945" t="str">
            <v>RC</v>
          </cell>
        </row>
        <row r="946">
          <cell r="D946" t="str">
            <v>026H</v>
          </cell>
          <cell r="E946">
            <v>4.5599999999999996</v>
          </cell>
          <cell r="F946">
            <v>3.63</v>
          </cell>
          <cell r="G946" t="str">
            <v>NSSC2111</v>
          </cell>
          <cell r="H946" t="str">
            <v>RC</v>
          </cell>
        </row>
        <row r="947">
          <cell r="D947" t="str">
            <v>003I</v>
          </cell>
          <cell r="E947">
            <v>9.18</v>
          </cell>
          <cell r="F947">
            <v>7.13</v>
          </cell>
          <cell r="G947" t="str">
            <v>NSSC2110</v>
          </cell>
          <cell r="H947" t="str">
            <v>RC</v>
          </cell>
        </row>
        <row r="948">
          <cell r="D948" t="str">
            <v>037D</v>
          </cell>
          <cell r="E948">
            <v>11.9</v>
          </cell>
          <cell r="F948">
            <v>9.52</v>
          </cell>
          <cell r="G948" t="str">
            <v>NSSC2111</v>
          </cell>
          <cell r="H948" t="str">
            <v>RC</v>
          </cell>
        </row>
        <row r="949">
          <cell r="D949" t="str">
            <v>007F</v>
          </cell>
          <cell r="E949">
            <v>20.8</v>
          </cell>
          <cell r="F949">
            <v>16.68</v>
          </cell>
          <cell r="G949" t="str">
            <v>NSSC2202</v>
          </cell>
          <cell r="H949" t="str">
            <v>RC</v>
          </cell>
        </row>
        <row r="950">
          <cell r="D950" t="str">
            <v>092C3</v>
          </cell>
          <cell r="E950">
            <v>17.579999999999998</v>
          </cell>
          <cell r="F950">
            <v>14</v>
          </cell>
          <cell r="G950" t="str">
            <v>NSSC2111</v>
          </cell>
          <cell r="H950" t="str">
            <v>RC</v>
          </cell>
        </row>
        <row r="951">
          <cell r="D951" t="str">
            <v>079D</v>
          </cell>
          <cell r="E951">
            <v>18.600000000000001</v>
          </cell>
          <cell r="F951">
            <v>14.8</v>
          </cell>
          <cell r="G951" t="str">
            <v>NSSC2111</v>
          </cell>
          <cell r="H951" t="str">
            <v>RC</v>
          </cell>
          <cell r="I951" t="str">
            <v>PS NS NS</v>
          </cell>
        </row>
        <row r="952">
          <cell r="D952" t="str">
            <v>098C</v>
          </cell>
          <cell r="E952">
            <v>8.67</v>
          </cell>
          <cell r="F952">
            <v>6.97</v>
          </cell>
          <cell r="G952" t="str">
            <v>NSSC2111</v>
          </cell>
          <cell r="H952" t="str">
            <v>RC</v>
          </cell>
        </row>
        <row r="953">
          <cell r="D953" t="str">
            <v>042F1</v>
          </cell>
          <cell r="E953">
            <v>11.07</v>
          </cell>
          <cell r="F953">
            <v>8.8800000000000008</v>
          </cell>
          <cell r="G953" t="str">
            <v>NSSC2112</v>
          </cell>
          <cell r="H953" t="str">
            <v>RC</v>
          </cell>
        </row>
        <row r="954">
          <cell r="D954" t="str">
            <v>049A</v>
          </cell>
          <cell r="E954">
            <v>17.100000000000001</v>
          </cell>
          <cell r="F954">
            <v>13.58</v>
          </cell>
          <cell r="G954" t="str">
            <v>NSSC2112</v>
          </cell>
          <cell r="H954" t="str">
            <v>RC</v>
          </cell>
        </row>
        <row r="955">
          <cell r="D955" t="str">
            <v>025C</v>
          </cell>
          <cell r="E955">
            <v>9.86</v>
          </cell>
          <cell r="F955">
            <v>7.72</v>
          </cell>
          <cell r="G955" t="str">
            <v>NSSC2112</v>
          </cell>
          <cell r="H955" t="str">
            <v>RC</v>
          </cell>
        </row>
        <row r="956">
          <cell r="D956" t="str">
            <v>048I</v>
          </cell>
          <cell r="E956">
            <v>8.5500000000000007</v>
          </cell>
          <cell r="F956">
            <v>6.81</v>
          </cell>
          <cell r="G956" t="str">
            <v>NSSC2112</v>
          </cell>
          <cell r="H956" t="str">
            <v>RC</v>
          </cell>
        </row>
        <row r="957">
          <cell r="D957" t="str">
            <v>080C</v>
          </cell>
          <cell r="E957">
            <v>11.78</v>
          </cell>
          <cell r="F957">
            <v>9.31</v>
          </cell>
          <cell r="G957" t="str">
            <v>NSSC2112</v>
          </cell>
          <cell r="H957" t="str">
            <v>RC</v>
          </cell>
        </row>
        <row r="959">
          <cell r="D959" t="str">
            <v>013A</v>
          </cell>
          <cell r="E959">
            <v>11.64</v>
          </cell>
          <cell r="F959">
            <v>9.7799999999999994</v>
          </cell>
          <cell r="G959" t="str">
            <v>PSSR2110</v>
          </cell>
          <cell r="H959" t="str">
            <v>PS</v>
          </cell>
          <cell r="I959" t="str">
            <v>PS</v>
          </cell>
        </row>
        <row r="960">
          <cell r="D960" t="str">
            <v>001A</v>
          </cell>
          <cell r="E960">
            <v>9.16</v>
          </cell>
          <cell r="F960">
            <v>5.88</v>
          </cell>
          <cell r="G960" t="str">
            <v>PSFC2010</v>
          </cell>
          <cell r="H960" t="str">
            <v>PS</v>
          </cell>
          <cell r="I960" t="str">
            <v>PS</v>
          </cell>
        </row>
        <row r="961">
          <cell r="D961" t="str">
            <v>020F1</v>
          </cell>
          <cell r="E961">
            <v>4.2</v>
          </cell>
          <cell r="G961" t="str">
            <v>PSSR2201</v>
          </cell>
          <cell r="H961" t="str">
            <v>PS</v>
          </cell>
          <cell r="I961" t="str">
            <v>PS</v>
          </cell>
          <cell r="J961" t="str">
            <v>Renc Jagung</v>
          </cell>
          <cell r="K961">
            <v>3.45</v>
          </cell>
        </row>
        <row r="962">
          <cell r="D962" t="str">
            <v>020F2</v>
          </cell>
          <cell r="E962">
            <v>2.79</v>
          </cell>
          <cell r="G962" t="str">
            <v>PSSR2202</v>
          </cell>
          <cell r="H962" t="str">
            <v>PS</v>
          </cell>
          <cell r="I962" t="str">
            <v>PS</v>
          </cell>
          <cell r="J962" t="str">
            <v>Renc Jagung</v>
          </cell>
          <cell r="K962">
            <v>2.25</v>
          </cell>
        </row>
        <row r="963">
          <cell r="D963" t="str">
            <v>020K</v>
          </cell>
          <cell r="E963">
            <v>8.8699999999999992</v>
          </cell>
          <cell r="F963">
            <v>7.04</v>
          </cell>
          <cell r="G963" t="str">
            <v>PSFC2108</v>
          </cell>
          <cell r="H963" t="str">
            <v>PS</v>
          </cell>
          <cell r="I963" t="str">
            <v>PS</v>
          </cell>
          <cell r="J963" t="str">
            <v>Lanjut RC</v>
          </cell>
        </row>
        <row r="964">
          <cell r="D964" t="str">
            <v>024A</v>
          </cell>
          <cell r="E964">
            <v>13.24</v>
          </cell>
          <cell r="F964">
            <v>10.6</v>
          </cell>
          <cell r="G964" t="str">
            <v>PSFC2106</v>
          </cell>
          <cell r="H964" t="str">
            <v>PS</v>
          </cell>
          <cell r="I964" t="str">
            <v>PS</v>
          </cell>
          <cell r="J964" t="str">
            <v>Lanjut RC</v>
          </cell>
        </row>
        <row r="965">
          <cell r="D965" t="str">
            <v>001C</v>
          </cell>
          <cell r="E965">
            <v>9.16</v>
          </cell>
          <cell r="G965" t="str">
            <v>PSFC2010</v>
          </cell>
          <cell r="H965" t="str">
            <v>PS</v>
          </cell>
          <cell r="I965" t="str">
            <v>Pengganti 1A</v>
          </cell>
          <cell r="J965" t="str">
            <v>Lanjut RC</v>
          </cell>
          <cell r="K965">
            <v>7.42</v>
          </cell>
        </row>
        <row r="966">
          <cell r="D966" t="str">
            <v>024B</v>
          </cell>
          <cell r="E966">
            <v>10.28</v>
          </cell>
          <cell r="G966" t="str">
            <v>PSFC2105</v>
          </cell>
          <cell r="H966" t="str">
            <v>PS</v>
          </cell>
          <cell r="I966" t="str">
            <v>Pengganti 9F</v>
          </cell>
          <cell r="J966" t="str">
            <v>Lanjut RC</v>
          </cell>
          <cell r="K966">
            <v>8.35</v>
          </cell>
        </row>
        <row r="968">
          <cell r="D968" t="str">
            <v>041B1</v>
          </cell>
          <cell r="E968">
            <v>11.36</v>
          </cell>
          <cell r="F968">
            <v>9.23</v>
          </cell>
          <cell r="H968" t="str">
            <v>SK</v>
          </cell>
          <cell r="I968" t="str">
            <v>Setelah singkong Rotasi</v>
          </cell>
          <cell r="K968">
            <v>9.73</v>
          </cell>
        </row>
        <row r="969">
          <cell r="D969" t="str">
            <v>095F</v>
          </cell>
          <cell r="E969">
            <v>17</v>
          </cell>
          <cell r="F969">
            <v>13.53</v>
          </cell>
          <cell r="H969" t="str">
            <v>SK</v>
          </cell>
          <cell r="I969" t="str">
            <v>Setelah singkong Rotasi</v>
          </cell>
          <cell r="K969">
            <v>14.67</v>
          </cell>
        </row>
        <row r="970">
          <cell r="D970" t="str">
            <v>091G</v>
          </cell>
          <cell r="E970">
            <v>5.46</v>
          </cell>
          <cell r="F970">
            <v>4.3899999999999997</v>
          </cell>
          <cell r="H970" t="str">
            <v>SK</v>
          </cell>
          <cell r="I970" t="str">
            <v>Setelah singkong Rotasi</v>
          </cell>
          <cell r="K970">
            <v>4.83</v>
          </cell>
        </row>
        <row r="971">
          <cell r="D971" t="str">
            <v>098A1</v>
          </cell>
          <cell r="E971">
            <v>11.25</v>
          </cell>
          <cell r="F971">
            <v>8.92</v>
          </cell>
          <cell r="H971" t="str">
            <v>SK</v>
          </cell>
          <cell r="I971" t="str">
            <v>Setelah singkong Rotasi</v>
          </cell>
          <cell r="K971">
            <v>9.82</v>
          </cell>
        </row>
        <row r="972">
          <cell r="D972" t="str">
            <v>084E</v>
          </cell>
          <cell r="E972">
            <v>16.22</v>
          </cell>
          <cell r="F972">
            <v>12.98</v>
          </cell>
          <cell r="H972" t="str">
            <v>SK</v>
          </cell>
          <cell r="I972" t="str">
            <v>Setelah singkong Rotasi</v>
          </cell>
          <cell r="K972">
            <v>13.86</v>
          </cell>
        </row>
        <row r="973">
          <cell r="D973" t="str">
            <v>084H</v>
          </cell>
          <cell r="E973">
            <v>8.1300000000000008</v>
          </cell>
          <cell r="F973">
            <v>6.54</v>
          </cell>
          <cell r="H973" t="str">
            <v>SK</v>
          </cell>
          <cell r="I973" t="str">
            <v>Setelah singkong Rotasi</v>
          </cell>
          <cell r="K973">
            <v>7.11</v>
          </cell>
        </row>
        <row r="974">
          <cell r="D974" t="str">
            <v>091H</v>
          </cell>
          <cell r="E974">
            <v>10.119999999999999</v>
          </cell>
          <cell r="F974">
            <v>8.23</v>
          </cell>
          <cell r="H974" t="str">
            <v>SK</v>
          </cell>
          <cell r="I974" t="str">
            <v>Setelah singkong Rotasi</v>
          </cell>
          <cell r="K974">
            <v>8.89</v>
          </cell>
        </row>
        <row r="975">
          <cell r="D975" t="str">
            <v>045F</v>
          </cell>
          <cell r="E975">
            <v>16.75</v>
          </cell>
          <cell r="F975">
            <v>13.82</v>
          </cell>
          <cell r="H975" t="str">
            <v>SK</v>
          </cell>
          <cell r="I975" t="str">
            <v>Setelah singkong Rotasi</v>
          </cell>
          <cell r="K975">
            <v>14.16</v>
          </cell>
        </row>
        <row r="976">
          <cell r="D976" t="str">
            <v>057B1</v>
          </cell>
          <cell r="E976">
            <v>11.62</v>
          </cell>
          <cell r="F976">
            <v>9.68</v>
          </cell>
          <cell r="H976" t="str">
            <v>SK</v>
          </cell>
          <cell r="I976" t="str">
            <v>Setelah singkong Rotasi</v>
          </cell>
          <cell r="K976">
            <v>11.26</v>
          </cell>
        </row>
        <row r="977">
          <cell r="D977" t="str">
            <v>026E</v>
          </cell>
          <cell r="E977">
            <v>16.5</v>
          </cell>
          <cell r="F977">
            <v>13.38</v>
          </cell>
          <cell r="H977" t="str">
            <v>SK</v>
          </cell>
          <cell r="I977" t="str">
            <v>Setelah singkong Rotasi</v>
          </cell>
          <cell r="K977">
            <v>14.1</v>
          </cell>
        </row>
        <row r="978">
          <cell r="D978" t="str">
            <v>041A</v>
          </cell>
          <cell r="E978">
            <v>17.88</v>
          </cell>
          <cell r="F978">
            <v>14.45</v>
          </cell>
          <cell r="H978" t="str">
            <v>SK</v>
          </cell>
          <cell r="I978" t="str">
            <v>Setelah singkong Rotasi</v>
          </cell>
          <cell r="K978">
            <v>14.96</v>
          </cell>
        </row>
        <row r="980">
          <cell r="D980" t="str">
            <v>057C</v>
          </cell>
          <cell r="E980">
            <v>10.82</v>
          </cell>
          <cell r="F980">
            <v>3.8</v>
          </cell>
          <cell r="H980" t="str">
            <v>SK</v>
          </cell>
          <cell r="I980" t="str">
            <v>Setelah singkong Rotasi</v>
          </cell>
        </row>
        <row r="1021">
          <cell r="K1021" t="str">
            <v>Netto</v>
          </cell>
        </row>
        <row r="1022">
          <cell r="D1022" t="str">
            <v>013C</v>
          </cell>
          <cell r="E1022">
            <v>9.92</v>
          </cell>
          <cell r="G1022" t="str">
            <v>PSSC2104</v>
          </cell>
          <cell r="H1022" t="str">
            <v>PS</v>
          </cell>
          <cell r="I1022" t="str">
            <v>Lanjut RC</v>
          </cell>
          <cell r="J1022" t="str">
            <v>Renc Jagung</v>
          </cell>
          <cell r="K1022">
            <v>8.31</v>
          </cell>
        </row>
        <row r="1023">
          <cell r="D1023" t="str">
            <v>013B</v>
          </cell>
          <cell r="E1023">
            <v>7.86</v>
          </cell>
          <cell r="G1023" t="str">
            <v>PSSR2105</v>
          </cell>
          <cell r="H1023" t="str">
            <v>PS</v>
          </cell>
          <cell r="I1023" t="str">
            <v>Lanjut RC</v>
          </cell>
          <cell r="J1023" t="str">
            <v>Renc Jagung</v>
          </cell>
          <cell r="K1023">
            <v>6.63</v>
          </cell>
        </row>
        <row r="1024">
          <cell r="D1024" t="str">
            <v>004B</v>
          </cell>
          <cell r="E1024">
            <v>7.45</v>
          </cell>
          <cell r="G1024" t="str">
            <v>PS3R2104</v>
          </cell>
          <cell r="H1024" t="str">
            <v>PS</v>
          </cell>
          <cell r="I1024" t="str">
            <v>Lanjut RC</v>
          </cell>
          <cell r="K1024">
            <v>6.12</v>
          </cell>
        </row>
        <row r="1025">
          <cell r="D1025" t="str">
            <v>005F1</v>
          </cell>
          <cell r="E1025">
            <v>11.82</v>
          </cell>
          <cell r="G1025" t="str">
            <v>NSBK2111</v>
          </cell>
          <cell r="H1025" t="str">
            <v>BB</v>
          </cell>
          <cell r="J1025">
            <v>5.18</v>
          </cell>
          <cell r="K1025">
            <v>9.4700000000000006</v>
          </cell>
        </row>
        <row r="1026">
          <cell r="D1026" t="str">
            <v>005G</v>
          </cell>
          <cell r="E1026">
            <v>5.14</v>
          </cell>
          <cell r="G1026" t="str">
            <v>NSBK2111</v>
          </cell>
          <cell r="H1026" t="str">
            <v>BB</v>
          </cell>
          <cell r="J1026">
            <v>5.56</v>
          </cell>
          <cell r="K1026">
            <v>4.24</v>
          </cell>
        </row>
        <row r="1027">
          <cell r="D1027" t="str">
            <v>005E</v>
          </cell>
          <cell r="E1027">
            <v>6.82</v>
          </cell>
          <cell r="G1027" t="str">
            <v>NSBK2109</v>
          </cell>
          <cell r="H1027" t="str">
            <v>RC</v>
          </cell>
          <cell r="I1027" t="str">
            <v>PS NS</v>
          </cell>
          <cell r="J1027">
            <v>4.8600000000000003</v>
          </cell>
          <cell r="K1027">
            <v>5.45</v>
          </cell>
        </row>
        <row r="1028">
          <cell r="D1028" t="str">
            <v>005F</v>
          </cell>
          <cell r="E1028">
            <v>18.28</v>
          </cell>
          <cell r="G1028" t="str">
            <v>NSBK2111</v>
          </cell>
          <cell r="H1028" t="str">
            <v>RC</v>
          </cell>
          <cell r="I1028" t="str">
            <v>PS NS</v>
          </cell>
          <cell r="J1028">
            <v>4.76</v>
          </cell>
          <cell r="K1028">
            <v>14.66</v>
          </cell>
        </row>
        <row r="1029">
          <cell r="D1029" t="str">
            <v>006C</v>
          </cell>
          <cell r="E1029">
            <v>6.58</v>
          </cell>
          <cell r="G1029" t="str">
            <v>NSBK2110</v>
          </cell>
          <cell r="H1029" t="str">
            <v>RC</v>
          </cell>
          <cell r="I1029" t="str">
            <v>PS NS</v>
          </cell>
          <cell r="K1029">
            <v>5.84</v>
          </cell>
        </row>
        <row r="1030">
          <cell r="D1030" t="str">
            <v>006C1</v>
          </cell>
          <cell r="E1030">
            <v>6.08</v>
          </cell>
          <cell r="G1030" t="str">
            <v>NSBK2112</v>
          </cell>
          <cell r="H1030" t="str">
            <v>RC</v>
          </cell>
          <cell r="I1030" t="str">
            <v>PS NS</v>
          </cell>
          <cell r="K1030">
            <v>5.42</v>
          </cell>
        </row>
        <row r="1031">
          <cell r="D1031" t="str">
            <v>012A</v>
          </cell>
          <cell r="E1031">
            <v>15.15</v>
          </cell>
          <cell r="G1031" t="str">
            <v>NSBK2110</v>
          </cell>
          <cell r="H1031" t="str">
            <v>RC</v>
          </cell>
          <cell r="I1031" t="str">
            <v>PS NS</v>
          </cell>
          <cell r="J1031">
            <v>4.83</v>
          </cell>
          <cell r="K1031">
            <v>12.44</v>
          </cell>
        </row>
        <row r="1032">
          <cell r="D1032" t="str">
            <v>006A</v>
          </cell>
          <cell r="E1032">
            <v>11.6</v>
          </cell>
          <cell r="G1032" t="str">
            <v>NSBK2111</v>
          </cell>
          <cell r="H1032" t="str">
            <v>RC</v>
          </cell>
          <cell r="I1032" t="str">
            <v>PS NS</v>
          </cell>
          <cell r="J1032">
            <v>4.83</v>
          </cell>
          <cell r="K1032">
            <v>9.3000000000000007</v>
          </cell>
        </row>
        <row r="1033">
          <cell r="D1033" t="str">
            <v>006B</v>
          </cell>
          <cell r="E1033">
            <v>9.26</v>
          </cell>
          <cell r="G1033" t="str">
            <v>NSBK2111</v>
          </cell>
          <cell r="H1033" t="str">
            <v>RC</v>
          </cell>
          <cell r="I1033" t="str">
            <v>PS NS</v>
          </cell>
          <cell r="J1033">
            <v>5.2549999999999999</v>
          </cell>
          <cell r="K1033">
            <v>7.51</v>
          </cell>
        </row>
        <row r="1034">
          <cell r="D1034" t="str">
            <v>019B</v>
          </cell>
          <cell r="E1034">
            <v>16.899999999999999</v>
          </cell>
          <cell r="G1034" t="str">
            <v>NSBB2106</v>
          </cell>
          <cell r="H1034" t="str">
            <v>BB</v>
          </cell>
          <cell r="K1034">
            <v>13.33</v>
          </cell>
        </row>
        <row r="1035">
          <cell r="D1035" t="str">
            <v>055A</v>
          </cell>
          <cell r="E1035">
            <v>10.33</v>
          </cell>
          <cell r="G1035" t="str">
            <v>NSSC2105</v>
          </cell>
          <cell r="H1035" t="str">
            <v>RC</v>
          </cell>
          <cell r="I1035" t="str">
            <v>PS NS NS</v>
          </cell>
          <cell r="J1035">
            <v>3.78</v>
          </cell>
          <cell r="K1035">
            <v>8.59</v>
          </cell>
        </row>
        <row r="1036">
          <cell r="D1036" t="str">
            <v>012C</v>
          </cell>
          <cell r="E1036">
            <v>10.52</v>
          </cell>
          <cell r="G1036" t="str">
            <v>NSBB2109</v>
          </cell>
          <cell r="H1036" t="str">
            <v>BB</v>
          </cell>
          <cell r="K1036">
            <v>8.65</v>
          </cell>
        </row>
        <row r="1037">
          <cell r="D1037" t="str">
            <v>018G</v>
          </cell>
          <cell r="E1037">
            <v>14.27</v>
          </cell>
          <cell r="G1037" t="str">
            <v>NSSC2109</v>
          </cell>
          <cell r="H1037" t="str">
            <v>RC</v>
          </cell>
          <cell r="I1037" t="str">
            <v>PS NS</v>
          </cell>
          <cell r="K1037">
            <v>11.21</v>
          </cell>
        </row>
        <row r="1038">
          <cell r="D1038" t="str">
            <v>019D</v>
          </cell>
          <cell r="E1038">
            <v>10.74</v>
          </cell>
          <cell r="G1038" t="str">
            <v>NSSC2110</v>
          </cell>
          <cell r="H1038" t="str">
            <v>RC</v>
          </cell>
          <cell r="I1038" t="str">
            <v>PS NS</v>
          </cell>
          <cell r="K1038">
            <v>8.66</v>
          </cell>
        </row>
        <row r="1039">
          <cell r="D1039" t="str">
            <v>018C2</v>
          </cell>
          <cell r="E1039">
            <v>8.64</v>
          </cell>
          <cell r="G1039" t="str">
            <v>NSSC2109</v>
          </cell>
          <cell r="H1039" t="str">
            <v>RC</v>
          </cell>
          <cell r="I1039" t="str">
            <v>PS NS</v>
          </cell>
          <cell r="K1039">
            <v>6.94</v>
          </cell>
        </row>
        <row r="1040">
          <cell r="D1040" t="str">
            <v>009D</v>
          </cell>
          <cell r="E1040">
            <v>12.13</v>
          </cell>
          <cell r="G1040" t="str">
            <v>NSSC2112</v>
          </cell>
          <cell r="H1040" t="str">
            <v>RC</v>
          </cell>
          <cell r="K1040">
            <v>9.7200000000000006</v>
          </cell>
        </row>
        <row r="1041">
          <cell r="D1041" t="str">
            <v>019G</v>
          </cell>
          <cell r="E1041">
            <v>11.94</v>
          </cell>
          <cell r="G1041" t="str">
            <v>NSSC2110</v>
          </cell>
          <cell r="H1041" t="str">
            <v>RC</v>
          </cell>
          <cell r="K1041">
            <v>9.61</v>
          </cell>
        </row>
        <row r="1042">
          <cell r="D1042" t="str">
            <v>062F1</v>
          </cell>
          <cell r="E1042">
            <v>8.66</v>
          </cell>
          <cell r="G1042" t="str">
            <v>NSSC2111</v>
          </cell>
          <cell r="H1042" t="str">
            <v>RC</v>
          </cell>
          <cell r="K1042">
            <v>6.92</v>
          </cell>
        </row>
        <row r="1043">
          <cell r="D1043" t="str">
            <v>012F</v>
          </cell>
          <cell r="E1043">
            <v>3.73</v>
          </cell>
          <cell r="G1043" t="str">
            <v>NSBB2111</v>
          </cell>
          <cell r="H1043" t="str">
            <v>BB</v>
          </cell>
          <cell r="K1043">
            <v>2.94</v>
          </cell>
        </row>
        <row r="1044">
          <cell r="D1044" t="str">
            <v>062F</v>
          </cell>
          <cell r="E1044">
            <v>5.78</v>
          </cell>
          <cell r="G1044" t="str">
            <v>NSFC2009</v>
          </cell>
          <cell r="H1044" t="str">
            <v>RC</v>
          </cell>
          <cell r="K1044">
            <v>4.67</v>
          </cell>
        </row>
        <row r="1045">
          <cell r="D1045" t="str">
            <v>066P</v>
          </cell>
          <cell r="E1045">
            <v>5.32</v>
          </cell>
          <cell r="G1045" t="str">
            <v>NRST2202</v>
          </cell>
          <cell r="H1045" t="str">
            <v>BB</v>
          </cell>
          <cell r="K1045">
            <v>4.4800000000000004</v>
          </cell>
        </row>
        <row r="1046">
          <cell r="D1046" t="str">
            <v>066N</v>
          </cell>
          <cell r="E1046">
            <v>11.9</v>
          </cell>
          <cell r="G1046" t="str">
            <v>NSBK2112</v>
          </cell>
          <cell r="H1046" t="str">
            <v>RC</v>
          </cell>
          <cell r="K1046">
            <v>9.5</v>
          </cell>
        </row>
        <row r="1047">
          <cell r="D1047" t="str">
            <v>066D</v>
          </cell>
          <cell r="E1047">
            <v>10.9</v>
          </cell>
          <cell r="G1047" t="str">
            <v>NSBK2112</v>
          </cell>
          <cell r="H1047" t="str">
            <v>RC</v>
          </cell>
          <cell r="K1047">
            <v>8.85</v>
          </cell>
        </row>
        <row r="1048">
          <cell r="D1048" t="str">
            <v>066F</v>
          </cell>
          <cell r="E1048">
            <v>9.6999999999999993</v>
          </cell>
          <cell r="G1048" t="str">
            <v>NSBK2112</v>
          </cell>
          <cell r="H1048" t="str">
            <v>RC</v>
          </cell>
          <cell r="J1048">
            <v>14.62</v>
          </cell>
          <cell r="K1048">
            <v>7.83</v>
          </cell>
        </row>
        <row r="1049">
          <cell r="D1049" t="str">
            <v>095E</v>
          </cell>
          <cell r="E1049">
            <v>9.9</v>
          </cell>
          <cell r="G1049" t="str">
            <v>NSBK2201</v>
          </cell>
          <cell r="H1049" t="str">
            <v>BB</v>
          </cell>
          <cell r="J1049">
            <v>4.3550000000000004</v>
          </cell>
          <cell r="K1049">
            <v>7.75</v>
          </cell>
        </row>
        <row r="1050">
          <cell r="D1050" t="str">
            <v>042L3</v>
          </cell>
          <cell r="E1050">
            <v>1.94</v>
          </cell>
          <cell r="G1050" t="str">
            <v>NRBB2111</v>
          </cell>
          <cell r="H1050" t="str">
            <v>NR</v>
          </cell>
          <cell r="K1050">
            <v>1.6</v>
          </cell>
        </row>
        <row r="1051">
          <cell r="D1051" t="str">
            <v>030B2</v>
          </cell>
          <cell r="E1051">
            <v>7.87</v>
          </cell>
          <cell r="G1051" t="str">
            <v>NSBK2204</v>
          </cell>
          <cell r="H1051" t="str">
            <v>NR</v>
          </cell>
          <cell r="K1051">
            <v>6.55</v>
          </cell>
        </row>
        <row r="1052">
          <cell r="D1052" t="str">
            <v>030C</v>
          </cell>
          <cell r="E1052">
            <v>8.66</v>
          </cell>
          <cell r="G1052" t="str">
            <v>NRBB2110</v>
          </cell>
          <cell r="H1052" t="str">
            <v>NR</v>
          </cell>
          <cell r="K1052">
            <v>7.13</v>
          </cell>
        </row>
        <row r="1053">
          <cell r="D1053" t="str">
            <v>030B1</v>
          </cell>
          <cell r="E1053">
            <v>8.59</v>
          </cell>
          <cell r="G1053" t="str">
            <v>NRBB2111</v>
          </cell>
          <cell r="H1053" t="str">
            <v>NR</v>
          </cell>
          <cell r="K1053">
            <v>7.02</v>
          </cell>
        </row>
        <row r="1054">
          <cell r="D1054" t="str">
            <v>085I</v>
          </cell>
          <cell r="E1054">
            <v>12.66</v>
          </cell>
          <cell r="G1054" t="str">
            <v>NSBK2202</v>
          </cell>
          <cell r="H1054" t="str">
            <v>RC</v>
          </cell>
          <cell r="J1054">
            <v>4.5250000000000004</v>
          </cell>
          <cell r="K1054">
            <v>10.08</v>
          </cell>
        </row>
        <row r="1055">
          <cell r="D1055" t="str">
            <v>017G</v>
          </cell>
          <cell r="E1055">
            <v>10.94</v>
          </cell>
          <cell r="G1055" t="str">
            <v>NSBB2105</v>
          </cell>
          <cell r="H1055" t="str">
            <v>BB</v>
          </cell>
          <cell r="J1055">
            <v>4.51</v>
          </cell>
          <cell r="K1055">
            <v>8.6</v>
          </cell>
        </row>
        <row r="1056">
          <cell r="D1056" t="str">
            <v>017G1</v>
          </cell>
          <cell r="E1056">
            <v>10.92</v>
          </cell>
          <cell r="G1056" t="str">
            <v>NSSC2104</v>
          </cell>
          <cell r="H1056" t="str">
            <v>RC</v>
          </cell>
          <cell r="J1056">
            <v>4.2649999999999997</v>
          </cell>
          <cell r="K1056">
            <v>8.84</v>
          </cell>
        </row>
        <row r="1057">
          <cell r="D1057" t="str">
            <v>028A</v>
          </cell>
          <cell r="E1057">
            <v>3.55</v>
          </cell>
          <cell r="G1057" t="str">
            <v>NSSC2102</v>
          </cell>
          <cell r="H1057" t="str">
            <v>RC</v>
          </cell>
          <cell r="K1057">
            <v>2.94</v>
          </cell>
        </row>
        <row r="1058">
          <cell r="D1058" t="str">
            <v>028A1</v>
          </cell>
          <cell r="E1058">
            <v>13.05</v>
          </cell>
          <cell r="G1058" t="str">
            <v>NSSC2101</v>
          </cell>
          <cell r="H1058" t="str">
            <v>RC</v>
          </cell>
          <cell r="K1058">
            <v>10.52</v>
          </cell>
        </row>
        <row r="1059">
          <cell r="D1059" t="str">
            <v>046A</v>
          </cell>
          <cell r="E1059">
            <v>13.67</v>
          </cell>
          <cell r="G1059" t="str">
            <v>JBBK2204</v>
          </cell>
          <cell r="H1059" t="str">
            <v>BB</v>
          </cell>
          <cell r="J1059">
            <v>7.07</v>
          </cell>
          <cell r="K1059">
            <v>11.12</v>
          </cell>
        </row>
        <row r="1060">
          <cell r="D1060" t="str">
            <v>041B1</v>
          </cell>
          <cell r="E1060">
            <v>11.54</v>
          </cell>
          <cell r="G1060" t="str">
            <v>SKFC2111</v>
          </cell>
          <cell r="H1060" t="str">
            <v>RC</v>
          </cell>
          <cell r="J1060">
            <v>3.9649999999999999</v>
          </cell>
          <cell r="K1060">
            <v>9.73</v>
          </cell>
        </row>
        <row r="1061">
          <cell r="D1061" t="str">
            <v>095F</v>
          </cell>
          <cell r="E1061">
            <v>17</v>
          </cell>
          <cell r="G1061" t="str">
            <v>SKFC2111</v>
          </cell>
          <cell r="H1061" t="str">
            <v>RC</v>
          </cell>
          <cell r="J1061">
            <v>4.17</v>
          </cell>
          <cell r="K1061">
            <v>14.67</v>
          </cell>
        </row>
        <row r="1062">
          <cell r="D1062" t="str">
            <v>091G</v>
          </cell>
          <cell r="E1062">
            <v>5.54</v>
          </cell>
          <cell r="G1062" t="str">
            <v>SKFC2111</v>
          </cell>
          <cell r="H1062" t="str">
            <v>RC</v>
          </cell>
          <cell r="J1062">
            <v>4.7549999999999999</v>
          </cell>
          <cell r="K1062">
            <v>4.83</v>
          </cell>
        </row>
        <row r="1063">
          <cell r="D1063" t="str">
            <v>098A1</v>
          </cell>
          <cell r="E1063">
            <v>11.45</v>
          </cell>
          <cell r="G1063" t="str">
            <v>SKFC2111</v>
          </cell>
          <cell r="H1063" t="str">
            <v>RC</v>
          </cell>
          <cell r="J1063">
            <v>4.6050000000000004</v>
          </cell>
          <cell r="K1063">
            <v>9.82</v>
          </cell>
        </row>
        <row r="1064">
          <cell r="D1064" t="str">
            <v>084E</v>
          </cell>
          <cell r="E1064">
            <v>16.260000000000002</v>
          </cell>
          <cell r="G1064" t="str">
            <v>SKFC2112</v>
          </cell>
          <cell r="H1064" t="str">
            <v>RC</v>
          </cell>
          <cell r="J1064">
            <v>4.6050000000000004</v>
          </cell>
          <cell r="K1064">
            <v>13.86</v>
          </cell>
        </row>
        <row r="1065">
          <cell r="D1065" t="str">
            <v>084H</v>
          </cell>
          <cell r="E1065">
            <v>8.2200000000000006</v>
          </cell>
          <cell r="G1065" t="str">
            <v>SKFC2112</v>
          </cell>
          <cell r="H1065" t="str">
            <v>RC</v>
          </cell>
          <cell r="J1065">
            <v>4.3</v>
          </cell>
          <cell r="K1065">
            <v>7.11</v>
          </cell>
        </row>
        <row r="1066">
          <cell r="D1066" t="str">
            <v>091H</v>
          </cell>
          <cell r="E1066">
            <v>10.34</v>
          </cell>
          <cell r="G1066" t="str">
            <v>SKFC2112</v>
          </cell>
          <cell r="H1066" t="str">
            <v>RC</v>
          </cell>
          <cell r="K1066">
            <v>8.89</v>
          </cell>
        </row>
        <row r="1067">
          <cell r="D1067" t="str">
            <v>045F</v>
          </cell>
          <cell r="E1067">
            <v>16.600000000000001</v>
          </cell>
          <cell r="G1067" t="str">
            <v>SKFC2201</v>
          </cell>
          <cell r="H1067" t="str">
            <v>RC</v>
          </cell>
          <cell r="J1067">
            <v>4.4649999999999999</v>
          </cell>
          <cell r="K1067">
            <v>14.16</v>
          </cell>
        </row>
        <row r="1068">
          <cell r="D1068" t="str">
            <v>057B1</v>
          </cell>
          <cell r="E1068">
            <v>12.9</v>
          </cell>
          <cell r="G1068" t="str">
            <v>SKFC2201</v>
          </cell>
          <cell r="H1068" t="str">
            <v>RC</v>
          </cell>
          <cell r="J1068">
            <v>4.3099999999999996</v>
          </cell>
          <cell r="K1068">
            <v>11.26</v>
          </cell>
        </row>
        <row r="1069">
          <cell r="D1069" t="str">
            <v>026E</v>
          </cell>
          <cell r="E1069">
            <v>16.5</v>
          </cell>
          <cell r="G1069" t="str">
            <v>NSBK2110</v>
          </cell>
          <cell r="H1069" t="str">
            <v>RC</v>
          </cell>
          <cell r="J1069">
            <v>4.46</v>
          </cell>
          <cell r="K1069">
            <v>13.38</v>
          </cell>
        </row>
        <row r="1070">
          <cell r="D1070" t="str">
            <v>041A</v>
          </cell>
          <cell r="E1070">
            <v>17.88</v>
          </cell>
          <cell r="G1070" t="str">
            <v>NSBK2111</v>
          </cell>
          <cell r="H1070" t="str">
            <v>RC</v>
          </cell>
          <cell r="J1070">
            <v>3.72</v>
          </cell>
          <cell r="K1070">
            <v>14.45</v>
          </cell>
        </row>
        <row r="1071">
          <cell r="D1071" t="str">
            <v>057C</v>
          </cell>
          <cell r="E1071">
            <v>4.6500000000000004</v>
          </cell>
          <cell r="G1071" t="str">
            <v>NSBK2111</v>
          </cell>
          <cell r="H1071" t="str">
            <v>BB</v>
          </cell>
          <cell r="K1071">
            <v>3.8</v>
          </cell>
        </row>
        <row r="1072">
          <cell r="D1072" t="str">
            <v>002C</v>
          </cell>
          <cell r="E1072">
            <v>7.33</v>
          </cell>
          <cell r="G1072" t="str">
            <v>NSSC2110</v>
          </cell>
          <cell r="H1072" t="str">
            <v>RC</v>
          </cell>
          <cell r="K1072">
            <v>6.19</v>
          </cell>
        </row>
        <row r="1073">
          <cell r="D1073" t="str">
            <v>092C1</v>
          </cell>
          <cell r="E1073">
            <v>12.22</v>
          </cell>
          <cell r="G1073" t="str">
            <v>NSSC2109</v>
          </cell>
          <cell r="H1073" t="str">
            <v>RC</v>
          </cell>
          <cell r="K1073">
            <v>9.75</v>
          </cell>
        </row>
        <row r="1074">
          <cell r="D1074" t="str">
            <v>038F</v>
          </cell>
          <cell r="E1074">
            <v>7.44</v>
          </cell>
          <cell r="G1074" t="str">
            <v>NSSC2108</v>
          </cell>
          <cell r="H1074" t="str">
            <v>RC</v>
          </cell>
          <cell r="K1074">
            <v>5.85</v>
          </cell>
        </row>
        <row r="1075">
          <cell r="D1075" t="str">
            <v>038F1</v>
          </cell>
          <cell r="E1075">
            <v>4.92</v>
          </cell>
          <cell r="G1075" t="str">
            <v>NSSC2108</v>
          </cell>
          <cell r="H1075" t="str">
            <v>RC</v>
          </cell>
          <cell r="K1075">
            <v>3.86</v>
          </cell>
        </row>
        <row r="1076">
          <cell r="D1076" t="str">
            <v>100C</v>
          </cell>
          <cell r="E1076">
            <v>14.18</v>
          </cell>
          <cell r="G1076" t="str">
            <v>NSSC2109</v>
          </cell>
          <cell r="H1076" t="str">
            <v>RC</v>
          </cell>
          <cell r="K1076">
            <v>11.25</v>
          </cell>
        </row>
        <row r="1077">
          <cell r="D1077" t="str">
            <v>027A1</v>
          </cell>
          <cell r="E1077">
            <v>9.92</v>
          </cell>
          <cell r="G1077" t="str">
            <v>NSSC2108</v>
          </cell>
          <cell r="H1077" t="str">
            <v>RC</v>
          </cell>
          <cell r="K1077">
            <v>7.8</v>
          </cell>
        </row>
        <row r="1078">
          <cell r="D1078" t="str">
            <v>092B</v>
          </cell>
          <cell r="E1078">
            <v>9.1</v>
          </cell>
          <cell r="G1078" t="str">
            <v>NSSC2109</v>
          </cell>
          <cell r="H1078" t="str">
            <v>RC</v>
          </cell>
          <cell r="K1078">
            <v>7.32</v>
          </cell>
        </row>
        <row r="1079">
          <cell r="D1079" t="str">
            <v>096G1</v>
          </cell>
          <cell r="E1079">
            <v>12.46</v>
          </cell>
          <cell r="G1079" t="str">
            <v>NSSC2110</v>
          </cell>
          <cell r="H1079" t="str">
            <v>RC</v>
          </cell>
          <cell r="K1079">
            <v>10</v>
          </cell>
        </row>
        <row r="1080">
          <cell r="D1080" t="str">
            <v>032C</v>
          </cell>
          <cell r="E1080">
            <v>4.08</v>
          </cell>
          <cell r="G1080" t="str">
            <v>NSBB2101</v>
          </cell>
          <cell r="H1080" t="str">
            <v>BB</v>
          </cell>
          <cell r="J1080">
            <v>0</v>
          </cell>
          <cell r="K1080">
            <v>3.43</v>
          </cell>
        </row>
        <row r="1081">
          <cell r="D1081" t="str">
            <v>070I</v>
          </cell>
          <cell r="E1081">
            <v>14.12</v>
          </cell>
          <cell r="G1081" t="str">
            <v>NSBK2104</v>
          </cell>
          <cell r="H1081" t="str">
            <v>RC</v>
          </cell>
          <cell r="J1081">
            <v>4.4249999999999998</v>
          </cell>
          <cell r="K1081">
            <v>11.32</v>
          </cell>
        </row>
        <row r="1082">
          <cell r="D1082" t="str">
            <v>071D1</v>
          </cell>
          <cell r="E1082">
            <v>5.63</v>
          </cell>
          <cell r="G1082" t="str">
            <v>NRBB2101</v>
          </cell>
          <cell r="H1082" t="str">
            <v>NR</v>
          </cell>
          <cell r="K1082">
            <v>4.96</v>
          </cell>
        </row>
        <row r="1083">
          <cell r="D1083" t="str">
            <v>030B2</v>
          </cell>
          <cell r="E1083">
            <v>7.87</v>
          </cell>
          <cell r="G1083" t="str">
            <v>NSBK2107</v>
          </cell>
          <cell r="H1083" t="str">
            <v>NR</v>
          </cell>
          <cell r="K1083">
            <v>6.84</v>
          </cell>
        </row>
        <row r="1084">
          <cell r="D1084" t="str">
            <v>030B1</v>
          </cell>
          <cell r="E1084">
            <v>9.8800000000000008</v>
          </cell>
          <cell r="G1084" t="str">
            <v>NSBK2106</v>
          </cell>
          <cell r="H1084" t="str">
            <v>NR</v>
          </cell>
          <cell r="K1084">
            <v>8.43</v>
          </cell>
        </row>
        <row r="1085">
          <cell r="D1085" t="str">
            <v>030C</v>
          </cell>
          <cell r="E1085">
            <v>7.84</v>
          </cell>
          <cell r="G1085" t="str">
            <v>NSBK2108</v>
          </cell>
          <cell r="H1085" t="str">
            <v>NR</v>
          </cell>
          <cell r="K1085">
            <v>6.69</v>
          </cell>
        </row>
        <row r="1086">
          <cell r="D1086" t="str">
            <v>042L3</v>
          </cell>
          <cell r="E1086">
            <v>2</v>
          </cell>
          <cell r="G1086" t="str">
            <v>NSBK2107</v>
          </cell>
          <cell r="H1086" t="str">
            <v>NR</v>
          </cell>
          <cell r="K1086">
            <v>1.7</v>
          </cell>
        </row>
        <row r="1087">
          <cell r="D1087" t="str">
            <v>067F</v>
          </cell>
          <cell r="E1087">
            <v>3.88</v>
          </cell>
          <cell r="G1087" t="str">
            <v>SKBK2110</v>
          </cell>
          <cell r="H1087" t="str">
            <v>SK</v>
          </cell>
          <cell r="K1087">
            <v>3.3</v>
          </cell>
        </row>
        <row r="1088">
          <cell r="D1088" t="str">
            <v>014A</v>
          </cell>
          <cell r="E1088">
            <v>4.38</v>
          </cell>
          <cell r="G1088" t="str">
            <v>NSSC2008</v>
          </cell>
          <cell r="H1088" t="str">
            <v>RC</v>
          </cell>
          <cell r="I1088" t="str">
            <v>PS NS</v>
          </cell>
          <cell r="J1088">
            <v>0</v>
          </cell>
          <cell r="K1088">
            <v>3.54</v>
          </cell>
        </row>
        <row r="1089">
          <cell r="D1089" t="str">
            <v>018B</v>
          </cell>
          <cell r="E1089">
            <v>15.11</v>
          </cell>
          <cell r="G1089" t="str">
            <v>NSSC2009</v>
          </cell>
          <cell r="H1089" t="str">
            <v>RC</v>
          </cell>
          <cell r="I1089" t="str">
            <v>PS NS</v>
          </cell>
          <cell r="J1089">
            <v>0</v>
          </cell>
          <cell r="K1089">
            <v>6.55</v>
          </cell>
        </row>
        <row r="1090">
          <cell r="D1090" t="str">
            <v>061E</v>
          </cell>
          <cell r="E1090">
            <v>12.13</v>
          </cell>
          <cell r="G1090" t="str">
            <v>NSBK2104</v>
          </cell>
          <cell r="H1090" t="str">
            <v>BB</v>
          </cell>
          <cell r="J1090">
            <v>4.3</v>
          </cell>
          <cell r="K1090">
            <v>10.14</v>
          </cell>
        </row>
        <row r="1091">
          <cell r="D1091" t="str">
            <v>061G</v>
          </cell>
          <cell r="E1091">
            <v>6.65</v>
          </cell>
          <cell r="G1091" t="str">
            <v>NSBK2104</v>
          </cell>
          <cell r="H1091" t="str">
            <v>BB</v>
          </cell>
          <cell r="J1091">
            <v>4.03</v>
          </cell>
          <cell r="K1091">
            <v>5.46</v>
          </cell>
        </row>
        <row r="1092">
          <cell r="D1092" t="str">
            <v>062N</v>
          </cell>
          <cell r="E1092">
            <v>5.12</v>
          </cell>
          <cell r="G1092" t="str">
            <v>NSSC2006</v>
          </cell>
          <cell r="H1092" t="str">
            <v>RC</v>
          </cell>
          <cell r="I1092" t="str">
            <v>PS NS</v>
          </cell>
          <cell r="J1092">
            <v>0</v>
          </cell>
          <cell r="K1092">
            <v>4.18</v>
          </cell>
        </row>
        <row r="1093">
          <cell r="D1093" t="str">
            <v>019A</v>
          </cell>
          <cell r="E1093">
            <v>5.28</v>
          </cell>
          <cell r="G1093" t="str">
            <v>NSSC2007</v>
          </cell>
          <cell r="H1093" t="str">
            <v>RC</v>
          </cell>
          <cell r="I1093" t="str">
            <v>PS NS</v>
          </cell>
          <cell r="J1093">
            <v>0</v>
          </cell>
          <cell r="K1093">
            <v>4.2</v>
          </cell>
        </row>
        <row r="1094">
          <cell r="D1094" t="str">
            <v>004J2</v>
          </cell>
          <cell r="E1094">
            <v>5.4</v>
          </cell>
          <cell r="G1094" t="str">
            <v>PSSC2008</v>
          </cell>
          <cell r="H1094" t="str">
            <v>PS</v>
          </cell>
          <cell r="I1094" t="str">
            <v>PS</v>
          </cell>
          <cell r="J1094">
            <v>0</v>
          </cell>
          <cell r="K1094">
            <v>3.98</v>
          </cell>
        </row>
        <row r="1095">
          <cell r="D1095" t="str">
            <v>096M</v>
          </cell>
          <cell r="E1095">
            <v>8.83</v>
          </cell>
          <cell r="G1095" t="str">
            <v>NSBK2102</v>
          </cell>
          <cell r="H1095" t="str">
            <v>RC</v>
          </cell>
          <cell r="J1095">
            <v>0</v>
          </cell>
          <cell r="K1095">
            <v>7.12</v>
          </cell>
        </row>
        <row r="1096">
          <cell r="D1096" t="str">
            <v>096B</v>
          </cell>
          <cell r="E1096">
            <v>17.75</v>
          </cell>
          <cell r="G1096" t="str">
            <v>NSSC2104</v>
          </cell>
          <cell r="H1096" t="str">
            <v>RC</v>
          </cell>
          <cell r="J1096">
            <v>4.0149999999999997</v>
          </cell>
          <cell r="K1096">
            <v>14.36</v>
          </cell>
        </row>
        <row r="1097">
          <cell r="D1097" t="str">
            <v>096C</v>
          </cell>
          <cell r="E1097">
            <v>8.6</v>
          </cell>
          <cell r="G1097" t="str">
            <v>NSBK2008</v>
          </cell>
          <cell r="H1097" t="str">
            <v>RC</v>
          </cell>
        </row>
        <row r="1098">
          <cell r="D1098" t="str">
            <v>096D</v>
          </cell>
          <cell r="E1098">
            <v>8.6300000000000008</v>
          </cell>
          <cell r="G1098" t="str">
            <v>NSBK2007</v>
          </cell>
          <cell r="H1098" t="str">
            <v>RC</v>
          </cell>
        </row>
        <row r="1099">
          <cell r="D1099" t="str">
            <v>039C2</v>
          </cell>
          <cell r="E1099">
            <v>2.5499999999999998</v>
          </cell>
          <cell r="G1099" t="str">
            <v>NSBK2009</v>
          </cell>
          <cell r="H1099" t="str">
            <v>BB</v>
          </cell>
        </row>
        <row r="1100">
          <cell r="D1100" t="str">
            <v>009G</v>
          </cell>
          <cell r="E1100">
            <v>13.92</v>
          </cell>
          <cell r="G1100" t="str">
            <v>NSBK2009</v>
          </cell>
          <cell r="H1100" t="str">
            <v>BB</v>
          </cell>
        </row>
        <row r="1101">
          <cell r="D1101" t="str">
            <v>024B1</v>
          </cell>
          <cell r="E1101">
            <v>16.8</v>
          </cell>
          <cell r="G1101" t="str">
            <v>NSSC1912</v>
          </cell>
          <cell r="H1101" t="str">
            <v>RC</v>
          </cell>
        </row>
        <row r="1102">
          <cell r="D1102" t="str">
            <v>024A</v>
          </cell>
          <cell r="E1102">
            <v>13.24</v>
          </cell>
          <cell r="G1102" t="str">
            <v>NSBB2001</v>
          </cell>
          <cell r="H1102" t="str">
            <v>BB</v>
          </cell>
        </row>
        <row r="1103">
          <cell r="D1103" t="str">
            <v>020K</v>
          </cell>
          <cell r="E1103">
            <v>8.8699999999999992</v>
          </cell>
          <cell r="G1103" t="str">
            <v>NSBB2001</v>
          </cell>
          <cell r="H1103" t="str">
            <v>BB</v>
          </cell>
        </row>
        <row r="1104">
          <cell r="D1104" t="str">
            <v>011C</v>
          </cell>
          <cell r="E1104">
            <v>22.42</v>
          </cell>
          <cell r="G1104" t="str">
            <v>NSSC2008</v>
          </cell>
          <cell r="H1104" t="str">
            <v>RC</v>
          </cell>
        </row>
        <row r="1105">
          <cell r="D1105" t="str">
            <v>053A</v>
          </cell>
          <cell r="E1105">
            <v>5.35</v>
          </cell>
          <cell r="G1105" t="str">
            <v>NSBB2008</v>
          </cell>
          <cell r="H1105" t="str">
            <v>BB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nas"/>
      <sheetName val="Sheet1"/>
      <sheetName val="Singkong"/>
      <sheetName val="Pisang"/>
      <sheetName val="Pepaya"/>
      <sheetName val="Bero SN-Per Eks Tnmn Lhn Nns"/>
      <sheetName val="Data Bero"/>
    </sheetNames>
    <sheetDataSet>
      <sheetData sheetId="0">
        <row r="1336">
          <cell r="C1336" t="str">
            <v>054A</v>
          </cell>
          <cell r="D1336">
            <v>5.85</v>
          </cell>
          <cell r="E1336">
            <v>4.8899999999999997</v>
          </cell>
          <cell r="F1336" t="str">
            <v>NSBK2602</v>
          </cell>
          <cell r="G1336" t="str">
            <v>RC</v>
          </cell>
        </row>
        <row r="1337">
          <cell r="C1337" t="str">
            <v>046P1</v>
          </cell>
          <cell r="D1337">
            <v>0.35</v>
          </cell>
          <cell r="E1337">
            <v>0.31</v>
          </cell>
          <cell r="F1337" t="str">
            <v>NSBK2603</v>
          </cell>
          <cell r="G1337" t="str">
            <v>RC</v>
          </cell>
        </row>
        <row r="1338">
          <cell r="C1338" t="str">
            <v>054B1</v>
          </cell>
          <cell r="D1338">
            <v>9.18</v>
          </cell>
          <cell r="E1338">
            <v>7.73</v>
          </cell>
          <cell r="F1338" t="str">
            <v>NSBK2602</v>
          </cell>
          <cell r="G1338" t="str">
            <v>RC</v>
          </cell>
        </row>
        <row r="1339">
          <cell r="C1339" t="str">
            <v>029A3</v>
          </cell>
          <cell r="D1339">
            <v>10.62</v>
          </cell>
          <cell r="E1339">
            <v>8.4600000000000009</v>
          </cell>
          <cell r="F1339" t="str">
            <v>NSBK2511</v>
          </cell>
          <cell r="G1339" t="str">
            <v>RC</v>
          </cell>
        </row>
        <row r="1340">
          <cell r="C1340" t="str">
            <v>065B5</v>
          </cell>
          <cell r="D1340">
            <v>8.61</v>
          </cell>
          <cell r="E1340">
            <v>7.19</v>
          </cell>
          <cell r="F1340" t="str">
            <v>PSBK2510</v>
          </cell>
          <cell r="G1340" t="str">
            <v>PS</v>
          </cell>
        </row>
        <row r="1341">
          <cell r="C1341" t="str">
            <v>025C</v>
          </cell>
          <cell r="D1341">
            <v>10.08</v>
          </cell>
          <cell r="E1341">
            <v>8.25</v>
          </cell>
          <cell r="F1341" t="str">
            <v>NSBK2603</v>
          </cell>
          <cell r="G1341" t="str">
            <v>RC</v>
          </cell>
        </row>
        <row r="1342">
          <cell r="C1342" t="str">
            <v>013B</v>
          </cell>
          <cell r="D1342">
            <v>7.69</v>
          </cell>
          <cell r="E1342">
            <v>6.36</v>
          </cell>
          <cell r="F1342" t="str">
            <v>NSBK2512</v>
          </cell>
          <cell r="G1342" t="str">
            <v>RC</v>
          </cell>
        </row>
        <row r="1343">
          <cell r="C1343" t="str">
            <v>098A1</v>
          </cell>
          <cell r="D1343">
            <v>11.47</v>
          </cell>
          <cell r="E1343">
            <v>9.5500000000000007</v>
          </cell>
          <cell r="F1343" t="str">
            <v>NSBK2512</v>
          </cell>
          <cell r="G1343" t="str">
            <v>RC</v>
          </cell>
        </row>
        <row r="1344">
          <cell r="C1344" t="str">
            <v>029A2</v>
          </cell>
          <cell r="D1344">
            <v>6.11</v>
          </cell>
          <cell r="E1344">
            <v>5.07</v>
          </cell>
          <cell r="F1344" t="str">
            <v>NSBK2511</v>
          </cell>
          <cell r="G1344" t="str">
            <v>RC</v>
          </cell>
        </row>
        <row r="1345">
          <cell r="C1345" t="str">
            <v>028A</v>
          </cell>
          <cell r="D1345">
            <v>4.91</v>
          </cell>
          <cell r="E1345">
            <v>4.12</v>
          </cell>
          <cell r="F1345" t="str">
            <v>NSBK2603</v>
          </cell>
          <cell r="G1345" t="str">
            <v>RC</v>
          </cell>
        </row>
        <row r="1346">
          <cell r="C1346" t="str">
            <v>089A</v>
          </cell>
          <cell r="D1346">
            <v>3.84</v>
          </cell>
          <cell r="E1346">
            <v>3.25</v>
          </cell>
          <cell r="F1346" t="str">
            <v>NSBK2505</v>
          </cell>
          <cell r="G1346" t="str">
            <v>RC</v>
          </cell>
        </row>
        <row r="1347">
          <cell r="C1347" t="str">
            <v>014D</v>
          </cell>
          <cell r="D1347">
            <v>10.14</v>
          </cell>
          <cell r="E1347">
            <v>8.35</v>
          </cell>
          <cell r="F1347" t="str">
            <v>NSBK2512</v>
          </cell>
          <cell r="G1347" t="str">
            <v>RC</v>
          </cell>
        </row>
        <row r="1348">
          <cell r="C1348" t="str">
            <v>054E</v>
          </cell>
          <cell r="D1348">
            <v>11.97</v>
          </cell>
          <cell r="E1348">
            <v>9.6199999999999992</v>
          </cell>
          <cell r="F1348" t="str">
            <v>PSBK2603</v>
          </cell>
          <cell r="G1348" t="str">
            <v>PS</v>
          </cell>
        </row>
        <row r="1349">
          <cell r="C1349" t="str">
            <v>078M</v>
          </cell>
          <cell r="D1349">
            <v>5.0599999999999996</v>
          </cell>
          <cell r="E1349">
            <v>4.07</v>
          </cell>
          <cell r="F1349" t="str">
            <v>NSBK2509</v>
          </cell>
          <cell r="G1349" t="str">
            <v>RC</v>
          </cell>
        </row>
        <row r="1350">
          <cell r="C1350" t="str">
            <v>079J</v>
          </cell>
          <cell r="D1350">
            <v>6.21</v>
          </cell>
          <cell r="E1350">
            <v>5.15</v>
          </cell>
          <cell r="F1350" t="str">
            <v>NSBK2601</v>
          </cell>
          <cell r="G1350" t="str">
            <v>RC</v>
          </cell>
        </row>
        <row r="1351">
          <cell r="C1351" t="str">
            <v>085E</v>
          </cell>
          <cell r="D1351">
            <v>10.68</v>
          </cell>
          <cell r="E1351">
            <v>8.7200000000000006</v>
          </cell>
          <cell r="F1351" t="str">
            <v>NSBK2512</v>
          </cell>
          <cell r="G1351" t="str">
            <v>RC</v>
          </cell>
        </row>
        <row r="1352">
          <cell r="C1352" t="str">
            <v>086D</v>
          </cell>
          <cell r="D1352">
            <v>10.77</v>
          </cell>
          <cell r="E1352">
            <v>8.94</v>
          </cell>
          <cell r="F1352" t="str">
            <v>NSBK2512</v>
          </cell>
          <cell r="G1352" t="str">
            <v>RC</v>
          </cell>
        </row>
        <row r="1353">
          <cell r="C1353" t="str">
            <v>097H</v>
          </cell>
          <cell r="D1353">
            <v>9.76</v>
          </cell>
          <cell r="E1353">
            <v>7.97</v>
          </cell>
          <cell r="F1353" t="str">
            <v>NSBK2603</v>
          </cell>
          <cell r="G1353" t="str">
            <v>RC</v>
          </cell>
        </row>
        <row r="1354">
          <cell r="C1354" t="str">
            <v>098C</v>
          </cell>
          <cell r="D1354">
            <v>8.67</v>
          </cell>
          <cell r="E1354">
            <v>7.22</v>
          </cell>
          <cell r="F1354" t="str">
            <v>PYBK2604</v>
          </cell>
          <cell r="G1354" t="str">
            <v>PY</v>
          </cell>
        </row>
        <row r="1355">
          <cell r="C1355" t="str">
            <v>009G1</v>
          </cell>
          <cell r="D1355">
            <v>5.64</v>
          </cell>
          <cell r="E1355">
            <v>4.67</v>
          </cell>
          <cell r="F1355" t="str">
            <v>NSBK2602</v>
          </cell>
          <cell r="G1355" t="str">
            <v>RC</v>
          </cell>
        </row>
        <row r="1356">
          <cell r="C1356" t="str">
            <v>067B</v>
          </cell>
          <cell r="D1356">
            <v>10.62</v>
          </cell>
          <cell r="E1356">
            <v>8.75</v>
          </cell>
          <cell r="F1356" t="str">
            <v>NSBK2509</v>
          </cell>
          <cell r="G1356" t="str">
            <v>RC</v>
          </cell>
        </row>
        <row r="1357">
          <cell r="C1357" t="str">
            <v>078L</v>
          </cell>
          <cell r="D1357">
            <v>7.21</v>
          </cell>
          <cell r="E1357">
            <v>5.96</v>
          </cell>
          <cell r="F1357" t="str">
            <v>NSBK2510</v>
          </cell>
          <cell r="G1357" t="str">
            <v>RC</v>
          </cell>
        </row>
        <row r="1358">
          <cell r="C1358" t="str">
            <v>025A</v>
          </cell>
          <cell r="D1358">
            <v>10.93</v>
          </cell>
          <cell r="E1358">
            <v>9.02</v>
          </cell>
          <cell r="F1358" t="str">
            <v>NSBK2510</v>
          </cell>
          <cell r="G1358" t="str">
            <v>RC</v>
          </cell>
        </row>
        <row r="1359">
          <cell r="C1359" t="str">
            <v>010C2</v>
          </cell>
          <cell r="D1359">
            <v>6.89</v>
          </cell>
          <cell r="E1359">
            <v>5.75</v>
          </cell>
          <cell r="F1359" t="str">
            <v>NSBK2603</v>
          </cell>
          <cell r="G1359" t="str">
            <v>BB</v>
          </cell>
        </row>
        <row r="1360">
          <cell r="C1360" t="str">
            <v>069C6</v>
          </cell>
          <cell r="D1360">
            <v>13.64</v>
          </cell>
          <cell r="E1360">
            <v>11.3</v>
          </cell>
          <cell r="F1360" t="str">
            <v>NSBK2510</v>
          </cell>
          <cell r="G1360" t="str">
            <v>BB</v>
          </cell>
        </row>
        <row r="1361">
          <cell r="C1361" t="str">
            <v>056B</v>
          </cell>
          <cell r="D1361">
            <v>8.64</v>
          </cell>
          <cell r="E1361">
            <v>7.32</v>
          </cell>
          <cell r="F1361" t="str">
            <v>NSBK2306</v>
          </cell>
          <cell r="G1361" t="str">
            <v>RC</v>
          </cell>
        </row>
        <row r="1362">
          <cell r="C1362" t="str">
            <v>056A</v>
          </cell>
          <cell r="D1362">
            <v>4.5199999999999996</v>
          </cell>
          <cell r="E1362">
            <v>3.86</v>
          </cell>
          <cell r="F1362" t="str">
            <v>PSBK2605</v>
          </cell>
          <cell r="G1362" t="str">
            <v>PS</v>
          </cell>
        </row>
        <row r="1363">
          <cell r="C1363" t="str">
            <v>018C</v>
          </cell>
          <cell r="D1363">
            <v>8.35</v>
          </cell>
          <cell r="E1363">
            <v>6.85</v>
          </cell>
          <cell r="F1363" t="str">
            <v>NSBK2602</v>
          </cell>
          <cell r="G1363" t="str">
            <v>RC</v>
          </cell>
        </row>
        <row r="1364">
          <cell r="C1364" t="str">
            <v>076B2</v>
          </cell>
          <cell r="D1364">
            <v>10.48</v>
          </cell>
          <cell r="E1364">
            <v>8.66</v>
          </cell>
          <cell r="F1364" t="str">
            <v>NSBK2601</v>
          </cell>
          <cell r="G1364" t="str">
            <v>RC</v>
          </cell>
        </row>
        <row r="1365">
          <cell r="C1365" t="str">
            <v>056G2</v>
          </cell>
          <cell r="D1365">
            <v>7.28</v>
          </cell>
          <cell r="E1365">
            <v>6.12</v>
          </cell>
          <cell r="F1365" t="str">
            <v>NSBK2510</v>
          </cell>
          <cell r="G1365" t="str">
            <v>RC</v>
          </cell>
        </row>
        <row r="1366">
          <cell r="C1366" t="str">
            <v>025B</v>
          </cell>
          <cell r="D1366">
            <v>7.89</v>
          </cell>
          <cell r="E1366">
            <v>6.36</v>
          </cell>
          <cell r="F1366" t="str">
            <v>NSBK2603</v>
          </cell>
          <cell r="G1366" t="str">
            <v>RC</v>
          </cell>
        </row>
        <row r="1367">
          <cell r="C1367" t="str">
            <v>056G1</v>
          </cell>
          <cell r="D1367">
            <v>10</v>
          </cell>
          <cell r="E1367">
            <v>8.41</v>
          </cell>
          <cell r="F1367" t="str">
            <v>NSBK2510</v>
          </cell>
          <cell r="G1367" t="str">
            <v>RC</v>
          </cell>
        </row>
        <row r="1368">
          <cell r="C1368" t="str">
            <v>019E1</v>
          </cell>
          <cell r="D1368">
            <v>10.3</v>
          </cell>
          <cell r="E1368">
            <v>8.4700000000000006</v>
          </cell>
          <cell r="F1368" t="str">
            <v>NSBK2602</v>
          </cell>
          <cell r="G1368" t="str">
            <v>RC</v>
          </cell>
        </row>
        <row r="1369">
          <cell r="C1369" t="str">
            <v>019E2</v>
          </cell>
          <cell r="D1369">
            <v>5.9</v>
          </cell>
          <cell r="E1369">
            <v>4.67</v>
          </cell>
          <cell r="F1369" t="str">
            <v>NSBK2604</v>
          </cell>
          <cell r="G1369" t="str">
            <v>RC</v>
          </cell>
        </row>
        <row r="1370">
          <cell r="D1370">
            <v>280.25999999999993</v>
          </cell>
          <cell r="E1370">
            <v>231.39000000000001</v>
          </cell>
          <cell r="G1370" t="str">
            <v>Ha</v>
          </cell>
        </row>
        <row r="1371">
          <cell r="C1371" t="str">
            <v>004B</v>
          </cell>
          <cell r="D1371">
            <v>7.8</v>
          </cell>
          <cell r="E1371">
            <v>6.53</v>
          </cell>
          <cell r="F1371" t="str">
            <v>NSBK2510</v>
          </cell>
          <cell r="G1371" t="str">
            <v>RC</v>
          </cell>
        </row>
        <row r="1372">
          <cell r="C1372" t="str">
            <v>043G2</v>
          </cell>
          <cell r="D1372">
            <v>9.01</v>
          </cell>
          <cell r="E1372">
            <v>7.48</v>
          </cell>
          <cell r="F1372" t="str">
            <v>NSBK2602</v>
          </cell>
          <cell r="G1372" t="str">
            <v>BB</v>
          </cell>
        </row>
        <row r="1373">
          <cell r="C1373" t="str">
            <v>004J</v>
          </cell>
          <cell r="D1373">
            <v>7.62</v>
          </cell>
          <cell r="E1373">
            <v>6.35</v>
          </cell>
          <cell r="F1373" t="str">
            <v>NSBK2510</v>
          </cell>
          <cell r="G1373" t="str">
            <v>RC</v>
          </cell>
        </row>
        <row r="1374">
          <cell r="C1374" t="str">
            <v>055Ks</v>
          </cell>
          <cell r="D1374">
            <v>1.57</v>
          </cell>
          <cell r="E1374">
            <v>1.34</v>
          </cell>
          <cell r="F1374" t="str">
            <v>NSBK2603</v>
          </cell>
          <cell r="G1374" t="str">
            <v>BB</v>
          </cell>
        </row>
        <row r="1375">
          <cell r="C1375" t="str">
            <v>092H</v>
          </cell>
          <cell r="D1375">
            <v>7.43</v>
          </cell>
          <cell r="E1375">
            <v>6.14</v>
          </cell>
          <cell r="F1375" t="str">
            <v>NSBK2512</v>
          </cell>
          <cell r="G1375" t="str">
            <v>RC</v>
          </cell>
        </row>
        <row r="1376">
          <cell r="C1376" t="str">
            <v>092I</v>
          </cell>
          <cell r="D1376">
            <v>10.1</v>
          </cell>
          <cell r="E1376">
            <v>8.4</v>
          </cell>
          <cell r="F1376" t="str">
            <v>NSBK2512</v>
          </cell>
          <cell r="G1376" t="str">
            <v>RC</v>
          </cell>
        </row>
        <row r="1377">
          <cell r="C1377" t="str">
            <v>013G2</v>
          </cell>
          <cell r="D1377">
            <v>3.23</v>
          </cell>
          <cell r="E1377">
            <v>2.72</v>
          </cell>
          <cell r="F1377" t="str">
            <v>NSBK2603</v>
          </cell>
          <cell r="G1377" t="str">
            <v>RC</v>
          </cell>
        </row>
        <row r="1378">
          <cell r="C1378" t="str">
            <v>048D</v>
          </cell>
          <cell r="D1378">
            <v>11.09</v>
          </cell>
          <cell r="E1378">
            <v>9.3000000000000007</v>
          </cell>
          <cell r="F1378" t="str">
            <v>NSBK2605</v>
          </cell>
          <cell r="G1378" t="str">
            <v>BB</v>
          </cell>
        </row>
        <row r="1379">
          <cell r="C1379" t="str">
            <v>064C</v>
          </cell>
          <cell r="D1379">
            <v>8.58</v>
          </cell>
          <cell r="E1379">
            <v>6.95</v>
          </cell>
          <cell r="F1379" t="str">
            <v>NSBK2603</v>
          </cell>
          <cell r="G1379" t="str">
            <v>RC</v>
          </cell>
        </row>
        <row r="1380">
          <cell r="C1380" t="str">
            <v>043G3</v>
          </cell>
          <cell r="D1380">
            <v>6.87</v>
          </cell>
          <cell r="E1380">
            <v>5.64</v>
          </cell>
          <cell r="F1380" t="str">
            <v>NSBK2602</v>
          </cell>
          <cell r="G1380" t="str">
            <v>BB</v>
          </cell>
        </row>
        <row r="1381">
          <cell r="C1381" t="str">
            <v>072D1</v>
          </cell>
          <cell r="D1381">
            <v>7.51</v>
          </cell>
          <cell r="E1381">
            <v>6.25</v>
          </cell>
          <cell r="F1381" t="str">
            <v>NSBK2603</v>
          </cell>
          <cell r="G1381" t="str">
            <v>RC</v>
          </cell>
        </row>
        <row r="1382">
          <cell r="C1382" t="str">
            <v>092D</v>
          </cell>
          <cell r="D1382">
            <v>14.91</v>
          </cell>
          <cell r="E1382">
            <v>12.37</v>
          </cell>
          <cell r="F1382" t="str">
            <v>NSBK2601</v>
          </cell>
          <cell r="G1382" t="str">
            <v>RC</v>
          </cell>
        </row>
        <row r="1383">
          <cell r="C1383" t="str">
            <v>047F1</v>
          </cell>
          <cell r="D1383">
            <v>13.61</v>
          </cell>
          <cell r="E1383">
            <v>11.18</v>
          </cell>
          <cell r="F1383" t="str">
            <v>NSBK2601</v>
          </cell>
          <cell r="G1383" t="str">
            <v>BB</v>
          </cell>
        </row>
        <row r="1384">
          <cell r="C1384" t="str">
            <v>072B1</v>
          </cell>
          <cell r="D1384">
            <v>6.6</v>
          </cell>
          <cell r="E1384">
            <v>5.46</v>
          </cell>
          <cell r="F1384" t="str">
            <v>NSBK2602</v>
          </cell>
          <cell r="G1384" t="str">
            <v>RC</v>
          </cell>
        </row>
        <row r="1385">
          <cell r="C1385" t="str">
            <v>072B2</v>
          </cell>
          <cell r="D1385">
            <v>11.54</v>
          </cell>
          <cell r="E1385">
            <v>9.67</v>
          </cell>
          <cell r="F1385" t="str">
            <v>NSBK2512</v>
          </cell>
          <cell r="G1385" t="str">
            <v>RC</v>
          </cell>
        </row>
        <row r="1386">
          <cell r="C1386" t="str">
            <v>072D2</v>
          </cell>
          <cell r="D1386">
            <v>9.74</v>
          </cell>
          <cell r="E1386">
            <v>8.0299999999999994</v>
          </cell>
          <cell r="F1386" t="str">
            <v>NSBK2603</v>
          </cell>
          <cell r="G1386" t="str">
            <v>RC</v>
          </cell>
        </row>
        <row r="1387">
          <cell r="C1387" t="str">
            <v>063G2</v>
          </cell>
          <cell r="D1387">
            <v>9.59</v>
          </cell>
          <cell r="E1387">
            <v>7.91</v>
          </cell>
          <cell r="F1387" t="str">
            <v>NSBK2603</v>
          </cell>
          <cell r="G1387" t="str">
            <v>RC</v>
          </cell>
        </row>
        <row r="1388">
          <cell r="C1388" t="str">
            <v>089D1</v>
          </cell>
          <cell r="D1388">
            <v>6.54</v>
          </cell>
          <cell r="E1388">
            <v>5.44</v>
          </cell>
          <cell r="F1388" t="str">
            <v>NSBK2512</v>
          </cell>
          <cell r="G1388" t="str">
            <v>RC</v>
          </cell>
        </row>
        <row r="1389">
          <cell r="C1389" t="str">
            <v>063G3</v>
          </cell>
          <cell r="D1389">
            <v>10.56</v>
          </cell>
          <cell r="E1389">
            <v>8.77</v>
          </cell>
          <cell r="F1389" t="str">
            <v>NSBK2603</v>
          </cell>
          <cell r="G1389" t="str">
            <v>BB</v>
          </cell>
        </row>
        <row r="1390">
          <cell r="C1390" t="str">
            <v>013B1</v>
          </cell>
          <cell r="D1390">
            <v>6.38</v>
          </cell>
          <cell r="E1390">
            <v>5.43</v>
          </cell>
          <cell r="F1390" t="str">
            <v>NSBK2603</v>
          </cell>
          <cell r="G1390" t="str">
            <v>RC</v>
          </cell>
        </row>
        <row r="1391">
          <cell r="C1391" t="str">
            <v>038F</v>
          </cell>
          <cell r="D1391">
            <v>7.7</v>
          </cell>
          <cell r="E1391">
            <v>6.05</v>
          </cell>
          <cell r="F1391" t="str">
            <v>NSBK2512</v>
          </cell>
          <cell r="G1391" t="str">
            <v>RC</v>
          </cell>
        </row>
        <row r="1392">
          <cell r="C1392" t="str">
            <v>042B2</v>
          </cell>
          <cell r="D1392">
            <v>6.63</v>
          </cell>
          <cell r="E1392">
            <v>5.89</v>
          </cell>
          <cell r="F1392" t="str">
            <v>NSBK2602</v>
          </cell>
          <cell r="G1392" t="str">
            <v>BB</v>
          </cell>
        </row>
        <row r="1393">
          <cell r="C1393" t="str">
            <v>042B3</v>
          </cell>
          <cell r="D1393">
            <v>10.16</v>
          </cell>
          <cell r="E1393">
            <v>8.93</v>
          </cell>
          <cell r="F1393" t="str">
            <v>NSBK2602</v>
          </cell>
          <cell r="G1393" t="str">
            <v>BB</v>
          </cell>
        </row>
        <row r="1394">
          <cell r="C1394" t="str">
            <v>057C</v>
          </cell>
          <cell r="D1394">
            <v>5.0199999999999996</v>
          </cell>
          <cell r="E1394">
            <v>3.93</v>
          </cell>
          <cell r="F1394" t="str">
            <v>NSBK2511</v>
          </cell>
          <cell r="G1394" t="str">
            <v>RC</v>
          </cell>
        </row>
        <row r="1395">
          <cell r="C1395" t="str">
            <v>013F</v>
          </cell>
          <cell r="D1395">
            <v>9.26</v>
          </cell>
          <cell r="E1395">
            <v>7.43</v>
          </cell>
          <cell r="F1395" t="str">
            <v>NSBK2512</v>
          </cell>
          <cell r="G1395" t="str">
            <v>RC</v>
          </cell>
        </row>
        <row r="1396">
          <cell r="C1396" t="str">
            <v>013C</v>
          </cell>
          <cell r="D1396">
            <v>9.8000000000000007</v>
          </cell>
          <cell r="E1396">
            <v>7.84</v>
          </cell>
          <cell r="F1396" t="str">
            <v>NSBK2602</v>
          </cell>
          <cell r="G1396" t="str">
            <v>RC</v>
          </cell>
        </row>
        <row r="1397">
          <cell r="C1397" t="str">
            <v>092C1</v>
          </cell>
          <cell r="D1397">
            <v>11.8</v>
          </cell>
          <cell r="E1397">
            <v>9.23</v>
          </cell>
          <cell r="F1397" t="str">
            <v>NSBK2512</v>
          </cell>
          <cell r="G1397" t="str">
            <v>RC</v>
          </cell>
        </row>
        <row r="1398">
          <cell r="D1398">
            <v>230.65</v>
          </cell>
          <cell r="E1398">
            <v>190.66000000000003</v>
          </cell>
          <cell r="G1398" t="str">
            <v>Ha</v>
          </cell>
        </row>
        <row r="1399">
          <cell r="C1399" t="str">
            <v>010C1</v>
          </cell>
          <cell r="D1399">
            <v>8.35</v>
          </cell>
          <cell r="E1399">
            <v>7.07</v>
          </cell>
          <cell r="F1399" t="str">
            <v>NSBK2604</v>
          </cell>
          <cell r="G1399" t="str">
            <v>BB</v>
          </cell>
        </row>
        <row r="1400">
          <cell r="C1400" t="str">
            <v>083H</v>
          </cell>
          <cell r="D1400">
            <v>11.95</v>
          </cell>
          <cell r="E1400">
            <v>9.91</v>
          </cell>
          <cell r="F1400" t="str">
            <v>NSBK2510</v>
          </cell>
          <cell r="G1400" t="str">
            <v>RC</v>
          </cell>
        </row>
        <row r="1401">
          <cell r="C1401" t="str">
            <v>020B</v>
          </cell>
          <cell r="D1401">
            <v>13</v>
          </cell>
          <cell r="E1401">
            <v>10.25</v>
          </cell>
          <cell r="F1401" t="str">
            <v>NSBK2605</v>
          </cell>
          <cell r="G1401" t="str">
            <v>RC</v>
          </cell>
        </row>
        <row r="1402">
          <cell r="C1402" t="str">
            <v>020C</v>
          </cell>
          <cell r="D1402">
            <v>3.68</v>
          </cell>
          <cell r="E1402">
            <v>2.89</v>
          </cell>
          <cell r="F1402" t="str">
            <v>NSBK2602</v>
          </cell>
          <cell r="G1402" t="str">
            <v>RC</v>
          </cell>
        </row>
        <row r="1403">
          <cell r="C1403" t="str">
            <v>013D</v>
          </cell>
          <cell r="D1403">
            <v>11.44</v>
          </cell>
          <cell r="E1403">
            <v>8.9600000000000009</v>
          </cell>
          <cell r="F1403" t="str">
            <v>NSBK2604</v>
          </cell>
          <cell r="G1403" t="str">
            <v>BB</v>
          </cell>
        </row>
        <row r="1404">
          <cell r="C1404" t="str">
            <v>084C1</v>
          </cell>
          <cell r="D1404">
            <v>10.65</v>
          </cell>
          <cell r="E1404">
            <v>8.3699999999999992</v>
          </cell>
          <cell r="F1404" t="str">
            <v>NSBK2601</v>
          </cell>
          <cell r="G1404" t="str">
            <v>RC</v>
          </cell>
        </row>
        <row r="1405">
          <cell r="C1405" t="str">
            <v>084A</v>
          </cell>
          <cell r="D1405">
            <v>4.8</v>
          </cell>
          <cell r="E1405">
            <v>3.77</v>
          </cell>
          <cell r="F1405" t="str">
            <v>NSBK2602</v>
          </cell>
          <cell r="G1405" t="str">
            <v>RC</v>
          </cell>
        </row>
        <row r="1406">
          <cell r="C1406" t="str">
            <v>078B</v>
          </cell>
          <cell r="D1406">
            <v>10.36</v>
          </cell>
          <cell r="E1406">
            <v>8.1999999999999993</v>
          </cell>
          <cell r="F1406" t="str">
            <v>NSBK2604</v>
          </cell>
          <cell r="G1406" t="str">
            <v>RC</v>
          </cell>
        </row>
        <row r="1407">
          <cell r="C1407" t="str">
            <v>078E2</v>
          </cell>
          <cell r="D1407">
            <v>15.1</v>
          </cell>
          <cell r="E1407">
            <v>11.98</v>
          </cell>
          <cell r="F1407" t="str">
            <v>NSBK2602</v>
          </cell>
          <cell r="G1407" t="str">
            <v>RC</v>
          </cell>
        </row>
        <row r="1408">
          <cell r="C1408" t="str">
            <v>024C</v>
          </cell>
          <cell r="D1408">
            <v>6.7</v>
          </cell>
          <cell r="E1408">
            <v>5.37</v>
          </cell>
          <cell r="F1408" t="str">
            <v>NSBK2605</v>
          </cell>
          <cell r="G1408" t="str">
            <v>RC</v>
          </cell>
        </row>
        <row r="1409">
          <cell r="C1409" t="str">
            <v>024B</v>
          </cell>
          <cell r="D1409">
            <v>10.55</v>
          </cell>
          <cell r="E1409">
            <v>8.3000000000000007</v>
          </cell>
          <cell r="F1409" t="str">
            <v>NSBK2606</v>
          </cell>
          <cell r="G1409" t="str">
            <v>RC</v>
          </cell>
        </row>
        <row r="1410">
          <cell r="C1410" t="str">
            <v>092E1</v>
          </cell>
          <cell r="D1410">
            <v>10.63</v>
          </cell>
          <cell r="E1410">
            <v>8.7100000000000009</v>
          </cell>
          <cell r="F1410" t="str">
            <v>NSBK2509</v>
          </cell>
          <cell r="G1410" t="str">
            <v>BB</v>
          </cell>
        </row>
        <row r="1411">
          <cell r="C1411" t="str">
            <v>013E</v>
          </cell>
          <cell r="D1411">
            <v>5.84</v>
          </cell>
          <cell r="E1411">
            <v>5.09</v>
          </cell>
          <cell r="F1411" t="str">
            <v>PYBK2605</v>
          </cell>
          <cell r="G1411" t="str">
            <v>PY</v>
          </cell>
        </row>
        <row r="1412">
          <cell r="C1412" t="str">
            <v>010F1</v>
          </cell>
          <cell r="D1412">
            <v>3.51</v>
          </cell>
          <cell r="E1412">
            <v>3.02</v>
          </cell>
          <cell r="F1412" t="str">
            <v>PYBK2605</v>
          </cell>
          <cell r="G1412" t="str">
            <v>PY</v>
          </cell>
        </row>
        <row r="1413">
          <cell r="C1413" t="str">
            <v>010F2</v>
          </cell>
          <cell r="D1413">
            <v>5.37</v>
          </cell>
          <cell r="E1413">
            <v>4.58</v>
          </cell>
          <cell r="F1413" t="str">
            <v>PYBK2605</v>
          </cell>
          <cell r="G1413" t="str">
            <v>PY</v>
          </cell>
        </row>
        <row r="1414">
          <cell r="C1414" t="str">
            <v>002B2</v>
          </cell>
          <cell r="D1414">
            <v>12.55</v>
          </cell>
          <cell r="E1414">
            <v>10.56</v>
          </cell>
          <cell r="F1414" t="str">
            <v>PSBK2601</v>
          </cell>
          <cell r="G1414" t="str">
            <v>PS</v>
          </cell>
        </row>
        <row r="1415">
          <cell r="C1415" t="str">
            <v>093D</v>
          </cell>
          <cell r="D1415">
            <v>13.66</v>
          </cell>
          <cell r="E1415">
            <v>10.85</v>
          </cell>
          <cell r="F1415" t="str">
            <v>NSBK2603</v>
          </cell>
          <cell r="G1415" t="str">
            <v>RC</v>
          </cell>
        </row>
        <row r="1416">
          <cell r="C1416" t="str">
            <v>070D</v>
          </cell>
          <cell r="D1416">
            <v>7.28</v>
          </cell>
          <cell r="E1416">
            <v>5.77</v>
          </cell>
          <cell r="F1416" t="str">
            <v>NSBK2605</v>
          </cell>
          <cell r="G1416" t="str">
            <v>RC</v>
          </cell>
        </row>
        <row r="1417">
          <cell r="C1417" t="str">
            <v>002A2</v>
          </cell>
          <cell r="D1417">
            <v>6.83</v>
          </cell>
          <cell r="E1417">
            <v>5.51</v>
          </cell>
          <cell r="F1417" t="str">
            <v>PSBK2603</v>
          </cell>
          <cell r="G1417" t="str">
            <v>PS</v>
          </cell>
        </row>
        <row r="1418">
          <cell r="D1418">
            <v>172.25</v>
          </cell>
          <cell r="E1418">
            <v>139.16</v>
          </cell>
          <cell r="G1418" t="str">
            <v>Ha</v>
          </cell>
        </row>
        <row r="1419">
          <cell r="C1419" t="str">
            <v>Total</v>
          </cell>
          <cell r="D1419">
            <v>0</v>
          </cell>
          <cell r="E1419">
            <v>0</v>
          </cell>
          <cell r="G1419" t="str">
            <v>Ha</v>
          </cell>
        </row>
        <row r="1420">
          <cell r="C1420" t="str">
            <v>099K</v>
          </cell>
          <cell r="D1420">
            <v>9.84</v>
          </cell>
          <cell r="E1420">
            <v>7.76</v>
          </cell>
          <cell r="F1420" t="str">
            <v>NSBK2604</v>
          </cell>
          <cell r="G1420" t="str">
            <v>BB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Real"/>
      <sheetName val="selesai tanam"/>
      <sheetName val="Sheet18"/>
      <sheetName val="Status"/>
      <sheetName val="Sheet6"/>
      <sheetName val="Sheet1"/>
      <sheetName val="Sheet3"/>
      <sheetName val="Sheet4"/>
      <sheetName val="Sheet5"/>
      <sheetName val="Sheet2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 refreshError="1"/>
      <sheetData sheetId="1">
        <row r="11">
          <cell r="B11" t="str">
            <v>002A2</v>
          </cell>
          <cell r="C11">
            <v>442006.45999999996</v>
          </cell>
          <cell r="D11">
            <v>6.02</v>
          </cell>
          <cell r="E11" t="str">
            <v>Sedang</v>
          </cell>
          <cell r="F11" t="str">
            <v>Sucker</v>
          </cell>
          <cell r="G11" t="str">
            <v>GP3</v>
          </cell>
          <cell r="H11">
            <v>411903.03</v>
          </cell>
          <cell r="I11">
            <v>5.61</v>
          </cell>
          <cell r="J11">
            <v>30103.429999999997</v>
          </cell>
          <cell r="K11">
            <v>0.41</v>
          </cell>
          <cell r="L11">
            <v>442006.46</v>
          </cell>
          <cell r="M11">
            <v>6.0200000000000005</v>
          </cell>
          <cell r="N11">
            <v>0</v>
          </cell>
          <cell r="O11">
            <v>0</v>
          </cell>
          <cell r="P11">
            <v>438335.31000000006</v>
          </cell>
          <cell r="Q11">
            <v>5.9700000000000006</v>
          </cell>
          <cell r="R11">
            <v>3671.15</v>
          </cell>
          <cell r="S11">
            <v>0.05</v>
          </cell>
          <cell r="T11">
            <v>442006.46</v>
          </cell>
          <cell r="U11">
            <v>6.0200000000000005</v>
          </cell>
          <cell r="V11">
            <v>0</v>
          </cell>
          <cell r="W11">
            <v>0</v>
          </cell>
          <cell r="X11">
            <v>46271</v>
          </cell>
          <cell r="Y11">
            <v>46296</v>
          </cell>
        </row>
        <row r="12">
          <cell r="B12" t="str">
            <v>024B</v>
          </cell>
          <cell r="C12">
            <v>643185.48</v>
          </cell>
          <cell r="D12">
            <v>8.76</v>
          </cell>
          <cell r="E12" t="str">
            <v>Extra Kecil</v>
          </cell>
          <cell r="F12" t="str">
            <v>Crown</v>
          </cell>
          <cell r="G12" t="str">
            <v>GP3</v>
          </cell>
          <cell r="H12">
            <v>618955.89</v>
          </cell>
          <cell r="I12">
            <v>8.43</v>
          </cell>
          <cell r="J12">
            <v>24229.59</v>
          </cell>
          <cell r="K12">
            <v>0.33</v>
          </cell>
          <cell r="L12">
            <v>643185.48</v>
          </cell>
          <cell r="M12">
            <v>8.76</v>
          </cell>
          <cell r="N12">
            <v>0</v>
          </cell>
          <cell r="O12">
            <v>0</v>
          </cell>
          <cell r="P12">
            <v>639514.32999999996</v>
          </cell>
          <cell r="Q12">
            <v>8.7099999999999991</v>
          </cell>
          <cell r="R12">
            <v>3671.15</v>
          </cell>
          <cell r="S12">
            <v>0.05</v>
          </cell>
          <cell r="T12">
            <v>643185.48</v>
          </cell>
          <cell r="U12">
            <v>8.76</v>
          </cell>
          <cell r="V12">
            <v>0</v>
          </cell>
          <cell r="W12">
            <v>0</v>
          </cell>
          <cell r="X12">
            <v>46281</v>
          </cell>
          <cell r="Y12">
            <v>46297</v>
          </cell>
        </row>
        <row r="13">
          <cell r="B13" t="str">
            <v>078I</v>
          </cell>
          <cell r="C13">
            <v>370786.14999999997</v>
          </cell>
          <cell r="D13">
            <v>5.05</v>
          </cell>
          <cell r="E13" t="str">
            <v>Kecil</v>
          </cell>
          <cell r="F13" t="str">
            <v>Crown</v>
          </cell>
          <cell r="G13" t="str">
            <v>GP3</v>
          </cell>
          <cell r="H13">
            <v>343619.64000000007</v>
          </cell>
          <cell r="I13">
            <v>4.6800000000000006</v>
          </cell>
          <cell r="J13">
            <v>27166.51</v>
          </cell>
          <cell r="K13">
            <v>0.37</v>
          </cell>
          <cell r="L13">
            <v>370786.15</v>
          </cell>
          <cell r="M13">
            <v>5.0500000000000007</v>
          </cell>
          <cell r="N13">
            <v>0</v>
          </cell>
          <cell r="O13">
            <v>0</v>
          </cell>
          <cell r="P13">
            <v>352430.39999999997</v>
          </cell>
          <cell r="Q13">
            <v>4.8</v>
          </cell>
          <cell r="R13">
            <v>18355.75</v>
          </cell>
          <cell r="S13">
            <v>0.25</v>
          </cell>
          <cell r="T13">
            <v>370786.14999999997</v>
          </cell>
          <cell r="U13">
            <v>5.05</v>
          </cell>
          <cell r="V13">
            <v>0</v>
          </cell>
          <cell r="W13">
            <v>0</v>
          </cell>
          <cell r="X13">
            <v>46276</v>
          </cell>
          <cell r="Y13">
            <v>46297</v>
          </cell>
        </row>
        <row r="14">
          <cell r="B14" t="str">
            <v>061E1</v>
          </cell>
          <cell r="C14">
            <v>282678.55</v>
          </cell>
          <cell r="D14">
            <v>3.85</v>
          </cell>
          <cell r="E14" t="str">
            <v>Extra Kecil</v>
          </cell>
          <cell r="F14" t="str">
            <v>Crown</v>
          </cell>
          <cell r="G14" t="str">
            <v>GP3</v>
          </cell>
          <cell r="H14">
            <v>282678.55</v>
          </cell>
          <cell r="I14">
            <v>3.8499999999999996</v>
          </cell>
          <cell r="J14">
            <v>0</v>
          </cell>
          <cell r="K14">
            <v>0</v>
          </cell>
          <cell r="L14">
            <v>282678.55</v>
          </cell>
          <cell r="M14">
            <v>3.8499999999999996</v>
          </cell>
          <cell r="N14">
            <v>0</v>
          </cell>
          <cell r="O14">
            <v>0</v>
          </cell>
          <cell r="P14">
            <v>280475.86</v>
          </cell>
          <cell r="Q14">
            <v>3.82</v>
          </cell>
          <cell r="R14">
            <v>2202.69</v>
          </cell>
          <cell r="S14">
            <v>0.03</v>
          </cell>
          <cell r="T14">
            <v>282678.55</v>
          </cell>
          <cell r="U14">
            <v>3.8499999999999996</v>
          </cell>
          <cell r="V14">
            <v>0</v>
          </cell>
          <cell r="W14">
            <v>0</v>
          </cell>
          <cell r="X14">
            <v>46288</v>
          </cell>
          <cell r="Y14">
            <v>46302</v>
          </cell>
        </row>
        <row r="15">
          <cell r="B15" t="str">
            <v>061E2</v>
          </cell>
          <cell r="C15">
            <v>441272.23</v>
          </cell>
          <cell r="D15">
            <v>6.01</v>
          </cell>
          <cell r="E15" t="str">
            <v>Extra Kecil</v>
          </cell>
          <cell r="F15" t="str">
            <v>Crown</v>
          </cell>
          <cell r="G15" t="str">
            <v>GP3</v>
          </cell>
          <cell r="H15">
            <v>362709.62000000005</v>
          </cell>
          <cell r="I15">
            <v>4.9400000000000004</v>
          </cell>
          <cell r="J15">
            <v>78562.61</v>
          </cell>
          <cell r="K15">
            <v>1.07</v>
          </cell>
          <cell r="L15">
            <v>441272.23000000004</v>
          </cell>
          <cell r="M15">
            <v>6.0100000000000007</v>
          </cell>
          <cell r="N15">
            <v>0</v>
          </cell>
          <cell r="O15">
            <v>0</v>
          </cell>
          <cell r="P15">
            <v>432461.47000000003</v>
          </cell>
          <cell r="Q15">
            <v>5.8900000000000006</v>
          </cell>
          <cell r="R15">
            <v>8810.76</v>
          </cell>
          <cell r="S15">
            <v>0.12</v>
          </cell>
          <cell r="T15">
            <v>441272.23000000004</v>
          </cell>
          <cell r="U15">
            <v>6.0100000000000007</v>
          </cell>
          <cell r="V15">
            <v>0</v>
          </cell>
          <cell r="W15">
            <v>0</v>
          </cell>
          <cell r="X15">
            <v>46291</v>
          </cell>
          <cell r="Y15">
            <v>46302</v>
          </cell>
        </row>
        <row r="17">
          <cell r="B17" t="str">
            <v>Sub Total</v>
          </cell>
          <cell r="C17">
            <v>2179928.87</v>
          </cell>
          <cell r="D17">
            <v>29.689999999999998</v>
          </cell>
          <cell r="H17">
            <v>2019866.7300000002</v>
          </cell>
          <cell r="I17">
            <v>27.51</v>
          </cell>
          <cell r="J17">
            <v>160062.14000000001</v>
          </cell>
          <cell r="K17">
            <v>2.1799999999999997</v>
          </cell>
          <cell r="L17">
            <v>2179928.87</v>
          </cell>
          <cell r="M17">
            <v>29.69</v>
          </cell>
          <cell r="N17">
            <v>0</v>
          </cell>
          <cell r="O17">
            <v>0</v>
          </cell>
          <cell r="P17">
            <v>2143217.37</v>
          </cell>
          <cell r="Q17">
            <v>29.19</v>
          </cell>
          <cell r="R17">
            <v>36711.5</v>
          </cell>
          <cell r="S17">
            <v>0.5</v>
          </cell>
          <cell r="T17">
            <v>2179928.87</v>
          </cell>
          <cell r="U17">
            <v>29.69</v>
          </cell>
          <cell r="V17">
            <v>0</v>
          </cell>
          <cell r="W17">
            <v>0</v>
          </cell>
        </row>
        <row r="19">
          <cell r="B19" t="str">
            <v>002B2</v>
          </cell>
          <cell r="C19">
            <v>734964.23</v>
          </cell>
          <cell r="D19">
            <v>10.01</v>
          </cell>
          <cell r="E19" t="str">
            <v>Sedang</v>
          </cell>
          <cell r="F19" t="str">
            <v>Sucker</v>
          </cell>
          <cell r="G19" t="str">
            <v>GP3</v>
          </cell>
          <cell r="H19">
            <v>378862.68</v>
          </cell>
          <cell r="I19">
            <v>5.16</v>
          </cell>
          <cell r="J19">
            <v>262854.34000000003</v>
          </cell>
          <cell r="K19">
            <v>3.58</v>
          </cell>
          <cell r="L19">
            <v>641717.02</v>
          </cell>
          <cell r="M19">
            <v>8.74</v>
          </cell>
          <cell r="N19">
            <v>-93247.209999999963</v>
          </cell>
          <cell r="O19">
            <v>-1.2699999999999996</v>
          </cell>
          <cell r="P19">
            <v>350961.94</v>
          </cell>
          <cell r="Q19">
            <v>4.78</v>
          </cell>
          <cell r="R19">
            <v>295160.46000000002</v>
          </cell>
          <cell r="S19">
            <v>4.0200000000000005</v>
          </cell>
          <cell r="T19">
            <v>646122.4</v>
          </cell>
          <cell r="U19">
            <v>8.8000000000000007</v>
          </cell>
          <cell r="V19">
            <v>-88841.829999999929</v>
          </cell>
          <cell r="W19">
            <v>-1.2099999999999991</v>
          </cell>
          <cell r="X19">
            <v>46284</v>
          </cell>
        </row>
        <row r="20">
          <cell r="B20" t="str">
            <v>013C</v>
          </cell>
          <cell r="C20">
            <v>593992.06999999995</v>
          </cell>
          <cell r="D20">
            <v>8.09</v>
          </cell>
          <cell r="E20" t="str">
            <v>Extra Kecil</v>
          </cell>
          <cell r="F20" t="str">
            <v>Crown</v>
          </cell>
          <cell r="G20" t="str">
            <v>GP3</v>
          </cell>
          <cell r="H20">
            <v>0</v>
          </cell>
          <cell r="J20">
            <v>590320.91999999993</v>
          </cell>
          <cell r="K20">
            <v>8.0399999999999991</v>
          </cell>
          <cell r="L20">
            <v>590320.91999999993</v>
          </cell>
          <cell r="M20">
            <v>8.0399999999999991</v>
          </cell>
          <cell r="N20">
            <v>-3671.1500000000524</v>
          </cell>
          <cell r="O20">
            <v>-5.0000000000000711E-2</v>
          </cell>
          <cell r="P20">
            <v>0</v>
          </cell>
          <cell r="R20">
            <v>553609.41999999993</v>
          </cell>
          <cell r="S20">
            <v>7.5399999999999983</v>
          </cell>
          <cell r="T20">
            <v>553609.41999999993</v>
          </cell>
          <cell r="U20">
            <v>7.5399999999999983</v>
          </cell>
          <cell r="V20">
            <v>-40382.650000000118</v>
          </cell>
          <cell r="W20">
            <v>-0.5500000000000016</v>
          </cell>
          <cell r="X20">
            <v>46301</v>
          </cell>
        </row>
        <row r="21">
          <cell r="B21" t="str">
            <v>013F</v>
          </cell>
          <cell r="C21">
            <v>560951.72</v>
          </cell>
          <cell r="D21">
            <v>7.64</v>
          </cell>
          <cell r="E21" t="str">
            <v>Extra Kecil</v>
          </cell>
          <cell r="F21" t="str">
            <v>Crown</v>
          </cell>
          <cell r="G21" t="str">
            <v>GP3</v>
          </cell>
          <cell r="H21">
            <v>0</v>
          </cell>
          <cell r="J21">
            <v>505884.47000000003</v>
          </cell>
          <cell r="K21">
            <v>6.8900000000000006</v>
          </cell>
          <cell r="L21">
            <v>505884.47000000003</v>
          </cell>
          <cell r="M21">
            <v>6.8900000000000006</v>
          </cell>
          <cell r="N21">
            <v>-55067.249999999935</v>
          </cell>
          <cell r="O21">
            <v>-0.74999999999999911</v>
          </cell>
          <cell r="P21">
            <v>0</v>
          </cell>
          <cell r="R21">
            <v>395015.74</v>
          </cell>
          <cell r="S21">
            <v>5.38</v>
          </cell>
          <cell r="T21">
            <v>395015.74</v>
          </cell>
          <cell r="U21">
            <v>5.38</v>
          </cell>
          <cell r="V21">
            <v>-165935.97999999998</v>
          </cell>
          <cell r="W21">
            <v>-2.2599999999999998</v>
          </cell>
          <cell r="X21">
            <v>46302</v>
          </cell>
        </row>
        <row r="22">
          <cell r="B22" t="str">
            <v>020D</v>
          </cell>
          <cell r="C22">
            <v>527911.37</v>
          </cell>
          <cell r="D22">
            <v>6.68</v>
          </cell>
          <cell r="E22" t="str">
            <v>Kecil</v>
          </cell>
          <cell r="F22" t="str">
            <v>Crown</v>
          </cell>
          <cell r="G22" t="str">
            <v>GP3</v>
          </cell>
          <cell r="H22">
            <v>0</v>
          </cell>
          <cell r="J22">
            <v>32306.12</v>
          </cell>
          <cell r="K22">
            <v>0.44</v>
          </cell>
          <cell r="L22">
            <v>32306.12</v>
          </cell>
          <cell r="M22">
            <v>0.44</v>
          </cell>
          <cell r="N22">
            <v>-458159.51999999996</v>
          </cell>
          <cell r="O22">
            <v>-6.2399999999999993</v>
          </cell>
          <cell r="P22">
            <v>0</v>
          </cell>
          <cell r="R22">
            <v>32306.120000000003</v>
          </cell>
          <cell r="S22">
            <v>0.44000000000000006</v>
          </cell>
          <cell r="T22">
            <v>32306.120000000003</v>
          </cell>
          <cell r="U22">
            <v>0.44000000000000006</v>
          </cell>
          <cell r="V22">
            <v>-458159.51999999996</v>
          </cell>
          <cell r="W22">
            <v>-6.2399999999999993</v>
          </cell>
          <cell r="X22">
            <v>46306</v>
          </cell>
        </row>
        <row r="23">
          <cell r="B23" t="str">
            <v>050A1</v>
          </cell>
          <cell r="C23">
            <v>282678.55</v>
          </cell>
          <cell r="D23">
            <v>7.19</v>
          </cell>
          <cell r="E23" t="str">
            <v>Sedang</v>
          </cell>
          <cell r="F23" t="str">
            <v>Sucker</v>
          </cell>
          <cell r="G23" t="str">
            <v>GP3</v>
          </cell>
          <cell r="H23">
            <v>291489.31</v>
          </cell>
          <cell r="I23">
            <v>3.97</v>
          </cell>
          <cell r="J23">
            <v>185760.18999999997</v>
          </cell>
          <cell r="K23">
            <v>2.5299999999999998</v>
          </cell>
          <cell r="L23">
            <v>477249.5</v>
          </cell>
          <cell r="M23">
            <v>6.5</v>
          </cell>
          <cell r="N23">
            <v>-50661.870000000032</v>
          </cell>
          <cell r="O23">
            <v>-0.69000000000000039</v>
          </cell>
          <cell r="P23">
            <v>285615.46999999997</v>
          </cell>
          <cell r="Q23">
            <v>3.8899999999999997</v>
          </cell>
          <cell r="R23">
            <v>215129.38999999998</v>
          </cell>
          <cell r="S23">
            <v>2.9299999999999997</v>
          </cell>
          <cell r="T23">
            <v>500744.85999999993</v>
          </cell>
          <cell r="U23">
            <v>6.8199999999999994</v>
          </cell>
          <cell r="V23">
            <v>-27166.510000000075</v>
          </cell>
          <cell r="W23">
            <v>-0.37000000000000099</v>
          </cell>
          <cell r="X23">
            <v>46290</v>
          </cell>
        </row>
        <row r="24">
          <cell r="B24" t="str">
            <v>063A</v>
          </cell>
          <cell r="C24">
            <v>781954.95000000007</v>
          </cell>
          <cell r="D24">
            <v>10.65</v>
          </cell>
          <cell r="E24" t="str">
            <v>Extra Kecil</v>
          </cell>
          <cell r="F24" t="str">
            <v>Crown</v>
          </cell>
          <cell r="G24" t="str">
            <v>GP3</v>
          </cell>
          <cell r="H24">
            <v>376659.99000000005</v>
          </cell>
          <cell r="I24">
            <v>5.1300000000000008</v>
          </cell>
          <cell r="J24">
            <v>355367.32000000007</v>
          </cell>
          <cell r="K24">
            <v>4.8400000000000007</v>
          </cell>
          <cell r="L24">
            <v>732027.31000000017</v>
          </cell>
          <cell r="M24">
            <v>9.9700000000000024</v>
          </cell>
          <cell r="N24">
            <v>-49927.639999999847</v>
          </cell>
          <cell r="O24">
            <v>-0.67999999999999794</v>
          </cell>
          <cell r="P24">
            <v>370786.14999999997</v>
          </cell>
          <cell r="Q24">
            <v>5.05</v>
          </cell>
          <cell r="R24">
            <v>395749.97</v>
          </cell>
          <cell r="S24">
            <v>5.39</v>
          </cell>
          <cell r="T24">
            <v>766536.12</v>
          </cell>
          <cell r="U24">
            <v>10.44</v>
          </cell>
          <cell r="V24">
            <v>-15418.830000000062</v>
          </cell>
          <cell r="W24">
            <v>-0.21000000000000085</v>
          </cell>
          <cell r="X24">
            <v>46292</v>
          </cell>
        </row>
        <row r="25">
          <cell r="B25" t="str">
            <v>063E</v>
          </cell>
          <cell r="C25">
            <v>473578.35000000003</v>
          </cell>
          <cell r="D25">
            <v>6.45</v>
          </cell>
          <cell r="E25" t="str">
            <v>Extra Kecil</v>
          </cell>
          <cell r="F25" t="str">
            <v>Crown</v>
          </cell>
          <cell r="G25" t="str">
            <v>GP3</v>
          </cell>
          <cell r="H25">
            <v>0</v>
          </cell>
          <cell r="J25">
            <v>473578.35000000003</v>
          </cell>
          <cell r="K25">
            <v>6.45</v>
          </cell>
          <cell r="L25">
            <v>473578.35000000003</v>
          </cell>
          <cell r="M25">
            <v>6.45</v>
          </cell>
          <cell r="N25">
            <v>0</v>
          </cell>
          <cell r="O25">
            <v>0</v>
          </cell>
          <cell r="P25">
            <v>0</v>
          </cell>
          <cell r="R25">
            <v>473578.35000000009</v>
          </cell>
          <cell r="S25">
            <v>6.4500000000000011</v>
          </cell>
          <cell r="T25">
            <v>473578.35000000009</v>
          </cell>
          <cell r="U25">
            <v>6.4500000000000011</v>
          </cell>
          <cell r="V25">
            <v>0</v>
          </cell>
          <cell r="W25">
            <v>0</v>
          </cell>
          <cell r="X25">
            <v>46299</v>
          </cell>
          <cell r="Y25">
            <v>46307</v>
          </cell>
        </row>
        <row r="26">
          <cell r="B26" t="str">
            <v>064B</v>
          </cell>
          <cell r="C26">
            <v>307642.37000000005</v>
          </cell>
          <cell r="D26">
            <v>4.1900000000000004</v>
          </cell>
          <cell r="E26" t="str">
            <v>Kecil</v>
          </cell>
          <cell r="F26" t="str">
            <v>Crown</v>
          </cell>
          <cell r="G26" t="str">
            <v>GP3</v>
          </cell>
          <cell r="H26">
            <v>22026.899999999998</v>
          </cell>
          <cell r="I26">
            <v>0.3</v>
          </cell>
          <cell r="J26">
            <v>285615.46999999997</v>
          </cell>
          <cell r="K26">
            <v>3.8899999999999997</v>
          </cell>
          <cell r="L26">
            <v>307642.36999999994</v>
          </cell>
          <cell r="M26">
            <v>4.1899999999999995</v>
          </cell>
          <cell r="N26">
            <v>0</v>
          </cell>
          <cell r="O26">
            <v>0</v>
          </cell>
          <cell r="P26">
            <v>34508.81</v>
          </cell>
          <cell r="Q26">
            <v>0.47</v>
          </cell>
          <cell r="R26">
            <v>273133.55999999994</v>
          </cell>
          <cell r="S26">
            <v>3.7199999999999993</v>
          </cell>
          <cell r="T26">
            <v>307642.36999999994</v>
          </cell>
          <cell r="U26">
            <v>4.1899999999999995</v>
          </cell>
          <cell r="V26">
            <v>0</v>
          </cell>
          <cell r="W26">
            <v>0</v>
          </cell>
          <cell r="X26">
            <v>46295</v>
          </cell>
          <cell r="Y26">
            <v>46307</v>
          </cell>
        </row>
        <row r="27">
          <cell r="B27" t="str">
            <v>077A</v>
          </cell>
          <cell r="C27">
            <v>676960.06</v>
          </cell>
          <cell r="D27">
            <v>9.2200000000000006</v>
          </cell>
          <cell r="E27" t="str">
            <v>Extra Kecil</v>
          </cell>
          <cell r="F27" t="str">
            <v>Crown</v>
          </cell>
          <cell r="G27" t="str">
            <v>GP3</v>
          </cell>
          <cell r="H27">
            <v>0</v>
          </cell>
          <cell r="J27">
            <v>335543.11000000004</v>
          </cell>
          <cell r="K27">
            <v>4.57</v>
          </cell>
          <cell r="L27">
            <v>335543.11000000004</v>
          </cell>
          <cell r="M27">
            <v>4.57</v>
          </cell>
          <cell r="N27">
            <v>-341416.95</v>
          </cell>
          <cell r="O27">
            <v>-4.6500000000000004</v>
          </cell>
          <cell r="P27">
            <v>0</v>
          </cell>
          <cell r="R27">
            <v>322326.97000000003</v>
          </cell>
          <cell r="S27">
            <v>4.3900000000000006</v>
          </cell>
          <cell r="T27">
            <v>322326.97000000003</v>
          </cell>
          <cell r="U27">
            <v>4.3900000000000006</v>
          </cell>
          <cell r="V27">
            <v>-354633.09</v>
          </cell>
          <cell r="W27">
            <v>-4.83</v>
          </cell>
          <cell r="X27">
            <v>46304</v>
          </cell>
        </row>
        <row r="28">
          <cell r="B28" t="str">
            <v>078E2</v>
          </cell>
          <cell r="C28">
            <v>936143.25</v>
          </cell>
          <cell r="D28">
            <v>12.75</v>
          </cell>
          <cell r="E28" t="str">
            <v>Kecil</v>
          </cell>
          <cell r="F28" t="str">
            <v>Sucker</v>
          </cell>
          <cell r="G28" t="str">
            <v>GP3</v>
          </cell>
          <cell r="H28">
            <v>145377.54</v>
          </cell>
          <cell r="I28">
            <v>1.98</v>
          </cell>
          <cell r="J28">
            <v>355367.32000000007</v>
          </cell>
          <cell r="K28">
            <v>4.8400000000000007</v>
          </cell>
          <cell r="L28">
            <v>500744.86000000004</v>
          </cell>
          <cell r="M28">
            <v>6.82</v>
          </cell>
          <cell r="N28">
            <v>-435398.38999999996</v>
          </cell>
          <cell r="O28">
            <v>-5.93</v>
          </cell>
          <cell r="P28">
            <v>175480.97</v>
          </cell>
          <cell r="Q28">
            <v>2.39</v>
          </cell>
          <cell r="R28">
            <v>491199.86999999994</v>
          </cell>
          <cell r="S28">
            <v>6.6899999999999995</v>
          </cell>
          <cell r="T28">
            <v>666680.84</v>
          </cell>
          <cell r="U28">
            <v>9.08</v>
          </cell>
          <cell r="V28">
            <v>-269462.40999999997</v>
          </cell>
          <cell r="W28">
            <v>-3.67</v>
          </cell>
          <cell r="X28">
            <v>46290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nas"/>
      <sheetName val="Sheet1"/>
      <sheetName val="Singkong"/>
      <sheetName val="Pisang"/>
      <sheetName val="Pepaya"/>
      <sheetName val="Bero SN-Per Eks Tnmn Lhn Nns"/>
      <sheetName val="Data Bero"/>
    </sheetNames>
    <sheetDataSet>
      <sheetData sheetId="0">
        <row r="1336">
          <cell r="C1336" t="str">
            <v>054A</v>
          </cell>
          <cell r="D1336">
            <v>5.85</v>
          </cell>
          <cell r="E1336">
            <v>4.8899999999999997</v>
          </cell>
          <cell r="F1336" t="str">
            <v>NSBK2602</v>
          </cell>
          <cell r="G1336" t="str">
            <v>RC</v>
          </cell>
        </row>
        <row r="1337">
          <cell r="C1337" t="str">
            <v>046P1</v>
          </cell>
          <cell r="D1337">
            <v>0.35</v>
          </cell>
          <cell r="E1337">
            <v>0.31</v>
          </cell>
          <cell r="F1337" t="str">
            <v>NSBK2603</v>
          </cell>
          <cell r="G1337" t="str">
            <v>RC</v>
          </cell>
        </row>
        <row r="1338">
          <cell r="C1338" t="str">
            <v>054B1</v>
          </cell>
          <cell r="D1338">
            <v>9.18</v>
          </cell>
          <cell r="E1338">
            <v>7.73</v>
          </cell>
          <cell r="F1338" t="str">
            <v>NSBK2602</v>
          </cell>
          <cell r="G1338" t="str">
            <v>RC</v>
          </cell>
        </row>
        <row r="1339">
          <cell r="C1339" t="str">
            <v>029A3</v>
          </cell>
          <cell r="D1339">
            <v>10.62</v>
          </cell>
          <cell r="E1339">
            <v>8.4600000000000009</v>
          </cell>
          <cell r="F1339" t="str">
            <v>NSBK2511</v>
          </cell>
          <cell r="G1339" t="str">
            <v>RC</v>
          </cell>
        </row>
        <row r="1340">
          <cell r="C1340" t="str">
            <v>065B5</v>
          </cell>
          <cell r="D1340">
            <v>8.61</v>
          </cell>
          <cell r="E1340">
            <v>7.19</v>
          </cell>
          <cell r="F1340" t="str">
            <v>PSBK2510</v>
          </cell>
          <cell r="G1340" t="str">
            <v>PS</v>
          </cell>
        </row>
        <row r="1341">
          <cell r="C1341" t="str">
            <v>025C</v>
          </cell>
          <cell r="D1341">
            <v>10.08</v>
          </cell>
          <cell r="E1341">
            <v>8.25</v>
          </cell>
          <cell r="F1341" t="str">
            <v>NSBK2603</v>
          </cell>
          <cell r="G1341" t="str">
            <v>RC</v>
          </cell>
        </row>
        <row r="1342">
          <cell r="C1342" t="str">
            <v>013B</v>
          </cell>
          <cell r="D1342">
            <v>7.69</v>
          </cell>
          <cell r="E1342">
            <v>6.36</v>
          </cell>
          <cell r="F1342" t="str">
            <v>NSBK2512</v>
          </cell>
          <cell r="G1342" t="str">
            <v>RC</v>
          </cell>
        </row>
        <row r="1343">
          <cell r="C1343" t="str">
            <v>098A1</v>
          </cell>
          <cell r="D1343">
            <v>11.47</v>
          </cell>
          <cell r="E1343">
            <v>9.5500000000000007</v>
          </cell>
          <cell r="F1343" t="str">
            <v>NSBK2512</v>
          </cell>
          <cell r="G1343" t="str">
            <v>RC</v>
          </cell>
        </row>
        <row r="1344">
          <cell r="C1344" t="str">
            <v>029A2</v>
          </cell>
          <cell r="D1344">
            <v>6.11</v>
          </cell>
          <cell r="E1344">
            <v>5.07</v>
          </cell>
          <cell r="F1344" t="str">
            <v>NSBK2511</v>
          </cell>
          <cell r="G1344" t="str">
            <v>RC</v>
          </cell>
        </row>
        <row r="1345">
          <cell r="C1345" t="str">
            <v>028A</v>
          </cell>
          <cell r="D1345">
            <v>4.91</v>
          </cell>
          <cell r="E1345">
            <v>4.12</v>
          </cell>
          <cell r="F1345" t="str">
            <v>NSBK2603</v>
          </cell>
          <cell r="G1345" t="str">
            <v>RC</v>
          </cell>
        </row>
        <row r="1346">
          <cell r="C1346" t="str">
            <v>089A</v>
          </cell>
          <cell r="D1346">
            <v>3.84</v>
          </cell>
          <cell r="E1346">
            <v>3.25</v>
          </cell>
          <cell r="F1346" t="str">
            <v>NSBK2505</v>
          </cell>
          <cell r="G1346" t="str">
            <v>RC</v>
          </cell>
        </row>
        <row r="1347">
          <cell r="C1347" t="str">
            <v>014D</v>
          </cell>
          <cell r="D1347">
            <v>10.14</v>
          </cell>
          <cell r="E1347">
            <v>8.35</v>
          </cell>
          <cell r="F1347" t="str">
            <v>NSBK2512</v>
          </cell>
          <cell r="G1347" t="str">
            <v>RC</v>
          </cell>
        </row>
        <row r="1348">
          <cell r="C1348" t="str">
            <v>054E</v>
          </cell>
          <cell r="D1348">
            <v>11.97</v>
          </cell>
          <cell r="E1348">
            <v>9.6199999999999992</v>
          </cell>
          <cell r="F1348" t="str">
            <v>PSBK2603</v>
          </cell>
          <cell r="G1348" t="str">
            <v>PS</v>
          </cell>
        </row>
        <row r="1349">
          <cell r="C1349" t="str">
            <v>078M</v>
          </cell>
          <cell r="D1349">
            <v>5.0599999999999996</v>
          </cell>
          <cell r="E1349">
            <v>4.07</v>
          </cell>
          <cell r="F1349" t="str">
            <v>NSBK2509</v>
          </cell>
          <cell r="G1349" t="str">
            <v>RC</v>
          </cell>
        </row>
        <row r="1350">
          <cell r="C1350" t="str">
            <v>079J</v>
          </cell>
          <cell r="D1350">
            <v>6.21</v>
          </cell>
          <cell r="E1350">
            <v>5.15</v>
          </cell>
          <cell r="F1350" t="str">
            <v>NSBK2601</v>
          </cell>
          <cell r="G1350" t="str">
            <v>RC</v>
          </cell>
        </row>
        <row r="1351">
          <cell r="C1351" t="str">
            <v>085E</v>
          </cell>
          <cell r="D1351">
            <v>10.68</v>
          </cell>
          <cell r="E1351">
            <v>8.7200000000000006</v>
          </cell>
          <cell r="F1351" t="str">
            <v>NSBK2512</v>
          </cell>
          <cell r="G1351" t="str">
            <v>RC</v>
          </cell>
        </row>
        <row r="1352">
          <cell r="C1352" t="str">
            <v>086D</v>
          </cell>
          <cell r="D1352">
            <v>10.77</v>
          </cell>
          <cell r="E1352">
            <v>8.94</v>
          </cell>
          <cell r="F1352" t="str">
            <v>NSBK2512</v>
          </cell>
          <cell r="G1352" t="str">
            <v>RC</v>
          </cell>
        </row>
        <row r="1353">
          <cell r="C1353" t="str">
            <v>097H</v>
          </cell>
          <cell r="D1353">
            <v>9.76</v>
          </cell>
          <cell r="E1353">
            <v>7.97</v>
          </cell>
          <cell r="F1353" t="str">
            <v>NSBK2603</v>
          </cell>
          <cell r="G1353" t="str">
            <v>RC</v>
          </cell>
        </row>
        <row r="1354">
          <cell r="C1354" t="str">
            <v>098C</v>
          </cell>
          <cell r="D1354">
            <v>8.67</v>
          </cell>
          <cell r="E1354">
            <v>7.22</v>
          </cell>
          <cell r="F1354" t="str">
            <v>PYBK2604</v>
          </cell>
          <cell r="G1354" t="str">
            <v>PY</v>
          </cell>
        </row>
        <row r="1355">
          <cell r="C1355" t="str">
            <v>009G1</v>
          </cell>
          <cell r="D1355">
            <v>5.64</v>
          </cell>
          <cell r="E1355">
            <v>4.67</v>
          </cell>
          <cell r="F1355" t="str">
            <v>NSBK2602</v>
          </cell>
          <cell r="G1355" t="str">
            <v>RC</v>
          </cell>
        </row>
        <row r="1356">
          <cell r="C1356" t="str">
            <v>067B</v>
          </cell>
          <cell r="D1356">
            <v>10.62</v>
          </cell>
          <cell r="E1356">
            <v>8.75</v>
          </cell>
          <cell r="F1356" t="str">
            <v>NSBK2509</v>
          </cell>
          <cell r="G1356" t="str">
            <v>RC</v>
          </cell>
        </row>
        <row r="1357">
          <cell r="C1357" t="str">
            <v>078L</v>
          </cell>
          <cell r="D1357">
            <v>7.21</v>
          </cell>
          <cell r="E1357">
            <v>5.96</v>
          </cell>
          <cell r="F1357" t="str">
            <v>NSBK2510</v>
          </cell>
          <cell r="G1357" t="str">
            <v>RC</v>
          </cell>
        </row>
        <row r="1358">
          <cell r="C1358" t="str">
            <v>025A</v>
          </cell>
          <cell r="D1358">
            <v>10.93</v>
          </cell>
          <cell r="E1358">
            <v>9.02</v>
          </cell>
          <cell r="F1358" t="str">
            <v>NSBK2510</v>
          </cell>
          <cell r="G1358" t="str">
            <v>RC</v>
          </cell>
        </row>
        <row r="1359">
          <cell r="C1359" t="str">
            <v>010C2</v>
          </cell>
          <cell r="D1359">
            <v>6.89</v>
          </cell>
          <cell r="E1359">
            <v>5.75</v>
          </cell>
          <cell r="F1359" t="str">
            <v>NSBK2603</v>
          </cell>
          <cell r="G1359" t="str">
            <v>BB</v>
          </cell>
        </row>
        <row r="1360">
          <cell r="C1360" t="str">
            <v>069C6</v>
          </cell>
          <cell r="D1360">
            <v>13.64</v>
          </cell>
          <cell r="E1360">
            <v>11.3</v>
          </cell>
          <cell r="F1360" t="str">
            <v>NSBK2510</v>
          </cell>
          <cell r="G1360" t="str">
            <v>BB</v>
          </cell>
        </row>
        <row r="1361">
          <cell r="C1361" t="str">
            <v>056B</v>
          </cell>
          <cell r="D1361">
            <v>8.64</v>
          </cell>
          <cell r="E1361">
            <v>7.32</v>
          </cell>
          <cell r="F1361" t="str">
            <v>NSBK2306</v>
          </cell>
          <cell r="G1361" t="str">
            <v>RC</v>
          </cell>
        </row>
        <row r="1362">
          <cell r="C1362" t="str">
            <v>056A</v>
          </cell>
          <cell r="D1362">
            <v>4.5199999999999996</v>
          </cell>
          <cell r="E1362">
            <v>3.86</v>
          </cell>
          <cell r="F1362" t="str">
            <v>PSBK2605</v>
          </cell>
          <cell r="G1362" t="str">
            <v>PS</v>
          </cell>
        </row>
        <row r="1363">
          <cell r="C1363" t="str">
            <v>018C</v>
          </cell>
          <cell r="D1363">
            <v>8.35</v>
          </cell>
          <cell r="E1363">
            <v>6.85</v>
          </cell>
          <cell r="F1363" t="str">
            <v>NSBK2602</v>
          </cell>
          <cell r="G1363" t="str">
            <v>RC</v>
          </cell>
        </row>
        <row r="1364">
          <cell r="C1364" t="str">
            <v>076B2</v>
          </cell>
          <cell r="D1364">
            <v>10.48</v>
          </cell>
          <cell r="E1364">
            <v>8.66</v>
          </cell>
          <cell r="F1364" t="str">
            <v>NSBK2601</v>
          </cell>
          <cell r="G1364" t="str">
            <v>RC</v>
          </cell>
        </row>
        <row r="1365">
          <cell r="C1365" t="str">
            <v>056G2</v>
          </cell>
          <cell r="D1365">
            <v>7.28</v>
          </cell>
          <cell r="E1365">
            <v>6.12</v>
          </cell>
          <cell r="F1365" t="str">
            <v>NSBK2510</v>
          </cell>
          <cell r="G1365" t="str">
            <v>RC</v>
          </cell>
        </row>
        <row r="1366">
          <cell r="C1366" t="str">
            <v>025B</v>
          </cell>
          <cell r="D1366">
            <v>7.89</v>
          </cell>
          <cell r="E1366">
            <v>6.36</v>
          </cell>
          <cell r="F1366" t="str">
            <v>NSBK2603</v>
          </cell>
          <cell r="G1366" t="str">
            <v>RC</v>
          </cell>
        </row>
        <row r="1367">
          <cell r="C1367" t="str">
            <v>056G1</v>
          </cell>
          <cell r="D1367">
            <v>10</v>
          </cell>
          <cell r="E1367">
            <v>8.41</v>
          </cell>
          <cell r="F1367" t="str">
            <v>NSBK2510</v>
          </cell>
          <cell r="G1367" t="str">
            <v>RC</v>
          </cell>
        </row>
        <row r="1368">
          <cell r="C1368" t="str">
            <v>019E1</v>
          </cell>
          <cell r="D1368">
            <v>10.68</v>
          </cell>
          <cell r="E1368">
            <v>8.44</v>
          </cell>
          <cell r="F1368" t="str">
            <v>NSBK2602</v>
          </cell>
          <cell r="G1368" t="str">
            <v>RC</v>
          </cell>
        </row>
        <row r="1369">
          <cell r="C1369" t="str">
            <v>019E2</v>
          </cell>
          <cell r="D1369">
            <v>5.9</v>
          </cell>
          <cell r="E1369">
            <v>4.67</v>
          </cell>
          <cell r="F1369" t="str">
            <v>NSBK2604</v>
          </cell>
          <cell r="G1369" t="str">
            <v>RC</v>
          </cell>
        </row>
        <row r="1370">
          <cell r="D1370">
            <v>280.63999999999993</v>
          </cell>
          <cell r="E1370">
            <v>231.36</v>
          </cell>
          <cell r="G1370" t="str">
            <v>Ha</v>
          </cell>
        </row>
        <row r="1371">
          <cell r="C1371" t="str">
            <v>004B</v>
          </cell>
          <cell r="D1371">
            <v>7.8</v>
          </cell>
          <cell r="E1371">
            <v>6.53</v>
          </cell>
          <cell r="F1371" t="str">
            <v>NSBK2510</v>
          </cell>
          <cell r="G1371" t="str">
            <v>RC</v>
          </cell>
        </row>
        <row r="1372">
          <cell r="C1372" t="str">
            <v>043G2</v>
          </cell>
          <cell r="D1372">
            <v>9.01</v>
          </cell>
          <cell r="E1372">
            <v>7.48</v>
          </cell>
          <cell r="F1372" t="str">
            <v>NSBK2602</v>
          </cell>
          <cell r="G1372" t="str">
            <v>BB</v>
          </cell>
        </row>
        <row r="1373">
          <cell r="C1373" t="str">
            <v>004J</v>
          </cell>
          <cell r="D1373">
            <v>7.62</v>
          </cell>
          <cell r="E1373">
            <v>6.35</v>
          </cell>
          <cell r="F1373" t="str">
            <v>NSBK2510</v>
          </cell>
          <cell r="G1373" t="str">
            <v>RC</v>
          </cell>
        </row>
        <row r="1374">
          <cell r="C1374" t="str">
            <v>055Ks</v>
          </cell>
          <cell r="D1374">
            <v>1.57</v>
          </cell>
          <cell r="E1374">
            <v>1.34</v>
          </cell>
          <cell r="F1374" t="str">
            <v>NSBK2603</v>
          </cell>
          <cell r="G1374" t="str">
            <v>BB</v>
          </cell>
        </row>
        <row r="1375">
          <cell r="C1375" t="str">
            <v>092H</v>
          </cell>
          <cell r="D1375">
            <v>7.43</v>
          </cell>
          <cell r="E1375">
            <v>6.14</v>
          </cell>
          <cell r="F1375" t="str">
            <v>NSBK2512</v>
          </cell>
          <cell r="G1375" t="str">
            <v>RC</v>
          </cell>
        </row>
        <row r="1376">
          <cell r="C1376" t="str">
            <v>092I</v>
          </cell>
          <cell r="D1376">
            <v>10.1</v>
          </cell>
          <cell r="E1376">
            <v>8.4</v>
          </cell>
          <cell r="F1376" t="str">
            <v>NSBK2512</v>
          </cell>
          <cell r="G1376" t="str">
            <v>RC</v>
          </cell>
        </row>
        <row r="1377">
          <cell r="C1377" t="str">
            <v>013G2</v>
          </cell>
          <cell r="D1377">
            <v>3.23</v>
          </cell>
          <cell r="E1377">
            <v>2.72</v>
          </cell>
          <cell r="F1377" t="str">
            <v>NSBK2603</v>
          </cell>
          <cell r="G1377" t="str">
            <v>RC</v>
          </cell>
        </row>
        <row r="1378">
          <cell r="C1378" t="str">
            <v>048D</v>
          </cell>
          <cell r="D1378">
            <v>11.09</v>
          </cell>
          <cell r="E1378">
            <v>9.3000000000000007</v>
          </cell>
          <cell r="F1378" t="str">
            <v>NSBK2605</v>
          </cell>
          <cell r="G1378" t="str">
            <v>BB</v>
          </cell>
        </row>
        <row r="1379">
          <cell r="C1379" t="str">
            <v>064C</v>
          </cell>
          <cell r="D1379">
            <v>8.58</v>
          </cell>
          <cell r="E1379">
            <v>6.95</v>
          </cell>
          <cell r="F1379" t="str">
            <v>NSBK2603</v>
          </cell>
          <cell r="G1379" t="str">
            <v>RC</v>
          </cell>
        </row>
        <row r="1380">
          <cell r="C1380" t="str">
            <v>043G3</v>
          </cell>
          <cell r="D1380">
            <v>6.87</v>
          </cell>
          <cell r="E1380">
            <v>5.64</v>
          </cell>
          <cell r="F1380" t="str">
            <v>NSBK2602</v>
          </cell>
          <cell r="G1380" t="str">
            <v>BB</v>
          </cell>
        </row>
        <row r="1381">
          <cell r="C1381" t="str">
            <v>072D1</v>
          </cell>
          <cell r="D1381">
            <v>7.51</v>
          </cell>
          <cell r="E1381">
            <v>6.25</v>
          </cell>
          <cell r="F1381" t="str">
            <v>NSBK2603</v>
          </cell>
          <cell r="G1381" t="str">
            <v>RC</v>
          </cell>
        </row>
        <row r="1382">
          <cell r="C1382" t="str">
            <v>092D</v>
          </cell>
          <cell r="D1382">
            <v>14.91</v>
          </cell>
          <cell r="E1382">
            <v>12.37</v>
          </cell>
          <cell r="F1382" t="str">
            <v>NSBK2601</v>
          </cell>
          <cell r="G1382" t="str">
            <v>RC</v>
          </cell>
        </row>
        <row r="1383">
          <cell r="C1383" t="str">
            <v>047F1</v>
          </cell>
          <cell r="D1383">
            <v>13.61</v>
          </cell>
          <cell r="E1383">
            <v>11.18</v>
          </cell>
          <cell r="F1383" t="str">
            <v>NSBK2601</v>
          </cell>
          <cell r="G1383" t="str">
            <v>BB</v>
          </cell>
        </row>
        <row r="1384">
          <cell r="C1384" t="str">
            <v>072B1</v>
          </cell>
          <cell r="D1384">
            <v>6.6</v>
          </cell>
          <cell r="E1384">
            <v>5.46</v>
          </cell>
          <cell r="F1384" t="str">
            <v>NSBK2602</v>
          </cell>
          <cell r="G1384" t="str">
            <v>RC</v>
          </cell>
        </row>
        <row r="1385">
          <cell r="C1385" t="str">
            <v>072B2</v>
          </cell>
          <cell r="D1385">
            <v>11.54</v>
          </cell>
          <cell r="E1385">
            <v>9.67</v>
          </cell>
          <cell r="F1385" t="str">
            <v>NSBK2512</v>
          </cell>
          <cell r="G1385" t="str">
            <v>RC</v>
          </cell>
        </row>
        <row r="1386">
          <cell r="C1386" t="str">
            <v>072D2</v>
          </cell>
          <cell r="D1386">
            <v>9.74</v>
          </cell>
          <cell r="E1386">
            <v>8.0299999999999994</v>
          </cell>
          <cell r="F1386" t="str">
            <v>NSBK2603</v>
          </cell>
          <cell r="G1386" t="str">
            <v>RC</v>
          </cell>
        </row>
        <row r="1387">
          <cell r="C1387" t="str">
            <v>063G2</v>
          </cell>
          <cell r="D1387">
            <v>9.59</v>
          </cell>
          <cell r="E1387">
            <v>7.91</v>
          </cell>
          <cell r="F1387" t="str">
            <v>NSBK2603</v>
          </cell>
          <cell r="G1387" t="str">
            <v>RC</v>
          </cell>
        </row>
        <row r="1388">
          <cell r="C1388" t="str">
            <v>089D1</v>
          </cell>
          <cell r="D1388">
            <v>6.54</v>
          </cell>
          <cell r="E1388">
            <v>5.44</v>
          </cell>
          <cell r="F1388" t="str">
            <v>NSBK2512</v>
          </cell>
          <cell r="G1388" t="str">
            <v>RC</v>
          </cell>
        </row>
        <row r="1389">
          <cell r="C1389" t="str">
            <v>063G3</v>
          </cell>
          <cell r="D1389">
            <v>10.56</v>
          </cell>
          <cell r="E1389">
            <v>8.77</v>
          </cell>
          <cell r="F1389" t="str">
            <v>NSBK2603</v>
          </cell>
          <cell r="G1389" t="str">
            <v>BB</v>
          </cell>
        </row>
        <row r="1390">
          <cell r="C1390" t="str">
            <v>013B1</v>
          </cell>
          <cell r="D1390">
            <v>6.38</v>
          </cell>
          <cell r="E1390">
            <v>5.43</v>
          </cell>
          <cell r="F1390" t="str">
            <v>NSBK2603</v>
          </cell>
          <cell r="G1390" t="str">
            <v>RC</v>
          </cell>
        </row>
        <row r="1391">
          <cell r="C1391" t="str">
            <v>038F</v>
          </cell>
          <cell r="D1391">
            <v>7.7</v>
          </cell>
          <cell r="E1391">
            <v>6.05</v>
          </cell>
          <cell r="F1391" t="str">
            <v>NSBK2512</v>
          </cell>
          <cell r="G1391" t="str">
            <v>RC</v>
          </cell>
        </row>
        <row r="1392">
          <cell r="C1392" t="str">
            <v>042B2</v>
          </cell>
          <cell r="D1392">
            <v>6.63</v>
          </cell>
          <cell r="E1392">
            <v>5.89</v>
          </cell>
          <cell r="F1392" t="str">
            <v>NSBK2602</v>
          </cell>
          <cell r="G1392" t="str">
            <v>BB</v>
          </cell>
        </row>
        <row r="1393">
          <cell r="C1393" t="str">
            <v>042B3</v>
          </cell>
          <cell r="D1393">
            <v>10.16</v>
          </cell>
          <cell r="E1393">
            <v>8.93</v>
          </cell>
          <cell r="F1393" t="str">
            <v>NSBK2602</v>
          </cell>
          <cell r="G1393" t="str">
            <v>BB</v>
          </cell>
        </row>
        <row r="1394">
          <cell r="C1394" t="str">
            <v>057C</v>
          </cell>
          <cell r="D1394">
            <v>5.0199999999999996</v>
          </cell>
          <cell r="E1394">
            <v>3.93</v>
          </cell>
          <cell r="F1394" t="str">
            <v>NSBK2511</v>
          </cell>
          <cell r="G1394" t="str">
            <v>RC</v>
          </cell>
        </row>
        <row r="1395">
          <cell r="C1395" t="str">
            <v>013F</v>
          </cell>
          <cell r="D1395">
            <v>9.26</v>
          </cell>
          <cell r="E1395">
            <v>7.43</v>
          </cell>
          <cell r="F1395" t="str">
            <v>NSBK2512</v>
          </cell>
          <cell r="G1395" t="str">
            <v>RC</v>
          </cell>
        </row>
        <row r="1396">
          <cell r="C1396" t="str">
            <v>013C</v>
          </cell>
          <cell r="D1396">
            <v>9.8000000000000007</v>
          </cell>
          <cell r="E1396">
            <v>7.84</v>
          </cell>
          <cell r="F1396" t="str">
            <v>NSBK2602</v>
          </cell>
          <cell r="G1396" t="str">
            <v>RC</v>
          </cell>
        </row>
        <row r="1397">
          <cell r="C1397" t="str">
            <v>092C1</v>
          </cell>
          <cell r="D1397">
            <v>11.8</v>
          </cell>
          <cell r="E1397">
            <v>9.23</v>
          </cell>
          <cell r="F1397" t="str">
            <v>NSBK2512</v>
          </cell>
          <cell r="G1397" t="str">
            <v>RC</v>
          </cell>
        </row>
        <row r="1398">
          <cell r="D1398">
            <v>230.65</v>
          </cell>
          <cell r="E1398">
            <v>190.66000000000003</v>
          </cell>
          <cell r="G1398" t="str">
            <v>Ha</v>
          </cell>
        </row>
        <row r="1399">
          <cell r="C1399" t="str">
            <v>010C1</v>
          </cell>
          <cell r="D1399">
            <v>8.35</v>
          </cell>
          <cell r="E1399">
            <v>7.07</v>
          </cell>
          <cell r="F1399" t="str">
            <v>NSBK2604</v>
          </cell>
          <cell r="G1399" t="str">
            <v>BB</v>
          </cell>
        </row>
        <row r="1400">
          <cell r="C1400" t="str">
            <v>083H</v>
          </cell>
          <cell r="D1400">
            <v>11.95</v>
          </cell>
          <cell r="E1400">
            <v>9.91</v>
          </cell>
          <cell r="F1400" t="str">
            <v>NSBK2510</v>
          </cell>
          <cell r="G1400" t="str">
            <v>RC</v>
          </cell>
        </row>
        <row r="1401">
          <cell r="C1401" t="str">
            <v>020B</v>
          </cell>
          <cell r="D1401">
            <v>13</v>
          </cell>
          <cell r="E1401">
            <v>10.25</v>
          </cell>
          <cell r="F1401" t="str">
            <v>NSBK2605</v>
          </cell>
          <cell r="G1401" t="str">
            <v>RC</v>
          </cell>
        </row>
        <row r="1402">
          <cell r="C1402" t="str">
            <v>020C</v>
          </cell>
          <cell r="D1402">
            <v>3.68</v>
          </cell>
          <cell r="E1402">
            <v>2.89</v>
          </cell>
          <cell r="F1402" t="str">
            <v>NSBK2602</v>
          </cell>
          <cell r="G1402" t="str">
            <v>RC</v>
          </cell>
        </row>
        <row r="1403">
          <cell r="C1403" t="str">
            <v>013D</v>
          </cell>
          <cell r="D1403">
            <v>11.44</v>
          </cell>
          <cell r="E1403">
            <v>8.9600000000000009</v>
          </cell>
          <cell r="F1403" t="str">
            <v>NSBK2604</v>
          </cell>
          <cell r="G1403" t="str">
            <v>BB</v>
          </cell>
        </row>
        <row r="1404">
          <cell r="C1404" t="str">
            <v>084C1</v>
          </cell>
          <cell r="D1404">
            <v>10.65</v>
          </cell>
          <cell r="E1404">
            <v>8.3699999999999992</v>
          </cell>
          <cell r="F1404" t="str">
            <v>NSBK2601</v>
          </cell>
          <cell r="G1404" t="str">
            <v>RC</v>
          </cell>
        </row>
        <row r="1405">
          <cell r="C1405" t="str">
            <v>084A</v>
          </cell>
          <cell r="D1405">
            <v>4.8</v>
          </cell>
          <cell r="E1405">
            <v>3.77</v>
          </cell>
          <cell r="F1405" t="str">
            <v>NSBK2602</v>
          </cell>
          <cell r="G1405" t="str">
            <v>RC</v>
          </cell>
        </row>
        <row r="1406">
          <cell r="C1406" t="str">
            <v>078B</v>
          </cell>
          <cell r="D1406">
            <v>10.36</v>
          </cell>
          <cell r="E1406">
            <v>8.1999999999999993</v>
          </cell>
          <cell r="F1406" t="str">
            <v>NSBK2604</v>
          </cell>
          <cell r="G1406" t="str">
            <v>RC</v>
          </cell>
        </row>
        <row r="1407">
          <cell r="C1407" t="str">
            <v>078E2</v>
          </cell>
          <cell r="D1407">
            <v>15.1</v>
          </cell>
          <cell r="E1407">
            <v>11.98</v>
          </cell>
          <cell r="F1407" t="str">
            <v>NSBK2602</v>
          </cell>
          <cell r="G1407" t="str">
            <v>RC</v>
          </cell>
        </row>
        <row r="1408">
          <cell r="C1408" t="str">
            <v>024C</v>
          </cell>
          <cell r="D1408">
            <v>6.7</v>
          </cell>
          <cell r="E1408">
            <v>5.37</v>
          </cell>
          <cell r="F1408" t="str">
            <v>NSBK2605</v>
          </cell>
          <cell r="G1408" t="str">
            <v>RC</v>
          </cell>
        </row>
        <row r="1409">
          <cell r="C1409" t="str">
            <v>024B</v>
          </cell>
          <cell r="D1409">
            <v>10.55</v>
          </cell>
          <cell r="E1409">
            <v>8.3000000000000007</v>
          </cell>
          <cell r="F1409" t="str">
            <v>NSBK2606</v>
          </cell>
          <cell r="G1409" t="str">
            <v>RC</v>
          </cell>
        </row>
        <row r="1410">
          <cell r="C1410" t="str">
            <v>092E1</v>
          </cell>
          <cell r="D1410">
            <v>10.63</v>
          </cell>
          <cell r="E1410">
            <v>8.7100000000000009</v>
          </cell>
          <cell r="F1410" t="str">
            <v>NSBK2509</v>
          </cell>
          <cell r="G1410" t="str">
            <v>BB</v>
          </cell>
        </row>
        <row r="1411">
          <cell r="C1411" t="str">
            <v>013E</v>
          </cell>
          <cell r="D1411">
            <v>5.84</v>
          </cell>
          <cell r="E1411">
            <v>5.09</v>
          </cell>
          <cell r="F1411" t="str">
            <v>PYBK2605</v>
          </cell>
          <cell r="G1411" t="str">
            <v>PY</v>
          </cell>
        </row>
        <row r="1412">
          <cell r="C1412" t="str">
            <v>010F1</v>
          </cell>
          <cell r="D1412">
            <v>3.51</v>
          </cell>
          <cell r="E1412">
            <v>3.02</v>
          </cell>
          <cell r="F1412" t="str">
            <v>PYBK2605</v>
          </cell>
          <cell r="G1412" t="str">
            <v>PY</v>
          </cell>
        </row>
        <row r="1413">
          <cell r="C1413" t="str">
            <v>010F2</v>
          </cell>
          <cell r="D1413">
            <v>5.37</v>
          </cell>
          <cell r="E1413">
            <v>4.58</v>
          </cell>
          <cell r="F1413" t="str">
            <v>PYBK2605</v>
          </cell>
          <cell r="G1413" t="str">
            <v>PY</v>
          </cell>
        </row>
        <row r="1414">
          <cell r="C1414" t="str">
            <v>002B2</v>
          </cell>
          <cell r="D1414">
            <v>12.55</v>
          </cell>
          <cell r="E1414">
            <v>10.56</v>
          </cell>
          <cell r="F1414" t="str">
            <v>PSBK2601</v>
          </cell>
          <cell r="G1414" t="str">
            <v>PS</v>
          </cell>
        </row>
        <row r="1415">
          <cell r="C1415" t="str">
            <v>093D</v>
          </cell>
          <cell r="D1415">
            <v>13.66</v>
          </cell>
          <cell r="E1415">
            <v>10.85</v>
          </cell>
          <cell r="F1415" t="str">
            <v>NSBK2603</v>
          </cell>
          <cell r="G1415" t="str">
            <v>RC</v>
          </cell>
        </row>
        <row r="1416">
          <cell r="C1416" t="str">
            <v>070D</v>
          </cell>
          <cell r="D1416">
            <v>7.28</v>
          </cell>
          <cell r="E1416">
            <v>5.77</v>
          </cell>
          <cell r="F1416" t="str">
            <v>NSBK2605</v>
          </cell>
          <cell r="G1416" t="str">
            <v>RC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nas"/>
      <sheetName val="Singkong"/>
      <sheetName val="Pisang"/>
      <sheetName val="Pepaya"/>
      <sheetName val="Bero SN-Per Eks Tnmn Lhn Nns"/>
      <sheetName val="Data Bero"/>
    </sheetNames>
    <sheetDataSet>
      <sheetData sheetId="0">
        <row r="1336">
          <cell r="C1336" t="str">
            <v>054A</v>
          </cell>
          <cell r="M1336">
            <v>46094</v>
          </cell>
        </row>
        <row r="1337">
          <cell r="C1337" t="str">
            <v>046P1</v>
          </cell>
        </row>
        <row r="1338">
          <cell r="C1338" t="str">
            <v>054B1</v>
          </cell>
        </row>
        <row r="1339">
          <cell r="C1339" t="str">
            <v>029A3</v>
          </cell>
          <cell r="M1339">
            <v>45990</v>
          </cell>
        </row>
        <row r="1340">
          <cell r="C1340" t="str">
            <v>065B5</v>
          </cell>
        </row>
        <row r="1341">
          <cell r="C1341" t="str">
            <v>025C</v>
          </cell>
          <cell r="M1341">
            <v>46013</v>
          </cell>
        </row>
        <row r="1342">
          <cell r="C1342" t="str">
            <v>013B</v>
          </cell>
          <cell r="M1342">
            <v>46012</v>
          </cell>
        </row>
        <row r="1343">
          <cell r="C1343" t="str">
            <v>098A1</v>
          </cell>
          <cell r="M1343">
            <v>46052</v>
          </cell>
        </row>
        <row r="1344">
          <cell r="C1344" t="str">
            <v>029A2</v>
          </cell>
          <cell r="M1344">
            <v>45990</v>
          </cell>
        </row>
        <row r="1345">
          <cell r="C1345" t="str">
            <v>028A</v>
          </cell>
          <cell r="M1345">
            <v>46144</v>
          </cell>
        </row>
        <row r="1346">
          <cell r="C1346" t="str">
            <v>089A</v>
          </cell>
          <cell r="M1346">
            <v>45813</v>
          </cell>
        </row>
        <row r="1347">
          <cell r="C1347" t="str">
            <v>014D</v>
          </cell>
        </row>
        <row r="1348">
          <cell r="C1348" t="str">
            <v>054E</v>
          </cell>
        </row>
        <row r="1349">
          <cell r="C1349" t="str">
            <v>078M</v>
          </cell>
          <cell r="M1349">
            <v>45915</v>
          </cell>
        </row>
        <row r="1350">
          <cell r="C1350" t="str">
            <v>079J</v>
          </cell>
        </row>
        <row r="1351">
          <cell r="C1351" t="str">
            <v>085E</v>
          </cell>
        </row>
        <row r="1352">
          <cell r="C1352" t="str">
            <v>086D</v>
          </cell>
          <cell r="M1352">
            <v>46052</v>
          </cell>
        </row>
        <row r="1353">
          <cell r="C1353" t="str">
            <v>097H</v>
          </cell>
          <cell r="M1353">
            <v>46129</v>
          </cell>
        </row>
        <row r="1354">
          <cell r="C1354" t="str">
            <v>098C</v>
          </cell>
        </row>
        <row r="1355">
          <cell r="C1355" t="str">
            <v>009G1</v>
          </cell>
          <cell r="M1355">
            <v>46124</v>
          </cell>
        </row>
        <row r="1356">
          <cell r="C1356" t="str">
            <v>067B</v>
          </cell>
          <cell r="M1356">
            <v>45924</v>
          </cell>
        </row>
        <row r="1357">
          <cell r="C1357" t="str">
            <v>078L</v>
          </cell>
          <cell r="M1357">
            <v>45937</v>
          </cell>
        </row>
        <row r="1358">
          <cell r="C1358" t="str">
            <v>025A</v>
          </cell>
          <cell r="M1358">
            <v>45989</v>
          </cell>
        </row>
        <row r="1359">
          <cell r="C1359" t="str">
            <v>010C2</v>
          </cell>
          <cell r="M1359">
            <v>46124</v>
          </cell>
        </row>
        <row r="1360">
          <cell r="C1360" t="str">
            <v>056A</v>
          </cell>
        </row>
        <row r="1361">
          <cell r="C1361" t="str">
            <v>056B</v>
          </cell>
        </row>
        <row r="1362">
          <cell r="C1362" t="str">
            <v>025B</v>
          </cell>
          <cell r="M1362">
            <v>46137</v>
          </cell>
        </row>
        <row r="1363">
          <cell r="C1363" t="str">
            <v>019E1</v>
          </cell>
          <cell r="M1363">
            <v>46082</v>
          </cell>
        </row>
        <row r="1364">
          <cell r="C1364" t="str">
            <v>069C6</v>
          </cell>
          <cell r="M1364">
            <v>45960</v>
          </cell>
        </row>
        <row r="1365">
          <cell r="C1365" t="str">
            <v>018C</v>
          </cell>
          <cell r="M1365">
            <v>46082</v>
          </cell>
        </row>
        <row r="1366">
          <cell r="C1366" t="str">
            <v>076B2</v>
          </cell>
        </row>
        <row r="1367">
          <cell r="C1367" t="str">
            <v>056G2</v>
          </cell>
        </row>
        <row r="1368">
          <cell r="C1368" t="str">
            <v>056G1</v>
          </cell>
        </row>
        <row r="1369">
          <cell r="C1369" t="str">
            <v>019E2</v>
          </cell>
          <cell r="M1369">
            <v>46160</v>
          </cell>
        </row>
        <row r="1371">
          <cell r="C1371" t="str">
            <v>004B</v>
          </cell>
          <cell r="M1371">
            <v>45988</v>
          </cell>
        </row>
        <row r="1372">
          <cell r="C1372" t="str">
            <v>043G2</v>
          </cell>
        </row>
        <row r="1373">
          <cell r="C1373" t="str">
            <v>004J</v>
          </cell>
          <cell r="M1373">
            <v>45995</v>
          </cell>
        </row>
        <row r="1374">
          <cell r="C1374" t="str">
            <v>055Ks</v>
          </cell>
        </row>
        <row r="1375">
          <cell r="C1375" t="str">
            <v>092H</v>
          </cell>
          <cell r="M1375">
            <v>46081</v>
          </cell>
        </row>
        <row r="1376">
          <cell r="C1376" t="str">
            <v>092I</v>
          </cell>
          <cell r="M1376">
            <v>46081</v>
          </cell>
        </row>
        <row r="1377">
          <cell r="C1377" t="str">
            <v>013G2</v>
          </cell>
          <cell r="M1377">
            <v>46143</v>
          </cell>
        </row>
        <row r="1378">
          <cell r="C1378" t="str">
            <v>048D</v>
          </cell>
          <cell r="M1378">
            <v>46170</v>
          </cell>
        </row>
        <row r="1379">
          <cell r="C1379" t="str">
            <v>064C</v>
          </cell>
          <cell r="M1379">
            <v>46139</v>
          </cell>
        </row>
        <row r="1380">
          <cell r="C1380" t="str">
            <v>043G3</v>
          </cell>
        </row>
        <row r="1381">
          <cell r="C1381" t="str">
            <v>072D1</v>
          </cell>
          <cell r="M1381">
            <v>46132</v>
          </cell>
        </row>
        <row r="1382">
          <cell r="C1382" t="str">
            <v>072B2</v>
          </cell>
          <cell r="M1382">
            <v>46084</v>
          </cell>
        </row>
        <row r="1383">
          <cell r="C1383" t="str">
            <v>072D2</v>
          </cell>
          <cell r="M1383">
            <v>46132</v>
          </cell>
        </row>
        <row r="1384">
          <cell r="C1384" t="str">
            <v>089D1</v>
          </cell>
          <cell r="M1384">
            <v>46053</v>
          </cell>
        </row>
        <row r="1385">
          <cell r="C1385" t="str">
            <v>013B1</v>
          </cell>
          <cell r="M1385">
            <v>46143</v>
          </cell>
        </row>
        <row r="1386">
          <cell r="C1386" t="str">
            <v>092D</v>
          </cell>
          <cell r="M1386">
            <v>46081</v>
          </cell>
        </row>
        <row r="1387">
          <cell r="C1387" t="str">
            <v>047F1</v>
          </cell>
          <cell r="M1387">
            <v>46050</v>
          </cell>
        </row>
        <row r="1388">
          <cell r="C1388" t="str">
            <v>072B1</v>
          </cell>
          <cell r="M1388">
            <v>46086</v>
          </cell>
        </row>
        <row r="1389">
          <cell r="C1389" t="str">
            <v>063G2</v>
          </cell>
          <cell r="M1389">
            <v>46139</v>
          </cell>
        </row>
        <row r="1390">
          <cell r="C1390" t="str">
            <v>063G3</v>
          </cell>
          <cell r="M1390">
            <v>46139</v>
          </cell>
        </row>
        <row r="1391">
          <cell r="C1391" t="str">
            <v>038F</v>
          </cell>
          <cell r="M1391">
            <v>46014</v>
          </cell>
        </row>
        <row r="1392">
          <cell r="C1392" t="str">
            <v>057C</v>
          </cell>
          <cell r="M1392">
            <v>46010</v>
          </cell>
        </row>
        <row r="1393">
          <cell r="C1393" t="str">
            <v>042B2</v>
          </cell>
        </row>
        <row r="1394">
          <cell r="C1394" t="str">
            <v>042B3</v>
          </cell>
        </row>
        <row r="1395">
          <cell r="C1395" t="str">
            <v>013F</v>
          </cell>
          <cell r="M1395">
            <v>46012</v>
          </cell>
        </row>
        <row r="1396">
          <cell r="C1396" t="str">
            <v>013C</v>
          </cell>
          <cell r="M1396">
            <v>46082</v>
          </cell>
        </row>
        <row r="1397">
          <cell r="C1397" t="str">
            <v>092C1</v>
          </cell>
          <cell r="M1397">
            <v>46053</v>
          </cell>
        </row>
        <row r="1399">
          <cell r="C1399" t="str">
            <v>010C1</v>
          </cell>
          <cell r="M1399">
            <v>46144</v>
          </cell>
        </row>
        <row r="1400">
          <cell r="C1400" t="str">
            <v>020C</v>
          </cell>
          <cell r="M1400">
            <v>46124</v>
          </cell>
        </row>
        <row r="1401">
          <cell r="C1401" t="str">
            <v>020B</v>
          </cell>
          <cell r="M1401">
            <v>46160</v>
          </cell>
        </row>
        <row r="1402">
          <cell r="C1402" t="str">
            <v>083H</v>
          </cell>
          <cell r="M1402">
            <v>45976</v>
          </cell>
        </row>
        <row r="1403">
          <cell r="C1403" t="str">
            <v>084A</v>
          </cell>
        </row>
        <row r="1404">
          <cell r="C1404" t="str">
            <v>010F1</v>
          </cell>
        </row>
        <row r="1405">
          <cell r="C1405" t="str">
            <v>010F2</v>
          </cell>
        </row>
        <row r="1406">
          <cell r="C1406" t="str">
            <v>013D</v>
          </cell>
          <cell r="M1406">
            <v>46144</v>
          </cell>
        </row>
        <row r="1407">
          <cell r="C1407" t="str">
            <v>078B</v>
          </cell>
        </row>
        <row r="1408">
          <cell r="C1408" t="str">
            <v>084C1</v>
          </cell>
        </row>
        <row r="1409">
          <cell r="C1409" t="str">
            <v>024C</v>
          </cell>
          <cell r="M1409">
            <v>46164</v>
          </cell>
        </row>
        <row r="1410">
          <cell r="C1410" t="str">
            <v>085C</v>
          </cell>
          <cell r="M1410">
            <v>46183</v>
          </cell>
        </row>
        <row r="1411">
          <cell r="C1411" t="str">
            <v>002A2</v>
          </cell>
        </row>
        <row r="1412">
          <cell r="C1412" t="str">
            <v>078A</v>
          </cell>
        </row>
        <row r="1413">
          <cell r="C1413" t="str">
            <v>078I</v>
          </cell>
          <cell r="M1413">
            <v>46230</v>
          </cell>
        </row>
        <row r="1414">
          <cell r="C1414" t="str">
            <v>078J</v>
          </cell>
          <cell r="M1414">
            <v>46230</v>
          </cell>
        </row>
        <row r="1415">
          <cell r="C1415" t="str">
            <v>092E1</v>
          </cell>
          <cell r="M1415">
            <v>46008</v>
          </cell>
        </row>
        <row r="1416">
          <cell r="C1416" t="str">
            <v>078E2</v>
          </cell>
        </row>
        <row r="1417">
          <cell r="C1417" t="str">
            <v>024B</v>
          </cell>
          <cell r="M1417">
            <v>46205</v>
          </cell>
        </row>
        <row r="1418">
          <cell r="C1418" t="str">
            <v>013E</v>
          </cell>
        </row>
        <row r="1419">
          <cell r="C1419" t="str">
            <v>002B2</v>
          </cell>
        </row>
        <row r="1420">
          <cell r="C1420" t="str">
            <v>093D</v>
          </cell>
          <cell r="M1420">
            <v>46147</v>
          </cell>
        </row>
        <row r="1421">
          <cell r="C1421" t="str">
            <v>070D</v>
          </cell>
          <cell r="M1421">
            <v>46206</v>
          </cell>
        </row>
        <row r="1423">
          <cell r="C1423" t="str">
            <v>075E</v>
          </cell>
          <cell r="M1423">
            <v>46237</v>
          </cell>
        </row>
        <row r="1424">
          <cell r="C1424" t="str">
            <v>085D</v>
          </cell>
          <cell r="M1424">
            <v>46239</v>
          </cell>
        </row>
        <row r="1425">
          <cell r="C1425" t="str">
            <v>047K1</v>
          </cell>
          <cell r="M1425">
            <v>46238</v>
          </cell>
        </row>
        <row r="1426">
          <cell r="C1426" t="str">
            <v>001B2</v>
          </cell>
          <cell r="M1426">
            <v>46225</v>
          </cell>
        </row>
        <row r="1427">
          <cell r="C1427" t="str">
            <v>001C</v>
          </cell>
          <cell r="M1427">
            <v>46225</v>
          </cell>
        </row>
        <row r="1428">
          <cell r="C1428" t="str">
            <v>061E1</v>
          </cell>
          <cell r="M1428">
            <v>46205</v>
          </cell>
        </row>
        <row r="1429">
          <cell r="C1429" t="str">
            <v>061E2</v>
          </cell>
          <cell r="M1429">
            <v>46238</v>
          </cell>
        </row>
        <row r="1430">
          <cell r="C1430" t="str">
            <v>061G</v>
          </cell>
          <cell r="M1430">
            <v>46198</v>
          </cell>
        </row>
        <row r="1431">
          <cell r="C1431" t="str">
            <v>077A</v>
          </cell>
          <cell r="M1431">
            <v>46237</v>
          </cell>
        </row>
        <row r="1432">
          <cell r="C1432" t="str">
            <v>063A</v>
          </cell>
        </row>
        <row r="1433">
          <cell r="C1433" t="str">
            <v>063E</v>
          </cell>
          <cell r="M1433">
            <v>46242</v>
          </cell>
        </row>
        <row r="1434">
          <cell r="C1434" t="str">
            <v>064B</v>
          </cell>
          <cell r="M1434">
            <v>46242</v>
          </cell>
        </row>
        <row r="1436">
          <cell r="C1436" t="str">
            <v>Total</v>
          </cell>
        </row>
        <row r="1437">
          <cell r="C1437" t="str">
            <v>099K</v>
          </cell>
          <cell r="M1437">
            <v>46167</v>
          </cell>
        </row>
        <row r="1438">
          <cell r="C1438" t="str">
            <v>099L</v>
          </cell>
          <cell r="M1438">
            <v>46167</v>
          </cell>
        </row>
        <row r="1439">
          <cell r="C1439" t="str">
            <v>069B2</v>
          </cell>
          <cell r="M1439">
            <v>46230</v>
          </cell>
        </row>
        <row r="1440">
          <cell r="C1440" t="str">
            <v>066Q</v>
          </cell>
          <cell r="M1440">
            <v>46220</v>
          </cell>
        </row>
        <row r="1441">
          <cell r="C1441" t="str">
            <v>050A1</v>
          </cell>
        </row>
        <row r="1442">
          <cell r="C1442" t="str">
            <v>050A2</v>
          </cell>
        </row>
        <row r="1443">
          <cell r="C1443" t="str">
            <v>020D</v>
          </cell>
          <cell r="M1443">
            <v>46248</v>
          </cell>
        </row>
        <row r="1444">
          <cell r="C1444" t="str">
            <v>050D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nas"/>
      <sheetName val="Singkong"/>
      <sheetName val="Pisang"/>
      <sheetName val="Pepaya"/>
      <sheetName val="Bero SN-Per Eks Tnmn Lhn Nns"/>
      <sheetName val="Data Bero"/>
    </sheetNames>
    <sheetDataSet>
      <sheetData sheetId="0">
        <row r="1429">
          <cell r="C1429" t="str">
            <v>077A</v>
          </cell>
          <cell r="G1429" t="str">
            <v>RC</v>
          </cell>
        </row>
        <row r="1430">
          <cell r="C1430" t="str">
            <v>061E1</v>
          </cell>
          <cell r="G1430" t="str">
            <v>RC</v>
          </cell>
        </row>
        <row r="1431">
          <cell r="C1431" t="str">
            <v>061E2</v>
          </cell>
          <cell r="G1431" t="str">
            <v>RC</v>
          </cell>
        </row>
        <row r="1432">
          <cell r="C1432" t="str">
            <v>061G</v>
          </cell>
          <cell r="G1432" t="str">
            <v>RC</v>
          </cell>
        </row>
        <row r="1433">
          <cell r="C1433" t="str">
            <v>Total</v>
          </cell>
          <cell r="G1433" t="str">
            <v>Ha</v>
          </cell>
        </row>
        <row r="1434">
          <cell r="C1434" t="str">
            <v>099K</v>
          </cell>
          <cell r="G1434" t="str">
            <v>BB</v>
          </cell>
        </row>
        <row r="1435">
          <cell r="C1435" t="str">
            <v>099L</v>
          </cell>
          <cell r="G1435" t="str">
            <v>BB</v>
          </cell>
        </row>
        <row r="1436">
          <cell r="C1436" t="str">
            <v>069B2</v>
          </cell>
          <cell r="G1436" t="str">
            <v>RC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Real"/>
      <sheetName val="Selesai'tanam"/>
      <sheetName val="Status"/>
      <sheetName val="Sheet1"/>
      <sheetName val="Sheet2"/>
      <sheetName val="Sheet3"/>
      <sheetName val="Sheet4"/>
      <sheetName val="Sheet5"/>
      <sheetName val="Sheet6"/>
      <sheetName val="Sumary"/>
    </sheetNames>
    <sheetDataSet>
      <sheetData sheetId="0"/>
      <sheetData sheetId="1">
        <row r="7">
          <cell r="B7" t="str">
            <v>LOKASI</v>
          </cell>
          <cell r="C7" t="str">
            <v>LUAS</v>
          </cell>
          <cell r="E7" t="str">
            <v>KELAS</v>
          </cell>
          <cell r="F7" t="str">
            <v>JENIS</v>
          </cell>
          <cell r="G7" t="str">
            <v>ECER</v>
          </cell>
          <cell r="O7" t="str">
            <v>TANAM</v>
          </cell>
          <cell r="W7" t="str">
            <v>Periode</v>
          </cell>
        </row>
        <row r="8">
          <cell r="G8" t="str">
            <v>Bulan</v>
          </cell>
          <cell r="K8" t="str">
            <v>Total</v>
          </cell>
          <cell r="M8" t="str">
            <v>Sisa</v>
          </cell>
          <cell r="O8" t="str">
            <v>Bulan</v>
          </cell>
          <cell r="S8" t="str">
            <v>Total</v>
          </cell>
          <cell r="U8" t="str">
            <v>Sisa</v>
          </cell>
          <cell r="W8" t="str">
            <v>Tanam</v>
          </cell>
        </row>
        <row r="9">
          <cell r="C9" t="str">
            <v>(batang)</v>
          </cell>
          <cell r="D9" t="str">
            <v>(hektar)</v>
          </cell>
          <cell r="E9" t="str">
            <v>Bibit</v>
          </cell>
          <cell r="F9" t="str">
            <v>Bibit</v>
          </cell>
          <cell r="G9" t="str">
            <v>Lalu</v>
          </cell>
          <cell r="I9" t="str">
            <v>Ini</v>
          </cell>
          <cell r="K9" t="str">
            <v>Ecer</v>
          </cell>
          <cell r="M9" t="str">
            <v>Ecer</v>
          </cell>
          <cell r="O9" t="str">
            <v>Lalu</v>
          </cell>
          <cell r="Q9" t="str">
            <v>Ini</v>
          </cell>
          <cell r="S9" t="str">
            <v>Tanam</v>
          </cell>
          <cell r="U9" t="str">
            <v>Tanam</v>
          </cell>
          <cell r="W9" t="str">
            <v>Mulai</v>
          </cell>
          <cell r="X9" t="str">
            <v>Selesai</v>
          </cell>
        </row>
        <row r="10">
          <cell r="G10" t="str">
            <v>(batang)</v>
          </cell>
          <cell r="H10" t="str">
            <v>(hektar)</v>
          </cell>
          <cell r="I10" t="str">
            <v>(batang)</v>
          </cell>
          <cell r="J10" t="str">
            <v>(hektar)</v>
          </cell>
          <cell r="K10" t="str">
            <v>(batang)</v>
          </cell>
          <cell r="L10" t="str">
            <v>(hektar)</v>
          </cell>
          <cell r="M10" t="str">
            <v>(batang)</v>
          </cell>
          <cell r="N10" t="str">
            <v>(hektar)</v>
          </cell>
          <cell r="O10" t="str">
            <v>(batang)</v>
          </cell>
          <cell r="P10" t="str">
            <v>(hektar)</v>
          </cell>
          <cell r="Q10" t="str">
            <v>(batang)</v>
          </cell>
          <cell r="R10" t="str">
            <v>(hektar)</v>
          </cell>
          <cell r="S10" t="str">
            <v>(batang)</v>
          </cell>
          <cell r="T10" t="str">
            <v>(hektar)</v>
          </cell>
          <cell r="U10" t="str">
            <v>(batang)</v>
          </cell>
          <cell r="V10" t="str">
            <v>(hektar)</v>
          </cell>
        </row>
        <row r="12">
          <cell r="B12" t="str">
            <v>003J</v>
          </cell>
          <cell r="C12">
            <v>363320.3</v>
          </cell>
          <cell r="D12">
            <v>4.9000000000000004</v>
          </cell>
          <cell r="E12" t="str">
            <v>Kecil</v>
          </cell>
          <cell r="F12" t="str">
            <v>Nursery</v>
          </cell>
          <cell r="G12">
            <v>145327</v>
          </cell>
          <cell r="H12">
            <v>1.9599848948709999</v>
          </cell>
          <cell r="I12">
            <v>217993</v>
          </cell>
          <cell r="J12">
            <v>2.9400110591123001</v>
          </cell>
          <cell r="K12">
            <v>363320</v>
          </cell>
          <cell r="L12">
            <v>4.8999959539833</v>
          </cell>
          <cell r="M12">
            <v>-0.30000000004656602</v>
          </cell>
          <cell r="N12">
            <v>-4.0460166967903896E-6</v>
          </cell>
          <cell r="O12">
            <v>163121</v>
          </cell>
          <cell r="P12">
            <v>2.1999676318664299</v>
          </cell>
          <cell r="Q12">
            <v>200199</v>
          </cell>
          <cell r="R12">
            <v>2.7000283221168799</v>
          </cell>
          <cell r="S12">
            <v>363320</v>
          </cell>
          <cell r="T12">
            <v>4.8999959539833</v>
          </cell>
          <cell r="U12">
            <v>-0.30000000004656602</v>
          </cell>
          <cell r="V12">
            <v>-4.0460166967903896E-6</v>
          </cell>
          <cell r="W12">
            <v>44343</v>
          </cell>
          <cell r="X12">
            <v>44366</v>
          </cell>
        </row>
        <row r="13">
          <cell r="B13" t="str">
            <v>005C</v>
          </cell>
          <cell r="C13">
            <v>514580.18</v>
          </cell>
          <cell r="D13">
            <v>6.94</v>
          </cell>
          <cell r="E13" t="str">
            <v>Besar</v>
          </cell>
          <cell r="F13" t="str">
            <v>Sucker</v>
          </cell>
          <cell r="G13">
            <v>414478</v>
          </cell>
          <cell r="H13">
            <v>5.5899496945257399</v>
          </cell>
          <cell r="I13">
            <v>100102</v>
          </cell>
          <cell r="J13">
            <v>1.35004787786424</v>
          </cell>
          <cell r="K13">
            <v>514580</v>
          </cell>
          <cell r="L13">
            <v>6.9399975723899798</v>
          </cell>
          <cell r="M13">
            <v>-0.18000000005122299</v>
          </cell>
          <cell r="N13">
            <v>-2.4276100187847798E-6</v>
          </cell>
          <cell r="O13">
            <v>338106</v>
          </cell>
          <cell r="P13">
            <v>4.5599417373595701</v>
          </cell>
          <cell r="Q13">
            <v>176474</v>
          </cell>
          <cell r="R13">
            <v>2.3800558350304102</v>
          </cell>
          <cell r="S13">
            <v>514580</v>
          </cell>
          <cell r="T13">
            <v>6.9399975723899798</v>
          </cell>
          <cell r="U13">
            <v>-0.18000000005122299</v>
          </cell>
          <cell r="V13">
            <v>-2.4276100187847798E-6</v>
          </cell>
          <cell r="W13">
            <v>44338</v>
          </cell>
          <cell r="X13">
            <v>44353</v>
          </cell>
        </row>
        <row r="14">
          <cell r="B14" t="str">
            <v>010B</v>
          </cell>
          <cell r="C14">
            <v>247650.98</v>
          </cell>
          <cell r="D14">
            <v>3.34</v>
          </cell>
          <cell r="E14" t="str">
            <v>Kecil</v>
          </cell>
          <cell r="F14" t="str">
            <v>Crown</v>
          </cell>
          <cell r="G14">
            <v>163123</v>
          </cell>
          <cell r="H14">
            <v>2.1999946053110699</v>
          </cell>
          <cell r="I14">
            <v>84528</v>
          </cell>
          <cell r="J14">
            <v>1.14000566442338</v>
          </cell>
          <cell r="K14">
            <v>247651</v>
          </cell>
          <cell r="L14">
            <v>3.3400002697344502</v>
          </cell>
          <cell r="M14">
            <v>2.00000000186265E-2</v>
          </cell>
          <cell r="N14">
            <v>2.6973444633426901E-7</v>
          </cell>
          <cell r="O14">
            <v>163864</v>
          </cell>
          <cell r="P14">
            <v>2.20998826655158</v>
          </cell>
          <cell r="Q14">
            <v>83787</v>
          </cell>
          <cell r="R14">
            <v>1.13001200318287</v>
          </cell>
          <cell r="S14">
            <v>247651</v>
          </cell>
          <cell r="T14">
            <v>3.3400002697344502</v>
          </cell>
          <cell r="U14">
            <v>2.00000000186265E-2</v>
          </cell>
          <cell r="V14">
            <v>2.6973444633426901E-7</v>
          </cell>
          <cell r="W14">
            <v>44347</v>
          </cell>
          <cell r="X14">
            <v>44365</v>
          </cell>
        </row>
        <row r="15">
          <cell r="B15" t="str">
            <v>012B</v>
          </cell>
          <cell r="C15">
            <v>763714.1</v>
          </cell>
          <cell r="D15">
            <v>10.3</v>
          </cell>
          <cell r="E15" t="str">
            <v>Besar</v>
          </cell>
          <cell r="F15" t="str">
            <v>Sucker</v>
          </cell>
          <cell r="G15">
            <v>32624</v>
          </cell>
          <cell r="H15">
            <v>0.43999082902882097</v>
          </cell>
          <cell r="I15">
            <v>731090</v>
          </cell>
          <cell r="J15">
            <v>9.8600078222989502</v>
          </cell>
          <cell r="K15">
            <v>763714</v>
          </cell>
          <cell r="L15">
            <v>10.299998651327799</v>
          </cell>
          <cell r="M15">
            <v>-0.10000000009313199</v>
          </cell>
          <cell r="N15">
            <v>-1.3486722334477E-6</v>
          </cell>
          <cell r="O15">
            <v>25951</v>
          </cell>
          <cell r="P15">
            <v>0.34999393097495501</v>
          </cell>
          <cell r="Q15">
            <v>737763</v>
          </cell>
          <cell r="R15">
            <v>9.9500047203528101</v>
          </cell>
          <cell r="S15">
            <v>763714</v>
          </cell>
          <cell r="T15">
            <v>10.299998651327799</v>
          </cell>
          <cell r="U15">
            <v>-0.10000000009313199</v>
          </cell>
          <cell r="V15">
            <v>-1.3486722334477E-6</v>
          </cell>
          <cell r="W15">
            <v>44347</v>
          </cell>
          <cell r="X15">
            <v>44365</v>
          </cell>
        </row>
        <row r="16">
          <cell r="B16" t="str">
            <v>027D</v>
          </cell>
          <cell r="C16">
            <v>185367.5</v>
          </cell>
          <cell r="D16">
            <v>2.5</v>
          </cell>
          <cell r="E16" t="str">
            <v>Kecil</v>
          </cell>
          <cell r="F16" t="str">
            <v>Crown</v>
          </cell>
          <cell r="G16">
            <v>185367</v>
          </cell>
          <cell r="H16">
            <v>2.4999932566388399</v>
          </cell>
          <cell r="I16">
            <v>0</v>
          </cell>
          <cell r="J16">
            <v>0</v>
          </cell>
          <cell r="K16">
            <v>185367</v>
          </cell>
          <cell r="L16">
            <v>2.4999932566388399</v>
          </cell>
          <cell r="M16">
            <v>-0.5</v>
          </cell>
          <cell r="N16">
            <v>-6.7433611610212602E-6</v>
          </cell>
          <cell r="O16">
            <v>179431</v>
          </cell>
          <cell r="P16">
            <v>2.4199360729361898</v>
          </cell>
          <cell r="Q16">
            <v>5936</v>
          </cell>
          <cell r="R16">
            <v>8.0057183702644794E-2</v>
          </cell>
          <cell r="S16">
            <v>185367</v>
          </cell>
          <cell r="T16">
            <v>2.4999932566388399</v>
          </cell>
          <cell r="U16">
            <v>-0.5</v>
          </cell>
          <cell r="V16">
            <v>-6.7433611610212602E-6</v>
          </cell>
          <cell r="W16">
            <v>44333</v>
          </cell>
          <cell r="X16">
            <v>44356</v>
          </cell>
        </row>
        <row r="17">
          <cell r="B17" t="str">
            <v>027J</v>
          </cell>
          <cell r="C17">
            <v>150518.41</v>
          </cell>
          <cell r="D17">
            <v>2.0299999999999998</v>
          </cell>
          <cell r="E17" t="str">
            <v>Kecil</v>
          </cell>
          <cell r="F17" t="str">
            <v>Crown</v>
          </cell>
          <cell r="G17">
            <v>118634</v>
          </cell>
          <cell r="H17">
            <v>1.59998381593321</v>
          </cell>
          <cell r="I17">
            <v>31884</v>
          </cell>
          <cell r="J17">
            <v>0.43001065451063403</v>
          </cell>
          <cell r="K17">
            <v>150518</v>
          </cell>
          <cell r="L17">
            <v>2.02999447044385</v>
          </cell>
          <cell r="M17">
            <v>-0.40999999997438902</v>
          </cell>
          <cell r="N17">
            <v>-5.5295561516288697E-6</v>
          </cell>
          <cell r="O17">
            <v>143102</v>
          </cell>
          <cell r="P17">
            <v>1.9299769377048299</v>
          </cell>
          <cell r="Q17">
            <v>7416</v>
          </cell>
          <cell r="R17">
            <v>0.10001753273901801</v>
          </cell>
          <cell r="S17">
            <v>150518</v>
          </cell>
          <cell r="T17">
            <v>2.02999447044385</v>
          </cell>
          <cell r="U17">
            <v>-0.40999999997438902</v>
          </cell>
          <cell r="V17">
            <v>-5.5295561516288697E-6</v>
          </cell>
          <cell r="W17">
            <v>44325</v>
          </cell>
          <cell r="X17">
            <v>44350</v>
          </cell>
        </row>
        <row r="18">
          <cell r="B18" t="str">
            <v>047J1</v>
          </cell>
          <cell r="C18">
            <v>777060.56</v>
          </cell>
          <cell r="D18">
            <v>10.48</v>
          </cell>
          <cell r="E18" t="str">
            <v>Kecil</v>
          </cell>
          <cell r="F18" t="str">
            <v>Crown</v>
          </cell>
          <cell r="G18">
            <v>767413</v>
          </cell>
          <cell r="H18">
            <v>10.3498860371964</v>
          </cell>
          <cell r="I18">
            <v>9648</v>
          </cell>
          <cell r="J18">
            <v>0.130119896961441</v>
          </cell>
          <cell r="K18">
            <v>777061</v>
          </cell>
          <cell r="L18">
            <v>10.4800059341578</v>
          </cell>
          <cell r="M18">
            <v>0.43999999994412098</v>
          </cell>
          <cell r="N18">
            <v>5.9341578211302703E-6</v>
          </cell>
          <cell r="O18">
            <v>750363</v>
          </cell>
          <cell r="P18">
            <v>10.1199374216084</v>
          </cell>
          <cell r="Q18">
            <v>26698</v>
          </cell>
          <cell r="R18">
            <v>0.36006851254939498</v>
          </cell>
          <cell r="S18">
            <v>777061</v>
          </cell>
          <cell r="T18">
            <v>10.4800059341578</v>
          </cell>
          <cell r="U18">
            <v>0.43999999994412098</v>
          </cell>
          <cell r="V18">
            <v>5.9341578211302703E-6</v>
          </cell>
          <cell r="W18">
            <v>44318</v>
          </cell>
          <cell r="X18">
            <v>44361</v>
          </cell>
        </row>
        <row r="19">
          <cell r="B19" t="str">
            <v>047K1</v>
          </cell>
          <cell r="C19">
            <v>389271.75</v>
          </cell>
          <cell r="D19">
            <v>5.25</v>
          </cell>
          <cell r="E19" t="str">
            <v>Sedang</v>
          </cell>
          <cell r="F19" t="str">
            <v>Nursery</v>
          </cell>
          <cell r="G19">
            <v>238011</v>
          </cell>
          <cell r="H19">
            <v>3.20998826655158</v>
          </cell>
          <cell r="I19">
            <v>151261</v>
          </cell>
          <cell r="J19">
            <v>2.0400151051290001</v>
          </cell>
          <cell r="K19">
            <v>389272</v>
          </cell>
          <cell r="L19">
            <v>5.2500033716805801</v>
          </cell>
          <cell r="M19">
            <v>0.25</v>
          </cell>
          <cell r="N19">
            <v>3.3716805809547202E-6</v>
          </cell>
          <cell r="O19">
            <v>264703</v>
          </cell>
          <cell r="P19">
            <v>3.56997585876704</v>
          </cell>
          <cell r="Q19">
            <v>124569</v>
          </cell>
          <cell r="R19">
            <v>1.68002751291354</v>
          </cell>
          <cell r="S19">
            <v>389272</v>
          </cell>
          <cell r="T19">
            <v>5.2500033716805801</v>
          </cell>
          <cell r="U19">
            <v>0.25</v>
          </cell>
          <cell r="V19">
            <v>3.3716805809547202E-6</v>
          </cell>
          <cell r="W19">
            <v>44335</v>
          </cell>
          <cell r="X19">
            <v>44361</v>
          </cell>
        </row>
        <row r="20">
          <cell r="B20" t="str">
            <v>061A</v>
          </cell>
          <cell r="C20">
            <v>1218976.68</v>
          </cell>
          <cell r="D20">
            <v>16.440000000000001</v>
          </cell>
          <cell r="E20" t="str">
            <v>Sedang</v>
          </cell>
          <cell r="F20" t="str">
            <v>Sucker</v>
          </cell>
          <cell r="G20">
            <v>1055104</v>
          </cell>
          <cell r="H20">
            <v>14.2298946686987</v>
          </cell>
          <cell r="I20">
            <v>163873</v>
          </cell>
          <cell r="J20">
            <v>2.2101096470524801</v>
          </cell>
          <cell r="K20">
            <v>1218977</v>
          </cell>
          <cell r="L20">
            <v>16.4400043157511</v>
          </cell>
          <cell r="M20">
            <v>0.31999999983236199</v>
          </cell>
          <cell r="N20">
            <v>4.3157511413482999E-6</v>
          </cell>
          <cell r="O20">
            <v>1208791</v>
          </cell>
          <cell r="P20">
            <v>16.302628562180502</v>
          </cell>
          <cell r="Q20">
            <v>10186</v>
          </cell>
          <cell r="R20">
            <v>0.13737575357060999</v>
          </cell>
          <cell r="S20">
            <v>1218977</v>
          </cell>
          <cell r="T20">
            <v>16.4400043157511</v>
          </cell>
          <cell r="U20">
            <v>0.31999999983236199</v>
          </cell>
          <cell r="V20">
            <v>4.3157511413482999E-6</v>
          </cell>
          <cell r="W20">
            <v>44307</v>
          </cell>
          <cell r="X20">
            <v>44356</v>
          </cell>
        </row>
        <row r="21">
          <cell r="B21" t="str">
            <v>066B</v>
          </cell>
          <cell r="C21">
            <v>523477.82</v>
          </cell>
          <cell r="D21">
            <v>7.06</v>
          </cell>
          <cell r="E21" t="str">
            <v>Kecil</v>
          </cell>
          <cell r="F21" t="str">
            <v>Crown</v>
          </cell>
          <cell r="G21">
            <v>478988</v>
          </cell>
          <cell r="H21">
            <v>6.4599781515098398</v>
          </cell>
          <cell r="I21">
            <v>44490</v>
          </cell>
          <cell r="J21">
            <v>0.60002427610017905</v>
          </cell>
          <cell r="K21">
            <v>523478</v>
          </cell>
          <cell r="L21">
            <v>7.0600024276100202</v>
          </cell>
          <cell r="M21">
            <v>0.18000000005122299</v>
          </cell>
          <cell r="N21">
            <v>2.4276100187847798E-6</v>
          </cell>
          <cell r="O21">
            <v>501973</v>
          </cell>
          <cell r="P21">
            <v>6.7699704640781198</v>
          </cell>
          <cell r="Q21">
            <v>21505</v>
          </cell>
          <cell r="R21">
            <v>0.29003196353190303</v>
          </cell>
          <cell r="S21">
            <v>523478</v>
          </cell>
          <cell r="T21">
            <v>7.0600024276100202</v>
          </cell>
          <cell r="U21">
            <v>0.18000000005122299</v>
          </cell>
          <cell r="V21">
            <v>2.4276100187847798E-6</v>
          </cell>
          <cell r="W21">
            <v>44335</v>
          </cell>
          <cell r="X21">
            <v>44350</v>
          </cell>
        </row>
        <row r="22">
          <cell r="B22" t="str">
            <v>066G1</v>
          </cell>
          <cell r="C22">
            <v>448589.35</v>
          </cell>
          <cell r="D22">
            <v>6.05</v>
          </cell>
          <cell r="E22" t="str">
            <v>Kecil</v>
          </cell>
          <cell r="F22" t="str">
            <v>Nursery</v>
          </cell>
          <cell r="G22">
            <v>448589</v>
          </cell>
          <cell r="H22">
            <v>6.0499952796471899</v>
          </cell>
          <cell r="J22">
            <v>0</v>
          </cell>
          <cell r="K22">
            <v>448589</v>
          </cell>
          <cell r="L22">
            <v>6.0499952796471899</v>
          </cell>
          <cell r="M22">
            <v>-0.34999999997671699</v>
          </cell>
          <cell r="N22">
            <v>-4.7203528126260599E-6</v>
          </cell>
          <cell r="O22">
            <v>446352</v>
          </cell>
          <cell r="P22">
            <v>6.0198254818131502</v>
          </cell>
          <cell r="Q22">
            <v>2237</v>
          </cell>
          <cell r="R22">
            <v>3.01697978340324E-2</v>
          </cell>
          <cell r="S22">
            <v>448589</v>
          </cell>
          <cell r="T22">
            <v>6.0499952796471899</v>
          </cell>
          <cell r="U22">
            <v>-0.34999999997671699</v>
          </cell>
          <cell r="V22">
            <v>-4.7203528126260599E-6</v>
          </cell>
          <cell r="W22">
            <v>44313</v>
          </cell>
          <cell r="X22">
            <v>44350</v>
          </cell>
        </row>
        <row r="23">
          <cell r="B23" t="str">
            <v>067D</v>
          </cell>
          <cell r="C23">
            <v>460452.87</v>
          </cell>
          <cell r="D23">
            <v>6.21</v>
          </cell>
          <cell r="E23" t="str">
            <v>Kecil</v>
          </cell>
          <cell r="F23" t="str">
            <v>Crown</v>
          </cell>
          <cell r="G23">
            <v>409284</v>
          </cell>
          <cell r="H23">
            <v>5.5198996587859304</v>
          </cell>
          <cell r="I23">
            <v>51169</v>
          </cell>
          <cell r="J23">
            <v>0.69010209448797699</v>
          </cell>
          <cell r="K23">
            <v>460453</v>
          </cell>
          <cell r="L23">
            <v>6.2100017532739002</v>
          </cell>
          <cell r="M23">
            <v>0.130000000004657</v>
          </cell>
          <cell r="N23">
            <v>1.75327390206093E-6</v>
          </cell>
          <cell r="O23">
            <v>417429</v>
          </cell>
          <cell r="P23">
            <v>5.6297490120975899</v>
          </cell>
          <cell r="Q23">
            <v>43024</v>
          </cell>
          <cell r="R23">
            <v>0.58025274117631198</v>
          </cell>
          <cell r="S23">
            <v>460453</v>
          </cell>
          <cell r="T23">
            <v>6.2100017532739002</v>
          </cell>
          <cell r="U23">
            <v>0.130000000004657</v>
          </cell>
          <cell r="V23">
            <v>1.75327390206093E-6</v>
          </cell>
          <cell r="W23">
            <v>44343</v>
          </cell>
          <cell r="X23">
            <v>44365</v>
          </cell>
        </row>
        <row r="24">
          <cell r="B24" t="str">
            <v>067E</v>
          </cell>
          <cell r="C24">
            <v>622093.32999999996</v>
          </cell>
          <cell r="D24">
            <v>8.39</v>
          </cell>
          <cell r="E24" t="str">
            <v>Kecil</v>
          </cell>
          <cell r="F24" t="str">
            <v>Crown</v>
          </cell>
          <cell r="G24">
            <v>548925</v>
          </cell>
          <cell r="H24">
            <v>7.4031990505347496</v>
          </cell>
          <cell r="I24">
            <v>73168</v>
          </cell>
          <cell r="J24">
            <v>0.98679649884688503</v>
          </cell>
          <cell r="K24">
            <v>622093</v>
          </cell>
          <cell r="L24">
            <v>8.3899955493816307</v>
          </cell>
          <cell r="M24">
            <v>-0.33000000007450597</v>
          </cell>
          <cell r="N24">
            <v>-4.4506183662917903E-6</v>
          </cell>
          <cell r="O24">
            <v>550171</v>
          </cell>
          <cell r="P24">
            <v>7.4200035065477996</v>
          </cell>
          <cell r="Q24">
            <v>71922</v>
          </cell>
          <cell r="R24">
            <v>0.96999204283383</v>
          </cell>
          <cell r="S24">
            <v>622093</v>
          </cell>
          <cell r="T24">
            <v>8.3899955493816307</v>
          </cell>
          <cell r="U24">
            <v>-0.33000000007450597</v>
          </cell>
          <cell r="V24">
            <v>-4.4506183662917903E-6</v>
          </cell>
          <cell r="W24">
            <v>44341</v>
          </cell>
          <cell r="X24">
            <v>44365</v>
          </cell>
        </row>
        <row r="25">
          <cell r="B25" t="str">
            <v>082C</v>
          </cell>
          <cell r="C25">
            <v>778543.5</v>
          </cell>
          <cell r="D25">
            <v>10.5</v>
          </cell>
          <cell r="E25" t="str">
            <v>Kecil</v>
          </cell>
          <cell r="F25" t="str">
            <v>Crown</v>
          </cell>
          <cell r="G25">
            <v>773340</v>
          </cell>
          <cell r="H25">
            <v>10.4298218403981</v>
          </cell>
          <cell r="I25">
            <v>5203</v>
          </cell>
          <cell r="J25">
            <v>7.0171416240710993E-2</v>
          </cell>
          <cell r="K25">
            <v>778543</v>
          </cell>
          <cell r="L25">
            <v>10.499993256638801</v>
          </cell>
          <cell r="M25">
            <v>-0.5</v>
          </cell>
          <cell r="N25">
            <v>-6.7433611601330801E-6</v>
          </cell>
          <cell r="O25">
            <v>793347</v>
          </cell>
          <cell r="P25">
            <v>10.6996506938919</v>
          </cell>
          <cell r="Q25">
            <v>0</v>
          </cell>
          <cell r="R25">
            <v>0</v>
          </cell>
          <cell r="S25">
            <v>778543</v>
          </cell>
          <cell r="T25">
            <v>10.499650693891899</v>
          </cell>
          <cell r="U25">
            <v>-0.5</v>
          </cell>
          <cell r="V25">
            <v>-3.4930610813610502E-4</v>
          </cell>
          <cell r="W25">
            <v>44311</v>
          </cell>
          <cell r="X25">
            <v>44353</v>
          </cell>
        </row>
        <row r="26">
          <cell r="B26" t="str">
            <v>082C1</v>
          </cell>
          <cell r="C26">
            <v>65990.83</v>
          </cell>
          <cell r="D26">
            <v>0.89</v>
          </cell>
          <cell r="E26" t="str">
            <v>Besar</v>
          </cell>
          <cell r="F26" t="str">
            <v>Sucker</v>
          </cell>
          <cell r="G26">
            <v>28917</v>
          </cell>
          <cell r="H26">
            <v>0.389995549381634</v>
          </cell>
          <cell r="I26">
            <v>37074</v>
          </cell>
          <cell r="J26">
            <v>0.50000674336116102</v>
          </cell>
          <cell r="K26">
            <v>65991</v>
          </cell>
          <cell r="L26">
            <v>0.89000229274279496</v>
          </cell>
          <cell r="M26">
            <v>0.16999999999825399</v>
          </cell>
          <cell r="N26">
            <v>2.29274279461844E-6</v>
          </cell>
          <cell r="O26">
            <v>18533</v>
          </cell>
          <cell r="P26">
            <v>0.24994942479129301</v>
          </cell>
          <cell r="Q26">
            <v>47458</v>
          </cell>
          <cell r="R26">
            <v>0.64005286795150196</v>
          </cell>
          <cell r="S26">
            <v>65991</v>
          </cell>
          <cell r="T26">
            <v>0.89000229274279496</v>
          </cell>
          <cell r="U26">
            <v>0.16999999999825399</v>
          </cell>
          <cell r="V26">
            <v>2.2927427947294598E-6</v>
          </cell>
          <cell r="W26">
            <v>44345</v>
          </cell>
          <cell r="X26">
            <v>44356</v>
          </cell>
        </row>
        <row r="27">
          <cell r="B27" t="str">
            <v>084F</v>
          </cell>
          <cell r="C27">
            <v>806719.36</v>
          </cell>
          <cell r="D27">
            <v>10.88</v>
          </cell>
          <cell r="E27" t="str">
            <v>Kecil</v>
          </cell>
          <cell r="F27" t="str">
            <v>Crown</v>
          </cell>
          <cell r="G27">
            <v>759992</v>
          </cell>
          <cell r="H27">
            <v>10.2498010708458</v>
          </cell>
          <cell r="I27">
            <v>46727</v>
          </cell>
          <cell r="J27">
            <v>0.63019407393421201</v>
          </cell>
          <cell r="K27">
            <v>806719</v>
          </cell>
          <cell r="L27">
            <v>10.879995144780001</v>
          </cell>
          <cell r="M27">
            <v>-0.36000000010244498</v>
          </cell>
          <cell r="N27">
            <v>-4.8552200375695503E-6</v>
          </cell>
          <cell r="O27">
            <v>798530</v>
          </cell>
          <cell r="P27">
            <v>10.7695523756861</v>
          </cell>
          <cell r="Q27">
            <v>8189</v>
          </cell>
          <cell r="R27">
            <v>0.110442769093827</v>
          </cell>
          <cell r="S27">
            <v>806719</v>
          </cell>
          <cell r="T27">
            <v>10.879995144780001</v>
          </cell>
          <cell r="U27">
            <v>-0.36000000010244498</v>
          </cell>
          <cell r="V27">
            <v>-4.8552200357932002E-6</v>
          </cell>
          <cell r="W27">
            <v>44319</v>
          </cell>
          <cell r="X27">
            <v>44357</v>
          </cell>
        </row>
        <row r="28">
          <cell r="B28" t="str">
            <v>085H1</v>
          </cell>
          <cell r="C28">
            <v>606522.46</v>
          </cell>
          <cell r="D28">
            <v>8.18</v>
          </cell>
          <cell r="E28" t="str">
            <v>Kecil</v>
          </cell>
          <cell r="F28" t="str">
            <v>Crown</v>
          </cell>
          <cell r="G28">
            <v>497519</v>
          </cell>
          <cell r="H28">
            <v>6.7099006028564903</v>
          </cell>
          <cell r="I28">
            <v>109003</v>
          </cell>
          <cell r="J28">
            <v>1.47009319325124</v>
          </cell>
          <cell r="K28">
            <v>606522</v>
          </cell>
          <cell r="L28">
            <v>8.1799937961077305</v>
          </cell>
          <cell r="M28">
            <v>-0.45999999996274699</v>
          </cell>
          <cell r="N28">
            <v>-6.20389226746454E-6</v>
          </cell>
          <cell r="O28">
            <v>576841</v>
          </cell>
          <cell r="P28">
            <v>7.7796943908721898</v>
          </cell>
          <cell r="Q28">
            <v>29681</v>
          </cell>
          <cell r="R28">
            <v>0.40029940523554602</v>
          </cell>
          <cell r="S28">
            <v>606522</v>
          </cell>
          <cell r="T28">
            <v>8.1799937961077305</v>
          </cell>
          <cell r="U28">
            <v>-0.45999999996274699</v>
          </cell>
          <cell r="V28">
            <v>-6.20389226746454E-6</v>
          </cell>
          <cell r="W28">
            <v>44335</v>
          </cell>
          <cell r="X28">
            <v>44358</v>
          </cell>
        </row>
        <row r="29">
          <cell r="B29" t="str">
            <v>093E</v>
          </cell>
          <cell r="C29">
            <v>787441.14</v>
          </cell>
          <cell r="D29">
            <v>10.62</v>
          </cell>
          <cell r="E29" t="str">
            <v>Kecil</v>
          </cell>
          <cell r="F29" t="str">
            <v>Nursery</v>
          </cell>
          <cell r="G29">
            <v>133463</v>
          </cell>
          <cell r="H29">
            <v>1.79997842124429</v>
          </cell>
          <cell r="I29">
            <v>653978</v>
          </cell>
          <cell r="J29">
            <v>8.8200196906145898</v>
          </cell>
          <cell r="K29">
            <v>787441</v>
          </cell>
          <cell r="L29">
            <v>10.6199981118589</v>
          </cell>
          <cell r="M29">
            <v>-0.13999999989755499</v>
          </cell>
          <cell r="N29">
            <v>-1.8881411243398801E-6</v>
          </cell>
          <cell r="O29">
            <v>152736</v>
          </cell>
          <cell r="P29">
            <v>2.0599080205537601</v>
          </cell>
          <cell r="Q29">
            <v>634705</v>
          </cell>
          <cell r="R29">
            <v>8.5600900913051099</v>
          </cell>
          <cell r="S29">
            <v>787441</v>
          </cell>
          <cell r="T29">
            <v>10.6199981118589</v>
          </cell>
          <cell r="U29">
            <v>-0.13999999989755499</v>
          </cell>
          <cell r="V29">
            <v>-1.8881411243398801E-6</v>
          </cell>
          <cell r="W29">
            <v>44339</v>
          </cell>
          <cell r="X29">
            <v>44366</v>
          </cell>
        </row>
        <row r="30">
          <cell r="B30" t="str">
            <v>062I1</v>
          </cell>
          <cell r="C30">
            <v>53385.84</v>
          </cell>
          <cell r="D30">
            <v>0.72</v>
          </cell>
          <cell r="E30" t="str">
            <v>Besar</v>
          </cell>
          <cell r="F30" t="str">
            <v>Sucker</v>
          </cell>
          <cell r="G30">
            <v>0</v>
          </cell>
          <cell r="H30">
            <v>0</v>
          </cell>
          <cell r="I30">
            <v>53386</v>
          </cell>
          <cell r="J30">
            <v>0.72000215787557198</v>
          </cell>
          <cell r="K30">
            <v>53386</v>
          </cell>
          <cell r="L30">
            <v>0.72000215787557198</v>
          </cell>
          <cell r="M30">
            <v>0.16000000000349199</v>
          </cell>
          <cell r="N30">
            <v>2.1578755715623301E-6</v>
          </cell>
          <cell r="O30">
            <v>0</v>
          </cell>
          <cell r="P30">
            <v>0</v>
          </cell>
          <cell r="Q30">
            <v>53386</v>
          </cell>
          <cell r="R30">
            <v>0.72000215787557198</v>
          </cell>
          <cell r="S30">
            <v>53386</v>
          </cell>
          <cell r="T30">
            <v>0.72000215787557198</v>
          </cell>
          <cell r="U30">
            <v>0.16000000000349199</v>
          </cell>
          <cell r="V30">
            <v>2.1578755715623301E-6</v>
          </cell>
          <cell r="W30">
            <v>44372</v>
          </cell>
          <cell r="X30">
            <v>44376</v>
          </cell>
        </row>
        <row r="31">
          <cell r="B31" t="str">
            <v>066G</v>
          </cell>
          <cell r="C31">
            <v>999501.56</v>
          </cell>
          <cell r="D31">
            <v>13.48</v>
          </cell>
          <cell r="E31" t="str">
            <v>Kecil</v>
          </cell>
          <cell r="F31" t="str">
            <v>Crown</v>
          </cell>
          <cell r="G31">
            <v>809675</v>
          </cell>
          <cell r="H31">
            <v>10.9198618959634</v>
          </cell>
          <cell r="I31">
            <v>189827</v>
          </cell>
          <cell r="J31">
            <v>2.5601440381943998</v>
          </cell>
          <cell r="K31">
            <v>999502</v>
          </cell>
          <cell r="L31">
            <v>13.4800059341578</v>
          </cell>
          <cell r="M31">
            <v>0.43999999994412098</v>
          </cell>
          <cell r="N31">
            <v>5.9341578211302703E-6</v>
          </cell>
          <cell r="O31">
            <v>785193</v>
          </cell>
          <cell r="P31">
            <v>10.5896799600793</v>
          </cell>
          <cell r="Q31">
            <v>214309</v>
          </cell>
          <cell r="R31">
            <v>2.8903259740785199</v>
          </cell>
          <cell r="S31">
            <v>999502</v>
          </cell>
          <cell r="T31">
            <v>13.4800059341578</v>
          </cell>
          <cell r="U31">
            <v>0.43999999994412098</v>
          </cell>
          <cell r="V31">
            <v>5.9341578211302703E-6</v>
          </cell>
          <cell r="W31">
            <v>44337</v>
          </cell>
          <cell r="X31">
            <v>44372</v>
          </cell>
        </row>
        <row r="32">
          <cell r="B32" t="str">
            <v>067G</v>
          </cell>
          <cell r="C32">
            <v>142362.23999999999</v>
          </cell>
          <cell r="D32">
            <v>1.92</v>
          </cell>
          <cell r="E32" t="str">
            <v>Kecil</v>
          </cell>
          <cell r="F32" t="str">
            <v>Crown</v>
          </cell>
          <cell r="G32">
            <v>118633</v>
          </cell>
          <cell r="H32">
            <v>1.59997032921089</v>
          </cell>
          <cell r="I32">
            <v>23729</v>
          </cell>
          <cell r="J32">
            <v>0.32002643397575098</v>
          </cell>
          <cell r="K32">
            <v>142362</v>
          </cell>
          <cell r="L32">
            <v>1.9199967631866399</v>
          </cell>
          <cell r="M32">
            <v>-0.239999999990687</v>
          </cell>
          <cell r="N32">
            <v>-3.2368133573434898E-6</v>
          </cell>
          <cell r="O32">
            <v>120857</v>
          </cell>
          <cell r="P32">
            <v>1.6299647996547399</v>
          </cell>
          <cell r="Q32">
            <v>21505</v>
          </cell>
          <cell r="R32">
            <v>0.29003196353190303</v>
          </cell>
          <cell r="S32">
            <v>142362</v>
          </cell>
          <cell r="T32">
            <v>1.9199967631866399</v>
          </cell>
          <cell r="U32">
            <v>-0.239999999990687</v>
          </cell>
          <cell r="V32">
            <v>-3.2368133571214498E-6</v>
          </cell>
          <cell r="W32">
            <v>44340</v>
          </cell>
          <cell r="X32">
            <v>44372</v>
          </cell>
        </row>
        <row r="33">
          <cell r="B33" t="str">
            <v>067C</v>
          </cell>
          <cell r="C33">
            <v>451555.23</v>
          </cell>
          <cell r="D33">
            <v>6.09</v>
          </cell>
          <cell r="E33" t="str">
            <v>Kecil</v>
          </cell>
          <cell r="F33" t="str">
            <v>Crown</v>
          </cell>
          <cell r="G33">
            <v>400390</v>
          </cell>
          <cell r="H33">
            <v>5.39994875045518</v>
          </cell>
          <cell r="I33">
            <v>51165</v>
          </cell>
          <cell r="J33">
            <v>0.69004814759868904</v>
          </cell>
          <cell r="K33">
            <v>451555</v>
          </cell>
          <cell r="L33">
            <v>6.0899968980538697</v>
          </cell>
          <cell r="M33">
            <v>-0.22999999998137399</v>
          </cell>
          <cell r="N33">
            <v>-3.10194613373227E-6</v>
          </cell>
          <cell r="O33">
            <v>402615</v>
          </cell>
          <cell r="P33">
            <v>5.4299567076213497</v>
          </cell>
          <cell r="Q33">
            <v>48940</v>
          </cell>
          <cell r="R33">
            <v>0.66004019043251905</v>
          </cell>
          <cell r="S33">
            <v>451555</v>
          </cell>
          <cell r="T33">
            <v>6.0899968980538697</v>
          </cell>
          <cell r="U33">
            <v>-0.22999999998137399</v>
          </cell>
          <cell r="V33">
            <v>-3.10194613373227E-6</v>
          </cell>
          <cell r="W33">
            <v>44344</v>
          </cell>
          <cell r="X33">
            <v>44376</v>
          </cell>
        </row>
        <row r="34">
          <cell r="B34" t="str">
            <v>073L</v>
          </cell>
          <cell r="C34">
            <v>883090.77</v>
          </cell>
          <cell r="D34">
            <v>11.91</v>
          </cell>
          <cell r="E34" t="str">
            <v>Kecil</v>
          </cell>
          <cell r="F34" t="str">
            <v>Crown</v>
          </cell>
          <cell r="G34">
            <v>373699</v>
          </cell>
          <cell r="H34">
            <v>5.0399746449620304</v>
          </cell>
          <cell r="I34">
            <v>509392</v>
          </cell>
          <cell r="J34">
            <v>6.8700284569840999</v>
          </cell>
          <cell r="K34">
            <v>883091</v>
          </cell>
          <cell r="L34">
            <v>11.910003101946099</v>
          </cell>
          <cell r="M34">
            <v>0.22999999998137399</v>
          </cell>
          <cell r="N34">
            <v>3.1019461346204501E-6</v>
          </cell>
          <cell r="O34">
            <v>359595</v>
          </cell>
          <cell r="P34">
            <v>4.8497579133343196</v>
          </cell>
          <cell r="Q34">
            <v>523496</v>
          </cell>
          <cell r="R34">
            <v>7.0602451886118098</v>
          </cell>
          <cell r="S34">
            <v>883091</v>
          </cell>
          <cell r="T34">
            <v>11.910003101946099</v>
          </cell>
          <cell r="U34">
            <v>0.22999999998137399</v>
          </cell>
          <cell r="V34">
            <v>3.1019461346204501E-6</v>
          </cell>
          <cell r="W34">
            <v>44345</v>
          </cell>
          <cell r="X34">
            <v>44377</v>
          </cell>
        </row>
        <row r="35">
          <cell r="B35" t="str">
            <v>069D1</v>
          </cell>
          <cell r="C35">
            <v>468609.04</v>
          </cell>
          <cell r="D35">
            <v>6.32</v>
          </cell>
          <cell r="E35" t="str">
            <v>Kecil</v>
          </cell>
          <cell r="F35" t="str">
            <v>Crown</v>
          </cell>
          <cell r="G35">
            <v>0</v>
          </cell>
          <cell r="H35">
            <v>0</v>
          </cell>
          <cell r="I35">
            <v>468609</v>
          </cell>
          <cell r="J35">
            <v>6.3199994605311103</v>
          </cell>
          <cell r="K35">
            <v>468609</v>
          </cell>
          <cell r="L35">
            <v>6.3199994605311103</v>
          </cell>
          <cell r="M35">
            <v>-4.0000000037252903E-2</v>
          </cell>
          <cell r="N35">
            <v>-5.3946889355671601E-7</v>
          </cell>
          <cell r="O35">
            <v>0</v>
          </cell>
          <cell r="P35">
            <v>0</v>
          </cell>
          <cell r="Q35">
            <v>468609</v>
          </cell>
          <cell r="R35">
            <v>6.3199994605311103</v>
          </cell>
          <cell r="S35">
            <v>468609</v>
          </cell>
          <cell r="T35">
            <v>6.3199994605311103</v>
          </cell>
          <cell r="U35">
            <v>-4.0000000037252903E-2</v>
          </cell>
          <cell r="V35">
            <v>-5.3946889355671601E-7</v>
          </cell>
          <cell r="W35">
            <v>44369</v>
          </cell>
          <cell r="X35">
            <v>44376</v>
          </cell>
        </row>
        <row r="36">
          <cell r="B36" t="str">
            <v>066Q2</v>
          </cell>
          <cell r="C36">
            <v>602815.11</v>
          </cell>
          <cell r="D36">
            <v>8.1300000000000008</v>
          </cell>
          <cell r="E36" t="str">
            <v>Kecil</v>
          </cell>
          <cell r="F36" t="str">
            <v>Nursery</v>
          </cell>
          <cell r="G36">
            <v>0</v>
          </cell>
          <cell r="H36">
            <v>0</v>
          </cell>
          <cell r="I36">
            <v>602815</v>
          </cell>
          <cell r="J36">
            <v>8.1299985164605406</v>
          </cell>
          <cell r="K36">
            <v>602815</v>
          </cell>
          <cell r="L36">
            <v>8.1299985164605406</v>
          </cell>
          <cell r="M36">
            <v>-0.110000000102445</v>
          </cell>
          <cell r="N36">
            <v>-1.4835394566148401E-6</v>
          </cell>
          <cell r="O36">
            <v>0</v>
          </cell>
          <cell r="P36">
            <v>0</v>
          </cell>
          <cell r="Q36">
            <v>602815</v>
          </cell>
          <cell r="R36">
            <v>8.1299985164605406</v>
          </cell>
          <cell r="S36">
            <v>602815</v>
          </cell>
          <cell r="T36">
            <v>8.1299985164605406</v>
          </cell>
          <cell r="U36">
            <v>-0.110000000102445</v>
          </cell>
          <cell r="V36">
            <v>-1.4835394566148401E-6</v>
          </cell>
          <cell r="W36">
            <v>44358</v>
          </cell>
          <cell r="X36">
            <v>44377</v>
          </cell>
        </row>
        <row r="37">
          <cell r="B37" t="str">
            <v>096J</v>
          </cell>
          <cell r="C37">
            <v>917939.86</v>
          </cell>
          <cell r="D37">
            <v>12.38</v>
          </cell>
          <cell r="E37" t="str">
            <v>Besar</v>
          </cell>
          <cell r="F37" t="str">
            <v>Nursery</v>
          </cell>
          <cell r="G37">
            <v>568702</v>
          </cell>
          <cell r="H37">
            <v>7.6699259578944501</v>
          </cell>
          <cell r="I37">
            <v>349238</v>
          </cell>
          <cell r="J37">
            <v>4.7100759302466697</v>
          </cell>
          <cell r="K37">
            <v>917940</v>
          </cell>
          <cell r="L37">
            <v>12.3800018881411</v>
          </cell>
          <cell r="M37">
            <v>0.13999999989755499</v>
          </cell>
          <cell r="N37">
            <v>1.8881411243398801E-6</v>
          </cell>
          <cell r="O37">
            <v>692524</v>
          </cell>
          <cell r="P37">
            <v>9.3398788892335496</v>
          </cell>
          <cell r="Q37">
            <v>210612</v>
          </cell>
          <cell r="R37">
            <v>2.84046556165455</v>
          </cell>
          <cell r="S37">
            <v>917940</v>
          </cell>
          <cell r="T37">
            <v>12.380344450888099</v>
          </cell>
          <cell r="U37">
            <v>0.13999999989755499</v>
          </cell>
          <cell r="V37">
            <v>3.4445088809853498E-4</v>
          </cell>
          <cell r="W37">
            <v>44307</v>
          </cell>
          <cell r="X37">
            <v>44372</v>
          </cell>
        </row>
        <row r="38">
          <cell r="B38" t="str">
            <v>088C3</v>
          </cell>
          <cell r="C38">
            <v>613937.16</v>
          </cell>
          <cell r="D38">
            <v>8.2799999999999994</v>
          </cell>
          <cell r="E38" t="str">
            <v>Besar</v>
          </cell>
          <cell r="F38" t="str">
            <v>Sucker</v>
          </cell>
          <cell r="G38">
            <v>0</v>
          </cell>
          <cell r="H38">
            <v>0</v>
          </cell>
          <cell r="I38">
            <v>613937</v>
          </cell>
          <cell r="J38">
            <v>8.2799978421244305</v>
          </cell>
          <cell r="K38">
            <v>613937</v>
          </cell>
          <cell r="L38">
            <v>8.2799978421244305</v>
          </cell>
          <cell r="M38">
            <v>-0.159999999916181</v>
          </cell>
          <cell r="N38">
            <v>-2.1578755706741499E-6</v>
          </cell>
          <cell r="O38">
            <v>0</v>
          </cell>
          <cell r="P38">
            <v>0</v>
          </cell>
          <cell r="Q38">
            <v>613937</v>
          </cell>
          <cell r="R38">
            <v>8.2799978421244305</v>
          </cell>
          <cell r="S38">
            <v>613937</v>
          </cell>
          <cell r="T38">
            <v>8.2799978421244305</v>
          </cell>
          <cell r="U38">
            <v>-0.159999999916181</v>
          </cell>
          <cell r="V38">
            <v>-2.1578755706741499E-6</v>
          </cell>
          <cell r="W38">
            <v>44352</v>
          </cell>
          <cell r="X38">
            <v>44377</v>
          </cell>
        </row>
        <row r="40">
          <cell r="B40" t="str">
            <v>Sub Total</v>
          </cell>
          <cell r="C40">
            <v>14843487.93</v>
          </cell>
          <cell r="D40">
            <v>200.19</v>
          </cell>
          <cell r="G40">
            <v>9470197</v>
          </cell>
          <cell r="H40">
            <v>127.721917272445</v>
          </cell>
          <cell r="I40">
            <v>5373289</v>
          </cell>
          <cell r="J40">
            <v>72.468056698180604</v>
          </cell>
          <cell r="K40">
            <v>14843486</v>
          </cell>
          <cell r="L40">
            <v>200.189973970626</v>
          </cell>
          <cell r="M40">
            <v>-1.9300000005314399</v>
          </cell>
          <cell r="N40">
            <v>-2.60293740851347E-5</v>
          </cell>
          <cell r="O40">
            <v>9854128</v>
          </cell>
          <cell r="P40">
            <v>132.899888060205</v>
          </cell>
          <cell r="Q40">
            <v>4989358</v>
          </cell>
          <cell r="R40">
            <v>67.290085910421197</v>
          </cell>
          <cell r="S40">
            <v>14843486</v>
          </cell>
          <cell r="T40">
            <v>200.189973970626</v>
          </cell>
          <cell r="U40">
            <v>-1.9300000005314399</v>
          </cell>
          <cell r="V40">
            <v>-2.60293740848017E-5</v>
          </cell>
        </row>
        <row r="42">
          <cell r="B42" t="str">
            <v>004I</v>
          </cell>
          <cell r="C42">
            <v>706620.91</v>
          </cell>
          <cell r="D42">
            <v>9.5299999999999994</v>
          </cell>
          <cell r="E42" t="str">
            <v>Sedang</v>
          </cell>
          <cell r="F42" t="str">
            <v>Sucker</v>
          </cell>
          <cell r="G42">
            <v>0</v>
          </cell>
          <cell r="H42">
            <v>0</v>
          </cell>
          <cell r="I42">
            <v>44488</v>
          </cell>
          <cell r="J42">
            <v>0.59999730265553597</v>
          </cell>
          <cell r="K42">
            <v>44488</v>
          </cell>
          <cell r="L42">
            <v>0.59999730265553597</v>
          </cell>
          <cell r="M42">
            <v>-662132.91</v>
          </cell>
          <cell r="N42">
            <v>-8.9300026973444595</v>
          </cell>
          <cell r="O42">
            <v>0</v>
          </cell>
          <cell r="P42">
            <v>0</v>
          </cell>
          <cell r="Q42">
            <v>164604</v>
          </cell>
          <cell r="R42">
            <v>2.2199684410697702</v>
          </cell>
          <cell r="S42">
            <v>164604</v>
          </cell>
          <cell r="T42">
            <v>2.2199684410697702</v>
          </cell>
          <cell r="U42">
            <v>-542016.91</v>
          </cell>
          <cell r="V42">
            <v>-7.3100315589302296</v>
          </cell>
          <cell r="W42">
            <v>44376</v>
          </cell>
        </row>
        <row r="43">
          <cell r="B43" t="str">
            <v>004K</v>
          </cell>
          <cell r="C43">
            <v>509389.89</v>
          </cell>
          <cell r="D43">
            <v>6.87</v>
          </cell>
          <cell r="E43" t="str">
            <v>Besar</v>
          </cell>
          <cell r="F43" t="str">
            <v>Sucker</v>
          </cell>
          <cell r="G43">
            <v>0</v>
          </cell>
          <cell r="H43">
            <v>0</v>
          </cell>
          <cell r="I43">
            <v>84527</v>
          </cell>
          <cell r="J43">
            <v>1.13999217770105</v>
          </cell>
          <cell r="K43">
            <v>84527</v>
          </cell>
          <cell r="L43">
            <v>1.13999217770105</v>
          </cell>
          <cell r="M43">
            <v>-424862.89</v>
          </cell>
          <cell r="N43">
            <v>-5.7300078222989503</v>
          </cell>
          <cell r="O43">
            <v>0</v>
          </cell>
          <cell r="P43">
            <v>0</v>
          </cell>
          <cell r="Q43">
            <v>134947</v>
          </cell>
          <cell r="R43">
            <v>1.8199927171699499</v>
          </cell>
          <cell r="S43">
            <v>134947</v>
          </cell>
          <cell r="T43">
            <v>1.8199927171699499</v>
          </cell>
          <cell r="U43">
            <v>-374442.89</v>
          </cell>
          <cell r="V43">
            <v>-5.05000728283005</v>
          </cell>
          <cell r="W43">
            <v>44375</v>
          </cell>
        </row>
        <row r="44">
          <cell r="B44" t="str">
            <v>026A</v>
          </cell>
          <cell r="C44">
            <v>187591.91</v>
          </cell>
          <cell r="D44">
            <v>2.5299999999999998</v>
          </cell>
          <cell r="E44" t="str">
            <v>Kecil</v>
          </cell>
          <cell r="F44" t="str">
            <v>Crown</v>
          </cell>
          <cell r="G44">
            <v>0</v>
          </cell>
          <cell r="H44">
            <v>0</v>
          </cell>
          <cell r="I44">
            <v>149776</v>
          </cell>
          <cell r="J44">
            <v>2.0199873224810201</v>
          </cell>
          <cell r="K44">
            <v>149776</v>
          </cell>
          <cell r="L44">
            <v>2.0199873224810201</v>
          </cell>
          <cell r="M44">
            <v>-37815.910000000003</v>
          </cell>
          <cell r="N44">
            <v>-0.51001267751898205</v>
          </cell>
          <cell r="O44">
            <v>0</v>
          </cell>
          <cell r="P44">
            <v>0</v>
          </cell>
          <cell r="Q44">
            <v>182401</v>
          </cell>
          <cell r="R44">
            <v>2.45999163823216</v>
          </cell>
          <cell r="S44">
            <v>182401</v>
          </cell>
          <cell r="T44">
            <v>2.45999163823216</v>
          </cell>
          <cell r="U44">
            <v>-5190.9099999999698</v>
          </cell>
          <cell r="V44">
            <v>-7.0008361767839297E-2</v>
          </cell>
          <cell r="W44">
            <v>44371</v>
          </cell>
        </row>
        <row r="45">
          <cell r="B45" t="str">
            <v>026B</v>
          </cell>
          <cell r="C45">
            <v>841568.45</v>
          </cell>
          <cell r="D45">
            <v>11.35</v>
          </cell>
          <cell r="E45" t="str">
            <v>Kecil</v>
          </cell>
          <cell r="F45" t="str">
            <v>Crown</v>
          </cell>
          <cell r="G45">
            <v>0</v>
          </cell>
          <cell r="H45">
            <v>0</v>
          </cell>
          <cell r="I45">
            <v>694014</v>
          </cell>
          <cell r="J45">
            <v>9.3599741054931407</v>
          </cell>
          <cell r="K45">
            <v>694014</v>
          </cell>
          <cell r="L45">
            <v>9.3599741054931407</v>
          </cell>
          <cell r="M45">
            <v>-147554.45000000001</v>
          </cell>
          <cell r="N45">
            <v>-1.9900258945068601</v>
          </cell>
          <cell r="O45">
            <v>0</v>
          </cell>
          <cell r="P45">
            <v>0</v>
          </cell>
          <cell r="Q45">
            <v>781026</v>
          </cell>
          <cell r="R45">
            <v>10.5334807881641</v>
          </cell>
          <cell r="S45">
            <v>781026</v>
          </cell>
          <cell r="T45">
            <v>10.5334807881641</v>
          </cell>
          <cell r="U45">
            <v>-60542.45</v>
          </cell>
          <cell r="V45">
            <v>-0.816519211835947</v>
          </cell>
          <cell r="W45">
            <v>44372</v>
          </cell>
        </row>
        <row r="46">
          <cell r="B46" t="str">
            <v>034C</v>
          </cell>
          <cell r="C46">
            <v>602073.64</v>
          </cell>
          <cell r="D46">
            <v>8.1199999999999992</v>
          </cell>
          <cell r="E46" t="str">
            <v>Besar</v>
          </cell>
          <cell r="F46" t="str">
            <v>Sucker</v>
          </cell>
          <cell r="G46">
            <v>0</v>
          </cell>
          <cell r="H46">
            <v>0</v>
          </cell>
          <cell r="I46">
            <v>433015</v>
          </cell>
          <cell r="J46">
            <v>5.8399530662063199</v>
          </cell>
          <cell r="K46">
            <v>433015</v>
          </cell>
          <cell r="L46">
            <v>5.8399530662063199</v>
          </cell>
          <cell r="M46">
            <v>-169058.64</v>
          </cell>
          <cell r="N46">
            <v>-2.2800469337936802</v>
          </cell>
          <cell r="O46">
            <v>0</v>
          </cell>
          <cell r="P46">
            <v>0</v>
          </cell>
          <cell r="Q46">
            <v>474539</v>
          </cell>
          <cell r="R46">
            <v>6.3999757238998196</v>
          </cell>
          <cell r="S46">
            <v>474539</v>
          </cell>
          <cell r="T46">
            <v>6.3999757238998196</v>
          </cell>
          <cell r="U46">
            <v>-127534.64</v>
          </cell>
          <cell r="V46">
            <v>-1.72002427610018</v>
          </cell>
          <cell r="W46">
            <v>44365</v>
          </cell>
        </row>
        <row r="47">
          <cell r="B47" t="str">
            <v>034D</v>
          </cell>
          <cell r="C47">
            <v>781509.38</v>
          </cell>
          <cell r="D47">
            <v>10.54</v>
          </cell>
          <cell r="E47" t="str">
            <v>Kecil</v>
          </cell>
          <cell r="F47" t="str">
            <v>Crown</v>
          </cell>
          <cell r="G47">
            <v>0</v>
          </cell>
          <cell r="H47">
            <v>0</v>
          </cell>
          <cell r="I47">
            <v>778541</v>
          </cell>
          <cell r="J47">
            <v>10.499966283194199</v>
          </cell>
          <cell r="K47">
            <v>778541</v>
          </cell>
          <cell r="L47">
            <v>10.499966283194199</v>
          </cell>
          <cell r="M47">
            <v>-2968.3799999998901</v>
          </cell>
          <cell r="N47">
            <v>-4.00337168058034E-2</v>
          </cell>
          <cell r="O47">
            <v>0</v>
          </cell>
          <cell r="P47">
            <v>0</v>
          </cell>
          <cell r="Q47">
            <v>777056</v>
          </cell>
          <cell r="R47">
            <v>10.479938500546201</v>
          </cell>
          <cell r="S47">
            <v>777056</v>
          </cell>
          <cell r="T47">
            <v>10.479938500546201</v>
          </cell>
          <cell r="U47">
            <v>-4453.3799999998901</v>
          </cell>
          <cell r="V47">
            <v>-6.0061499453785999E-2</v>
          </cell>
          <cell r="W47">
            <v>44364</v>
          </cell>
        </row>
        <row r="48">
          <cell r="B48" t="str">
            <v>050A</v>
          </cell>
          <cell r="C48">
            <v>901627.52</v>
          </cell>
          <cell r="D48">
            <v>12.16</v>
          </cell>
          <cell r="E48" t="str">
            <v>Sedang</v>
          </cell>
          <cell r="F48" t="str">
            <v>Sucker</v>
          </cell>
          <cell r="G48">
            <v>77112</v>
          </cell>
          <cell r="H48">
            <v>1.03998813168436</v>
          </cell>
          <cell r="I48">
            <v>734349</v>
          </cell>
          <cell r="J48">
            <v>9.9039610503459308</v>
          </cell>
          <cell r="K48">
            <v>811461</v>
          </cell>
          <cell r="L48">
            <v>10.9439491820303</v>
          </cell>
          <cell r="M48">
            <v>-90166.52</v>
          </cell>
          <cell r="N48">
            <v>-1.21605081796971</v>
          </cell>
          <cell r="O48">
            <v>48195</v>
          </cell>
          <cell r="P48">
            <v>0.64999258230272305</v>
          </cell>
          <cell r="Q48">
            <v>851195</v>
          </cell>
          <cell r="R48">
            <v>11.479830606767599</v>
          </cell>
          <cell r="S48">
            <v>899390</v>
          </cell>
          <cell r="T48">
            <v>12.1298231890704</v>
          </cell>
          <cell r="U48">
            <v>-2237.52000000002</v>
          </cell>
          <cell r="V48">
            <v>-3.01768109296408E-2</v>
          </cell>
          <cell r="W48">
            <v>44347</v>
          </cell>
        </row>
        <row r="49">
          <cell r="B49" t="str">
            <v>050D</v>
          </cell>
          <cell r="C49">
            <v>481955.5</v>
          </cell>
          <cell r="D49">
            <v>6.5</v>
          </cell>
          <cell r="E49" t="str">
            <v>Besar</v>
          </cell>
          <cell r="F49" t="str">
            <v>Sucker</v>
          </cell>
          <cell r="G49">
            <v>0</v>
          </cell>
          <cell r="H49">
            <v>0</v>
          </cell>
          <cell r="I49">
            <v>375181</v>
          </cell>
          <cell r="J49">
            <v>5.0599619674430496</v>
          </cell>
          <cell r="K49">
            <v>375181</v>
          </cell>
          <cell r="L49">
            <v>5.0599619674430496</v>
          </cell>
          <cell r="M49">
            <v>-106774.5</v>
          </cell>
          <cell r="N49">
            <v>-1.44003803255695</v>
          </cell>
          <cell r="O49">
            <v>0</v>
          </cell>
          <cell r="P49">
            <v>0</v>
          </cell>
          <cell r="Q49">
            <v>465637</v>
          </cell>
          <cell r="R49">
            <v>6.2799169217905</v>
          </cell>
          <cell r="S49">
            <v>465637</v>
          </cell>
          <cell r="T49">
            <v>6.2799169217905</v>
          </cell>
          <cell r="U49">
            <v>-16318.5</v>
          </cell>
          <cell r="V49">
            <v>-0.22008307820950301</v>
          </cell>
          <cell r="W49">
            <v>44370</v>
          </cell>
        </row>
        <row r="50">
          <cell r="B50" t="str">
            <v>062A1</v>
          </cell>
          <cell r="C50">
            <v>422637.9</v>
          </cell>
          <cell r="D50">
            <v>5.7</v>
          </cell>
          <cell r="E50" t="str">
            <v>Besar</v>
          </cell>
          <cell r="F50" t="str">
            <v>Sucker</v>
          </cell>
          <cell r="G50">
            <v>0</v>
          </cell>
          <cell r="H50">
            <v>0</v>
          </cell>
          <cell r="I50">
            <v>390012</v>
          </cell>
          <cell r="J50">
            <v>5.2599835461987698</v>
          </cell>
          <cell r="K50">
            <v>390012</v>
          </cell>
          <cell r="L50">
            <v>5.2599835461987698</v>
          </cell>
          <cell r="M50">
            <v>-32625.9</v>
          </cell>
          <cell r="N50">
            <v>-0.440016453801233</v>
          </cell>
          <cell r="O50">
            <v>0</v>
          </cell>
          <cell r="P50">
            <v>0</v>
          </cell>
          <cell r="Q50">
            <v>422638</v>
          </cell>
          <cell r="R50">
            <v>5.7000013486722301</v>
          </cell>
          <cell r="S50">
            <v>422638</v>
          </cell>
          <cell r="T50">
            <v>5.7000013486722301</v>
          </cell>
          <cell r="U50">
            <v>9.9999999976716894E-2</v>
          </cell>
          <cell r="V50">
            <v>1.34867223167134E-6</v>
          </cell>
          <cell r="W50">
            <v>44362</v>
          </cell>
        </row>
        <row r="51">
          <cell r="B51" t="str">
            <v>066T</v>
          </cell>
          <cell r="C51">
            <v>570931.9</v>
          </cell>
          <cell r="D51">
            <v>7.7</v>
          </cell>
          <cell r="E51" t="str">
            <v>Sedang</v>
          </cell>
          <cell r="F51" t="str">
            <v>Nursery</v>
          </cell>
          <cell r="G51">
            <v>0</v>
          </cell>
          <cell r="H51">
            <v>0</v>
          </cell>
          <cell r="I51">
            <v>502711</v>
          </cell>
          <cell r="J51">
            <v>6.7799236651516601</v>
          </cell>
          <cell r="K51">
            <v>502711</v>
          </cell>
          <cell r="L51">
            <v>6.7799236651516601</v>
          </cell>
          <cell r="M51">
            <v>-68220.899999999994</v>
          </cell>
          <cell r="N51">
            <v>-0.92007633484834195</v>
          </cell>
          <cell r="O51">
            <v>0</v>
          </cell>
          <cell r="P51">
            <v>0</v>
          </cell>
          <cell r="Q51">
            <v>567966</v>
          </cell>
          <cell r="R51">
            <v>7.6599997302655503</v>
          </cell>
          <cell r="S51">
            <v>567966</v>
          </cell>
          <cell r="T51">
            <v>7.6599997302655503</v>
          </cell>
          <cell r="U51">
            <v>-2965.9000000000201</v>
          </cell>
          <cell r="V51">
            <v>-4.0000269734446398E-2</v>
          </cell>
          <cell r="W51">
            <v>44358</v>
          </cell>
        </row>
        <row r="52">
          <cell r="B52" t="str">
            <v>072A</v>
          </cell>
          <cell r="C52">
            <v>802270.54</v>
          </cell>
          <cell r="D52">
            <v>10.82</v>
          </cell>
          <cell r="E52" t="str">
            <v>Kecil</v>
          </cell>
          <cell r="F52" t="str">
            <v>Crown</v>
          </cell>
          <cell r="G52">
            <v>0</v>
          </cell>
          <cell r="H52">
            <v>0</v>
          </cell>
          <cell r="I52">
            <v>38556</v>
          </cell>
          <cell r="J52">
            <v>0.519994065842178</v>
          </cell>
          <cell r="K52">
            <v>38556</v>
          </cell>
          <cell r="L52">
            <v>0.519994065842178</v>
          </cell>
          <cell r="M52">
            <v>-763714.54</v>
          </cell>
          <cell r="N52">
            <v>-10.300005934157801</v>
          </cell>
          <cell r="O52">
            <v>0</v>
          </cell>
          <cell r="P52">
            <v>0</v>
          </cell>
          <cell r="Q52">
            <v>174230</v>
          </cell>
          <cell r="R52">
            <v>2.34979163014013</v>
          </cell>
          <cell r="S52">
            <v>174230</v>
          </cell>
          <cell r="T52">
            <v>2.34979163014013</v>
          </cell>
          <cell r="U52">
            <v>-628040.54</v>
          </cell>
          <cell r="V52">
            <v>-8.4702083698598702</v>
          </cell>
          <cell r="W52">
            <v>44376</v>
          </cell>
        </row>
        <row r="53">
          <cell r="B53" t="str">
            <v>072H1</v>
          </cell>
          <cell r="C53">
            <v>780026.44</v>
          </cell>
          <cell r="D53">
            <v>10.52</v>
          </cell>
          <cell r="E53" t="str">
            <v>Kecil</v>
          </cell>
          <cell r="F53" t="str">
            <v>Crown</v>
          </cell>
          <cell r="G53">
            <v>0</v>
          </cell>
          <cell r="H53">
            <v>0</v>
          </cell>
          <cell r="I53">
            <v>679920</v>
          </cell>
          <cell r="J53">
            <v>9.1698922410886503</v>
          </cell>
          <cell r="K53">
            <v>679920</v>
          </cell>
          <cell r="L53">
            <v>9.1698922410886503</v>
          </cell>
          <cell r="M53">
            <v>-100106.44</v>
          </cell>
          <cell r="N53">
            <v>-1.3501077589113499</v>
          </cell>
          <cell r="O53">
            <v>0</v>
          </cell>
          <cell r="P53">
            <v>0</v>
          </cell>
          <cell r="Q53">
            <v>768118</v>
          </cell>
          <cell r="R53">
            <v>10.3593941764333</v>
          </cell>
          <cell r="S53">
            <v>768118</v>
          </cell>
          <cell r="T53">
            <v>10.3593941764333</v>
          </cell>
          <cell r="U53">
            <v>-11908.4399999999</v>
          </cell>
          <cell r="V53">
            <v>-0.160605823566698</v>
          </cell>
          <cell r="W53">
            <v>44362</v>
          </cell>
        </row>
        <row r="54">
          <cell r="B54" t="str">
            <v>073B</v>
          </cell>
          <cell r="C54">
            <v>654718.01</v>
          </cell>
          <cell r="D54">
            <v>8.83</v>
          </cell>
          <cell r="E54" t="str">
            <v>Besar</v>
          </cell>
          <cell r="F54" t="str">
            <v>Nursery</v>
          </cell>
          <cell r="G54">
            <v>0</v>
          </cell>
          <cell r="H54">
            <v>0</v>
          </cell>
          <cell r="I54">
            <v>453853</v>
          </cell>
          <cell r="J54">
            <v>6.1209893859495299</v>
          </cell>
          <cell r="K54">
            <v>453853</v>
          </cell>
          <cell r="L54">
            <v>6.1209893859495299</v>
          </cell>
          <cell r="M54">
            <v>-200865.01</v>
          </cell>
          <cell r="N54">
            <v>-2.7090106140504702</v>
          </cell>
          <cell r="O54">
            <v>0</v>
          </cell>
          <cell r="P54">
            <v>0</v>
          </cell>
          <cell r="Q54">
            <v>522713</v>
          </cell>
          <cell r="R54">
            <v>7.0496850850337802</v>
          </cell>
          <cell r="S54">
            <v>522713</v>
          </cell>
          <cell r="T54">
            <v>7.0496850850337802</v>
          </cell>
          <cell r="U54">
            <v>-132005.01</v>
          </cell>
          <cell r="V54">
            <v>-1.7803149149662201</v>
          </cell>
          <cell r="W54">
            <v>44365</v>
          </cell>
        </row>
        <row r="55">
          <cell r="B55" t="str">
            <v>073C</v>
          </cell>
          <cell r="C55">
            <v>486404.32</v>
          </cell>
          <cell r="D55">
            <v>6.56</v>
          </cell>
          <cell r="E55" t="str">
            <v>Kecil</v>
          </cell>
          <cell r="F55" t="str">
            <v>Crown</v>
          </cell>
          <cell r="G55">
            <v>0</v>
          </cell>
          <cell r="H55">
            <v>0</v>
          </cell>
          <cell r="I55">
            <v>484929</v>
          </cell>
          <cell r="J55">
            <v>6.5401027688240898</v>
          </cell>
          <cell r="K55">
            <v>484929</v>
          </cell>
          <cell r="L55">
            <v>6.5401027688240898</v>
          </cell>
          <cell r="M55">
            <v>-1475.3199999999499</v>
          </cell>
          <cell r="N55">
            <v>-1.9897231175907099E-2</v>
          </cell>
          <cell r="O55">
            <v>0</v>
          </cell>
          <cell r="P55">
            <v>0</v>
          </cell>
          <cell r="Q55">
            <v>486404</v>
          </cell>
          <cell r="R55">
            <v>6.55999568424886</v>
          </cell>
          <cell r="S55">
            <v>486404</v>
          </cell>
          <cell r="T55">
            <v>6.55999568424886</v>
          </cell>
          <cell r="U55">
            <v>-0.31999999994877698</v>
          </cell>
          <cell r="V55">
            <v>-4.31575114223648E-6</v>
          </cell>
          <cell r="W55">
            <v>44349</v>
          </cell>
        </row>
        <row r="56">
          <cell r="B56" t="str">
            <v>073E</v>
          </cell>
          <cell r="C56">
            <v>613937.16</v>
          </cell>
          <cell r="D56">
            <v>8.2799999999999994</v>
          </cell>
          <cell r="E56" t="str">
            <v>Kecil</v>
          </cell>
          <cell r="F56" t="str">
            <v>Crown</v>
          </cell>
          <cell r="G56">
            <v>0</v>
          </cell>
          <cell r="H56">
            <v>0</v>
          </cell>
          <cell r="I56">
            <v>604366</v>
          </cell>
          <cell r="J56">
            <v>8.1509164227817692</v>
          </cell>
          <cell r="K56">
            <v>604366</v>
          </cell>
          <cell r="L56">
            <v>8.1509164227817692</v>
          </cell>
          <cell r="M56">
            <v>-9571.1599999999198</v>
          </cell>
          <cell r="N56">
            <v>-0.129083577218228</v>
          </cell>
          <cell r="O56">
            <v>0</v>
          </cell>
          <cell r="P56">
            <v>0</v>
          </cell>
          <cell r="Q56">
            <v>613937</v>
          </cell>
          <cell r="R56">
            <v>8.2799978421244305</v>
          </cell>
          <cell r="S56">
            <v>613937</v>
          </cell>
          <cell r="T56">
            <v>8.2799978421244305</v>
          </cell>
          <cell r="U56">
            <v>-0.159999999916181</v>
          </cell>
          <cell r="V56">
            <v>-2.1578755706741499E-6</v>
          </cell>
          <cell r="W56">
            <v>44357</v>
          </cell>
        </row>
        <row r="57">
          <cell r="B57" t="str">
            <v>073F</v>
          </cell>
          <cell r="C57">
            <v>446364.94</v>
          </cell>
          <cell r="D57">
            <v>6.02</v>
          </cell>
          <cell r="E57" t="str">
            <v>Sedang</v>
          </cell>
          <cell r="F57" t="str">
            <v>Nursery</v>
          </cell>
          <cell r="G57">
            <v>0</v>
          </cell>
          <cell r="H57">
            <v>0</v>
          </cell>
          <cell r="I57">
            <v>405575</v>
          </cell>
          <cell r="J57">
            <v>5.4698774056940902</v>
          </cell>
          <cell r="K57">
            <v>405575</v>
          </cell>
          <cell r="L57">
            <v>5.4698774056940902</v>
          </cell>
          <cell r="M57">
            <v>-40789.9399999999</v>
          </cell>
          <cell r="N57">
            <v>-0.55012259430590604</v>
          </cell>
          <cell r="O57">
            <v>0</v>
          </cell>
          <cell r="P57">
            <v>0</v>
          </cell>
          <cell r="Q57">
            <v>438196</v>
          </cell>
          <cell r="R57">
            <v>5.90982777455595</v>
          </cell>
          <cell r="S57">
            <v>438196</v>
          </cell>
          <cell r="T57">
            <v>5.90982777455595</v>
          </cell>
          <cell r="U57">
            <v>-8168.9399999999396</v>
          </cell>
          <cell r="V57">
            <v>-0.11017222544405</v>
          </cell>
          <cell r="W57">
            <v>44365</v>
          </cell>
        </row>
        <row r="58">
          <cell r="B58" t="str">
            <v>078F</v>
          </cell>
          <cell r="C58">
            <v>705137.97</v>
          </cell>
          <cell r="D58">
            <v>9.51</v>
          </cell>
          <cell r="E58" t="str">
            <v>Besar</v>
          </cell>
          <cell r="F58" t="str">
            <v>Sucker</v>
          </cell>
          <cell r="G58">
            <v>0</v>
          </cell>
          <cell r="H58">
            <v>0</v>
          </cell>
          <cell r="I58">
            <v>617643</v>
          </cell>
          <cell r="J58">
            <v>8.3299796350492894</v>
          </cell>
          <cell r="K58">
            <v>617643</v>
          </cell>
          <cell r="L58">
            <v>8.3299796350492894</v>
          </cell>
          <cell r="M58">
            <v>-87494.97</v>
          </cell>
          <cell r="N58">
            <v>-1.1800203649507099</v>
          </cell>
          <cell r="O58">
            <v>0</v>
          </cell>
          <cell r="P58">
            <v>0</v>
          </cell>
          <cell r="Q58">
            <v>702115</v>
          </cell>
          <cell r="R58">
            <v>9.4692300430226393</v>
          </cell>
          <cell r="S58">
            <v>702115</v>
          </cell>
          <cell r="T58">
            <v>9.4692300430226393</v>
          </cell>
          <cell r="U58">
            <v>-3022.9699999999698</v>
          </cell>
          <cell r="V58">
            <v>-4.07699569773552E-2</v>
          </cell>
          <cell r="W58">
            <v>44368</v>
          </cell>
        </row>
        <row r="59">
          <cell r="B59" t="str">
            <v>084G</v>
          </cell>
          <cell r="C59">
            <v>457486.99</v>
          </cell>
          <cell r="D59">
            <v>6.17</v>
          </cell>
          <cell r="E59" t="str">
            <v>Besar</v>
          </cell>
          <cell r="F59" t="str">
            <v>Sucker</v>
          </cell>
          <cell r="G59">
            <v>0</v>
          </cell>
          <cell r="H59">
            <v>0</v>
          </cell>
          <cell r="I59">
            <v>222438</v>
          </cell>
          <cell r="J59">
            <v>2.9999595398330299</v>
          </cell>
          <cell r="K59">
            <v>222438</v>
          </cell>
          <cell r="L59">
            <v>2.9999595398330299</v>
          </cell>
          <cell r="M59">
            <v>-235048.99</v>
          </cell>
          <cell r="N59">
            <v>-3.1700404601669701</v>
          </cell>
          <cell r="O59">
            <v>0</v>
          </cell>
          <cell r="P59">
            <v>0</v>
          </cell>
          <cell r="Q59">
            <v>220209</v>
          </cell>
          <cell r="R59">
            <v>2.9698976357775799</v>
          </cell>
          <cell r="S59">
            <v>220209</v>
          </cell>
          <cell r="T59">
            <v>2.9698976357775799</v>
          </cell>
          <cell r="U59">
            <v>-237277.99</v>
          </cell>
          <cell r="V59">
            <v>-3.20010236422242</v>
          </cell>
          <cell r="W59">
            <v>44374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nas"/>
      <sheetName val="Format BT Nns Baru"/>
      <sheetName val="Pisang"/>
      <sheetName val="Singkong"/>
      <sheetName val="Singkong Rotasi"/>
      <sheetName val="Sum Selesai BT Nanas"/>
      <sheetName val="Sum Selesai BT Sgkng"/>
      <sheetName val="Status Baru"/>
      <sheetName val="% Bero"/>
      <sheetName val="Sheet2"/>
    </sheetNames>
    <sheetDataSet>
      <sheetData sheetId="0">
        <row r="672">
          <cell r="C672" t="str">
            <v>037D</v>
          </cell>
          <cell r="D672">
            <v>11.77</v>
          </cell>
          <cell r="E672">
            <v>9.1999999999999993</v>
          </cell>
        </row>
        <row r="673">
          <cell r="C673" t="str">
            <v>070A</v>
          </cell>
          <cell r="D673">
            <v>12</v>
          </cell>
          <cell r="E673">
            <v>9.5500000000000007</v>
          </cell>
        </row>
        <row r="674">
          <cell r="C674" t="str">
            <v>080C</v>
          </cell>
          <cell r="D674">
            <v>10.130000000000001</v>
          </cell>
          <cell r="E674">
            <v>8.0299999999999994</v>
          </cell>
        </row>
        <row r="675">
          <cell r="C675" t="str">
            <v>076B2</v>
          </cell>
          <cell r="D675">
            <v>10.4</v>
          </cell>
          <cell r="E675">
            <v>8.2100000000000009</v>
          </cell>
        </row>
        <row r="676">
          <cell r="C676" t="str">
            <v>076J</v>
          </cell>
          <cell r="D676">
            <v>10.199999999999999</v>
          </cell>
          <cell r="E676">
            <v>8.02</v>
          </cell>
        </row>
        <row r="677">
          <cell r="C677" t="str">
            <v>097H</v>
          </cell>
          <cell r="D677">
            <v>9.64</v>
          </cell>
          <cell r="E677">
            <v>7.64</v>
          </cell>
        </row>
        <row r="678">
          <cell r="C678" t="str">
            <v>079J</v>
          </cell>
          <cell r="D678">
            <v>6</v>
          </cell>
          <cell r="E678">
            <v>4.68</v>
          </cell>
        </row>
        <row r="679">
          <cell r="C679" t="str">
            <v>079I</v>
          </cell>
          <cell r="D679">
            <v>12.76</v>
          </cell>
          <cell r="E679">
            <v>10.039999999999999</v>
          </cell>
        </row>
        <row r="680">
          <cell r="C680" t="str">
            <v>023D</v>
          </cell>
          <cell r="D680">
            <v>5</v>
          </cell>
          <cell r="E680">
            <v>3.93</v>
          </cell>
        </row>
        <row r="681">
          <cell r="C681" t="str">
            <v>026H</v>
          </cell>
          <cell r="D681">
            <v>4.6500000000000004</v>
          </cell>
          <cell r="E681">
            <v>3.64</v>
          </cell>
        </row>
        <row r="682">
          <cell r="C682" t="str">
            <v>025C</v>
          </cell>
          <cell r="D682">
            <v>10</v>
          </cell>
          <cell r="E682">
            <v>7.87</v>
          </cell>
        </row>
        <row r="683">
          <cell r="C683" t="str">
            <v>083H</v>
          </cell>
          <cell r="D683">
            <v>12.22</v>
          </cell>
          <cell r="E683">
            <v>9.6999999999999993</v>
          </cell>
        </row>
        <row r="684">
          <cell r="C684" t="str">
            <v>008A</v>
          </cell>
          <cell r="D684">
            <v>8.4</v>
          </cell>
          <cell r="E684">
            <v>6.58</v>
          </cell>
        </row>
        <row r="685">
          <cell r="C685" t="str">
            <v>018A</v>
          </cell>
          <cell r="D685">
            <v>2.44</v>
          </cell>
          <cell r="E685">
            <v>1.91</v>
          </cell>
        </row>
        <row r="686">
          <cell r="E686">
            <v>99</v>
          </cell>
        </row>
        <row r="687">
          <cell r="C687" t="str">
            <v>048I</v>
          </cell>
          <cell r="D687">
            <v>8.5</v>
          </cell>
          <cell r="E687">
            <v>6.69</v>
          </cell>
        </row>
        <row r="688">
          <cell r="C688" t="str">
            <v>038D3</v>
          </cell>
          <cell r="D688">
            <v>8.3800000000000008</v>
          </cell>
          <cell r="E688">
            <v>6.71</v>
          </cell>
        </row>
        <row r="689">
          <cell r="C689" t="str">
            <v>038D4</v>
          </cell>
          <cell r="D689">
            <v>8.7200000000000006</v>
          </cell>
          <cell r="E689">
            <v>6.84</v>
          </cell>
        </row>
        <row r="690">
          <cell r="C690" t="str">
            <v>042F1</v>
          </cell>
          <cell r="D690">
            <v>11.85</v>
          </cell>
          <cell r="E690">
            <v>9.3699999999999992</v>
          </cell>
        </row>
        <row r="691">
          <cell r="C691" t="str">
            <v>017B1</v>
          </cell>
          <cell r="D691">
            <v>8.65</v>
          </cell>
          <cell r="E691">
            <v>6.78</v>
          </cell>
        </row>
        <row r="692">
          <cell r="C692" t="str">
            <v>017B2</v>
          </cell>
          <cell r="D692">
            <v>3.34</v>
          </cell>
          <cell r="E692">
            <v>2.64</v>
          </cell>
        </row>
        <row r="693">
          <cell r="C693" t="str">
            <v>023C</v>
          </cell>
          <cell r="D693">
            <v>9.76</v>
          </cell>
          <cell r="E693">
            <v>7.84</v>
          </cell>
        </row>
        <row r="694">
          <cell r="C694" t="str">
            <v>023B</v>
          </cell>
          <cell r="D694">
            <v>7.3</v>
          </cell>
          <cell r="E694">
            <v>5.8</v>
          </cell>
        </row>
        <row r="695">
          <cell r="C695" t="str">
            <v>029A2</v>
          </cell>
          <cell r="D695">
            <v>6</v>
          </cell>
          <cell r="E695">
            <v>4.7</v>
          </cell>
        </row>
        <row r="696">
          <cell r="C696" t="str">
            <v>029A3</v>
          </cell>
          <cell r="D696">
            <v>10</v>
          </cell>
          <cell r="E696">
            <v>7.82</v>
          </cell>
        </row>
        <row r="697">
          <cell r="C697" t="str">
            <v>013F</v>
          </cell>
          <cell r="D697">
            <v>9.26</v>
          </cell>
          <cell r="E697">
            <v>7.43</v>
          </cell>
        </row>
        <row r="698">
          <cell r="C698" t="str">
            <v>013C</v>
          </cell>
          <cell r="D698">
            <v>9.8000000000000007</v>
          </cell>
          <cell r="E698">
            <v>7.84</v>
          </cell>
        </row>
        <row r="699">
          <cell r="C699" t="str">
            <v>004E</v>
          </cell>
          <cell r="D699">
            <v>9.86</v>
          </cell>
          <cell r="E699">
            <v>7.7</v>
          </cell>
        </row>
        <row r="700">
          <cell r="C700" t="str">
            <v>004B</v>
          </cell>
          <cell r="D700">
            <v>7.96</v>
          </cell>
          <cell r="E700">
            <v>6.35</v>
          </cell>
        </row>
        <row r="701">
          <cell r="C701" t="str">
            <v>004D</v>
          </cell>
          <cell r="D701">
            <v>4.9000000000000004</v>
          </cell>
          <cell r="E701">
            <v>3.87</v>
          </cell>
        </row>
        <row r="702">
          <cell r="C702" t="str">
            <v>001B2</v>
          </cell>
          <cell r="D702">
            <v>3.5</v>
          </cell>
          <cell r="E702">
            <v>2.79</v>
          </cell>
        </row>
        <row r="703">
          <cell r="C703" t="str">
            <v>002CS</v>
          </cell>
          <cell r="D703">
            <v>0.5</v>
          </cell>
          <cell r="E703">
            <v>0.44</v>
          </cell>
        </row>
        <row r="704">
          <cell r="C704" t="str">
            <v>082J</v>
          </cell>
          <cell r="D704">
            <v>16.059999999999999</v>
          </cell>
          <cell r="E704">
            <v>12.67</v>
          </cell>
        </row>
        <row r="705">
          <cell r="C705" t="str">
            <v>057C</v>
          </cell>
          <cell r="D705">
            <v>5.0199999999999996</v>
          </cell>
          <cell r="E705">
            <v>3.93</v>
          </cell>
        </row>
        <row r="706">
          <cell r="C706" t="str">
            <v>048F</v>
          </cell>
          <cell r="D706">
            <v>11.65</v>
          </cell>
          <cell r="E706">
            <v>9.1</v>
          </cell>
        </row>
        <row r="707">
          <cell r="C707" t="str">
            <v>047F1</v>
          </cell>
          <cell r="D707">
            <v>13.34</v>
          </cell>
          <cell r="E707">
            <v>10.44</v>
          </cell>
        </row>
        <row r="708">
          <cell r="E708">
            <v>137.75</v>
          </cell>
        </row>
        <row r="709">
          <cell r="C709" t="str">
            <v>050B2B</v>
          </cell>
          <cell r="D709">
            <v>7.96</v>
          </cell>
          <cell r="E709">
            <v>6.22</v>
          </cell>
        </row>
        <row r="710">
          <cell r="C710" t="str">
            <v>072B1</v>
          </cell>
          <cell r="D710">
            <v>6.4</v>
          </cell>
          <cell r="E710">
            <v>5</v>
          </cell>
        </row>
        <row r="711">
          <cell r="C711" t="str">
            <v>072B2</v>
          </cell>
          <cell r="D711">
            <v>11.28</v>
          </cell>
          <cell r="E711">
            <v>8.8699999999999992</v>
          </cell>
        </row>
        <row r="712">
          <cell r="C712" t="str">
            <v>027A</v>
          </cell>
          <cell r="D712">
            <v>12.84</v>
          </cell>
          <cell r="E712">
            <v>10.1</v>
          </cell>
        </row>
        <row r="713">
          <cell r="C713" t="str">
            <v>069C6</v>
          </cell>
          <cell r="D713">
            <v>13.52</v>
          </cell>
          <cell r="E713">
            <v>10.58</v>
          </cell>
        </row>
        <row r="714">
          <cell r="C714" t="str">
            <v>014I1</v>
          </cell>
          <cell r="D714">
            <v>9.9600000000000009</v>
          </cell>
          <cell r="E714">
            <v>7.93</v>
          </cell>
        </row>
        <row r="715">
          <cell r="C715" t="str">
            <v>013B1</v>
          </cell>
          <cell r="D715">
            <v>6.38</v>
          </cell>
          <cell r="E715">
            <v>5</v>
          </cell>
        </row>
        <row r="716">
          <cell r="C716" t="str">
            <v>085E</v>
          </cell>
          <cell r="D716">
            <v>10.5</v>
          </cell>
          <cell r="E716">
            <v>8.19</v>
          </cell>
        </row>
        <row r="717">
          <cell r="C717" t="str">
            <v>014D</v>
          </cell>
          <cell r="D717">
            <v>9.86</v>
          </cell>
          <cell r="E717">
            <v>7.73</v>
          </cell>
        </row>
        <row r="718">
          <cell r="C718" t="str">
            <v>013B</v>
          </cell>
          <cell r="D718">
            <v>7.73</v>
          </cell>
          <cell r="E718">
            <v>5.82</v>
          </cell>
        </row>
        <row r="719">
          <cell r="C719" t="str">
            <v>048K</v>
          </cell>
          <cell r="D719">
            <v>7.7</v>
          </cell>
          <cell r="E719">
            <v>6.05</v>
          </cell>
        </row>
        <row r="720">
          <cell r="E720">
            <v>81.489999999999995</v>
          </cell>
        </row>
        <row r="721">
          <cell r="C721" t="str">
            <v>017J1</v>
          </cell>
          <cell r="D721">
            <v>12</v>
          </cell>
          <cell r="E721">
            <v>9.4499999999999993</v>
          </cell>
        </row>
        <row r="722">
          <cell r="C722" t="str">
            <v>093D</v>
          </cell>
          <cell r="D722">
            <v>13.8</v>
          </cell>
          <cell r="E722">
            <v>10.85</v>
          </cell>
        </row>
        <row r="723">
          <cell r="C723" t="str">
            <v>054B1</v>
          </cell>
          <cell r="D723">
            <v>9.16</v>
          </cell>
          <cell r="E723">
            <v>7.2</v>
          </cell>
        </row>
        <row r="724">
          <cell r="C724" t="str">
            <v>093G</v>
          </cell>
          <cell r="D724">
            <v>13.8</v>
          </cell>
          <cell r="E724">
            <v>10.83</v>
          </cell>
        </row>
        <row r="725">
          <cell r="C725" t="str">
            <v>089D1</v>
          </cell>
          <cell r="D725">
            <v>6.7</v>
          </cell>
          <cell r="E725">
            <v>5.34</v>
          </cell>
        </row>
        <row r="726">
          <cell r="C726" t="str">
            <v>018C</v>
          </cell>
          <cell r="D726">
            <v>8.1999999999999993</v>
          </cell>
          <cell r="E726">
            <v>6.48</v>
          </cell>
        </row>
        <row r="727">
          <cell r="C727" t="str">
            <v>013G2</v>
          </cell>
          <cell r="D727">
            <v>3.21</v>
          </cell>
          <cell r="E727">
            <v>2.52</v>
          </cell>
        </row>
        <row r="728">
          <cell r="C728" t="str">
            <v>009G1</v>
          </cell>
          <cell r="D728">
            <v>5.32</v>
          </cell>
          <cell r="E728">
            <v>4.16</v>
          </cell>
        </row>
        <row r="729">
          <cell r="C729" t="str">
            <v>044A2</v>
          </cell>
          <cell r="D729">
            <v>10.75</v>
          </cell>
          <cell r="E729">
            <v>8.57</v>
          </cell>
        </row>
        <row r="730">
          <cell r="C730" t="str">
            <v>044A3</v>
          </cell>
          <cell r="D730">
            <v>8.57</v>
          </cell>
          <cell r="E730">
            <v>6.77</v>
          </cell>
        </row>
        <row r="731">
          <cell r="C731" t="str">
            <v>001C</v>
          </cell>
          <cell r="D731">
            <v>8.56</v>
          </cell>
          <cell r="E731">
            <v>6.87</v>
          </cell>
        </row>
        <row r="732">
          <cell r="E732">
            <v>79.040000000000006</v>
          </cell>
        </row>
        <row r="733">
          <cell r="C733" t="str">
            <v>078A</v>
          </cell>
          <cell r="D733">
            <v>6.1</v>
          </cell>
          <cell r="E733">
            <v>4.8600000000000003</v>
          </cell>
        </row>
        <row r="734">
          <cell r="C734" t="str">
            <v>049F</v>
          </cell>
          <cell r="D734">
            <v>9.4</v>
          </cell>
          <cell r="E734">
            <v>7.43</v>
          </cell>
        </row>
        <row r="735">
          <cell r="C735" t="str">
            <v>049E</v>
          </cell>
          <cell r="D735">
            <v>10.050000000000001</v>
          </cell>
          <cell r="E735">
            <v>7.93</v>
          </cell>
        </row>
        <row r="736">
          <cell r="C736" t="str">
            <v>078B</v>
          </cell>
          <cell r="D736">
            <v>10.36</v>
          </cell>
          <cell r="E736">
            <v>8.1999999999999993</v>
          </cell>
        </row>
        <row r="737">
          <cell r="C737" t="str">
            <v>078E2</v>
          </cell>
          <cell r="D737">
            <v>15.1</v>
          </cell>
          <cell r="E737">
            <v>11.98</v>
          </cell>
        </row>
        <row r="738">
          <cell r="C738" t="str">
            <v>084C1</v>
          </cell>
          <cell r="D738">
            <v>10.74</v>
          </cell>
          <cell r="E738">
            <v>8.44</v>
          </cell>
        </row>
        <row r="739">
          <cell r="C739" t="str">
            <v>019E1</v>
          </cell>
          <cell r="D739">
            <v>10.68</v>
          </cell>
          <cell r="E739">
            <v>8.44</v>
          </cell>
        </row>
        <row r="740">
          <cell r="C740" t="str">
            <v>099K</v>
          </cell>
          <cell r="D740">
            <v>9.84</v>
          </cell>
          <cell r="E740">
            <v>7.76</v>
          </cell>
        </row>
        <row r="741">
          <cell r="C741" t="str">
            <v>099L</v>
          </cell>
          <cell r="D741">
            <v>7.8</v>
          </cell>
          <cell r="E741">
            <v>6.12</v>
          </cell>
        </row>
        <row r="742">
          <cell r="C742" t="str">
            <v>072D2</v>
          </cell>
          <cell r="D742">
            <v>8.6300000000000008</v>
          </cell>
          <cell r="E742">
            <v>6.89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Lokasi"/>
      <sheetName val="Prioritas"/>
      <sheetName val="Sts Ags'22"/>
    </sheetNames>
    <sheetDataSet>
      <sheetData sheetId="0"/>
      <sheetData sheetId="1">
        <row r="15">
          <cell r="K15" t="str">
            <v>010C2</v>
          </cell>
          <cell r="L15">
            <v>5.44</v>
          </cell>
          <cell r="M15">
            <v>45182</v>
          </cell>
          <cell r="N15">
            <v>45183</v>
          </cell>
          <cell r="O15">
            <v>45201</v>
          </cell>
          <cell r="P15">
            <v>45196</v>
          </cell>
        </row>
        <row r="16">
          <cell r="K16" t="str">
            <v>014B</v>
          </cell>
          <cell r="L16">
            <v>5.09</v>
          </cell>
          <cell r="M16">
            <v>45198</v>
          </cell>
          <cell r="N16">
            <v>45199</v>
          </cell>
          <cell r="O16">
            <v>45202</v>
          </cell>
          <cell r="P16">
            <v>45224</v>
          </cell>
        </row>
        <row r="17">
          <cell r="K17" t="str">
            <v>020B</v>
          </cell>
          <cell r="L17">
            <v>10.25</v>
          </cell>
          <cell r="M17">
            <v>45191</v>
          </cell>
          <cell r="N17">
            <v>45209</v>
          </cell>
          <cell r="O17">
            <v>45217</v>
          </cell>
          <cell r="P17">
            <v>45215</v>
          </cell>
        </row>
        <row r="18">
          <cell r="K18" t="str">
            <v>020C</v>
          </cell>
          <cell r="L18">
            <v>2.89</v>
          </cell>
          <cell r="M18">
            <v>45190</v>
          </cell>
          <cell r="N18">
            <v>45209</v>
          </cell>
          <cell r="O18">
            <v>45215</v>
          </cell>
          <cell r="P18">
            <v>45215</v>
          </cell>
        </row>
        <row r="19">
          <cell r="K19" t="str">
            <v>072D2</v>
          </cell>
          <cell r="L19">
            <v>7.67</v>
          </cell>
          <cell r="M19">
            <v>45167</v>
          </cell>
          <cell r="N19">
            <v>45168</v>
          </cell>
          <cell r="O19">
            <v>45176</v>
          </cell>
          <cell r="P19">
            <v>45181</v>
          </cell>
        </row>
        <row r="20">
          <cell r="K20" t="str">
            <v>075E</v>
          </cell>
          <cell r="L20">
            <v>7.56</v>
          </cell>
          <cell r="M20">
            <v>45205</v>
          </cell>
          <cell r="N20">
            <v>45206</v>
          </cell>
          <cell r="O20">
            <v>45216</v>
          </cell>
          <cell r="P20">
            <v>45234</v>
          </cell>
        </row>
        <row r="22">
          <cell r="K22" t="str">
            <v>078I</v>
          </cell>
          <cell r="L22">
            <v>4.88</v>
          </cell>
          <cell r="M22">
            <v>45188</v>
          </cell>
          <cell r="N22">
            <v>45189</v>
          </cell>
          <cell r="O22">
            <v>45204</v>
          </cell>
          <cell r="P22">
            <v>45206</v>
          </cell>
        </row>
        <row r="23">
          <cell r="K23" t="str">
            <v>028A</v>
          </cell>
          <cell r="L23">
            <v>3.87</v>
          </cell>
          <cell r="M23">
            <v>45189</v>
          </cell>
          <cell r="N23">
            <v>45207</v>
          </cell>
          <cell r="O23">
            <v>45208</v>
          </cell>
          <cell r="P23">
            <v>45234</v>
          </cell>
        </row>
        <row r="24">
          <cell r="K24" t="str">
            <v>028A1</v>
          </cell>
          <cell r="L24">
            <v>10.65</v>
          </cell>
          <cell r="M24">
            <v>45189</v>
          </cell>
          <cell r="N24">
            <v>45207</v>
          </cell>
          <cell r="O24">
            <v>45208</v>
          </cell>
          <cell r="P24">
            <v>45234</v>
          </cell>
        </row>
        <row r="25">
          <cell r="K25" t="str">
            <v>029F3</v>
          </cell>
          <cell r="L25">
            <v>7.41</v>
          </cell>
          <cell r="M25">
            <v>45215</v>
          </cell>
          <cell r="N25">
            <v>45218</v>
          </cell>
          <cell r="O25">
            <v>45229</v>
          </cell>
          <cell r="P25">
            <v>45234</v>
          </cell>
        </row>
        <row r="26">
          <cell r="K26" t="str">
            <v>029F4</v>
          </cell>
          <cell r="L26">
            <v>5.45</v>
          </cell>
          <cell r="M26">
            <v>45215</v>
          </cell>
          <cell r="N26">
            <v>45218</v>
          </cell>
          <cell r="O26">
            <v>45229</v>
          </cell>
          <cell r="P26">
            <v>45234</v>
          </cell>
        </row>
        <row r="27">
          <cell r="K27" t="str">
            <v>063E</v>
          </cell>
          <cell r="L27">
            <v>6.15</v>
          </cell>
          <cell r="M27">
            <v>45199</v>
          </cell>
          <cell r="N27">
            <v>45216</v>
          </cell>
          <cell r="O27">
            <v>45218</v>
          </cell>
          <cell r="P27">
            <v>45236</v>
          </cell>
        </row>
        <row r="28">
          <cell r="K28" t="str">
            <v>063G2</v>
          </cell>
          <cell r="L28">
            <v>7.54</v>
          </cell>
          <cell r="M28">
            <v>45199</v>
          </cell>
          <cell r="N28">
            <v>45216</v>
          </cell>
          <cell r="O28">
            <v>45219</v>
          </cell>
          <cell r="P28">
            <v>45236</v>
          </cell>
        </row>
        <row r="29">
          <cell r="K29" t="str">
            <v>063G3</v>
          </cell>
          <cell r="L29">
            <v>8.39</v>
          </cell>
          <cell r="M29">
            <v>45199</v>
          </cell>
          <cell r="N29">
            <v>45216</v>
          </cell>
          <cell r="O29">
            <v>45220</v>
          </cell>
          <cell r="P29">
            <v>45236</v>
          </cell>
        </row>
        <row r="30">
          <cell r="K30" t="str">
            <v>064B</v>
          </cell>
          <cell r="L30">
            <v>4.04</v>
          </cell>
          <cell r="M30">
            <v>45185</v>
          </cell>
          <cell r="N30">
            <v>45206</v>
          </cell>
          <cell r="O30">
            <v>45208</v>
          </cell>
          <cell r="P30">
            <v>45236</v>
          </cell>
        </row>
        <row r="31">
          <cell r="K31" t="str">
            <v>064C</v>
          </cell>
          <cell r="L31">
            <v>6.56</v>
          </cell>
          <cell r="M31">
            <v>45185</v>
          </cell>
          <cell r="N31">
            <v>45206</v>
          </cell>
          <cell r="O31">
            <v>45208</v>
          </cell>
          <cell r="P31">
            <v>45236</v>
          </cell>
        </row>
        <row r="32">
          <cell r="K32" t="str">
            <v>077A</v>
          </cell>
          <cell r="L32">
            <v>8.7799999999999994</v>
          </cell>
          <cell r="M32">
            <v>45219</v>
          </cell>
          <cell r="N32">
            <v>45220</v>
          </cell>
          <cell r="O32">
            <v>45241</v>
          </cell>
          <cell r="P32">
            <v>45234</v>
          </cell>
        </row>
        <row r="33">
          <cell r="K33" t="str">
            <v>048D</v>
          </cell>
          <cell r="L33">
            <v>9</v>
          </cell>
          <cell r="M33">
            <v>45216</v>
          </cell>
          <cell r="N33">
            <v>45227</v>
          </cell>
          <cell r="O33">
            <v>45228</v>
          </cell>
          <cell r="P33">
            <v>45234</v>
          </cell>
        </row>
        <row r="34">
          <cell r="K34" t="str">
            <v>070B3</v>
          </cell>
          <cell r="L34">
            <v>5.61</v>
          </cell>
          <cell r="M34">
            <v>45213</v>
          </cell>
          <cell r="N34">
            <v>45214</v>
          </cell>
          <cell r="O34">
            <v>45237</v>
          </cell>
          <cell r="P34">
            <v>45238</v>
          </cell>
        </row>
        <row r="35">
          <cell r="K35" t="str">
            <v>070B4</v>
          </cell>
          <cell r="L35">
            <v>3.64</v>
          </cell>
          <cell r="M35">
            <v>45213</v>
          </cell>
          <cell r="N35">
            <v>45214</v>
          </cell>
          <cell r="O35">
            <v>45237</v>
          </cell>
          <cell r="P35">
            <v>45238</v>
          </cell>
        </row>
        <row r="37">
          <cell r="K37" t="str">
            <v>017D1</v>
          </cell>
          <cell r="L37">
            <v>5.9</v>
          </cell>
          <cell r="M37">
            <v>45209</v>
          </cell>
          <cell r="N37">
            <v>45221</v>
          </cell>
          <cell r="O37">
            <v>45225</v>
          </cell>
        </row>
        <row r="38">
          <cell r="K38" t="str">
            <v>017D2</v>
          </cell>
          <cell r="L38">
            <v>7.68</v>
          </cell>
          <cell r="M38">
            <v>45209</v>
          </cell>
          <cell r="N38">
            <v>45221</v>
          </cell>
          <cell r="O38">
            <v>45226</v>
          </cell>
        </row>
        <row r="39">
          <cell r="K39" t="str">
            <v>019E2</v>
          </cell>
          <cell r="L39">
            <v>4.67</v>
          </cell>
          <cell r="M39">
            <v>45176</v>
          </cell>
          <cell r="N39">
            <v>45178</v>
          </cell>
          <cell r="O39">
            <v>45188</v>
          </cell>
        </row>
        <row r="40">
          <cell r="K40" t="str">
            <v>024B</v>
          </cell>
          <cell r="L40">
            <v>8.35</v>
          </cell>
          <cell r="M40">
            <v>45210</v>
          </cell>
          <cell r="N40">
            <v>45218</v>
          </cell>
          <cell r="O40">
            <v>45222</v>
          </cell>
        </row>
        <row r="41">
          <cell r="K41" t="str">
            <v>024C</v>
          </cell>
          <cell r="L41">
            <v>5.3</v>
          </cell>
          <cell r="M41">
            <v>45210</v>
          </cell>
          <cell r="N41">
            <v>45218</v>
          </cell>
          <cell r="O41">
            <v>45223</v>
          </cell>
        </row>
        <row r="42">
          <cell r="K42" t="str">
            <v>029C1</v>
          </cell>
          <cell r="L42">
            <v>4.66</v>
          </cell>
          <cell r="M42">
            <v>45224</v>
          </cell>
          <cell r="N42">
            <v>45225</v>
          </cell>
          <cell r="O42">
            <v>45233</v>
          </cell>
        </row>
        <row r="43">
          <cell r="K43" t="str">
            <v>029C2</v>
          </cell>
          <cell r="L43">
            <v>6.9</v>
          </cell>
          <cell r="M43">
            <v>45224</v>
          </cell>
          <cell r="N43">
            <v>45225</v>
          </cell>
          <cell r="O43">
            <v>45233</v>
          </cell>
        </row>
        <row r="44">
          <cell r="K44" t="str">
            <v>069B2</v>
          </cell>
          <cell r="L44">
            <v>9.93</v>
          </cell>
          <cell r="M44">
            <v>45174</v>
          </cell>
          <cell r="N44">
            <v>45196</v>
          </cell>
          <cell r="O44">
            <v>45206</v>
          </cell>
        </row>
        <row r="45">
          <cell r="K45" t="str">
            <v>070D</v>
          </cell>
          <cell r="L45">
            <v>5.77</v>
          </cell>
          <cell r="M45">
            <v>45212</v>
          </cell>
          <cell r="N45">
            <v>45213</v>
          </cell>
          <cell r="O45">
            <v>45235</v>
          </cell>
        </row>
        <row r="46">
          <cell r="K46" t="str">
            <v>070E4</v>
          </cell>
          <cell r="L46">
            <v>6.64</v>
          </cell>
          <cell r="M46">
            <v>45212</v>
          </cell>
          <cell r="N46">
            <v>45213</v>
          </cell>
          <cell r="O46">
            <v>45235</v>
          </cell>
        </row>
        <row r="47">
          <cell r="K47" t="str">
            <v>077B2</v>
          </cell>
          <cell r="L47">
            <v>9.6199999999999992</v>
          </cell>
          <cell r="M47">
            <v>45195</v>
          </cell>
          <cell r="N47">
            <v>45209</v>
          </cell>
          <cell r="O47">
            <v>45219</v>
          </cell>
        </row>
        <row r="48">
          <cell r="K48" t="str">
            <v>077D1</v>
          </cell>
          <cell r="L48">
            <v>6.87</v>
          </cell>
          <cell r="M48">
            <v>45196</v>
          </cell>
          <cell r="N48">
            <v>45209</v>
          </cell>
          <cell r="O48">
            <v>45221</v>
          </cell>
        </row>
        <row r="49">
          <cell r="K49" t="str">
            <v>077E</v>
          </cell>
          <cell r="L49">
            <v>7.68</v>
          </cell>
          <cell r="M49">
            <v>45196</v>
          </cell>
          <cell r="N49">
            <v>45209</v>
          </cell>
          <cell r="O49">
            <v>45223</v>
          </cell>
        </row>
        <row r="50">
          <cell r="K50" t="str">
            <v>078G</v>
          </cell>
          <cell r="L50">
            <v>10.52</v>
          </cell>
          <cell r="M50">
            <v>45202</v>
          </cell>
          <cell r="N50">
            <v>45216</v>
          </cell>
        </row>
        <row r="51">
          <cell r="K51" t="str">
            <v>080F</v>
          </cell>
          <cell r="L51">
            <v>5.52</v>
          </cell>
          <cell r="M51">
            <v>45198</v>
          </cell>
          <cell r="N51">
            <v>45199</v>
          </cell>
          <cell r="O51">
            <v>45208</v>
          </cell>
        </row>
        <row r="52">
          <cell r="K52" t="str">
            <v>080H</v>
          </cell>
          <cell r="L52">
            <v>8.9499999999999993</v>
          </cell>
          <cell r="M52">
            <v>45198</v>
          </cell>
          <cell r="N52">
            <v>45199</v>
          </cell>
          <cell r="O52">
            <v>45209</v>
          </cell>
        </row>
        <row r="53">
          <cell r="K53" t="str">
            <v>093C</v>
          </cell>
          <cell r="L53">
            <v>9.1300000000000008</v>
          </cell>
          <cell r="M53">
            <v>45203</v>
          </cell>
          <cell r="N53">
            <v>45220</v>
          </cell>
          <cell r="O53">
            <v>45227</v>
          </cell>
        </row>
        <row r="54">
          <cell r="K54" t="str">
            <v>061E1</v>
          </cell>
          <cell r="L54">
            <v>4.08</v>
          </cell>
          <cell r="M54">
            <v>45230</v>
          </cell>
          <cell r="N54">
            <v>45236</v>
          </cell>
          <cell r="O54">
            <v>45238</v>
          </cell>
        </row>
        <row r="55">
          <cell r="K55" t="str">
            <v>061E2</v>
          </cell>
          <cell r="L55">
            <v>5.72</v>
          </cell>
          <cell r="M55">
            <v>45230</v>
          </cell>
          <cell r="N55">
            <v>45236</v>
          </cell>
          <cell r="O55">
            <v>45239</v>
          </cell>
        </row>
        <row r="56">
          <cell r="K56" t="str">
            <v>061G</v>
          </cell>
          <cell r="L56">
            <v>5.33</v>
          </cell>
          <cell r="M56">
            <v>45230</v>
          </cell>
          <cell r="N56">
            <v>45236</v>
          </cell>
          <cell r="O56">
            <v>45238</v>
          </cell>
        </row>
        <row r="57">
          <cell r="K57" t="str">
            <v>038D1</v>
          </cell>
          <cell r="L57">
            <v>9.34</v>
          </cell>
          <cell r="M57">
            <v>45220</v>
          </cell>
          <cell r="N57">
            <v>45238</v>
          </cell>
          <cell r="O57">
            <v>45229</v>
          </cell>
        </row>
        <row r="58">
          <cell r="K58" t="str">
            <v>013D</v>
          </cell>
          <cell r="L58">
            <v>9.0399999999999991</v>
          </cell>
          <cell r="M58">
            <v>45236</v>
          </cell>
          <cell r="N58">
            <v>45238</v>
          </cell>
        </row>
      </sheetData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nas"/>
      <sheetName val="Pisang"/>
      <sheetName val="Format BT Nns Baru"/>
      <sheetName val="Pepaya"/>
      <sheetName val="Singkong"/>
      <sheetName val="Singkong Rotasi"/>
      <sheetName val="Sum Selesai BT Sgkng"/>
      <sheetName val="Status Baru"/>
      <sheetName val="Bero SN-Tnmn Eks"/>
      <sheetName val="Data Bero"/>
    </sheetNames>
    <sheetDataSet>
      <sheetData sheetId="0">
        <row r="826">
          <cell r="C826" t="str">
            <v>099G</v>
          </cell>
          <cell r="D826">
            <v>12.96</v>
          </cell>
          <cell r="E826">
            <v>10.26</v>
          </cell>
        </row>
        <row r="827">
          <cell r="C827" t="str">
            <v>099E</v>
          </cell>
          <cell r="D827">
            <v>7.14</v>
          </cell>
          <cell r="E827">
            <v>5.61</v>
          </cell>
        </row>
        <row r="828">
          <cell r="C828" t="str">
            <v>100A</v>
          </cell>
          <cell r="D828">
            <v>11.72</v>
          </cell>
          <cell r="E828">
            <v>9.2799999999999994</v>
          </cell>
        </row>
        <row r="829">
          <cell r="C829" t="str">
            <v>068A</v>
          </cell>
          <cell r="D829">
            <v>7.8</v>
          </cell>
          <cell r="E829">
            <v>6.25</v>
          </cell>
        </row>
        <row r="830">
          <cell r="C830" t="str">
            <v>030C1</v>
          </cell>
          <cell r="D830">
            <v>13.66</v>
          </cell>
          <cell r="E830">
            <v>10.8</v>
          </cell>
        </row>
        <row r="831">
          <cell r="C831" t="str">
            <v>003A</v>
          </cell>
          <cell r="D831">
            <v>6.77</v>
          </cell>
          <cell r="E831">
            <v>5.35</v>
          </cell>
        </row>
        <row r="832">
          <cell r="C832" t="str">
            <v>005A</v>
          </cell>
          <cell r="D832">
            <v>8.08</v>
          </cell>
          <cell r="E832">
            <v>6.48</v>
          </cell>
        </row>
        <row r="833">
          <cell r="C833" t="str">
            <v>005C</v>
          </cell>
          <cell r="D833">
            <v>8.6300000000000008</v>
          </cell>
          <cell r="E833">
            <v>6.86</v>
          </cell>
        </row>
        <row r="834">
          <cell r="C834" t="str">
            <v>005D</v>
          </cell>
          <cell r="D834">
            <v>7.31</v>
          </cell>
          <cell r="E834">
            <v>5.71</v>
          </cell>
        </row>
        <row r="835">
          <cell r="C835" t="str">
            <v>014C</v>
          </cell>
          <cell r="D835">
            <v>10.82</v>
          </cell>
          <cell r="E835">
            <v>8.75</v>
          </cell>
        </row>
        <row r="836">
          <cell r="C836" t="str">
            <v>027I</v>
          </cell>
          <cell r="D836">
            <v>5.68</v>
          </cell>
          <cell r="E836">
            <v>4.4800000000000004</v>
          </cell>
        </row>
        <row r="837">
          <cell r="C837" t="str">
            <v>010B</v>
          </cell>
          <cell r="D837">
            <v>4.32</v>
          </cell>
          <cell r="E837">
            <v>3.38</v>
          </cell>
        </row>
        <row r="838">
          <cell r="C838" t="str">
            <v>012B</v>
          </cell>
          <cell r="D838">
            <v>13.03</v>
          </cell>
          <cell r="E838">
            <v>10.34</v>
          </cell>
        </row>
        <row r="839">
          <cell r="C839" t="str">
            <v>027H</v>
          </cell>
          <cell r="D839">
            <v>10.28</v>
          </cell>
          <cell r="E839">
            <v>8.0399999999999991</v>
          </cell>
        </row>
        <row r="840">
          <cell r="E840">
            <v>101.59</v>
          </cell>
        </row>
        <row r="841">
          <cell r="C841" t="str">
            <v>066B</v>
          </cell>
          <cell r="D841">
            <v>7.92</v>
          </cell>
          <cell r="E841">
            <v>6.32</v>
          </cell>
        </row>
        <row r="842">
          <cell r="C842" t="str">
            <v>047I1</v>
          </cell>
          <cell r="D842">
            <v>9.1199999999999992</v>
          </cell>
          <cell r="E842">
            <v>7.2</v>
          </cell>
        </row>
        <row r="843">
          <cell r="C843" t="str">
            <v>047I2</v>
          </cell>
          <cell r="D843">
            <v>11.62</v>
          </cell>
          <cell r="E843">
            <v>9.3000000000000007</v>
          </cell>
        </row>
        <row r="844">
          <cell r="C844" t="str">
            <v>047J1</v>
          </cell>
          <cell r="D844">
            <v>13.2</v>
          </cell>
          <cell r="E844">
            <v>10.34</v>
          </cell>
        </row>
        <row r="845">
          <cell r="C845" t="str">
            <v>047K1</v>
          </cell>
          <cell r="D845">
            <v>6.52</v>
          </cell>
          <cell r="E845">
            <v>5.21</v>
          </cell>
        </row>
        <row r="846">
          <cell r="C846" t="str">
            <v>055F1</v>
          </cell>
          <cell r="D846">
            <v>13.7</v>
          </cell>
          <cell r="E846">
            <v>10.98</v>
          </cell>
        </row>
        <row r="847">
          <cell r="C847" t="str">
            <v>055E</v>
          </cell>
          <cell r="D847">
            <v>9.6999999999999993</v>
          </cell>
          <cell r="E847">
            <v>7.74</v>
          </cell>
        </row>
        <row r="848">
          <cell r="E848">
            <v>57.089999999999996</v>
          </cell>
        </row>
        <row r="849">
          <cell r="C849" t="str">
            <v>066G1</v>
          </cell>
          <cell r="D849">
            <v>7.53</v>
          </cell>
          <cell r="E849">
            <v>5.97</v>
          </cell>
        </row>
        <row r="850">
          <cell r="C850" t="str">
            <v>066Q2</v>
          </cell>
          <cell r="D850">
            <v>10.5</v>
          </cell>
          <cell r="E850">
            <v>8.2200000000000006</v>
          </cell>
        </row>
        <row r="851">
          <cell r="C851" t="str">
            <v>093E</v>
          </cell>
          <cell r="D851">
            <v>13.9</v>
          </cell>
          <cell r="E851">
            <v>11.08</v>
          </cell>
        </row>
        <row r="852">
          <cell r="C852" t="str">
            <v>030B1</v>
          </cell>
          <cell r="D852">
            <v>8.98</v>
          </cell>
          <cell r="E852">
            <v>7.04</v>
          </cell>
        </row>
        <row r="853">
          <cell r="C853" t="str">
            <v>030C</v>
          </cell>
          <cell r="D853">
            <v>8</v>
          </cell>
          <cell r="E853">
            <v>6.26</v>
          </cell>
        </row>
        <row r="854">
          <cell r="C854" t="str">
            <v>030B2</v>
          </cell>
          <cell r="D854">
            <v>8.02</v>
          </cell>
          <cell r="E854">
            <v>6.29</v>
          </cell>
        </row>
        <row r="855">
          <cell r="C855" t="str">
            <v>066G</v>
          </cell>
          <cell r="D855">
            <v>16.899999999999999</v>
          </cell>
          <cell r="E855">
            <v>13.55</v>
          </cell>
        </row>
        <row r="856">
          <cell r="C856" t="str">
            <v>066H1</v>
          </cell>
          <cell r="D856">
            <v>6.72</v>
          </cell>
          <cell r="E856">
            <v>5.33</v>
          </cell>
        </row>
        <row r="857">
          <cell r="C857" t="str">
            <v>062A3</v>
          </cell>
          <cell r="D857">
            <v>10.199999999999999</v>
          </cell>
          <cell r="E857">
            <v>8.1199999999999992</v>
          </cell>
        </row>
        <row r="858">
          <cell r="C858" t="str">
            <v>052B</v>
          </cell>
          <cell r="D858">
            <v>11.66</v>
          </cell>
          <cell r="E858">
            <v>9.65</v>
          </cell>
        </row>
        <row r="859">
          <cell r="C859" t="str">
            <v>003J</v>
          </cell>
          <cell r="D859">
            <v>6.06</v>
          </cell>
          <cell r="E859">
            <v>4.9800000000000004</v>
          </cell>
        </row>
        <row r="860">
          <cell r="C860" t="str">
            <v>004K</v>
          </cell>
          <cell r="D860">
            <v>12.3</v>
          </cell>
          <cell r="E860">
            <v>9.9700000000000006</v>
          </cell>
        </row>
        <row r="861">
          <cell r="C861" t="str">
            <v>075H</v>
          </cell>
          <cell r="D861">
            <v>9.9499999999999993</v>
          </cell>
          <cell r="E861">
            <v>7.92</v>
          </cell>
        </row>
        <row r="862">
          <cell r="C862" t="str">
            <v>061A3</v>
          </cell>
          <cell r="D862">
            <v>11.32</v>
          </cell>
          <cell r="E862">
            <v>9.41</v>
          </cell>
        </row>
        <row r="863">
          <cell r="C863" t="str">
            <v>061A2</v>
          </cell>
          <cell r="D863">
            <v>9.24</v>
          </cell>
          <cell r="E863">
            <v>7.73</v>
          </cell>
        </row>
        <row r="864">
          <cell r="E864">
            <v>121.52000000000001</v>
          </cell>
        </row>
        <row r="865">
          <cell r="C865" t="str">
            <v>062I</v>
          </cell>
          <cell r="D865">
            <v>16.600000000000001</v>
          </cell>
          <cell r="E865">
            <v>13.79</v>
          </cell>
        </row>
        <row r="866">
          <cell r="C866" t="str">
            <v>062A1</v>
          </cell>
          <cell r="D866">
            <v>6.55</v>
          </cell>
          <cell r="E866">
            <v>5.3</v>
          </cell>
        </row>
        <row r="867">
          <cell r="C867" t="str">
            <v>062M</v>
          </cell>
          <cell r="D867">
            <v>8.8699999999999992</v>
          </cell>
          <cell r="E867">
            <v>7.15</v>
          </cell>
        </row>
        <row r="868">
          <cell r="C868" t="str">
            <v>062E</v>
          </cell>
          <cell r="D868">
            <v>8.3800000000000008</v>
          </cell>
          <cell r="E868">
            <v>6.81</v>
          </cell>
        </row>
        <row r="869">
          <cell r="C869" t="str">
            <v>062D</v>
          </cell>
          <cell r="D869">
            <v>5.43</v>
          </cell>
          <cell r="E869">
            <v>4.42</v>
          </cell>
        </row>
        <row r="870">
          <cell r="E870">
            <v>37.470000000000006</v>
          </cell>
        </row>
        <row r="871">
          <cell r="C871" t="str">
            <v>069D1</v>
          </cell>
          <cell r="D871">
            <v>8.2200000000000006</v>
          </cell>
          <cell r="E871">
            <v>6.83</v>
          </cell>
        </row>
        <row r="872">
          <cell r="C872" t="str">
            <v>083J</v>
          </cell>
          <cell r="D872">
            <v>14.6</v>
          </cell>
          <cell r="E872">
            <v>11.93</v>
          </cell>
        </row>
        <row r="873">
          <cell r="C873" t="str">
            <v>053A</v>
          </cell>
          <cell r="D873">
            <v>5.24</v>
          </cell>
          <cell r="E873">
            <v>4.28</v>
          </cell>
        </row>
        <row r="874">
          <cell r="C874" t="str">
            <v>055H</v>
          </cell>
          <cell r="D874">
            <v>12.56</v>
          </cell>
          <cell r="E874">
            <v>10.31</v>
          </cell>
        </row>
        <row r="875">
          <cell r="C875" t="str">
            <v>066B2</v>
          </cell>
          <cell r="D875">
            <v>0.74</v>
          </cell>
          <cell r="E875">
            <v>0.6</v>
          </cell>
        </row>
        <row r="876">
          <cell r="C876" t="str">
            <v>025F</v>
          </cell>
          <cell r="D876">
            <v>10.119999999999999</v>
          </cell>
          <cell r="E876">
            <v>8.2200000000000006</v>
          </cell>
        </row>
        <row r="877">
          <cell r="C877" t="str">
            <v>072L</v>
          </cell>
          <cell r="D877">
            <v>12.56</v>
          </cell>
          <cell r="E877">
            <v>10.48</v>
          </cell>
        </row>
        <row r="878">
          <cell r="C878" t="str">
            <v>063B</v>
          </cell>
          <cell r="D878">
            <v>13.82</v>
          </cell>
          <cell r="E878">
            <v>11.08</v>
          </cell>
        </row>
        <row r="879">
          <cell r="C879" t="str">
            <v>069A2</v>
          </cell>
          <cell r="D879">
            <v>3.88</v>
          </cell>
          <cell r="E879">
            <v>3.23</v>
          </cell>
        </row>
        <row r="880">
          <cell r="C880" t="str">
            <v>046D</v>
          </cell>
          <cell r="D880">
            <v>6.77</v>
          </cell>
          <cell r="E880">
            <v>5.63</v>
          </cell>
        </row>
        <row r="881">
          <cell r="C881" t="str">
            <v>014A</v>
          </cell>
          <cell r="D881">
            <v>4.5199999999999996</v>
          </cell>
          <cell r="E881">
            <v>3.77</v>
          </cell>
        </row>
        <row r="882">
          <cell r="C882" t="str">
            <v>066N</v>
          </cell>
          <cell r="D882">
            <v>12.06</v>
          </cell>
          <cell r="E882">
            <v>10.02</v>
          </cell>
        </row>
        <row r="883">
          <cell r="C883" t="str">
            <v>020E</v>
          </cell>
          <cell r="D883">
            <v>6.6</v>
          </cell>
          <cell r="E883">
            <v>5.5</v>
          </cell>
        </row>
        <row r="884">
          <cell r="C884" t="str">
            <v>063A</v>
          </cell>
          <cell r="D884">
            <v>12.5</v>
          </cell>
          <cell r="E884">
            <v>10.39</v>
          </cell>
        </row>
        <row r="885">
          <cell r="C885" t="str">
            <v>074B</v>
          </cell>
          <cell r="D885">
            <v>5.2</v>
          </cell>
          <cell r="E885">
            <v>4.25</v>
          </cell>
        </row>
        <row r="886">
          <cell r="E886">
            <v>106.52</v>
          </cell>
        </row>
        <row r="887">
          <cell r="C887" t="str">
            <v>088C3</v>
          </cell>
          <cell r="D887">
            <v>10.14</v>
          </cell>
          <cell r="E887">
            <v>8.39</v>
          </cell>
        </row>
        <row r="888">
          <cell r="C888" t="str">
            <v>025E</v>
          </cell>
          <cell r="D888">
            <v>10.7</v>
          </cell>
          <cell r="E888">
            <v>8.75</v>
          </cell>
        </row>
        <row r="889">
          <cell r="C889" t="str">
            <v>062N</v>
          </cell>
          <cell r="D889">
            <v>5.23</v>
          </cell>
          <cell r="E889">
            <v>4.33</v>
          </cell>
        </row>
        <row r="890">
          <cell r="C890" t="str">
            <v>017H</v>
          </cell>
          <cell r="D890">
            <v>7.12</v>
          </cell>
          <cell r="E890">
            <v>5.84</v>
          </cell>
        </row>
        <row r="891">
          <cell r="C891" t="str">
            <v>017L</v>
          </cell>
          <cell r="D891">
            <v>9.25</v>
          </cell>
          <cell r="E891">
            <v>7.61</v>
          </cell>
        </row>
        <row r="892">
          <cell r="C892" t="str">
            <v>004I</v>
          </cell>
          <cell r="D892">
            <v>6.53</v>
          </cell>
          <cell r="E892">
            <v>5.32</v>
          </cell>
        </row>
        <row r="893">
          <cell r="C893" t="str">
            <v>004J2</v>
          </cell>
          <cell r="D893">
            <v>4.75</v>
          </cell>
          <cell r="E893">
            <v>3.87</v>
          </cell>
        </row>
        <row r="894">
          <cell r="C894" t="str">
            <v>029G</v>
          </cell>
          <cell r="D894">
            <v>4.9000000000000004</v>
          </cell>
          <cell r="E894">
            <v>4</v>
          </cell>
        </row>
        <row r="895">
          <cell r="C895" t="str">
            <v>067E</v>
          </cell>
          <cell r="D895">
            <v>10.42</v>
          </cell>
          <cell r="E895">
            <v>8.4499999999999993</v>
          </cell>
        </row>
        <row r="896">
          <cell r="C896" t="str">
            <v>067C</v>
          </cell>
          <cell r="D896">
            <v>7.7</v>
          </cell>
          <cell r="E896">
            <v>6.24</v>
          </cell>
        </row>
        <row r="897">
          <cell r="C897" t="str">
            <v>067D</v>
          </cell>
          <cell r="D897">
            <v>7.85</v>
          </cell>
          <cell r="E897">
            <v>6.36</v>
          </cell>
        </row>
        <row r="898">
          <cell r="C898" t="str">
            <v>067G</v>
          </cell>
          <cell r="D898">
            <v>2.41</v>
          </cell>
          <cell r="E898">
            <v>1.97</v>
          </cell>
        </row>
        <row r="899">
          <cell r="C899" t="str">
            <v>008F9</v>
          </cell>
          <cell r="D899">
            <v>11.08</v>
          </cell>
          <cell r="E899">
            <v>9.33</v>
          </cell>
        </row>
        <row r="900">
          <cell r="C900" t="str">
            <v>083F</v>
          </cell>
          <cell r="D900">
            <v>9.3000000000000007</v>
          </cell>
          <cell r="E900">
            <v>7.75</v>
          </cell>
        </row>
        <row r="901">
          <cell r="C901" t="str">
            <v>075B</v>
          </cell>
          <cell r="D901">
            <v>13.4</v>
          </cell>
          <cell r="E901">
            <v>11</v>
          </cell>
        </row>
        <row r="902">
          <cell r="C902" t="str">
            <v>073B</v>
          </cell>
          <cell r="D902">
            <v>11.36</v>
          </cell>
          <cell r="E902">
            <v>9.14</v>
          </cell>
        </row>
        <row r="903">
          <cell r="C903" t="str">
            <v>073E</v>
          </cell>
          <cell r="D903">
            <v>10.44</v>
          </cell>
          <cell r="E903">
            <v>8.51</v>
          </cell>
        </row>
        <row r="904">
          <cell r="C904" t="str">
            <v>073C</v>
          </cell>
          <cell r="D904">
            <v>8.17</v>
          </cell>
          <cell r="E904">
            <v>6.72</v>
          </cell>
        </row>
        <row r="905">
          <cell r="C905" t="str">
            <v>074D</v>
          </cell>
          <cell r="D905">
            <v>8</v>
          </cell>
          <cell r="E905">
            <v>6.39</v>
          </cell>
        </row>
        <row r="906">
          <cell r="C906" t="str">
            <v>075C</v>
          </cell>
          <cell r="D906">
            <v>12.23</v>
          </cell>
          <cell r="E906">
            <v>10</v>
          </cell>
        </row>
        <row r="907">
          <cell r="C907" t="str">
            <v>073F</v>
          </cell>
          <cell r="D907">
            <v>7.5</v>
          </cell>
          <cell r="E907">
            <v>6.17</v>
          </cell>
        </row>
        <row r="908">
          <cell r="C908" t="str">
            <v>016B</v>
          </cell>
          <cell r="D908">
            <v>13.88</v>
          </cell>
          <cell r="E908">
            <v>11.44</v>
          </cell>
        </row>
        <row r="909">
          <cell r="C909" t="str">
            <v>068B</v>
          </cell>
          <cell r="D909">
            <v>1.8</v>
          </cell>
          <cell r="E909">
            <v>1.45</v>
          </cell>
        </row>
        <row r="910">
          <cell r="C910" t="str">
            <v>068C</v>
          </cell>
          <cell r="D910">
            <v>9.6999999999999993</v>
          </cell>
          <cell r="E910">
            <v>7.78</v>
          </cell>
        </row>
        <row r="911">
          <cell r="E911">
            <v>166.80999999999997</v>
          </cell>
        </row>
        <row r="912">
          <cell r="C912" t="str">
            <v>085H1</v>
          </cell>
          <cell r="D912">
            <v>10.55</v>
          </cell>
          <cell r="E912">
            <v>8.6</v>
          </cell>
        </row>
        <row r="913">
          <cell r="C913" t="str">
            <v>099B1</v>
          </cell>
          <cell r="D913">
            <v>6.62</v>
          </cell>
          <cell r="E913">
            <v>5.56</v>
          </cell>
        </row>
        <row r="914">
          <cell r="C914" t="str">
            <v>020G</v>
          </cell>
          <cell r="D914">
            <v>7.62</v>
          </cell>
          <cell r="E914">
            <v>6.34</v>
          </cell>
        </row>
        <row r="915">
          <cell r="C915" t="str">
            <v>004C2</v>
          </cell>
          <cell r="D915">
            <v>7.44</v>
          </cell>
          <cell r="E915">
            <v>6.03</v>
          </cell>
        </row>
        <row r="916">
          <cell r="C916" t="str">
            <v>004C3</v>
          </cell>
          <cell r="D916">
            <v>7.82</v>
          </cell>
          <cell r="E916">
            <v>6.34</v>
          </cell>
        </row>
        <row r="917">
          <cell r="C917" t="str">
            <v>054H</v>
          </cell>
          <cell r="D917">
            <v>4.72</v>
          </cell>
          <cell r="E917">
            <v>3.99</v>
          </cell>
        </row>
        <row r="918">
          <cell r="C918" t="str">
            <v>054I</v>
          </cell>
          <cell r="D918">
            <v>6.36</v>
          </cell>
          <cell r="E918">
            <v>5.28</v>
          </cell>
        </row>
        <row r="919">
          <cell r="C919" t="str">
            <v>048C</v>
          </cell>
          <cell r="D919">
            <v>7.94</v>
          </cell>
          <cell r="E919">
            <v>6.63</v>
          </cell>
        </row>
        <row r="920">
          <cell r="C920" t="str">
            <v>088A</v>
          </cell>
          <cell r="D920">
            <v>11.55</v>
          </cell>
          <cell r="E920">
            <v>9.64</v>
          </cell>
        </row>
        <row r="921">
          <cell r="C921" t="str">
            <v>020K</v>
          </cell>
          <cell r="D921">
            <v>8.8000000000000007</v>
          </cell>
          <cell r="E921">
            <v>7.22</v>
          </cell>
        </row>
        <row r="922">
          <cell r="C922" t="str">
            <v>005F2</v>
          </cell>
          <cell r="D922">
            <v>5.96</v>
          </cell>
          <cell r="E922">
            <v>4.84</v>
          </cell>
        </row>
        <row r="923">
          <cell r="C923" t="str">
            <v>018F</v>
          </cell>
          <cell r="D923">
            <v>14.7</v>
          </cell>
          <cell r="E923">
            <v>12</v>
          </cell>
        </row>
        <row r="924">
          <cell r="C924" t="str">
            <v>072H1</v>
          </cell>
          <cell r="D924">
            <v>13.42</v>
          </cell>
          <cell r="E924">
            <v>10.8</v>
          </cell>
        </row>
        <row r="925">
          <cell r="C925" t="str">
            <v>079C</v>
          </cell>
          <cell r="D925">
            <v>6.6</v>
          </cell>
          <cell r="E925">
            <v>5.26</v>
          </cell>
        </row>
        <row r="926">
          <cell r="C926" t="str">
            <v>078F</v>
          </cell>
          <cell r="D926">
            <v>12</v>
          </cell>
          <cell r="E926">
            <v>9.51</v>
          </cell>
        </row>
        <row r="927">
          <cell r="C927" t="str">
            <v>066T</v>
          </cell>
          <cell r="D927">
            <v>9.4499999999999993</v>
          </cell>
          <cell r="E927">
            <v>7.95</v>
          </cell>
        </row>
        <row r="928">
          <cell r="C928" t="str">
            <v>072A</v>
          </cell>
          <cell r="D928">
            <v>14.3</v>
          </cell>
          <cell r="E928">
            <v>11.32</v>
          </cell>
        </row>
        <row r="929">
          <cell r="C929" t="str">
            <v>051C</v>
          </cell>
          <cell r="D929">
            <v>11.94</v>
          </cell>
          <cell r="E929">
            <v>9.61</v>
          </cell>
        </row>
        <row r="930">
          <cell r="C930" t="str">
            <v>026B</v>
          </cell>
          <cell r="D930">
            <v>10.41</v>
          </cell>
          <cell r="E930">
            <v>8.18</v>
          </cell>
        </row>
        <row r="931">
          <cell r="C931" t="str">
            <v>026A</v>
          </cell>
          <cell r="D931">
            <v>6.89</v>
          </cell>
          <cell r="E931">
            <v>5.5</v>
          </cell>
        </row>
        <row r="932">
          <cell r="C932" t="str">
            <v>073D1</v>
          </cell>
          <cell r="D932">
            <v>16.34</v>
          </cell>
          <cell r="E932">
            <v>12.82</v>
          </cell>
        </row>
        <row r="933">
          <cell r="C933" t="str">
            <v>073L</v>
          </cell>
          <cell r="D933">
            <v>14.82</v>
          </cell>
          <cell r="E933">
            <v>11.91</v>
          </cell>
        </row>
        <row r="934">
          <cell r="C934" t="str">
            <v>074G</v>
          </cell>
          <cell r="D934">
            <v>8.26</v>
          </cell>
          <cell r="E934">
            <v>6.5</v>
          </cell>
        </row>
        <row r="935">
          <cell r="E935">
            <v>181.83</v>
          </cell>
        </row>
        <row r="936">
          <cell r="C936" t="str">
            <v>074E</v>
          </cell>
          <cell r="D936">
            <v>9.0500000000000007</v>
          </cell>
          <cell r="E936">
            <v>7.1</v>
          </cell>
        </row>
        <row r="937">
          <cell r="C937" t="str">
            <v>074H1</v>
          </cell>
          <cell r="D937">
            <v>8.4600000000000009</v>
          </cell>
          <cell r="E937">
            <v>6.63</v>
          </cell>
        </row>
        <row r="938">
          <cell r="D938">
            <v>17.510000000000002</v>
          </cell>
          <cell r="E938">
            <v>13.73</v>
          </cell>
        </row>
        <row r="939">
          <cell r="C939" t="str">
            <v>055F</v>
          </cell>
          <cell r="D939">
            <v>15.46</v>
          </cell>
          <cell r="E939">
            <v>12.28</v>
          </cell>
        </row>
        <row r="940">
          <cell r="C940" t="str">
            <v>048A</v>
          </cell>
          <cell r="D940">
            <v>8.35</v>
          </cell>
          <cell r="E940">
            <v>6.6</v>
          </cell>
        </row>
        <row r="941">
          <cell r="C941" t="str">
            <v>074C</v>
          </cell>
          <cell r="D941">
            <v>10.88</v>
          </cell>
          <cell r="E941">
            <v>8.6999999999999993</v>
          </cell>
        </row>
        <row r="942">
          <cell r="C942" t="str">
            <v>074F</v>
          </cell>
          <cell r="D942">
            <v>8.93</v>
          </cell>
          <cell r="E942">
            <v>7.05</v>
          </cell>
        </row>
        <row r="943">
          <cell r="C943" t="str">
            <v>093B</v>
          </cell>
          <cell r="D943">
            <v>8.52</v>
          </cell>
          <cell r="E943">
            <v>6.81</v>
          </cell>
        </row>
        <row r="944">
          <cell r="C944" t="str">
            <v>099A</v>
          </cell>
          <cell r="D944">
            <v>11.45</v>
          </cell>
          <cell r="E944">
            <v>9.09</v>
          </cell>
        </row>
        <row r="945">
          <cell r="C945" t="str">
            <v>Total</v>
          </cell>
          <cell r="D945">
            <v>63.59</v>
          </cell>
          <cell r="E945">
            <v>50.53</v>
          </cell>
        </row>
        <row r="946">
          <cell r="C946" t="str">
            <v>062G1</v>
          </cell>
          <cell r="D946">
            <v>6.14</v>
          </cell>
          <cell r="E946">
            <v>4.9800000000000004</v>
          </cell>
        </row>
        <row r="947">
          <cell r="C947" t="str">
            <v>062G3</v>
          </cell>
          <cell r="D947">
            <v>6.12</v>
          </cell>
          <cell r="E947">
            <v>4.95</v>
          </cell>
        </row>
        <row r="948">
          <cell r="C948" t="str">
            <v>062G4</v>
          </cell>
          <cell r="D948">
            <v>5.74</v>
          </cell>
          <cell r="E948">
            <v>4.53</v>
          </cell>
        </row>
        <row r="949">
          <cell r="C949" t="str">
            <v>057D</v>
          </cell>
          <cell r="D949">
            <v>7.66</v>
          </cell>
          <cell r="E949">
            <v>6.13</v>
          </cell>
        </row>
        <row r="950">
          <cell r="C950" t="str">
            <v>Total</v>
          </cell>
          <cell r="D950">
            <v>25.66</v>
          </cell>
          <cell r="E950">
            <v>20.59</v>
          </cell>
        </row>
        <row r="951">
          <cell r="C951" t="str">
            <v>037C2</v>
          </cell>
          <cell r="D951">
            <v>5.03</v>
          </cell>
          <cell r="E951">
            <v>3.95</v>
          </cell>
        </row>
        <row r="952">
          <cell r="C952" t="str">
            <v>059C</v>
          </cell>
          <cell r="D952">
            <v>8.9700000000000006</v>
          </cell>
          <cell r="E952">
            <v>7.03</v>
          </cell>
        </row>
        <row r="953">
          <cell r="C953" t="str">
            <v>Total</v>
          </cell>
          <cell r="D953">
            <v>14</v>
          </cell>
          <cell r="E953">
            <v>10.98</v>
          </cell>
        </row>
        <row r="954">
          <cell r="C954" t="str">
            <v>024I</v>
          </cell>
          <cell r="D954">
            <v>12.2</v>
          </cell>
          <cell r="E954">
            <v>9.68</v>
          </cell>
        </row>
        <row r="955">
          <cell r="C955" t="str">
            <v>032A</v>
          </cell>
          <cell r="D955">
            <v>11.52</v>
          </cell>
          <cell r="E955">
            <v>9.2100000000000009</v>
          </cell>
        </row>
        <row r="956">
          <cell r="C956" t="str">
            <v>074A</v>
          </cell>
          <cell r="D956">
            <v>9.3000000000000007</v>
          </cell>
          <cell r="E956">
            <v>7.48</v>
          </cell>
        </row>
        <row r="957">
          <cell r="C957" t="str">
            <v>Total</v>
          </cell>
          <cell r="D957">
            <v>33.019999999999996</v>
          </cell>
          <cell r="E957">
            <v>26.37</v>
          </cell>
        </row>
        <row r="958">
          <cell r="C958" t="str">
            <v>Total</v>
          </cell>
        </row>
        <row r="959">
          <cell r="C959" t="str">
            <v>085H</v>
          </cell>
          <cell r="D959">
            <v>15.5</v>
          </cell>
          <cell r="E959">
            <v>12.31</v>
          </cell>
        </row>
        <row r="960">
          <cell r="C960" t="str">
            <v>085A</v>
          </cell>
          <cell r="D960">
            <v>9.76</v>
          </cell>
          <cell r="E960">
            <v>7.75</v>
          </cell>
        </row>
        <row r="961">
          <cell r="C961" t="str">
            <v>066P</v>
          </cell>
          <cell r="D961">
            <v>5.17</v>
          </cell>
          <cell r="E961">
            <v>4.3600000000000003</v>
          </cell>
        </row>
        <row r="962">
          <cell r="C962" t="str">
            <v>073A1</v>
          </cell>
          <cell r="D962">
            <v>8.2200000000000006</v>
          </cell>
          <cell r="E962">
            <v>6.42</v>
          </cell>
        </row>
        <row r="963">
          <cell r="C963" t="str">
            <v>039C</v>
          </cell>
          <cell r="D963">
            <v>18.62</v>
          </cell>
          <cell r="E963">
            <v>14.38</v>
          </cell>
        </row>
        <row r="964">
          <cell r="C964" t="str">
            <v>Total</v>
          </cell>
          <cell r="D964">
            <v>57.269999999999996</v>
          </cell>
          <cell r="E964">
            <v>45.220000000000006</v>
          </cell>
        </row>
        <row r="965">
          <cell r="C965" t="str">
            <v>Total</v>
          </cell>
        </row>
        <row r="966">
          <cell r="C966" t="str">
            <v>Total</v>
          </cell>
        </row>
        <row r="967">
          <cell r="C967" t="str">
            <v>066F</v>
          </cell>
          <cell r="D967">
            <v>9.35</v>
          </cell>
          <cell r="E967">
            <v>8.07</v>
          </cell>
        </row>
        <row r="968">
          <cell r="C968" t="str">
            <v>Total</v>
          </cell>
          <cell r="D968">
            <v>9.35</v>
          </cell>
          <cell r="E968">
            <v>8.07</v>
          </cell>
        </row>
        <row r="969">
          <cell r="C969" t="str">
            <v>076D</v>
          </cell>
          <cell r="D969">
            <v>7.13</v>
          </cell>
          <cell r="E969">
            <v>5.73</v>
          </cell>
        </row>
        <row r="970">
          <cell r="C970" t="str">
            <v>077C</v>
          </cell>
          <cell r="D970">
            <v>14.32</v>
          </cell>
          <cell r="E970">
            <v>11.04</v>
          </cell>
        </row>
        <row r="971">
          <cell r="C971" t="str">
            <v>077C1</v>
          </cell>
          <cell r="D971">
            <v>8.8000000000000007</v>
          </cell>
          <cell r="E971">
            <v>6.8</v>
          </cell>
        </row>
        <row r="972">
          <cell r="C972" t="str">
            <v>071A</v>
          </cell>
          <cell r="D972">
            <v>14.62</v>
          </cell>
          <cell r="E972">
            <v>11.27</v>
          </cell>
        </row>
        <row r="973">
          <cell r="C973" t="str">
            <v>072G</v>
          </cell>
          <cell r="D973">
            <v>7.92</v>
          </cell>
          <cell r="E973">
            <v>6.05</v>
          </cell>
        </row>
        <row r="974">
          <cell r="C974" t="str">
            <v>079B</v>
          </cell>
          <cell r="D974">
            <v>4.22</v>
          </cell>
          <cell r="E974">
            <v>3.31</v>
          </cell>
        </row>
        <row r="975">
          <cell r="C975" t="str">
            <v>099B</v>
          </cell>
          <cell r="D975">
            <v>8.7200000000000006</v>
          </cell>
          <cell r="E975">
            <v>6.93</v>
          </cell>
        </row>
        <row r="976">
          <cell r="C976" t="str">
            <v>088C2</v>
          </cell>
          <cell r="D976">
            <v>12.02</v>
          </cell>
          <cell r="E976">
            <v>9.4600000000000009</v>
          </cell>
        </row>
        <row r="977">
          <cell r="C977" t="str">
            <v>016A</v>
          </cell>
          <cell r="D977">
            <v>4.5</v>
          </cell>
          <cell r="E977">
            <v>3.59</v>
          </cell>
        </row>
        <row r="978">
          <cell r="C978" t="str">
            <v>026D</v>
          </cell>
          <cell r="D978">
            <v>11.8</v>
          </cell>
          <cell r="E978">
            <v>9.3000000000000007</v>
          </cell>
        </row>
        <row r="979">
          <cell r="C979" t="str">
            <v>097D1</v>
          </cell>
          <cell r="D979">
            <v>6.95</v>
          </cell>
          <cell r="E979">
            <v>5.5</v>
          </cell>
        </row>
        <row r="980">
          <cell r="C980" t="str">
            <v>097D2</v>
          </cell>
          <cell r="D980">
            <v>4.82</v>
          </cell>
          <cell r="E980">
            <v>3.69</v>
          </cell>
        </row>
        <row r="981">
          <cell r="C981" t="str">
            <v>083C</v>
          </cell>
          <cell r="D981">
            <v>11</v>
          </cell>
          <cell r="E981">
            <v>8.73</v>
          </cell>
        </row>
        <row r="982">
          <cell r="C982" t="str">
            <v>090E</v>
          </cell>
          <cell r="D982">
            <v>14.2</v>
          </cell>
          <cell r="E982">
            <v>11.24</v>
          </cell>
        </row>
        <row r="983">
          <cell r="C983" t="str">
            <v>095B</v>
          </cell>
          <cell r="D983">
            <v>8.66</v>
          </cell>
          <cell r="E983">
            <v>6.6</v>
          </cell>
        </row>
        <row r="984">
          <cell r="C984" t="str">
            <v>032E</v>
          </cell>
          <cell r="D984">
            <v>16.53</v>
          </cell>
          <cell r="E984">
            <v>13.18</v>
          </cell>
        </row>
        <row r="985">
          <cell r="C985" t="str">
            <v>066D</v>
          </cell>
          <cell r="D985">
            <v>10.93</v>
          </cell>
          <cell r="E985">
            <v>9.4</v>
          </cell>
        </row>
        <row r="986">
          <cell r="C986" t="str">
            <v>076E</v>
          </cell>
          <cell r="D986">
            <v>15.08</v>
          </cell>
          <cell r="E986">
            <v>11.77</v>
          </cell>
        </row>
        <row r="987">
          <cell r="C987" t="str">
            <v>060C</v>
          </cell>
          <cell r="D987">
            <v>13.27</v>
          </cell>
          <cell r="E987">
            <v>10.14</v>
          </cell>
        </row>
        <row r="988">
          <cell r="C988" t="str">
            <v>037E</v>
          </cell>
          <cell r="D988">
            <v>13.3</v>
          </cell>
          <cell r="E988">
            <v>10.52</v>
          </cell>
        </row>
        <row r="989">
          <cell r="C989" t="str">
            <v>006F</v>
          </cell>
          <cell r="D989">
            <v>10.039999999999999</v>
          </cell>
          <cell r="E989">
            <v>8.1199999999999992</v>
          </cell>
        </row>
        <row r="990">
          <cell r="C990" t="str">
            <v>006G</v>
          </cell>
          <cell r="D990">
            <v>9.66</v>
          </cell>
          <cell r="E990">
            <v>7.7</v>
          </cell>
        </row>
        <row r="991">
          <cell r="C991" t="str">
            <v>006D</v>
          </cell>
          <cell r="D991">
            <v>5.43</v>
          </cell>
          <cell r="E991">
            <v>4.28</v>
          </cell>
        </row>
        <row r="992">
          <cell r="C992" t="str">
            <v>076E1</v>
          </cell>
          <cell r="D992">
            <v>13</v>
          </cell>
          <cell r="E992">
            <v>9.98</v>
          </cell>
        </row>
        <row r="993">
          <cell r="C993" t="str">
            <v>076E2</v>
          </cell>
          <cell r="D993">
            <v>4.95</v>
          </cell>
          <cell r="E993">
            <v>3.92</v>
          </cell>
        </row>
        <row r="994">
          <cell r="C994" t="str">
            <v>Total</v>
          </cell>
          <cell r="D994">
            <v>251.87</v>
          </cell>
          <cell r="E994">
            <v>198.25</v>
          </cell>
        </row>
        <row r="995">
          <cell r="C995" t="str">
            <v>006A</v>
          </cell>
          <cell r="D995">
            <v>11.6</v>
          </cell>
          <cell r="E995">
            <v>9.3000000000000007</v>
          </cell>
        </row>
        <row r="996">
          <cell r="C996" t="str">
            <v>005G</v>
          </cell>
          <cell r="D996">
            <v>5.14</v>
          </cell>
          <cell r="E996">
            <v>3.99</v>
          </cell>
        </row>
        <row r="997">
          <cell r="C997" t="str">
            <v>050B2A</v>
          </cell>
          <cell r="D997">
            <v>11.04</v>
          </cell>
          <cell r="E997">
            <v>8.8800000000000008</v>
          </cell>
        </row>
        <row r="998">
          <cell r="C998" t="str">
            <v>Total</v>
          </cell>
          <cell r="D998">
            <v>27.779999999999998</v>
          </cell>
          <cell r="E998">
            <v>22.17</v>
          </cell>
        </row>
        <row r="999">
          <cell r="C999" t="str">
            <v>Total</v>
          </cell>
        </row>
        <row r="1000">
          <cell r="C1000" t="str">
            <v>019A</v>
          </cell>
          <cell r="D1000">
            <v>5.28</v>
          </cell>
          <cell r="E1000">
            <v>3.92</v>
          </cell>
        </row>
        <row r="1001">
          <cell r="C1001" t="str">
            <v>Total</v>
          </cell>
          <cell r="D1001">
            <v>5.28</v>
          </cell>
          <cell r="E1001">
            <v>3.92</v>
          </cell>
        </row>
        <row r="1002">
          <cell r="C1002" t="str">
            <v>088B</v>
          </cell>
          <cell r="D1002">
            <v>8.2799999999999994</v>
          </cell>
          <cell r="E1002">
            <v>6.41</v>
          </cell>
        </row>
        <row r="1003">
          <cell r="C1003" t="str">
            <v>Total</v>
          </cell>
          <cell r="D1003">
            <v>8.2799999999999994</v>
          </cell>
          <cell r="E1003">
            <v>6.41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Real"/>
      <sheetName val="selesai tanam"/>
      <sheetName val="Status"/>
      <sheetName val="Sheet6"/>
      <sheetName val="Sheet1"/>
      <sheetName val="Sheet3"/>
      <sheetName val="Sheet4"/>
      <sheetName val="Sheet5"/>
      <sheetName val="Sheet2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 refreshError="1"/>
      <sheetData sheetId="1">
        <row r="11">
          <cell r="B11" t="str">
            <v>018F1</v>
          </cell>
          <cell r="C11">
            <v>402618.20999999996</v>
          </cell>
          <cell r="D11">
            <v>5.43</v>
          </cell>
          <cell r="E11" t="str">
            <v>Besar</v>
          </cell>
          <cell r="F11" t="str">
            <v>Sucker</v>
          </cell>
          <cell r="G11" t="str">
            <v>GP3</v>
          </cell>
          <cell r="H11">
            <v>244685.09999999998</v>
          </cell>
          <cell r="I11">
            <v>3.3</v>
          </cell>
          <cell r="J11">
            <v>157933.10999999999</v>
          </cell>
          <cell r="K11">
            <v>2.13</v>
          </cell>
          <cell r="L11">
            <v>402618.20999999996</v>
          </cell>
          <cell r="M11">
            <v>5.43</v>
          </cell>
          <cell r="N11">
            <v>0</v>
          </cell>
          <cell r="O11">
            <v>0</v>
          </cell>
          <cell r="P11">
            <v>244685.09999999998</v>
          </cell>
          <cell r="Q11">
            <v>3.3</v>
          </cell>
          <cell r="R11">
            <v>157933.10999999999</v>
          </cell>
          <cell r="S11">
            <v>2.13</v>
          </cell>
          <cell r="T11">
            <v>402618.20999999996</v>
          </cell>
          <cell r="U11">
            <v>5.43</v>
          </cell>
          <cell r="V11">
            <v>0</v>
          </cell>
          <cell r="W11">
            <v>0</v>
          </cell>
          <cell r="X11">
            <v>45650</v>
          </cell>
          <cell r="Y11">
            <v>45670</v>
          </cell>
          <cell r="Z11">
            <v>21</v>
          </cell>
          <cell r="AA11" t="str">
            <v>Selesai</v>
          </cell>
          <cell r="AB11">
            <v>100</v>
          </cell>
          <cell r="AC11" t="str">
            <v>Standar</v>
          </cell>
          <cell r="AD11" t="str">
            <v>018F1</v>
          </cell>
          <cell r="AE11" t="str">
            <v>GP3</v>
          </cell>
          <cell r="AF11">
            <v>8.4700000000000006</v>
          </cell>
        </row>
        <row r="12">
          <cell r="B12" t="str">
            <v>028P</v>
          </cell>
          <cell r="C12">
            <v>655997.52</v>
          </cell>
          <cell r="D12">
            <v>9.32</v>
          </cell>
          <cell r="E12" t="str">
            <v>Kecil</v>
          </cell>
          <cell r="F12" t="str">
            <v>Crown</v>
          </cell>
          <cell r="G12" t="str">
            <v>GP3</v>
          </cell>
          <cell r="H12">
            <v>511706.22</v>
          </cell>
          <cell r="I12">
            <v>7.27</v>
          </cell>
          <cell r="J12">
            <v>183003.59999999998</v>
          </cell>
          <cell r="K12">
            <v>2.5999999999999996</v>
          </cell>
          <cell r="L12">
            <v>655997.5199999999</v>
          </cell>
          <cell r="M12">
            <v>9.3199999999999985</v>
          </cell>
          <cell r="N12">
            <v>0</v>
          </cell>
          <cell r="O12">
            <v>0</v>
          </cell>
          <cell r="P12">
            <v>580754.88599999994</v>
          </cell>
          <cell r="Q12">
            <v>8.2509999999999994</v>
          </cell>
          <cell r="R12">
            <v>86574.78</v>
          </cell>
          <cell r="S12">
            <v>1.23</v>
          </cell>
          <cell r="T12">
            <v>656067.90599999996</v>
          </cell>
          <cell r="U12">
            <v>9.3209999999999997</v>
          </cell>
          <cell r="V12">
            <v>0.38599999996097267</v>
          </cell>
          <cell r="W12">
            <v>9.9999999999944578E-4</v>
          </cell>
          <cell r="X12">
            <v>45648</v>
          </cell>
          <cell r="Y12">
            <v>45670</v>
          </cell>
          <cell r="Z12">
            <v>23</v>
          </cell>
          <cell r="AA12" t="str">
            <v>Selesai</v>
          </cell>
          <cell r="AB12">
            <v>100.0107296137339</v>
          </cell>
          <cell r="AC12" t="str">
            <v>Standar</v>
          </cell>
          <cell r="AD12" t="str">
            <v>028P</v>
          </cell>
          <cell r="AE12" t="str">
            <v>GP3</v>
          </cell>
          <cell r="AF12">
            <v>8.4700000000000006</v>
          </cell>
        </row>
        <row r="13">
          <cell r="B13" t="str">
            <v>066A</v>
          </cell>
          <cell r="C13">
            <v>731830.8899999999</v>
          </cell>
          <cell r="D13">
            <v>9.8699999999999992</v>
          </cell>
          <cell r="E13" t="str">
            <v>Sedang</v>
          </cell>
          <cell r="F13" t="str">
            <v>Sucker</v>
          </cell>
          <cell r="G13" t="str">
            <v>GP3</v>
          </cell>
          <cell r="H13">
            <v>605780.99</v>
          </cell>
          <cell r="I13">
            <v>8.17</v>
          </cell>
          <cell r="J13">
            <v>126049.90000000001</v>
          </cell>
          <cell r="K13">
            <v>1.7000000000000002</v>
          </cell>
          <cell r="L13">
            <v>731830.89000000013</v>
          </cell>
          <cell r="M13">
            <v>9.870000000000001</v>
          </cell>
          <cell r="N13">
            <v>0</v>
          </cell>
          <cell r="O13">
            <v>0</v>
          </cell>
          <cell r="P13">
            <v>501975.19000000006</v>
          </cell>
          <cell r="Q13">
            <v>6.7700000000000005</v>
          </cell>
          <cell r="R13">
            <v>229855.69999999995</v>
          </cell>
          <cell r="S13">
            <v>3.0999999999999992</v>
          </cell>
          <cell r="T13">
            <v>731830.8899999999</v>
          </cell>
          <cell r="U13">
            <v>9.8699999999999992</v>
          </cell>
          <cell r="V13">
            <v>0</v>
          </cell>
          <cell r="W13">
            <v>0</v>
          </cell>
          <cell r="X13">
            <v>45643</v>
          </cell>
          <cell r="Y13">
            <v>45670</v>
          </cell>
          <cell r="Z13">
            <v>28</v>
          </cell>
          <cell r="AA13" t="str">
            <v>Selesai</v>
          </cell>
          <cell r="AB13">
            <v>100</v>
          </cell>
          <cell r="AC13" t="str">
            <v>Standar</v>
          </cell>
          <cell r="AD13" t="str">
            <v>066A</v>
          </cell>
          <cell r="AE13" t="str">
            <v>GP3</v>
          </cell>
          <cell r="AF13">
            <v>8.4700000000000006</v>
          </cell>
        </row>
        <row r="14">
          <cell r="B14" t="str">
            <v>069E1</v>
          </cell>
          <cell r="C14">
            <v>767911.26</v>
          </cell>
          <cell r="D14">
            <v>10.91</v>
          </cell>
          <cell r="E14" t="str">
            <v>Kecil</v>
          </cell>
          <cell r="F14" t="str">
            <v>Crown</v>
          </cell>
          <cell r="G14" t="str">
            <v>GP3</v>
          </cell>
          <cell r="H14">
            <v>658812.96</v>
          </cell>
          <cell r="I14">
            <v>9.36</v>
          </cell>
          <cell r="J14">
            <v>109098.3</v>
          </cell>
          <cell r="K14">
            <v>1.55</v>
          </cell>
          <cell r="L14">
            <v>767911.26</v>
          </cell>
          <cell r="M14">
            <v>10.91</v>
          </cell>
          <cell r="N14">
            <v>0</v>
          </cell>
          <cell r="O14">
            <v>0</v>
          </cell>
          <cell r="P14">
            <v>697454.87400000007</v>
          </cell>
          <cell r="Q14">
            <v>9.9090000000000007</v>
          </cell>
          <cell r="R14">
            <v>70386</v>
          </cell>
          <cell r="S14">
            <v>1</v>
          </cell>
          <cell r="T14">
            <v>767840.87400000007</v>
          </cell>
          <cell r="U14">
            <v>10.909000000000001</v>
          </cell>
          <cell r="V14">
            <v>-0.38599999996098688</v>
          </cell>
          <cell r="W14">
            <v>-9.9999999999944578E-4</v>
          </cell>
          <cell r="X14">
            <v>45644</v>
          </cell>
          <cell r="Y14">
            <v>45670</v>
          </cell>
          <cell r="Z14">
            <v>27</v>
          </cell>
          <cell r="AA14" t="str">
            <v>Selesai</v>
          </cell>
          <cell r="AB14">
            <v>99.990834097158569</v>
          </cell>
          <cell r="AC14" t="str">
            <v>Standar</v>
          </cell>
          <cell r="AD14" t="str">
            <v>069E1</v>
          </cell>
          <cell r="AE14" t="str">
            <v>GP3</v>
          </cell>
          <cell r="AF14">
            <v>8.4700000000000006</v>
          </cell>
        </row>
        <row r="15">
          <cell r="B15" t="str">
            <v>069E2</v>
          </cell>
          <cell r="C15">
            <v>455262.57999999996</v>
          </cell>
          <cell r="D15">
            <v>6.14</v>
          </cell>
          <cell r="E15" t="str">
            <v>Besar</v>
          </cell>
          <cell r="F15" t="str">
            <v>Sucker</v>
          </cell>
          <cell r="G15" t="str">
            <v>GP3</v>
          </cell>
          <cell r="H15">
            <v>409291.43999999994</v>
          </cell>
          <cell r="I15">
            <v>5.52</v>
          </cell>
          <cell r="J15">
            <v>75629.94</v>
          </cell>
          <cell r="K15">
            <v>1.02</v>
          </cell>
          <cell r="L15">
            <v>455262.5799999999</v>
          </cell>
          <cell r="M15">
            <v>6.1399999999999988</v>
          </cell>
          <cell r="N15">
            <v>0</v>
          </cell>
          <cell r="O15">
            <v>0</v>
          </cell>
          <cell r="P15">
            <v>350641.163</v>
          </cell>
          <cell r="Q15">
            <v>4.7290000000000001</v>
          </cell>
          <cell r="R15">
            <v>119376.67000000003</v>
          </cell>
          <cell r="S15">
            <v>1.6100000000000003</v>
          </cell>
          <cell r="T15">
            <v>455188.43300000002</v>
          </cell>
          <cell r="U15">
            <v>6.1390000000000002</v>
          </cell>
          <cell r="V15">
            <v>-0.14699999995890778</v>
          </cell>
          <cell r="W15">
            <v>-9.9999999999944578E-4</v>
          </cell>
          <cell r="X15">
            <v>45644</v>
          </cell>
          <cell r="Y15">
            <v>45671</v>
          </cell>
          <cell r="Z15">
            <v>28</v>
          </cell>
          <cell r="AA15" t="str">
            <v>Selesai</v>
          </cell>
          <cell r="AB15">
            <v>99.983713355048863</v>
          </cell>
          <cell r="AC15" t="str">
            <v>Standar</v>
          </cell>
          <cell r="AD15" t="str">
            <v>069E2</v>
          </cell>
          <cell r="AE15" t="str">
            <v>GP3</v>
          </cell>
          <cell r="AF15">
            <v>8.4700000000000006</v>
          </cell>
        </row>
        <row r="16">
          <cell r="B16" t="str">
            <v>054G</v>
          </cell>
          <cell r="C16">
            <v>514580.18000000005</v>
          </cell>
          <cell r="D16">
            <v>6.94</v>
          </cell>
          <cell r="E16" t="str">
            <v>Sedang</v>
          </cell>
          <cell r="F16" t="str">
            <v>Sucker</v>
          </cell>
          <cell r="G16" t="str">
            <v>GP3</v>
          </cell>
          <cell r="H16">
            <v>179435.74</v>
          </cell>
          <cell r="I16">
            <v>2.42</v>
          </cell>
          <cell r="J16">
            <v>335144.44000000006</v>
          </cell>
          <cell r="K16">
            <v>4.5200000000000005</v>
          </cell>
          <cell r="L16">
            <v>514580.18000000005</v>
          </cell>
          <cell r="M16">
            <v>6.94</v>
          </cell>
          <cell r="N16">
            <v>0</v>
          </cell>
          <cell r="O16">
            <v>0</v>
          </cell>
          <cell r="P16">
            <v>173503.97999999998</v>
          </cell>
          <cell r="Q16">
            <v>2.34</v>
          </cell>
          <cell r="R16">
            <v>341076.19999999995</v>
          </cell>
          <cell r="S16">
            <v>4.5999999999999996</v>
          </cell>
          <cell r="T16">
            <v>514580.17999999993</v>
          </cell>
          <cell r="U16">
            <v>6.9399999999999995</v>
          </cell>
          <cell r="V16">
            <v>0</v>
          </cell>
          <cell r="W16">
            <v>0</v>
          </cell>
          <cell r="X16">
            <v>45622</v>
          </cell>
          <cell r="Y16">
            <v>45675</v>
          </cell>
          <cell r="Z16">
            <v>54</v>
          </cell>
          <cell r="AA16" t="str">
            <v>Selesai</v>
          </cell>
          <cell r="AB16">
            <v>99.999999999999986</v>
          </cell>
          <cell r="AC16" t="str">
            <v>Standar</v>
          </cell>
          <cell r="AD16" t="str">
            <v>054G</v>
          </cell>
          <cell r="AE16" t="str">
            <v>GP3</v>
          </cell>
          <cell r="AF16">
            <v>8.4700000000000006</v>
          </cell>
        </row>
        <row r="17">
          <cell r="B17" t="str">
            <v>006C1</v>
          </cell>
          <cell r="C17">
            <v>382598.52</v>
          </cell>
          <cell r="D17">
            <v>5.16</v>
          </cell>
          <cell r="E17" t="str">
            <v>Besar</v>
          </cell>
          <cell r="F17" t="str">
            <v>Sucker</v>
          </cell>
          <cell r="G17" t="str">
            <v>GP3</v>
          </cell>
          <cell r="H17">
            <v>0</v>
          </cell>
          <cell r="J17">
            <v>382598.52000000008</v>
          </cell>
          <cell r="K17">
            <v>5.160000000000001</v>
          </cell>
          <cell r="L17">
            <v>382598.52000000008</v>
          </cell>
          <cell r="M17">
            <v>5.160000000000001</v>
          </cell>
          <cell r="N17">
            <v>0</v>
          </cell>
          <cell r="O17">
            <v>0</v>
          </cell>
          <cell r="P17">
            <v>0</v>
          </cell>
          <cell r="R17">
            <v>392979.09999999992</v>
          </cell>
          <cell r="S17">
            <v>5.2999999999999989</v>
          </cell>
          <cell r="T17">
            <v>382598.51999999996</v>
          </cell>
          <cell r="U17">
            <v>5.1599999999999993</v>
          </cell>
          <cell r="V17">
            <v>0</v>
          </cell>
          <cell r="W17">
            <v>0</v>
          </cell>
          <cell r="X17">
            <v>45676</v>
          </cell>
          <cell r="Y17">
            <v>45687</v>
          </cell>
          <cell r="Z17">
            <v>12</v>
          </cell>
          <cell r="AA17" t="str">
            <v>Selesai</v>
          </cell>
          <cell r="AB17">
            <v>99.999999999999986</v>
          </cell>
          <cell r="AC17" t="str">
            <v>Standar</v>
          </cell>
          <cell r="AD17" t="str">
            <v>006C1</v>
          </cell>
          <cell r="AE17" t="str">
            <v>GP3</v>
          </cell>
          <cell r="AF17">
            <v>8.4700000000000006</v>
          </cell>
        </row>
        <row r="18">
          <cell r="B18" t="str">
            <v>010A</v>
          </cell>
          <cell r="C18">
            <v>377408.23</v>
          </cell>
          <cell r="D18">
            <v>5.09</v>
          </cell>
          <cell r="E18" t="str">
            <v>Kecil</v>
          </cell>
          <cell r="F18" t="str">
            <v>Sucker</v>
          </cell>
          <cell r="G18" t="str">
            <v>GP3</v>
          </cell>
          <cell r="H18">
            <v>0</v>
          </cell>
          <cell r="J18">
            <v>377482.37700000009</v>
          </cell>
          <cell r="K18">
            <v>5.0910000000000011</v>
          </cell>
          <cell r="L18">
            <v>377482.37700000009</v>
          </cell>
          <cell r="M18">
            <v>5.0910000000000011</v>
          </cell>
          <cell r="N18">
            <v>0.14700000009061398</v>
          </cell>
          <cell r="O18">
            <v>1.0000000000012221E-3</v>
          </cell>
          <cell r="P18">
            <v>0</v>
          </cell>
          <cell r="R18">
            <v>377408.22999999986</v>
          </cell>
          <cell r="S18">
            <v>5.0899999999999981</v>
          </cell>
          <cell r="T18">
            <v>377408.22999999986</v>
          </cell>
          <cell r="U18">
            <v>5.0899999999999981</v>
          </cell>
          <cell r="V18">
            <v>0</v>
          </cell>
          <cell r="W18">
            <v>0</v>
          </cell>
          <cell r="X18">
            <v>45661</v>
          </cell>
          <cell r="Y18">
            <v>45687</v>
          </cell>
          <cell r="Z18">
            <v>27</v>
          </cell>
          <cell r="AA18" t="str">
            <v>Selesai</v>
          </cell>
          <cell r="AB18">
            <v>99.999999999999957</v>
          </cell>
          <cell r="AC18" t="str">
            <v>Standar</v>
          </cell>
          <cell r="AD18" t="str">
            <v>010A</v>
          </cell>
          <cell r="AE18" t="str">
            <v>GP3</v>
          </cell>
          <cell r="AF18">
            <v>8.4700000000000006</v>
          </cell>
        </row>
        <row r="19">
          <cell r="B19" t="str">
            <v>011A</v>
          </cell>
          <cell r="C19">
            <v>352939.72</v>
          </cell>
          <cell r="D19">
            <v>4.76</v>
          </cell>
          <cell r="E19" t="str">
            <v>Besar</v>
          </cell>
          <cell r="F19" t="str">
            <v>Sucker</v>
          </cell>
          <cell r="G19" t="str">
            <v>GP3</v>
          </cell>
          <cell r="H19">
            <v>0</v>
          </cell>
          <cell r="J19">
            <v>352939.71999999991</v>
          </cell>
          <cell r="K19">
            <v>4.7599999999999989</v>
          </cell>
          <cell r="L19">
            <v>352939.71999999991</v>
          </cell>
          <cell r="M19">
            <v>4.7599999999999989</v>
          </cell>
          <cell r="N19">
            <v>0</v>
          </cell>
          <cell r="O19">
            <v>0</v>
          </cell>
          <cell r="P19">
            <v>0</v>
          </cell>
          <cell r="R19">
            <v>352939.72</v>
          </cell>
          <cell r="S19">
            <v>4.76</v>
          </cell>
          <cell r="T19">
            <v>352939.72</v>
          </cell>
          <cell r="U19">
            <v>4.76</v>
          </cell>
          <cell r="V19">
            <v>0</v>
          </cell>
          <cell r="W19">
            <v>0</v>
          </cell>
          <cell r="X19">
            <v>45665</v>
          </cell>
          <cell r="Y19">
            <v>45682</v>
          </cell>
          <cell r="Z19">
            <v>18</v>
          </cell>
          <cell r="AA19" t="str">
            <v>Selesai</v>
          </cell>
          <cell r="AB19">
            <v>100</v>
          </cell>
          <cell r="AC19" t="str">
            <v>Standar</v>
          </cell>
          <cell r="AD19" t="str">
            <v>011A</v>
          </cell>
          <cell r="AE19" t="str">
            <v>GP3</v>
          </cell>
          <cell r="AF19">
            <v>8.4700000000000006</v>
          </cell>
        </row>
        <row r="20">
          <cell r="B20" t="str">
            <v>047A2</v>
          </cell>
          <cell r="C20">
            <v>467363.04</v>
          </cell>
          <cell r="D20">
            <v>6.64</v>
          </cell>
          <cell r="E20" t="str">
            <v>Kecil</v>
          </cell>
          <cell r="F20" t="str">
            <v>Crown</v>
          </cell>
          <cell r="G20" t="str">
            <v>GP3</v>
          </cell>
          <cell r="H20">
            <v>0</v>
          </cell>
          <cell r="J20">
            <v>467363.04</v>
          </cell>
          <cell r="K20">
            <v>6.64</v>
          </cell>
          <cell r="L20">
            <v>467363.04</v>
          </cell>
          <cell r="M20">
            <v>6.64</v>
          </cell>
          <cell r="N20">
            <v>0</v>
          </cell>
          <cell r="O20">
            <v>0</v>
          </cell>
          <cell r="P20">
            <v>0</v>
          </cell>
          <cell r="R20">
            <v>467363.04</v>
          </cell>
          <cell r="S20">
            <v>6.64</v>
          </cell>
          <cell r="T20">
            <v>467363.04</v>
          </cell>
          <cell r="U20">
            <v>6.64</v>
          </cell>
          <cell r="V20">
            <v>0</v>
          </cell>
          <cell r="W20">
            <v>0</v>
          </cell>
          <cell r="X20">
            <v>45666</v>
          </cell>
          <cell r="Y20">
            <v>45682</v>
          </cell>
          <cell r="Z20">
            <v>17</v>
          </cell>
          <cell r="AA20" t="str">
            <v>Selesai</v>
          </cell>
          <cell r="AB20">
            <v>100</v>
          </cell>
          <cell r="AC20" t="str">
            <v>Standar</v>
          </cell>
          <cell r="AD20" t="str">
            <v>047A2</v>
          </cell>
          <cell r="AE20" t="str">
            <v>GP3</v>
          </cell>
          <cell r="AF20">
            <v>8.4700000000000006</v>
          </cell>
        </row>
        <row r="21">
          <cell r="B21" t="str">
            <v>047A3</v>
          </cell>
          <cell r="C21">
            <v>541268.34000000008</v>
          </cell>
          <cell r="D21">
            <v>7.69</v>
          </cell>
          <cell r="E21" t="str">
            <v>Kecil</v>
          </cell>
          <cell r="F21" t="str">
            <v>Crown</v>
          </cell>
          <cell r="G21" t="str">
            <v>GP3</v>
          </cell>
          <cell r="H21">
            <v>0</v>
          </cell>
          <cell r="J21">
            <v>541268.34000000008</v>
          </cell>
          <cell r="K21">
            <v>7.69</v>
          </cell>
          <cell r="L21">
            <v>541268.34000000008</v>
          </cell>
          <cell r="M21">
            <v>7.69</v>
          </cell>
          <cell r="N21">
            <v>0</v>
          </cell>
          <cell r="O21">
            <v>0</v>
          </cell>
          <cell r="P21">
            <v>0</v>
          </cell>
          <cell r="R21">
            <v>541268.34000000008</v>
          </cell>
          <cell r="S21">
            <v>7.69</v>
          </cell>
          <cell r="T21">
            <v>541268.34000000008</v>
          </cell>
          <cell r="U21">
            <v>7.69</v>
          </cell>
          <cell r="V21">
            <v>0</v>
          </cell>
          <cell r="W21">
            <v>0</v>
          </cell>
          <cell r="X21">
            <v>45669</v>
          </cell>
          <cell r="Y21">
            <v>45686</v>
          </cell>
          <cell r="Z21">
            <v>18</v>
          </cell>
          <cell r="AA21" t="str">
            <v>Selesai</v>
          </cell>
          <cell r="AB21">
            <v>100</v>
          </cell>
          <cell r="AC21" t="str">
            <v>Standar</v>
          </cell>
          <cell r="AD21" t="str">
            <v>047A3</v>
          </cell>
          <cell r="AE21" t="str">
            <v>GP3</v>
          </cell>
          <cell r="AF21">
            <v>8.4700000000000006</v>
          </cell>
        </row>
        <row r="22">
          <cell r="B22" t="str">
            <v>065C3</v>
          </cell>
          <cell r="C22">
            <v>349973.83999999997</v>
          </cell>
          <cell r="D22">
            <v>4.72</v>
          </cell>
          <cell r="E22" t="str">
            <v>Besar</v>
          </cell>
          <cell r="F22" t="str">
            <v>Sucker</v>
          </cell>
          <cell r="G22" t="str">
            <v>GP3</v>
          </cell>
          <cell r="H22">
            <v>0</v>
          </cell>
          <cell r="J22">
            <v>349973.84</v>
          </cell>
          <cell r="K22">
            <v>4.7200000000000006</v>
          </cell>
          <cell r="L22">
            <v>349973.84</v>
          </cell>
          <cell r="M22">
            <v>4.7200000000000006</v>
          </cell>
          <cell r="N22">
            <v>0</v>
          </cell>
          <cell r="O22">
            <v>0</v>
          </cell>
          <cell r="P22">
            <v>0</v>
          </cell>
          <cell r="R22">
            <v>349973.83999999997</v>
          </cell>
          <cell r="S22">
            <v>4.72</v>
          </cell>
          <cell r="T22">
            <v>349973.83999999997</v>
          </cell>
          <cell r="U22">
            <v>4.72</v>
          </cell>
          <cell r="V22">
            <v>0</v>
          </cell>
          <cell r="W22">
            <v>0</v>
          </cell>
          <cell r="X22">
            <v>45673</v>
          </cell>
          <cell r="Y22">
            <v>45686</v>
          </cell>
          <cell r="Z22">
            <v>14</v>
          </cell>
          <cell r="AA22" t="str">
            <v>Selesai</v>
          </cell>
          <cell r="AB22">
            <v>100</v>
          </cell>
          <cell r="AC22" t="str">
            <v>Standar</v>
          </cell>
          <cell r="AD22" t="str">
            <v>065C3</v>
          </cell>
          <cell r="AE22" t="str">
            <v>GP3</v>
          </cell>
          <cell r="AF22">
            <v>8.4700000000000006</v>
          </cell>
        </row>
        <row r="23">
          <cell r="B23" t="str">
            <v>076A5</v>
          </cell>
          <cell r="C23">
            <v>390538.62</v>
          </cell>
          <cell r="D23">
            <v>5.27</v>
          </cell>
          <cell r="E23" t="str">
            <v>Besar</v>
          </cell>
          <cell r="F23" t="str">
            <v>Sucker</v>
          </cell>
          <cell r="G23" t="str">
            <v>GP3</v>
          </cell>
          <cell r="H23">
            <v>0</v>
          </cell>
          <cell r="J23">
            <v>390754.69000000006</v>
          </cell>
          <cell r="K23">
            <v>5.2700000000000005</v>
          </cell>
          <cell r="L23">
            <v>390754.69000000006</v>
          </cell>
          <cell r="M23">
            <v>5.2700000000000005</v>
          </cell>
          <cell r="N23">
            <v>0</v>
          </cell>
          <cell r="O23">
            <v>0</v>
          </cell>
          <cell r="P23">
            <v>0</v>
          </cell>
          <cell r="R23">
            <v>390754.68999999994</v>
          </cell>
          <cell r="S23">
            <v>5.27</v>
          </cell>
          <cell r="T23">
            <v>390754.68999999994</v>
          </cell>
          <cell r="U23">
            <v>5.27</v>
          </cell>
          <cell r="V23">
            <v>0</v>
          </cell>
          <cell r="W23">
            <v>0</v>
          </cell>
          <cell r="X23">
            <v>45663</v>
          </cell>
          <cell r="Y23">
            <v>45679</v>
          </cell>
          <cell r="Z23">
            <v>17</v>
          </cell>
          <cell r="AA23" t="str">
            <v>Selesai</v>
          </cell>
          <cell r="AB23">
            <v>100.05532615442743</v>
          </cell>
          <cell r="AC23" t="str">
            <v>Standar</v>
          </cell>
          <cell r="AD23" t="str">
            <v>076A5</v>
          </cell>
          <cell r="AE23" t="str">
            <v>GP3</v>
          </cell>
          <cell r="AF23">
            <v>8.4700000000000006</v>
          </cell>
        </row>
        <row r="24">
          <cell r="B24" t="str">
            <v>098M</v>
          </cell>
          <cell r="C24">
            <v>508186.92</v>
          </cell>
          <cell r="D24">
            <v>7.22</v>
          </cell>
          <cell r="E24" t="str">
            <v>Kecil</v>
          </cell>
          <cell r="F24" t="str">
            <v>Crown</v>
          </cell>
          <cell r="G24" t="str">
            <v>GP3</v>
          </cell>
          <cell r="H24">
            <v>0</v>
          </cell>
          <cell r="I24">
            <v>0</v>
          </cell>
          <cell r="J24">
            <v>508186.92</v>
          </cell>
          <cell r="K24">
            <v>7.22</v>
          </cell>
          <cell r="L24">
            <v>508186.92</v>
          </cell>
          <cell r="M24">
            <v>7.22</v>
          </cell>
          <cell r="N24">
            <v>0</v>
          </cell>
          <cell r="O24">
            <v>0</v>
          </cell>
          <cell r="P24">
            <v>33785.279999999999</v>
          </cell>
          <cell r="Q24">
            <v>0.48</v>
          </cell>
          <cell r="R24">
            <v>474401.64000000007</v>
          </cell>
          <cell r="S24">
            <v>6.7400000000000011</v>
          </cell>
          <cell r="T24">
            <v>508186.92000000004</v>
          </cell>
          <cell r="U24">
            <v>7.2200000000000006</v>
          </cell>
          <cell r="V24">
            <v>0</v>
          </cell>
          <cell r="W24">
            <v>0</v>
          </cell>
          <cell r="X24">
            <v>45657</v>
          </cell>
          <cell r="Y24">
            <v>45679</v>
          </cell>
          <cell r="Z24">
            <v>23</v>
          </cell>
          <cell r="AA24" t="str">
            <v>Selesai</v>
          </cell>
          <cell r="AB24">
            <v>100</v>
          </cell>
          <cell r="AC24" t="str">
            <v>Standar</v>
          </cell>
          <cell r="AD24" t="str">
            <v>098M</v>
          </cell>
          <cell r="AE24" t="str">
            <v>GP3</v>
          </cell>
          <cell r="AF24">
            <v>8.4700000000000006</v>
          </cell>
        </row>
        <row r="25">
          <cell r="B25" t="str">
            <v>098M1</v>
          </cell>
          <cell r="C25">
            <v>513838.70999999996</v>
          </cell>
          <cell r="D25">
            <v>6.93</v>
          </cell>
          <cell r="E25" t="str">
            <v>Sedang</v>
          </cell>
          <cell r="F25" t="str">
            <v>Sucker</v>
          </cell>
          <cell r="G25" t="str">
            <v>GP3</v>
          </cell>
          <cell r="H25">
            <v>0</v>
          </cell>
          <cell r="J25">
            <v>513838.7099999999</v>
          </cell>
          <cell r="K25">
            <v>6.9299999999999988</v>
          </cell>
          <cell r="L25">
            <v>513838.7099999999</v>
          </cell>
          <cell r="M25">
            <v>6.9299999999999988</v>
          </cell>
          <cell r="N25">
            <v>0</v>
          </cell>
          <cell r="O25">
            <v>0</v>
          </cell>
          <cell r="P25">
            <v>0</v>
          </cell>
          <cell r="R25">
            <v>513838.70999999996</v>
          </cell>
          <cell r="S25">
            <v>6.93</v>
          </cell>
          <cell r="T25">
            <v>513838.70999999996</v>
          </cell>
          <cell r="U25">
            <v>6.93</v>
          </cell>
          <cell r="V25">
            <v>0</v>
          </cell>
          <cell r="W25">
            <v>0</v>
          </cell>
          <cell r="X25">
            <v>45662</v>
          </cell>
          <cell r="Y25">
            <v>45679</v>
          </cell>
          <cell r="Z25">
            <v>18</v>
          </cell>
          <cell r="AA25" t="str">
            <v>Selesai</v>
          </cell>
          <cell r="AB25">
            <v>100</v>
          </cell>
          <cell r="AC25" t="str">
            <v>Standar</v>
          </cell>
          <cell r="AD25" t="str">
            <v>098M1</v>
          </cell>
          <cell r="AE25" t="str">
            <v>GP3</v>
          </cell>
          <cell r="AF25">
            <v>8.4700000000000006</v>
          </cell>
        </row>
        <row r="26">
          <cell r="B26" t="str">
            <v>026C</v>
          </cell>
          <cell r="C26">
            <v>478624.8</v>
          </cell>
          <cell r="D26">
            <v>6.8</v>
          </cell>
          <cell r="E26" t="str">
            <v>Kecil</v>
          </cell>
          <cell r="F26" t="str">
            <v>Crown</v>
          </cell>
          <cell r="G26" t="str">
            <v>GP3</v>
          </cell>
          <cell r="H26">
            <v>0</v>
          </cell>
          <cell r="J26">
            <v>474401.63999999996</v>
          </cell>
          <cell r="K26">
            <v>6.7399999999999993</v>
          </cell>
          <cell r="L26">
            <v>478624.79999999993</v>
          </cell>
          <cell r="M26">
            <v>6.7999999999999989</v>
          </cell>
          <cell r="N26">
            <v>0</v>
          </cell>
          <cell r="O26">
            <v>0</v>
          </cell>
          <cell r="P26">
            <v>0</v>
          </cell>
          <cell r="R26">
            <v>478624.8</v>
          </cell>
          <cell r="S26">
            <v>6.8</v>
          </cell>
          <cell r="T26">
            <v>478624.8</v>
          </cell>
          <cell r="U26">
            <v>6.8</v>
          </cell>
          <cell r="V26">
            <v>0</v>
          </cell>
          <cell r="W26">
            <v>0</v>
          </cell>
          <cell r="X26">
            <v>45674</v>
          </cell>
          <cell r="Y26">
            <v>45688</v>
          </cell>
          <cell r="Z26">
            <v>15</v>
          </cell>
          <cell r="AA26" t="str">
            <v>Selesai</v>
          </cell>
          <cell r="AB26">
            <v>100</v>
          </cell>
          <cell r="AC26" t="str">
            <v>Standar</v>
          </cell>
          <cell r="AD26" t="str">
            <v>026C</v>
          </cell>
          <cell r="AE26" t="str">
            <v>GP3</v>
          </cell>
          <cell r="AF26">
            <v>8.4700000000000006</v>
          </cell>
        </row>
        <row r="27">
          <cell r="B27" t="str">
            <v>065C2</v>
          </cell>
          <cell r="C27">
            <v>470091.98</v>
          </cell>
          <cell r="D27">
            <v>6.34</v>
          </cell>
          <cell r="E27" t="str">
            <v>Sedang</v>
          </cell>
          <cell r="F27" t="str">
            <v>Sucker</v>
          </cell>
          <cell r="G27" t="str">
            <v>GP3</v>
          </cell>
          <cell r="H27">
            <v>0</v>
          </cell>
          <cell r="J27">
            <v>440433.17999999993</v>
          </cell>
          <cell r="K27">
            <v>5.9399999999999995</v>
          </cell>
          <cell r="L27">
            <v>470091.98</v>
          </cell>
          <cell r="M27">
            <v>6.34</v>
          </cell>
          <cell r="N27">
            <v>0</v>
          </cell>
          <cell r="O27">
            <v>0</v>
          </cell>
          <cell r="P27">
            <v>0</v>
          </cell>
          <cell r="R27">
            <v>455262.57999999996</v>
          </cell>
          <cell r="S27">
            <v>6.14</v>
          </cell>
          <cell r="T27">
            <v>470091.98</v>
          </cell>
          <cell r="U27">
            <v>6.34</v>
          </cell>
          <cell r="V27">
            <v>0</v>
          </cell>
          <cell r="W27">
            <v>0</v>
          </cell>
          <cell r="X27">
            <v>45672</v>
          </cell>
          <cell r="Y27">
            <v>45688</v>
          </cell>
          <cell r="Z27">
            <v>17</v>
          </cell>
          <cell r="AA27" t="str">
            <v>Selesai</v>
          </cell>
          <cell r="AB27">
            <v>100</v>
          </cell>
          <cell r="AC27" t="str">
            <v>Standar</v>
          </cell>
          <cell r="AD27" t="str">
            <v>065C2</v>
          </cell>
          <cell r="AE27" t="str">
            <v>GP3</v>
          </cell>
          <cell r="AF27">
            <v>8.4700000000000006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Real"/>
      <sheetName val="selesai tanam"/>
      <sheetName val="Sheet18"/>
      <sheetName val="Status"/>
      <sheetName val="Sheet6"/>
      <sheetName val="Sheet1"/>
      <sheetName val="Sheet3"/>
      <sheetName val="Sheet4"/>
      <sheetName val="Sheet5"/>
      <sheetName val="Sheet2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 refreshError="1"/>
      <sheetData sheetId="1">
        <row r="11">
          <cell r="B11" t="str">
            <v>003B</v>
          </cell>
          <cell r="C11">
            <v>478255.8</v>
          </cell>
          <cell r="D11">
            <v>6.6</v>
          </cell>
          <cell r="E11" t="str">
            <v>Kecil</v>
          </cell>
          <cell r="F11" t="str">
            <v>Crown</v>
          </cell>
          <cell r="G11" t="str">
            <v>GP3</v>
          </cell>
          <cell r="H11">
            <v>478255.8</v>
          </cell>
          <cell r="I11">
            <v>6.6</v>
          </cell>
          <cell r="J11">
            <v>0</v>
          </cell>
          <cell r="L11">
            <v>478255.8</v>
          </cell>
          <cell r="M11">
            <v>6.6</v>
          </cell>
          <cell r="N11">
            <v>0</v>
          </cell>
          <cell r="O11">
            <v>0</v>
          </cell>
          <cell r="P11">
            <v>474632.64999999997</v>
          </cell>
          <cell r="Q11">
            <v>6.55</v>
          </cell>
          <cell r="R11">
            <v>3623.15</v>
          </cell>
          <cell r="S11">
            <v>0.05</v>
          </cell>
          <cell r="T11">
            <v>478255.8</v>
          </cell>
          <cell r="U11">
            <v>6.6</v>
          </cell>
          <cell r="V11">
            <v>0</v>
          </cell>
          <cell r="W11">
            <v>0</v>
          </cell>
          <cell r="X11">
            <v>45997</v>
          </cell>
          <cell r="Y11">
            <v>46027</v>
          </cell>
          <cell r="Z11">
            <v>31</v>
          </cell>
          <cell r="AA11" t="str">
            <v>Selesai</v>
          </cell>
          <cell r="AB11">
            <v>100</v>
          </cell>
          <cell r="AC11" t="str">
            <v>Standar</v>
          </cell>
          <cell r="AD11" t="str">
            <v>003B</v>
          </cell>
          <cell r="AE11" t="str">
            <v>GP3</v>
          </cell>
          <cell r="AF11">
            <v>8.4700000000000006</v>
          </cell>
        </row>
        <row r="12">
          <cell r="B12" t="str">
            <v>007A2</v>
          </cell>
          <cell r="C12">
            <v>373909.08</v>
          </cell>
          <cell r="D12">
            <v>5.16</v>
          </cell>
          <cell r="E12" t="str">
            <v>Sedang</v>
          </cell>
          <cell r="F12" t="str">
            <v>Sucker</v>
          </cell>
          <cell r="G12" t="str">
            <v>GP3</v>
          </cell>
          <cell r="H12">
            <v>372459.81999999995</v>
          </cell>
          <cell r="I12">
            <v>5.14</v>
          </cell>
          <cell r="J12">
            <v>1449.26</v>
          </cell>
          <cell r="K12">
            <v>0.02</v>
          </cell>
          <cell r="L12">
            <v>373909.07999999996</v>
          </cell>
          <cell r="M12">
            <v>5.1599999999999993</v>
          </cell>
          <cell r="N12">
            <v>0</v>
          </cell>
          <cell r="O12">
            <v>0</v>
          </cell>
          <cell r="P12">
            <v>370285.93000000011</v>
          </cell>
          <cell r="Q12">
            <v>5.1100000000000012</v>
          </cell>
          <cell r="R12">
            <v>3623.15</v>
          </cell>
          <cell r="S12">
            <v>0.05</v>
          </cell>
          <cell r="T12">
            <v>373909.08000000007</v>
          </cell>
          <cell r="U12">
            <v>5.160000000000001</v>
          </cell>
          <cell r="V12">
            <v>0</v>
          </cell>
          <cell r="W12">
            <v>0</v>
          </cell>
          <cell r="X12">
            <v>46002</v>
          </cell>
          <cell r="Y12">
            <v>46027</v>
          </cell>
          <cell r="Z12">
            <v>26</v>
          </cell>
          <cell r="AA12" t="str">
            <v>Selesai</v>
          </cell>
          <cell r="AB12">
            <v>100.00000000000003</v>
          </cell>
          <cell r="AC12" t="str">
            <v>Standar</v>
          </cell>
          <cell r="AD12" t="str">
            <v>007A2</v>
          </cell>
          <cell r="AE12" t="str">
            <v>GP3</v>
          </cell>
          <cell r="AF12">
            <v>8.4700000000000006</v>
          </cell>
        </row>
        <row r="13">
          <cell r="B13" t="str">
            <v>084E</v>
          </cell>
          <cell r="C13">
            <v>926801.7699999999</v>
          </cell>
          <cell r="D13">
            <v>12.79</v>
          </cell>
          <cell r="E13" t="str">
            <v>Kecil</v>
          </cell>
          <cell r="F13" t="str">
            <v>Crown</v>
          </cell>
          <cell r="G13" t="str">
            <v>GP3</v>
          </cell>
          <cell r="H13">
            <v>786948.17999999993</v>
          </cell>
          <cell r="I13">
            <v>10.86</v>
          </cell>
          <cell r="J13">
            <v>139853.58999999997</v>
          </cell>
          <cell r="K13">
            <v>1.9299999999999997</v>
          </cell>
          <cell r="L13">
            <v>926801.7699999999</v>
          </cell>
          <cell r="M13">
            <v>12.79</v>
          </cell>
          <cell r="N13">
            <v>0</v>
          </cell>
          <cell r="O13">
            <v>0</v>
          </cell>
          <cell r="P13">
            <v>816658.01000000013</v>
          </cell>
          <cell r="Q13">
            <v>11.270000000000001</v>
          </cell>
          <cell r="R13">
            <v>110143.76</v>
          </cell>
          <cell r="S13">
            <v>1.52</v>
          </cell>
          <cell r="T13">
            <v>926801.77</v>
          </cell>
          <cell r="U13">
            <v>12.790000000000001</v>
          </cell>
          <cell r="V13">
            <v>0</v>
          </cell>
          <cell r="W13">
            <v>0</v>
          </cell>
          <cell r="X13">
            <v>46014</v>
          </cell>
          <cell r="Y13">
            <v>46031</v>
          </cell>
          <cell r="Z13">
            <v>18</v>
          </cell>
          <cell r="AA13" t="str">
            <v>Selesai</v>
          </cell>
          <cell r="AB13">
            <v>100.00000000000001</v>
          </cell>
          <cell r="AC13" t="str">
            <v>Standar</v>
          </cell>
          <cell r="AD13" t="str">
            <v>084E</v>
          </cell>
          <cell r="AE13" t="str">
            <v>GP3</v>
          </cell>
          <cell r="AF13">
            <v>8.4700000000000006</v>
          </cell>
        </row>
        <row r="14">
          <cell r="B14" t="str">
            <v>003C</v>
          </cell>
          <cell r="C14">
            <v>597095.12</v>
          </cell>
          <cell r="D14">
            <v>8.24</v>
          </cell>
          <cell r="E14" t="str">
            <v>Kecil</v>
          </cell>
          <cell r="F14" t="str">
            <v>Crown</v>
          </cell>
          <cell r="G14" t="str">
            <v>GP3</v>
          </cell>
          <cell r="H14">
            <v>589848.82000000007</v>
          </cell>
          <cell r="I14">
            <v>8.14</v>
          </cell>
          <cell r="J14">
            <v>7246.3</v>
          </cell>
          <cell r="K14">
            <v>0.1</v>
          </cell>
          <cell r="L14">
            <v>597095.12</v>
          </cell>
          <cell r="M14">
            <v>8.24</v>
          </cell>
          <cell r="N14">
            <v>0</v>
          </cell>
          <cell r="O14">
            <v>0</v>
          </cell>
          <cell r="P14">
            <v>592747.34</v>
          </cell>
          <cell r="Q14">
            <v>8.18</v>
          </cell>
          <cell r="R14">
            <v>4347.78</v>
          </cell>
          <cell r="S14">
            <v>0.06</v>
          </cell>
          <cell r="T14">
            <v>597095.12</v>
          </cell>
          <cell r="U14">
            <v>8.24</v>
          </cell>
          <cell r="V14">
            <v>0</v>
          </cell>
          <cell r="W14">
            <v>0</v>
          </cell>
          <cell r="X14">
            <v>45994</v>
          </cell>
          <cell r="Y14">
            <v>46033</v>
          </cell>
          <cell r="Z14">
            <v>40</v>
          </cell>
          <cell r="AA14" t="str">
            <v>Selesai</v>
          </cell>
          <cell r="AB14">
            <v>100.00000000000001</v>
          </cell>
          <cell r="AC14" t="str">
            <v>Standar</v>
          </cell>
          <cell r="AD14" t="str">
            <v>003C</v>
          </cell>
          <cell r="AE14" t="str">
            <v>GP3</v>
          </cell>
          <cell r="AF14">
            <v>8.4700000000000006</v>
          </cell>
        </row>
        <row r="15">
          <cell r="B15" t="str">
            <v>045C3</v>
          </cell>
          <cell r="C15">
            <v>567385.29</v>
          </cell>
          <cell r="D15">
            <v>7.83</v>
          </cell>
          <cell r="E15" t="str">
            <v>Kecil</v>
          </cell>
          <cell r="F15" t="str">
            <v>Crown</v>
          </cell>
          <cell r="G15" t="str">
            <v>GP3</v>
          </cell>
          <cell r="H15">
            <v>560138.99000000011</v>
          </cell>
          <cell r="I15">
            <v>7.7300000000000013</v>
          </cell>
          <cell r="J15">
            <v>7246.3</v>
          </cell>
          <cell r="K15">
            <v>0.1</v>
          </cell>
          <cell r="L15">
            <v>567385.29</v>
          </cell>
          <cell r="M15">
            <v>7.830000000000001</v>
          </cell>
          <cell r="N15">
            <v>0</v>
          </cell>
          <cell r="O15">
            <v>0</v>
          </cell>
          <cell r="P15">
            <v>561443.32400000002</v>
          </cell>
          <cell r="Q15">
            <v>7.7480000000000002</v>
          </cell>
          <cell r="R15">
            <v>5797.04</v>
          </cell>
          <cell r="S15">
            <v>0.08</v>
          </cell>
          <cell r="T15">
            <v>567240.36400000006</v>
          </cell>
          <cell r="U15">
            <v>7.8280000000000003</v>
          </cell>
          <cell r="V15">
            <v>7.4000000015956857E-2</v>
          </cell>
          <cell r="W15">
            <v>-1.9999999999997797E-3</v>
          </cell>
          <cell r="X15">
            <v>46002</v>
          </cell>
          <cell r="Y15">
            <v>46033</v>
          </cell>
          <cell r="Z15">
            <v>32</v>
          </cell>
          <cell r="AA15" t="str">
            <v>Selesai</v>
          </cell>
          <cell r="AB15">
            <v>99.974457215836523</v>
          </cell>
          <cell r="AC15" t="str">
            <v>Standar</v>
          </cell>
          <cell r="AD15" t="str">
            <v>045C3</v>
          </cell>
          <cell r="AE15" t="str">
            <v>GP3</v>
          </cell>
          <cell r="AF15">
            <v>8.4700000000000006</v>
          </cell>
        </row>
        <row r="16">
          <cell r="B16" t="str">
            <v>045C4</v>
          </cell>
          <cell r="C16">
            <v>600718.2699999999</v>
          </cell>
          <cell r="D16">
            <v>8.2899999999999991</v>
          </cell>
          <cell r="E16" t="str">
            <v>Kecil</v>
          </cell>
          <cell r="F16" t="str">
            <v>Crown</v>
          </cell>
          <cell r="G16" t="str">
            <v>GP3</v>
          </cell>
          <cell r="H16">
            <v>562312.87999999989</v>
          </cell>
          <cell r="I16">
            <v>7.7599999999999989</v>
          </cell>
          <cell r="J16">
            <v>38405.39</v>
          </cell>
          <cell r="K16">
            <v>0.53</v>
          </cell>
          <cell r="L16">
            <v>600718.2699999999</v>
          </cell>
          <cell r="M16">
            <v>8.2899999999999991</v>
          </cell>
          <cell r="N16">
            <v>0</v>
          </cell>
          <cell r="O16">
            <v>0</v>
          </cell>
          <cell r="P16">
            <v>597819.74999999988</v>
          </cell>
          <cell r="Q16">
            <v>8.2499999999999982</v>
          </cell>
          <cell r="R16">
            <v>2898.52</v>
          </cell>
          <cell r="S16">
            <v>0.04</v>
          </cell>
          <cell r="T16">
            <v>600718.26999999979</v>
          </cell>
          <cell r="U16">
            <v>8.2899999999999974</v>
          </cell>
          <cell r="V16">
            <v>0</v>
          </cell>
          <cell r="W16">
            <v>0</v>
          </cell>
          <cell r="X16">
            <v>46005</v>
          </cell>
          <cell r="Y16">
            <v>46033</v>
          </cell>
          <cell r="Z16">
            <v>29</v>
          </cell>
          <cell r="AA16" t="str">
            <v>Selesai</v>
          </cell>
          <cell r="AB16">
            <v>99.999999999999972</v>
          </cell>
          <cell r="AC16" t="str">
            <v>Standar</v>
          </cell>
          <cell r="AD16" t="str">
            <v>045C4</v>
          </cell>
          <cell r="AE16" t="str">
            <v>GP3</v>
          </cell>
          <cell r="AF16">
            <v>8.4700000000000006</v>
          </cell>
        </row>
        <row r="17">
          <cell r="B17" t="str">
            <v>048B</v>
          </cell>
          <cell r="C17">
            <v>459415.42</v>
          </cell>
          <cell r="D17">
            <v>6.34</v>
          </cell>
          <cell r="E17" t="str">
            <v>Kecil</v>
          </cell>
          <cell r="F17" t="str">
            <v>Crown</v>
          </cell>
          <cell r="G17" t="str">
            <v>GP3</v>
          </cell>
          <cell r="H17">
            <v>447821.33999999997</v>
          </cell>
          <cell r="I17">
            <v>6.18</v>
          </cell>
          <cell r="J17">
            <v>11594.08</v>
          </cell>
          <cell r="K17">
            <v>0.16</v>
          </cell>
          <cell r="L17">
            <v>459415.42</v>
          </cell>
          <cell r="M17">
            <v>6.34</v>
          </cell>
          <cell r="N17">
            <v>0</v>
          </cell>
          <cell r="O17">
            <v>0</v>
          </cell>
          <cell r="P17">
            <v>449270.6</v>
          </cell>
          <cell r="Q17">
            <v>6.1999999999999993</v>
          </cell>
          <cell r="R17">
            <v>10144.820000000002</v>
          </cell>
          <cell r="S17">
            <v>0.14000000000000001</v>
          </cell>
          <cell r="T17">
            <v>459415.41999999993</v>
          </cell>
          <cell r="U17">
            <v>6.339999999999999</v>
          </cell>
          <cell r="V17">
            <v>0</v>
          </cell>
          <cell r="W17">
            <v>0</v>
          </cell>
          <cell r="X17">
            <v>46008</v>
          </cell>
          <cell r="Y17">
            <v>46033</v>
          </cell>
          <cell r="Z17">
            <v>26</v>
          </cell>
          <cell r="AA17" t="str">
            <v>Selesai</v>
          </cell>
          <cell r="AB17">
            <v>99.999999999999986</v>
          </cell>
          <cell r="AC17" t="str">
            <v>Standar</v>
          </cell>
          <cell r="AD17" t="str">
            <v>048B</v>
          </cell>
          <cell r="AE17" t="str">
            <v>GP3</v>
          </cell>
          <cell r="AF17">
            <v>8.4700000000000006</v>
          </cell>
        </row>
        <row r="18">
          <cell r="B18" t="str">
            <v>097F</v>
          </cell>
          <cell r="C18">
            <v>477531.17</v>
          </cell>
          <cell r="D18">
            <v>6.59</v>
          </cell>
          <cell r="E18" t="str">
            <v>Sedang</v>
          </cell>
          <cell r="F18" t="str">
            <v>Sucker</v>
          </cell>
          <cell r="G18" t="str">
            <v>GP3</v>
          </cell>
          <cell r="H18">
            <v>458690.79</v>
          </cell>
          <cell r="I18">
            <v>6.33</v>
          </cell>
          <cell r="J18">
            <v>18840.38</v>
          </cell>
          <cell r="K18">
            <v>0.26</v>
          </cell>
          <cell r="L18">
            <v>477531.17</v>
          </cell>
          <cell r="M18">
            <v>6.59</v>
          </cell>
          <cell r="N18">
            <v>0</v>
          </cell>
          <cell r="O18">
            <v>0</v>
          </cell>
          <cell r="P18">
            <v>456516.9</v>
          </cell>
          <cell r="Q18">
            <v>6.3000000000000007</v>
          </cell>
          <cell r="R18">
            <v>21014.270000000004</v>
          </cell>
          <cell r="S18">
            <v>0.29000000000000004</v>
          </cell>
          <cell r="T18">
            <v>477531.17000000004</v>
          </cell>
          <cell r="U18">
            <v>6.5900000000000007</v>
          </cell>
          <cell r="V18">
            <v>0</v>
          </cell>
          <cell r="W18">
            <v>0</v>
          </cell>
          <cell r="X18">
            <v>46008</v>
          </cell>
          <cell r="Y18">
            <v>46034</v>
          </cell>
          <cell r="Z18">
            <v>27</v>
          </cell>
          <cell r="AA18" t="str">
            <v>Selesai</v>
          </cell>
          <cell r="AB18">
            <v>100</v>
          </cell>
          <cell r="AC18" t="str">
            <v>Standar</v>
          </cell>
          <cell r="AD18" t="str">
            <v>097F</v>
          </cell>
          <cell r="AE18" t="str">
            <v>GP3</v>
          </cell>
          <cell r="AF18">
            <v>8.4700000000000006</v>
          </cell>
        </row>
        <row r="19">
          <cell r="B19" t="str">
            <v>057B1</v>
          </cell>
          <cell r="C19">
            <v>748542.79</v>
          </cell>
          <cell r="D19">
            <v>10.33</v>
          </cell>
          <cell r="E19" t="str">
            <v>Kecil</v>
          </cell>
          <cell r="F19" t="str">
            <v>Crown</v>
          </cell>
          <cell r="G19" t="str">
            <v>GP3</v>
          </cell>
          <cell r="H19">
            <v>745644.2699999999</v>
          </cell>
          <cell r="I19">
            <v>10.29</v>
          </cell>
          <cell r="J19">
            <v>2898.52</v>
          </cell>
          <cell r="K19">
            <v>0.04</v>
          </cell>
          <cell r="L19">
            <v>748542.78999999992</v>
          </cell>
          <cell r="M19">
            <v>10.329999999999998</v>
          </cell>
          <cell r="N19">
            <v>0</v>
          </cell>
          <cell r="O19">
            <v>0</v>
          </cell>
          <cell r="P19">
            <v>722963.35099999991</v>
          </cell>
          <cell r="Q19">
            <v>9.9769999999999985</v>
          </cell>
          <cell r="R19">
            <v>25362.050000000003</v>
          </cell>
          <cell r="S19">
            <v>0.35000000000000003</v>
          </cell>
          <cell r="T19">
            <v>748325.40099999984</v>
          </cell>
          <cell r="U19">
            <v>10.326999999999998</v>
          </cell>
          <cell r="V19">
            <v>-0.3890000001369458</v>
          </cell>
          <cell r="W19">
            <v>-3.00000000000189E-3</v>
          </cell>
          <cell r="X19">
            <v>46012</v>
          </cell>
          <cell r="Y19">
            <v>46036</v>
          </cell>
          <cell r="Z19">
            <v>25</v>
          </cell>
          <cell r="AA19" t="str">
            <v>Selesai</v>
          </cell>
          <cell r="AB19">
            <v>99.970958373668893</v>
          </cell>
          <cell r="AC19" t="str">
            <v>Standar</v>
          </cell>
          <cell r="AD19" t="str">
            <v>057B1</v>
          </cell>
          <cell r="AE19" t="str">
            <v>GP3</v>
          </cell>
          <cell r="AF19">
            <v>8.4700000000000006</v>
          </cell>
        </row>
        <row r="20">
          <cell r="B20" t="str">
            <v>001D</v>
          </cell>
          <cell r="C20">
            <v>389850.94</v>
          </cell>
          <cell r="D20">
            <v>5.38</v>
          </cell>
          <cell r="E20" t="str">
            <v>Kecil</v>
          </cell>
          <cell r="F20" t="str">
            <v>Crown</v>
          </cell>
          <cell r="G20" t="str">
            <v>GP3</v>
          </cell>
          <cell r="H20">
            <v>378256.86000000004</v>
          </cell>
          <cell r="I20">
            <v>5.2200000000000006</v>
          </cell>
          <cell r="J20">
            <v>11594.079999999998</v>
          </cell>
          <cell r="K20">
            <v>0.15999999999999998</v>
          </cell>
          <cell r="L20">
            <v>389850.94000000006</v>
          </cell>
          <cell r="M20">
            <v>5.3800000000000008</v>
          </cell>
          <cell r="N20">
            <v>0</v>
          </cell>
          <cell r="O20">
            <v>0</v>
          </cell>
          <cell r="P20">
            <v>384053.89999999997</v>
          </cell>
          <cell r="Q20">
            <v>5.3</v>
          </cell>
          <cell r="R20">
            <v>5797.0399999999972</v>
          </cell>
          <cell r="S20">
            <v>7.999999999999996E-2</v>
          </cell>
          <cell r="T20">
            <v>389850.94</v>
          </cell>
          <cell r="U20">
            <v>5.38</v>
          </cell>
          <cell r="V20">
            <v>0</v>
          </cell>
          <cell r="W20">
            <v>0</v>
          </cell>
          <cell r="X20">
            <v>46006</v>
          </cell>
          <cell r="Y20">
            <v>46042</v>
          </cell>
          <cell r="Z20">
            <v>37</v>
          </cell>
          <cell r="AA20" t="str">
            <v>Selesai</v>
          </cell>
          <cell r="AB20">
            <v>100</v>
          </cell>
          <cell r="AC20" t="str">
            <v>Standar</v>
          </cell>
          <cell r="AD20" t="str">
            <v>001D</v>
          </cell>
          <cell r="AE20" t="str">
            <v>GP3</v>
          </cell>
          <cell r="AF20">
            <v>8.4700000000000006</v>
          </cell>
        </row>
        <row r="21">
          <cell r="B21" t="str">
            <v>044A4</v>
          </cell>
          <cell r="C21">
            <v>207244.18</v>
          </cell>
          <cell r="D21">
            <v>2.86</v>
          </cell>
          <cell r="E21" t="str">
            <v>Kecil</v>
          </cell>
          <cell r="F21" t="str">
            <v>Crown</v>
          </cell>
          <cell r="G21" t="str">
            <v>GP3</v>
          </cell>
          <cell r="H21">
            <v>175360.45999999996</v>
          </cell>
          <cell r="I21">
            <v>2.4199999999999995</v>
          </cell>
          <cell r="J21">
            <v>31883.72</v>
          </cell>
          <cell r="K21">
            <v>0.44</v>
          </cell>
          <cell r="L21">
            <v>207244.17999999996</v>
          </cell>
          <cell r="M21">
            <v>2.8599999999999994</v>
          </cell>
          <cell r="N21">
            <v>0</v>
          </cell>
          <cell r="O21">
            <v>0</v>
          </cell>
          <cell r="P21">
            <v>165940.26999999999</v>
          </cell>
          <cell r="Q21">
            <v>2.29</v>
          </cell>
          <cell r="R21">
            <v>41303.910000000003</v>
          </cell>
          <cell r="S21">
            <v>0.57000000000000006</v>
          </cell>
          <cell r="T21">
            <v>207244.18000000002</v>
          </cell>
          <cell r="U21">
            <v>2.8600000000000003</v>
          </cell>
          <cell r="V21">
            <v>0</v>
          </cell>
          <cell r="W21">
            <v>0</v>
          </cell>
          <cell r="X21">
            <v>46010</v>
          </cell>
          <cell r="Y21">
            <v>46042</v>
          </cell>
          <cell r="Z21">
            <v>33</v>
          </cell>
          <cell r="AA21" t="str">
            <v>Selesai</v>
          </cell>
          <cell r="AB21">
            <v>100.00000000000001</v>
          </cell>
          <cell r="AC21" t="str">
            <v>Standar</v>
          </cell>
          <cell r="AD21" t="str">
            <v>044A4</v>
          </cell>
          <cell r="AE21" t="str">
            <v>GP3</v>
          </cell>
          <cell r="AF21">
            <v>8.4700000000000006</v>
          </cell>
        </row>
        <row r="22">
          <cell r="B22" t="str">
            <v>046B2</v>
          </cell>
          <cell r="C22">
            <v>745644.2699999999</v>
          </cell>
          <cell r="D22">
            <v>10.29</v>
          </cell>
          <cell r="E22" t="str">
            <v>Kecil</v>
          </cell>
          <cell r="F22" t="str">
            <v>Crown</v>
          </cell>
          <cell r="G22" t="str">
            <v>GP3</v>
          </cell>
          <cell r="H22">
            <v>731876.3</v>
          </cell>
          <cell r="I22">
            <v>10.100000000000001</v>
          </cell>
          <cell r="J22">
            <v>13767.97</v>
          </cell>
          <cell r="K22">
            <v>0.19</v>
          </cell>
          <cell r="L22">
            <v>745644.27</v>
          </cell>
          <cell r="M22">
            <v>10.290000000000001</v>
          </cell>
          <cell r="N22">
            <v>0</v>
          </cell>
          <cell r="O22">
            <v>0</v>
          </cell>
          <cell r="P22">
            <v>735499.45000000019</v>
          </cell>
          <cell r="Q22">
            <v>10.150000000000002</v>
          </cell>
          <cell r="R22">
            <v>9347.7270000000008</v>
          </cell>
          <cell r="S22">
            <v>0.129</v>
          </cell>
          <cell r="T22">
            <v>745571.80700000015</v>
          </cell>
          <cell r="U22">
            <v>10.289000000000001</v>
          </cell>
          <cell r="V22">
            <v>-0.46299999983111206</v>
          </cell>
          <cell r="W22">
            <v>-9.9999999999766942E-4</v>
          </cell>
          <cell r="X22">
            <v>45997</v>
          </cell>
          <cell r="Y22">
            <v>46043</v>
          </cell>
          <cell r="Z22">
            <v>47</v>
          </cell>
          <cell r="AA22" t="str">
            <v>Selesai</v>
          </cell>
          <cell r="AB22">
            <v>99.99028182701656</v>
          </cell>
          <cell r="AC22" t="str">
            <v>Standar</v>
          </cell>
          <cell r="AD22" t="str">
            <v>046B2</v>
          </cell>
          <cell r="AE22" t="str">
            <v>GP3</v>
          </cell>
          <cell r="AF22">
            <v>8.4700000000000006</v>
          </cell>
        </row>
        <row r="23">
          <cell r="B23" t="str">
            <v>082B3</v>
          </cell>
          <cell r="C23">
            <v>583327.15</v>
          </cell>
          <cell r="D23">
            <v>8.0500000000000007</v>
          </cell>
          <cell r="E23" t="str">
            <v>Sedang</v>
          </cell>
          <cell r="F23" t="str">
            <v>Sucker</v>
          </cell>
          <cell r="G23" t="str">
            <v>GP3</v>
          </cell>
          <cell r="H23">
            <v>0</v>
          </cell>
          <cell r="J23">
            <v>583327.15</v>
          </cell>
          <cell r="K23">
            <v>8.0500000000000007</v>
          </cell>
          <cell r="L23">
            <v>583327.15</v>
          </cell>
          <cell r="M23">
            <v>8.0500000000000007</v>
          </cell>
          <cell r="N23">
            <v>0</v>
          </cell>
          <cell r="O23">
            <v>0</v>
          </cell>
          <cell r="P23">
            <v>0</v>
          </cell>
          <cell r="R23">
            <v>583327.14999999991</v>
          </cell>
          <cell r="S23">
            <v>8.0499999999999989</v>
          </cell>
          <cell r="T23">
            <v>583327.14999999991</v>
          </cell>
          <cell r="U23">
            <v>8.0499999999999989</v>
          </cell>
          <cell r="V23">
            <v>0</v>
          </cell>
          <cell r="W23">
            <v>0</v>
          </cell>
          <cell r="X23">
            <v>46024</v>
          </cell>
          <cell r="Y23">
            <v>46047</v>
          </cell>
          <cell r="Z23">
            <v>24</v>
          </cell>
          <cell r="AA23" t="str">
            <v>Selesai</v>
          </cell>
          <cell r="AB23">
            <v>99.999999999999986</v>
          </cell>
          <cell r="AC23" t="str">
            <v>Standar</v>
          </cell>
          <cell r="AD23" t="str">
            <v>082B3</v>
          </cell>
          <cell r="AE23" t="str">
            <v>GP3</v>
          </cell>
          <cell r="AF23">
            <v>8.4700000000000006</v>
          </cell>
        </row>
        <row r="24">
          <cell r="B24" t="str">
            <v>092F</v>
          </cell>
          <cell r="C24">
            <v>439850.41000000003</v>
          </cell>
          <cell r="D24">
            <v>6.07</v>
          </cell>
          <cell r="E24" t="str">
            <v>Kecil</v>
          </cell>
          <cell r="F24" t="str">
            <v>Crown</v>
          </cell>
          <cell r="G24" t="str">
            <v>GP3</v>
          </cell>
          <cell r="H24">
            <v>0</v>
          </cell>
          <cell r="I24">
            <v>0</v>
          </cell>
          <cell r="J24">
            <v>439850.41000000003</v>
          </cell>
          <cell r="K24">
            <v>6.07</v>
          </cell>
          <cell r="L24">
            <v>439850.41000000003</v>
          </cell>
          <cell r="M24">
            <v>6.07</v>
          </cell>
          <cell r="N24">
            <v>0</v>
          </cell>
          <cell r="O24">
            <v>0</v>
          </cell>
          <cell r="P24">
            <v>32101.109</v>
          </cell>
          <cell r="Q24">
            <v>0.443</v>
          </cell>
          <cell r="R24">
            <v>407966.69000000006</v>
          </cell>
          <cell r="S24">
            <v>5.6300000000000008</v>
          </cell>
          <cell r="T24">
            <v>440067.79900000006</v>
          </cell>
          <cell r="U24">
            <v>6.0730000000000004</v>
          </cell>
          <cell r="V24">
            <v>0.3890000000082523</v>
          </cell>
          <cell r="W24">
            <v>3.0000000000001137E-3</v>
          </cell>
          <cell r="X24">
            <v>46022</v>
          </cell>
          <cell r="Y24">
            <v>46048</v>
          </cell>
          <cell r="Z24">
            <v>27</v>
          </cell>
          <cell r="AA24" t="str">
            <v>Selesai</v>
          </cell>
          <cell r="AB24">
            <v>100.04942339373972</v>
          </cell>
          <cell r="AC24" t="str">
            <v>Standar</v>
          </cell>
          <cell r="AD24" t="str">
            <v>092F</v>
          </cell>
          <cell r="AE24" t="str">
            <v>GP3</v>
          </cell>
          <cell r="AF24">
            <v>8.4700000000000006</v>
          </cell>
        </row>
        <row r="25">
          <cell r="B25" t="str">
            <v>023D</v>
          </cell>
          <cell r="C25">
            <v>327532.75999999995</v>
          </cell>
          <cell r="D25">
            <v>4.5199999999999996</v>
          </cell>
          <cell r="E25" t="str">
            <v>Kecil</v>
          </cell>
          <cell r="F25" t="str">
            <v>Crown</v>
          </cell>
          <cell r="G25" t="str">
            <v>GP3</v>
          </cell>
          <cell r="H25">
            <v>0</v>
          </cell>
          <cell r="J25">
            <v>327532.75999999995</v>
          </cell>
          <cell r="K25">
            <v>4.5199999999999996</v>
          </cell>
          <cell r="L25">
            <v>327532.75999999995</v>
          </cell>
          <cell r="M25">
            <v>4.5199999999999996</v>
          </cell>
          <cell r="N25">
            <v>0</v>
          </cell>
          <cell r="O25">
            <v>0</v>
          </cell>
          <cell r="P25">
            <v>0</v>
          </cell>
          <cell r="R25">
            <v>327532.76</v>
          </cell>
          <cell r="S25">
            <v>4.5200000000000005</v>
          </cell>
          <cell r="T25">
            <v>327532.76</v>
          </cell>
          <cell r="U25">
            <v>4.5200000000000005</v>
          </cell>
          <cell r="V25">
            <v>0</v>
          </cell>
          <cell r="W25">
            <v>0</v>
          </cell>
          <cell r="X25">
            <v>46036</v>
          </cell>
          <cell r="Y25">
            <v>46049</v>
          </cell>
          <cell r="Z25">
            <v>14</v>
          </cell>
          <cell r="AA25" t="str">
            <v>Selesai</v>
          </cell>
          <cell r="AB25">
            <v>100.00000000000001</v>
          </cell>
          <cell r="AC25" t="str">
            <v>Standar</v>
          </cell>
          <cell r="AD25" t="str">
            <v>023D</v>
          </cell>
          <cell r="AE25" t="str">
            <v>GP3</v>
          </cell>
          <cell r="AF25">
            <v>8.4700000000000006</v>
          </cell>
        </row>
        <row r="26">
          <cell r="B26" t="str">
            <v>045F2</v>
          </cell>
          <cell r="C26">
            <v>465937.08999999997</v>
          </cell>
          <cell r="D26">
            <v>6.43</v>
          </cell>
          <cell r="E26" t="str">
            <v>Kecil</v>
          </cell>
          <cell r="F26" t="str">
            <v>Crown</v>
          </cell>
          <cell r="G26" t="str">
            <v>GP3</v>
          </cell>
          <cell r="H26">
            <v>0</v>
          </cell>
          <cell r="J26">
            <v>465937.09000000008</v>
          </cell>
          <cell r="K26">
            <v>6.4300000000000015</v>
          </cell>
          <cell r="L26">
            <v>465937.09000000008</v>
          </cell>
          <cell r="M26">
            <v>6.4300000000000015</v>
          </cell>
          <cell r="N26">
            <v>0</v>
          </cell>
          <cell r="O26">
            <v>0</v>
          </cell>
          <cell r="P26">
            <v>0</v>
          </cell>
          <cell r="R26">
            <v>465937.09</v>
          </cell>
          <cell r="S26">
            <v>6.4300000000000006</v>
          </cell>
          <cell r="T26">
            <v>465937.09</v>
          </cell>
          <cell r="U26">
            <v>6.4300000000000006</v>
          </cell>
          <cell r="V26">
            <v>0</v>
          </cell>
          <cell r="W26">
            <v>0</v>
          </cell>
          <cell r="X26">
            <v>46035</v>
          </cell>
          <cell r="Y26">
            <v>46050</v>
          </cell>
          <cell r="Z26">
            <v>16</v>
          </cell>
          <cell r="AA26" t="str">
            <v>Selesai</v>
          </cell>
          <cell r="AB26">
            <v>100.00000000000001</v>
          </cell>
          <cell r="AC26" t="str">
            <v>Standar</v>
          </cell>
          <cell r="AD26" t="str">
            <v>045F2</v>
          </cell>
          <cell r="AE26" t="str">
            <v>GP3</v>
          </cell>
          <cell r="AF26">
            <v>8.4700000000000006</v>
          </cell>
        </row>
        <row r="27">
          <cell r="B27" t="str">
            <v>002A1</v>
          </cell>
          <cell r="C27">
            <v>331880.53999999998</v>
          </cell>
          <cell r="D27">
            <v>4.58</v>
          </cell>
          <cell r="E27" t="str">
            <v>Sedang</v>
          </cell>
          <cell r="F27" t="str">
            <v>Sucker</v>
          </cell>
          <cell r="G27" t="str">
            <v>GP3</v>
          </cell>
          <cell r="H27">
            <v>179708.23999999996</v>
          </cell>
          <cell r="I27">
            <v>2.4799999999999995</v>
          </cell>
          <cell r="J27">
            <v>152172.29999999999</v>
          </cell>
          <cell r="K27">
            <v>2.0999999999999996</v>
          </cell>
          <cell r="L27">
            <v>331880.53999999992</v>
          </cell>
          <cell r="M27">
            <v>4.5799999999999992</v>
          </cell>
          <cell r="N27">
            <v>0</v>
          </cell>
          <cell r="O27">
            <v>0</v>
          </cell>
          <cell r="P27">
            <v>152896.93000000002</v>
          </cell>
          <cell r="Q27">
            <v>2.1100000000000003</v>
          </cell>
          <cell r="R27">
            <v>178983.60999999996</v>
          </cell>
          <cell r="S27">
            <v>2.4699999999999993</v>
          </cell>
          <cell r="T27">
            <v>331880.53999999998</v>
          </cell>
          <cell r="U27">
            <v>4.58</v>
          </cell>
          <cell r="V27">
            <v>0</v>
          </cell>
          <cell r="W27">
            <v>0</v>
          </cell>
          <cell r="X27">
            <v>46017</v>
          </cell>
          <cell r="Y27">
            <v>46053</v>
          </cell>
          <cell r="Z27">
            <v>37</v>
          </cell>
          <cell r="AA27" t="str">
            <v>Selesai</v>
          </cell>
          <cell r="AB27">
            <v>100</v>
          </cell>
          <cell r="AC27" t="str">
            <v>Standar</v>
          </cell>
          <cell r="AD27" t="str">
            <v>002A1</v>
          </cell>
          <cell r="AE27" t="str">
            <v>GP3</v>
          </cell>
          <cell r="AF27">
            <v>8.4700000000000006</v>
          </cell>
        </row>
        <row r="28">
          <cell r="B28" t="str">
            <v>037D</v>
          </cell>
          <cell r="C28">
            <v>689123.13</v>
          </cell>
          <cell r="D28">
            <v>9.51</v>
          </cell>
          <cell r="E28" t="str">
            <v>Kecil</v>
          </cell>
          <cell r="F28" t="str">
            <v>Crown</v>
          </cell>
          <cell r="G28" t="str">
            <v>GP3</v>
          </cell>
          <cell r="H28">
            <v>0</v>
          </cell>
          <cell r="J28">
            <v>689123.13</v>
          </cell>
          <cell r="K28">
            <v>9.51</v>
          </cell>
          <cell r="L28">
            <v>689123.13</v>
          </cell>
          <cell r="M28">
            <v>9.51</v>
          </cell>
          <cell r="N28">
            <v>0</v>
          </cell>
          <cell r="O28">
            <v>0</v>
          </cell>
          <cell r="P28">
            <v>0</v>
          </cell>
          <cell r="R28">
            <v>689123.12999999977</v>
          </cell>
          <cell r="S28">
            <v>9.5099999999999962</v>
          </cell>
          <cell r="T28">
            <v>689123.12999999977</v>
          </cell>
          <cell r="U28">
            <v>9.5099999999999962</v>
          </cell>
          <cell r="V28">
            <v>0</v>
          </cell>
          <cell r="W28">
            <v>0</v>
          </cell>
          <cell r="X28">
            <v>46025</v>
          </cell>
          <cell r="Y28">
            <v>46053</v>
          </cell>
          <cell r="Z28">
            <v>29</v>
          </cell>
          <cell r="AA28" t="str">
            <v>Selesai</v>
          </cell>
          <cell r="AB28">
            <v>99.999999999999957</v>
          </cell>
          <cell r="AC28" t="str">
            <v>Standar</v>
          </cell>
          <cell r="AD28" t="str">
            <v>037D</v>
          </cell>
          <cell r="AE28" t="str">
            <v>GP3</v>
          </cell>
          <cell r="AF28">
            <v>8.4700000000000006</v>
          </cell>
        </row>
        <row r="29">
          <cell r="B29" t="str">
            <v>082B2</v>
          </cell>
          <cell r="C29">
            <v>415212.99000000005</v>
          </cell>
          <cell r="D29">
            <v>5.73</v>
          </cell>
          <cell r="E29" t="str">
            <v>Sedang</v>
          </cell>
          <cell r="F29" t="str">
            <v>Sucker</v>
          </cell>
          <cell r="G29" t="str">
            <v>GP3</v>
          </cell>
          <cell r="H29">
            <v>277533.28999999998</v>
          </cell>
          <cell r="I29">
            <v>3.83</v>
          </cell>
          <cell r="J29">
            <v>137679.69999999998</v>
          </cell>
          <cell r="K29">
            <v>1.9</v>
          </cell>
          <cell r="L29">
            <v>415212.99000000005</v>
          </cell>
          <cell r="M29">
            <v>5.73</v>
          </cell>
          <cell r="N29">
            <v>0</v>
          </cell>
          <cell r="O29">
            <v>0</v>
          </cell>
          <cell r="P29">
            <v>257243.65000000002</v>
          </cell>
          <cell r="Q29">
            <v>3.5500000000000003</v>
          </cell>
          <cell r="R29">
            <v>157969.33999999997</v>
          </cell>
          <cell r="S29">
            <v>2.1799999999999997</v>
          </cell>
          <cell r="T29">
            <v>415212.99000000005</v>
          </cell>
          <cell r="U29">
            <v>5.73</v>
          </cell>
          <cell r="V29">
            <v>0</v>
          </cell>
          <cell r="W29">
            <v>0</v>
          </cell>
          <cell r="X29">
            <v>46020</v>
          </cell>
          <cell r="Y29">
            <v>46053</v>
          </cell>
          <cell r="Z29">
            <v>34</v>
          </cell>
          <cell r="AA29" t="str">
            <v>Selesai</v>
          </cell>
          <cell r="AB29">
            <v>99.999999999999986</v>
          </cell>
          <cell r="AC29" t="str">
            <v>Standar</v>
          </cell>
          <cell r="AD29" t="str">
            <v>082B2</v>
          </cell>
          <cell r="AE29" t="str">
            <v>GP3</v>
          </cell>
          <cell r="AF29">
            <v>8.4700000000000006</v>
          </cell>
        </row>
        <row r="30">
          <cell r="B30" t="str">
            <v>083A1</v>
          </cell>
          <cell r="C30">
            <v>258692.90999999997</v>
          </cell>
          <cell r="D30">
            <v>3.57</v>
          </cell>
          <cell r="E30" t="str">
            <v>Sedang</v>
          </cell>
          <cell r="F30" t="str">
            <v>Sucker</v>
          </cell>
          <cell r="G30" t="str">
            <v>GP3</v>
          </cell>
          <cell r="H30">
            <v>0</v>
          </cell>
          <cell r="J30">
            <v>258692.91000000003</v>
          </cell>
          <cell r="K30">
            <v>3.5700000000000003</v>
          </cell>
          <cell r="L30">
            <v>258692.91000000003</v>
          </cell>
          <cell r="M30">
            <v>3.5700000000000003</v>
          </cell>
          <cell r="N30">
            <v>0</v>
          </cell>
          <cell r="O30">
            <v>0</v>
          </cell>
          <cell r="P30">
            <v>0</v>
          </cell>
          <cell r="R30">
            <v>258692.90999999997</v>
          </cell>
          <cell r="S30">
            <v>3.57</v>
          </cell>
          <cell r="T30">
            <v>258692.90999999997</v>
          </cell>
          <cell r="U30">
            <v>3.57</v>
          </cell>
          <cell r="V30">
            <v>0</v>
          </cell>
          <cell r="W30">
            <v>0</v>
          </cell>
          <cell r="X30">
            <v>46038</v>
          </cell>
          <cell r="Y30">
            <v>46053</v>
          </cell>
          <cell r="Z30">
            <v>16</v>
          </cell>
          <cell r="AA30" t="str">
            <v>Selesai</v>
          </cell>
          <cell r="AB30">
            <v>100</v>
          </cell>
          <cell r="AC30" t="str">
            <v>Standar</v>
          </cell>
          <cell r="AD30" t="str">
            <v>083A1</v>
          </cell>
          <cell r="AE30" t="str">
            <v>GP3</v>
          </cell>
          <cell r="AF30">
            <v>8.4700000000000006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Real"/>
      <sheetName val="selesai tanam"/>
      <sheetName val="Sheet18"/>
      <sheetName val="Status"/>
      <sheetName val="Sheet6"/>
      <sheetName val="Sheet1"/>
      <sheetName val="Sheet3"/>
      <sheetName val="Sheet4"/>
      <sheetName val="Sheet5"/>
      <sheetName val="Sheet2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 refreshError="1"/>
      <sheetData sheetId="1">
        <row r="15">
          <cell r="B15" t="str">
            <v>007A3</v>
          </cell>
          <cell r="C15">
            <v>525356.75</v>
          </cell>
          <cell r="D15">
            <v>7.25</v>
          </cell>
          <cell r="E15" t="str">
            <v>Kecil</v>
          </cell>
          <cell r="F15" t="str">
            <v>Sucker</v>
          </cell>
          <cell r="G15" t="str">
            <v>GP3</v>
          </cell>
          <cell r="H15">
            <v>507965.63000000006</v>
          </cell>
          <cell r="I15">
            <v>7.0100000000000007</v>
          </cell>
          <cell r="J15">
            <v>0</v>
          </cell>
          <cell r="L15">
            <v>507965.63000000006</v>
          </cell>
          <cell r="M15">
            <v>7.0100000000000007</v>
          </cell>
          <cell r="N15">
            <v>-17391.119999999952</v>
          </cell>
          <cell r="O15">
            <v>-0.23999999999999932</v>
          </cell>
          <cell r="P15">
            <v>525356.75</v>
          </cell>
          <cell r="Q15">
            <v>7.25</v>
          </cell>
          <cell r="R15">
            <v>0</v>
          </cell>
          <cell r="T15">
            <v>525356.75</v>
          </cell>
          <cell r="U15">
            <v>7.25</v>
          </cell>
          <cell r="V15">
            <v>0</v>
          </cell>
          <cell r="W15">
            <v>0</v>
          </cell>
          <cell r="X15">
            <v>45974</v>
          </cell>
          <cell r="Y15">
            <v>45992</v>
          </cell>
        </row>
        <row r="16">
          <cell r="B16" t="str">
            <v>009E</v>
          </cell>
          <cell r="C16">
            <v>493473.02999999997</v>
          </cell>
          <cell r="D16">
            <v>6.81</v>
          </cell>
          <cell r="E16" t="str">
            <v>Kecil</v>
          </cell>
          <cell r="F16" t="str">
            <v>Sucker</v>
          </cell>
          <cell r="G16" t="str">
            <v>GP3</v>
          </cell>
          <cell r="H16">
            <v>234780.12000000002</v>
          </cell>
          <cell r="I16">
            <v>3.24</v>
          </cell>
          <cell r="J16">
            <v>0</v>
          </cell>
          <cell r="L16">
            <v>234780.12000000002</v>
          </cell>
          <cell r="M16">
            <v>3.24</v>
          </cell>
          <cell r="N16">
            <v>-258620.90999999995</v>
          </cell>
          <cell r="O16">
            <v>-3.5699999999999994</v>
          </cell>
          <cell r="P16">
            <v>257968.27999999997</v>
          </cell>
          <cell r="Q16">
            <v>3.5599999999999996</v>
          </cell>
          <cell r="R16">
            <v>0</v>
          </cell>
          <cell r="T16">
            <v>257968.27999999997</v>
          </cell>
          <cell r="U16">
            <v>3.5599999999999996</v>
          </cell>
          <cell r="V16">
            <v>-235504.75</v>
          </cell>
          <cell r="W16">
            <v>-3.25</v>
          </cell>
          <cell r="X16">
            <v>45987</v>
          </cell>
        </row>
        <row r="17">
          <cell r="B17" t="str">
            <v>012f</v>
          </cell>
          <cell r="C17">
            <v>173911.19999999998</v>
          </cell>
          <cell r="D17">
            <v>2.4</v>
          </cell>
          <cell r="E17" t="str">
            <v>Kecil</v>
          </cell>
          <cell r="F17" t="str">
            <v>Crown</v>
          </cell>
          <cell r="G17" t="str">
            <v>GP3</v>
          </cell>
          <cell r="H17">
            <v>0</v>
          </cell>
          <cell r="K17">
            <v>2.0099999999999998</v>
          </cell>
          <cell r="L17">
            <v>145650.62999999998</v>
          </cell>
          <cell r="M17">
            <v>2.0099999999999998</v>
          </cell>
          <cell r="N17">
            <v>-28188.570000000011</v>
          </cell>
          <cell r="O17">
            <v>-0.39000000000000012</v>
          </cell>
          <cell r="P17">
            <v>0</v>
          </cell>
          <cell r="R17">
            <v>171012.68</v>
          </cell>
          <cell r="S17">
            <v>2.36</v>
          </cell>
          <cell r="T17">
            <v>171012.68</v>
          </cell>
          <cell r="U17">
            <v>2.36</v>
          </cell>
          <cell r="V17">
            <v>-2898.5200000000027</v>
          </cell>
          <cell r="W17">
            <v>-4.0000000000000036E-2</v>
          </cell>
          <cell r="X17">
            <v>45997</v>
          </cell>
        </row>
        <row r="18">
          <cell r="B18" t="str">
            <v>045c3</v>
          </cell>
          <cell r="C18">
            <v>504342.48</v>
          </cell>
          <cell r="D18">
            <v>6.96</v>
          </cell>
          <cell r="E18" t="str">
            <v>Kecil</v>
          </cell>
          <cell r="F18" t="str">
            <v>Crown</v>
          </cell>
          <cell r="G18" t="str">
            <v>GP3</v>
          </cell>
          <cell r="H18">
            <v>0</v>
          </cell>
          <cell r="K18">
            <v>1.02</v>
          </cell>
          <cell r="L18">
            <v>73912.259999999995</v>
          </cell>
          <cell r="M18">
            <v>1.02</v>
          </cell>
          <cell r="N18">
            <v>-430358.22</v>
          </cell>
          <cell r="O18">
            <v>-5.9399999999999995</v>
          </cell>
          <cell r="P18">
            <v>0</v>
          </cell>
          <cell r="R18">
            <v>40579.280000000006</v>
          </cell>
          <cell r="S18">
            <v>0.56000000000000005</v>
          </cell>
          <cell r="T18">
            <v>40579.280000000006</v>
          </cell>
          <cell r="U18">
            <v>0.56000000000000005</v>
          </cell>
          <cell r="V18">
            <v>-463763.20000000001</v>
          </cell>
          <cell r="W18">
            <v>-6.4</v>
          </cell>
          <cell r="X18">
            <v>46002</v>
          </cell>
        </row>
        <row r="19">
          <cell r="B19" t="str">
            <v>046b2</v>
          </cell>
          <cell r="C19">
            <v>753615.20000000007</v>
          </cell>
          <cell r="D19">
            <v>10.4</v>
          </cell>
          <cell r="E19" t="str">
            <v>Kecil</v>
          </cell>
          <cell r="F19" t="str">
            <v>Crown</v>
          </cell>
          <cell r="G19" t="str">
            <v>GP3</v>
          </cell>
          <cell r="H19">
            <v>0</v>
          </cell>
          <cell r="K19">
            <v>0.72</v>
          </cell>
          <cell r="L19">
            <v>52173.36</v>
          </cell>
          <cell r="M19">
            <v>0.72</v>
          </cell>
          <cell r="N19">
            <v>-701369.84</v>
          </cell>
          <cell r="O19">
            <v>-9.68</v>
          </cell>
          <cell r="P19">
            <v>0</v>
          </cell>
          <cell r="R19">
            <v>49999.469999999994</v>
          </cell>
          <cell r="S19">
            <v>0.69</v>
          </cell>
          <cell r="T19">
            <v>49999.469999999994</v>
          </cell>
          <cell r="U19">
            <v>0.69</v>
          </cell>
          <cell r="V19">
            <v>-703615.7300000001</v>
          </cell>
          <cell r="W19">
            <v>-9.7100000000000009</v>
          </cell>
          <cell r="X19">
            <v>45999</v>
          </cell>
        </row>
        <row r="20">
          <cell r="B20" t="str">
            <v>046b1</v>
          </cell>
          <cell r="C20">
            <v>566660.66</v>
          </cell>
          <cell r="D20">
            <v>7.82</v>
          </cell>
          <cell r="E20" t="str">
            <v>Kecil</v>
          </cell>
          <cell r="F20" t="str">
            <v>Crown</v>
          </cell>
          <cell r="G20" t="str">
            <v>GP3</v>
          </cell>
          <cell r="H20">
            <v>0</v>
          </cell>
          <cell r="L20">
            <v>0</v>
          </cell>
          <cell r="M20">
            <v>0</v>
          </cell>
          <cell r="N20">
            <v>-566588.66</v>
          </cell>
          <cell r="O20">
            <v>-7.82</v>
          </cell>
          <cell r="P20">
            <v>0</v>
          </cell>
          <cell r="R20">
            <v>19565.010000000002</v>
          </cell>
          <cell r="S20">
            <v>0.27</v>
          </cell>
          <cell r="T20">
            <v>19565.010000000002</v>
          </cell>
          <cell r="U20">
            <v>0.27</v>
          </cell>
          <cell r="V20">
            <v>-547095.65</v>
          </cell>
          <cell r="W20">
            <v>-7.5500000000000007</v>
          </cell>
          <cell r="X20">
            <v>45998</v>
          </cell>
        </row>
        <row r="21">
          <cell r="B21" t="str">
            <v>013G</v>
          </cell>
          <cell r="C21">
            <v>750716.67999999993</v>
          </cell>
          <cell r="D21">
            <v>10.36</v>
          </cell>
          <cell r="E21" t="str">
            <v>Kecil</v>
          </cell>
          <cell r="F21" t="str">
            <v>Crown</v>
          </cell>
          <cell r="G21" t="str">
            <v>GP3</v>
          </cell>
          <cell r="H21">
            <v>727528.52</v>
          </cell>
          <cell r="I21">
            <v>10.040000000000001</v>
          </cell>
          <cell r="J21">
            <v>0</v>
          </cell>
          <cell r="L21">
            <v>727528.52</v>
          </cell>
          <cell r="M21">
            <v>10.040000000000001</v>
          </cell>
          <cell r="N21">
            <v>-23188.159999999891</v>
          </cell>
          <cell r="O21">
            <v>-0.31999999999999851</v>
          </cell>
          <cell r="P21">
            <v>750716.68</v>
          </cell>
          <cell r="Q21">
            <v>10.360000000000001</v>
          </cell>
          <cell r="R21">
            <v>0</v>
          </cell>
          <cell r="T21">
            <v>750716.68</v>
          </cell>
          <cell r="U21">
            <v>10.360000000000001</v>
          </cell>
          <cell r="V21">
            <v>0</v>
          </cell>
          <cell r="W21">
            <v>0</v>
          </cell>
          <cell r="X21">
            <v>45956</v>
          </cell>
          <cell r="Y21">
            <v>45992</v>
          </cell>
        </row>
        <row r="22">
          <cell r="B22" t="str">
            <v>029E2</v>
          </cell>
          <cell r="C22">
            <v>542747.87</v>
          </cell>
          <cell r="D22">
            <v>7.49</v>
          </cell>
          <cell r="E22" t="str">
            <v>Kecil</v>
          </cell>
          <cell r="F22" t="str">
            <v>Crown</v>
          </cell>
          <cell r="G22" t="str">
            <v>GP3</v>
          </cell>
          <cell r="H22">
            <v>542747.87</v>
          </cell>
          <cell r="I22">
            <v>7.49</v>
          </cell>
          <cell r="J22">
            <v>0</v>
          </cell>
          <cell r="L22">
            <v>542747.87</v>
          </cell>
          <cell r="M22">
            <v>7.49</v>
          </cell>
          <cell r="N22">
            <v>0</v>
          </cell>
          <cell r="O22">
            <v>0</v>
          </cell>
          <cell r="P22">
            <v>539124.72</v>
          </cell>
          <cell r="Q22">
            <v>7.4399999999999995</v>
          </cell>
          <cell r="R22">
            <v>3623.15</v>
          </cell>
          <cell r="S22">
            <v>0.05</v>
          </cell>
          <cell r="T22">
            <v>542747.87</v>
          </cell>
          <cell r="U22">
            <v>7.4899999999999993</v>
          </cell>
          <cell r="V22">
            <v>0</v>
          </cell>
          <cell r="W22">
            <v>0</v>
          </cell>
          <cell r="X22">
            <v>45974</v>
          </cell>
        </row>
        <row r="23">
          <cell r="B23" t="str">
            <v>030H2</v>
          </cell>
          <cell r="C23">
            <v>735499.45000000007</v>
          </cell>
          <cell r="D23">
            <v>10.15</v>
          </cell>
          <cell r="E23" t="str">
            <v>Sedang</v>
          </cell>
          <cell r="F23" t="str">
            <v>Sucker</v>
          </cell>
          <cell r="G23" t="str">
            <v>GP3</v>
          </cell>
          <cell r="H23">
            <v>587674.93000000005</v>
          </cell>
          <cell r="I23">
            <v>8.1100000000000012</v>
          </cell>
          <cell r="J23">
            <v>142027.47999999995</v>
          </cell>
          <cell r="K23">
            <v>1.9599999999999995</v>
          </cell>
          <cell r="L23">
            <v>729702.41</v>
          </cell>
          <cell r="M23">
            <v>10.07</v>
          </cell>
          <cell r="N23">
            <v>-5797.0400000000054</v>
          </cell>
          <cell r="O23">
            <v>-8.0000000000000071E-2</v>
          </cell>
          <cell r="P23">
            <v>676079.79</v>
          </cell>
          <cell r="Q23">
            <v>9.33</v>
          </cell>
          <cell r="R23">
            <v>56521.140000000007</v>
          </cell>
          <cell r="S23">
            <v>0.78000000000000014</v>
          </cell>
          <cell r="T23">
            <v>732600.92999999993</v>
          </cell>
          <cell r="U23">
            <v>10.11</v>
          </cell>
          <cell r="V23">
            <v>-2898.5200000000668</v>
          </cell>
          <cell r="W23">
            <v>-4.0000000000000924E-2</v>
          </cell>
          <cell r="X23">
            <v>45972</v>
          </cell>
        </row>
        <row r="24">
          <cell r="B24" t="str">
            <v>070L1</v>
          </cell>
          <cell r="C24">
            <v>563762.14</v>
          </cell>
          <cell r="D24">
            <v>7.78</v>
          </cell>
          <cell r="E24" t="str">
            <v>Kecil</v>
          </cell>
          <cell r="F24" t="str">
            <v>Crown</v>
          </cell>
          <cell r="G24" t="str">
            <v>GP3</v>
          </cell>
          <cell r="H24">
            <v>52173.36</v>
          </cell>
          <cell r="I24">
            <v>0.72</v>
          </cell>
          <cell r="J24">
            <v>511588.78</v>
          </cell>
          <cell r="K24">
            <v>7.0600000000000005</v>
          </cell>
          <cell r="L24">
            <v>563762.14</v>
          </cell>
          <cell r="M24">
            <v>7.78</v>
          </cell>
          <cell r="N24">
            <v>0</v>
          </cell>
          <cell r="O24">
            <v>0</v>
          </cell>
          <cell r="P24">
            <v>30434.46</v>
          </cell>
          <cell r="Q24">
            <v>0.42</v>
          </cell>
          <cell r="R24">
            <v>533327.68000000005</v>
          </cell>
          <cell r="S24">
            <v>7.36</v>
          </cell>
          <cell r="T24">
            <v>563762.14</v>
          </cell>
          <cell r="U24">
            <v>7.78</v>
          </cell>
          <cell r="V24">
            <v>0</v>
          </cell>
          <cell r="W24">
            <v>0</v>
          </cell>
          <cell r="X24">
            <v>45991</v>
          </cell>
        </row>
        <row r="25">
          <cell r="B25" t="str">
            <v>089B</v>
          </cell>
          <cell r="C25">
            <v>726079.26</v>
          </cell>
          <cell r="D25">
            <v>10.02</v>
          </cell>
          <cell r="E25" t="str">
            <v>Kecil</v>
          </cell>
          <cell r="F25" t="str">
            <v>Crown</v>
          </cell>
          <cell r="G25" t="str">
            <v>GP3</v>
          </cell>
          <cell r="H25">
            <v>554341.95000000007</v>
          </cell>
          <cell r="I25">
            <v>7.65</v>
          </cell>
          <cell r="J25">
            <v>172461.94</v>
          </cell>
          <cell r="K25">
            <v>2.38</v>
          </cell>
          <cell r="L25">
            <v>726803.89000000013</v>
          </cell>
          <cell r="M25">
            <v>10.030000000000001</v>
          </cell>
          <cell r="N25">
            <v>724.63000000011323</v>
          </cell>
          <cell r="O25">
            <v>1.0000000000001563E-2</v>
          </cell>
          <cell r="P25">
            <v>490574.50999999995</v>
          </cell>
          <cell r="Q25">
            <v>6.77</v>
          </cell>
          <cell r="R25">
            <v>232606.23000000004</v>
          </cell>
          <cell r="S25">
            <v>3.2100000000000004</v>
          </cell>
          <cell r="T25">
            <v>723180.74</v>
          </cell>
          <cell r="U25">
            <v>9.98</v>
          </cell>
          <cell r="V25">
            <v>-2898.5199999999381</v>
          </cell>
          <cell r="W25">
            <v>-3.9999999999999147E-2</v>
          </cell>
          <cell r="X25">
            <v>45988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nas"/>
      <sheetName val="Sheet1"/>
      <sheetName val="Singkong"/>
      <sheetName val="Pisang"/>
      <sheetName val="Pepaya"/>
      <sheetName val="Bero SN-Per Eks Tnmn Lhn Nns"/>
      <sheetName val="Data Bero"/>
    </sheetNames>
    <sheetDataSet>
      <sheetData sheetId="0">
        <row r="1336">
          <cell r="C1336" t="str">
            <v>054A</v>
          </cell>
          <cell r="D1336">
            <v>5.85</v>
          </cell>
          <cell r="E1336">
            <v>4.8899999999999997</v>
          </cell>
          <cell r="F1336" t="str">
            <v>NSBK2602</v>
          </cell>
          <cell r="G1336" t="str">
            <v>RC</v>
          </cell>
        </row>
        <row r="1337">
          <cell r="C1337" t="str">
            <v>046P1</v>
          </cell>
          <cell r="D1337">
            <v>0.35</v>
          </cell>
          <cell r="E1337">
            <v>0.31</v>
          </cell>
          <cell r="F1337" t="str">
            <v>NSBK2603</v>
          </cell>
          <cell r="G1337" t="str">
            <v>RC</v>
          </cell>
        </row>
        <row r="1338">
          <cell r="C1338" t="str">
            <v>054B1</v>
          </cell>
          <cell r="D1338">
            <v>9.18</v>
          </cell>
          <cell r="E1338">
            <v>7.73</v>
          </cell>
          <cell r="F1338" t="str">
            <v>NSBK2602</v>
          </cell>
          <cell r="G1338" t="str">
            <v>RC</v>
          </cell>
        </row>
        <row r="1339">
          <cell r="C1339" t="str">
            <v>029A3</v>
          </cell>
          <cell r="D1339">
            <v>10.62</v>
          </cell>
          <cell r="E1339">
            <v>8.4600000000000009</v>
          </cell>
          <cell r="F1339" t="str">
            <v>NSBK2511</v>
          </cell>
          <cell r="G1339" t="str">
            <v>RC</v>
          </cell>
        </row>
        <row r="1340">
          <cell r="C1340" t="str">
            <v>065B5</v>
          </cell>
          <cell r="D1340">
            <v>8.61</v>
          </cell>
          <cell r="E1340">
            <v>7.19</v>
          </cell>
          <cell r="F1340" t="str">
            <v>PSBK2510</v>
          </cell>
          <cell r="G1340" t="str">
            <v>PS</v>
          </cell>
        </row>
        <row r="1341">
          <cell r="C1341" t="str">
            <v>025C</v>
          </cell>
          <cell r="D1341">
            <v>10.08</v>
          </cell>
          <cell r="E1341">
            <v>8.25</v>
          </cell>
          <cell r="F1341" t="str">
            <v>NSBK2603</v>
          </cell>
          <cell r="G1341" t="str">
            <v>RC</v>
          </cell>
        </row>
        <row r="1342">
          <cell r="C1342" t="str">
            <v>013B</v>
          </cell>
          <cell r="D1342">
            <v>7.69</v>
          </cell>
          <cell r="E1342">
            <v>6.36</v>
          </cell>
          <cell r="F1342" t="str">
            <v>NSBK2512</v>
          </cell>
          <cell r="G1342" t="str">
            <v>RC</v>
          </cell>
        </row>
        <row r="1343">
          <cell r="C1343" t="str">
            <v>098A1</v>
          </cell>
          <cell r="D1343">
            <v>11.47</v>
          </cell>
          <cell r="E1343">
            <v>9.5500000000000007</v>
          </cell>
          <cell r="F1343" t="str">
            <v>NSBK2512</v>
          </cell>
          <cell r="G1343" t="str">
            <v>RC</v>
          </cell>
        </row>
        <row r="1344">
          <cell r="C1344" t="str">
            <v>029A2</v>
          </cell>
          <cell r="D1344">
            <v>6.11</v>
          </cell>
          <cell r="E1344">
            <v>5.07</v>
          </cell>
          <cell r="F1344" t="str">
            <v>NSBK2511</v>
          </cell>
          <cell r="G1344" t="str">
            <v>RC</v>
          </cell>
        </row>
        <row r="1345">
          <cell r="C1345" t="str">
            <v>028A</v>
          </cell>
          <cell r="D1345">
            <v>4.91</v>
          </cell>
          <cell r="E1345">
            <v>4.12</v>
          </cell>
          <cell r="F1345" t="str">
            <v>NSBK2603</v>
          </cell>
          <cell r="G1345" t="str">
            <v>RC</v>
          </cell>
        </row>
        <row r="1346">
          <cell r="C1346" t="str">
            <v>089A</v>
          </cell>
          <cell r="D1346">
            <v>3.84</v>
          </cell>
          <cell r="E1346">
            <v>3.25</v>
          </cell>
          <cell r="F1346" t="str">
            <v>NSBK2505</v>
          </cell>
          <cell r="G1346" t="str">
            <v>RC</v>
          </cell>
        </row>
        <row r="1347">
          <cell r="C1347" t="str">
            <v>014D</v>
          </cell>
          <cell r="D1347">
            <v>10.14</v>
          </cell>
          <cell r="E1347">
            <v>8.35</v>
          </cell>
          <cell r="F1347" t="str">
            <v>NSBK2512</v>
          </cell>
          <cell r="G1347" t="str">
            <v>RC</v>
          </cell>
        </row>
        <row r="1348">
          <cell r="C1348" t="str">
            <v>054E</v>
          </cell>
          <cell r="D1348">
            <v>11.97</v>
          </cell>
          <cell r="E1348">
            <v>9.6199999999999992</v>
          </cell>
          <cell r="F1348" t="str">
            <v>PSBK2603</v>
          </cell>
          <cell r="G1348" t="str">
            <v>PS</v>
          </cell>
        </row>
        <row r="1349">
          <cell r="C1349" t="str">
            <v>078M</v>
          </cell>
          <cell r="D1349">
            <v>5.0599999999999996</v>
          </cell>
          <cell r="E1349">
            <v>4.07</v>
          </cell>
          <cell r="F1349" t="str">
            <v>NSBK2509</v>
          </cell>
          <cell r="G1349" t="str">
            <v>RC</v>
          </cell>
        </row>
        <row r="1350">
          <cell r="C1350" t="str">
            <v>079J</v>
          </cell>
          <cell r="D1350">
            <v>6.21</v>
          </cell>
          <cell r="E1350">
            <v>5.15</v>
          </cell>
          <cell r="F1350" t="str">
            <v>NSBK2601</v>
          </cell>
          <cell r="G1350" t="str">
            <v>RC</v>
          </cell>
        </row>
        <row r="1351">
          <cell r="C1351" t="str">
            <v>085E</v>
          </cell>
          <cell r="D1351">
            <v>10.68</v>
          </cell>
          <cell r="E1351">
            <v>8.7200000000000006</v>
          </cell>
          <cell r="F1351" t="str">
            <v>NSBK2512</v>
          </cell>
          <cell r="G1351" t="str">
            <v>RC</v>
          </cell>
        </row>
        <row r="1352">
          <cell r="C1352" t="str">
            <v>086D</v>
          </cell>
          <cell r="D1352">
            <v>10.77</v>
          </cell>
          <cell r="E1352">
            <v>8.94</v>
          </cell>
          <cell r="F1352" t="str">
            <v>NSBK2512</v>
          </cell>
          <cell r="G1352" t="str">
            <v>RC</v>
          </cell>
        </row>
        <row r="1353">
          <cell r="C1353" t="str">
            <v>097H</v>
          </cell>
          <cell r="D1353">
            <v>9.76</v>
          </cell>
          <cell r="E1353">
            <v>7.97</v>
          </cell>
          <cell r="F1353" t="str">
            <v>NSBK2603</v>
          </cell>
          <cell r="G1353" t="str">
            <v>RC</v>
          </cell>
        </row>
        <row r="1354">
          <cell r="C1354" t="str">
            <v>098C</v>
          </cell>
          <cell r="D1354">
            <v>8.67</v>
          </cell>
          <cell r="E1354">
            <v>7.22</v>
          </cell>
          <cell r="F1354" t="str">
            <v>PYBK2604</v>
          </cell>
          <cell r="G1354" t="str">
            <v>PY</v>
          </cell>
        </row>
        <row r="1355">
          <cell r="C1355" t="str">
            <v>009G1</v>
          </cell>
          <cell r="D1355">
            <v>5.64</v>
          </cell>
          <cell r="E1355">
            <v>4.67</v>
          </cell>
          <cell r="F1355" t="str">
            <v>NSBK2602</v>
          </cell>
          <cell r="G1355" t="str">
            <v>RC</v>
          </cell>
        </row>
        <row r="1356">
          <cell r="C1356" t="str">
            <v>067B</v>
          </cell>
          <cell r="D1356">
            <v>10.62</v>
          </cell>
          <cell r="E1356">
            <v>8.75</v>
          </cell>
          <cell r="F1356" t="str">
            <v>NSBK2509</v>
          </cell>
          <cell r="G1356" t="str">
            <v>RC</v>
          </cell>
        </row>
        <row r="1357">
          <cell r="C1357" t="str">
            <v>078L</v>
          </cell>
          <cell r="D1357">
            <v>7.21</v>
          </cell>
          <cell r="E1357">
            <v>5.96</v>
          </cell>
          <cell r="F1357" t="str">
            <v>NSBK2510</v>
          </cell>
          <cell r="G1357" t="str">
            <v>RC</v>
          </cell>
        </row>
        <row r="1358">
          <cell r="C1358" t="str">
            <v>025A</v>
          </cell>
          <cell r="D1358">
            <v>10.93</v>
          </cell>
          <cell r="E1358">
            <v>9.02</v>
          </cell>
          <cell r="F1358" t="str">
            <v>NSBK2510</v>
          </cell>
          <cell r="G1358" t="str">
            <v>RC</v>
          </cell>
        </row>
        <row r="1359">
          <cell r="C1359" t="str">
            <v>010C2</v>
          </cell>
          <cell r="D1359">
            <v>6.89</v>
          </cell>
          <cell r="E1359">
            <v>5.75</v>
          </cell>
          <cell r="F1359" t="str">
            <v>NSBK2603</v>
          </cell>
          <cell r="G1359" t="str">
            <v>BB</v>
          </cell>
        </row>
        <row r="1360">
          <cell r="C1360" t="str">
            <v>069C6</v>
          </cell>
          <cell r="D1360">
            <v>13.64</v>
          </cell>
          <cell r="E1360">
            <v>11.3</v>
          </cell>
          <cell r="F1360" t="str">
            <v>NSBK2510</v>
          </cell>
          <cell r="G1360" t="str">
            <v>BB</v>
          </cell>
        </row>
        <row r="1361">
          <cell r="C1361" t="str">
            <v>056B</v>
          </cell>
          <cell r="D1361">
            <v>8.64</v>
          </cell>
          <cell r="E1361">
            <v>7.32</v>
          </cell>
          <cell r="F1361" t="str">
            <v>NSBK2306</v>
          </cell>
          <cell r="G1361" t="str">
            <v>RC</v>
          </cell>
        </row>
        <row r="1362">
          <cell r="C1362" t="str">
            <v>056A</v>
          </cell>
          <cell r="D1362">
            <v>4.5199999999999996</v>
          </cell>
          <cell r="E1362">
            <v>3.86</v>
          </cell>
          <cell r="F1362" t="str">
            <v>PSBK2605</v>
          </cell>
          <cell r="G1362" t="str">
            <v>PS</v>
          </cell>
        </row>
        <row r="1363">
          <cell r="C1363" t="str">
            <v>018C</v>
          </cell>
          <cell r="D1363">
            <v>8.35</v>
          </cell>
          <cell r="E1363">
            <v>6.85</v>
          </cell>
          <cell r="F1363" t="str">
            <v>NSBK2602</v>
          </cell>
          <cell r="G1363" t="str">
            <v>RC</v>
          </cell>
        </row>
        <row r="1364">
          <cell r="C1364" t="str">
            <v>076B2</v>
          </cell>
          <cell r="D1364">
            <v>10.48</v>
          </cell>
          <cell r="E1364">
            <v>8.66</v>
          </cell>
          <cell r="F1364" t="str">
            <v>NSBK2601</v>
          </cell>
          <cell r="G1364" t="str">
            <v>RC</v>
          </cell>
        </row>
        <row r="1365">
          <cell r="C1365" t="str">
            <v>056G2</v>
          </cell>
          <cell r="D1365">
            <v>7.28</v>
          </cell>
          <cell r="E1365">
            <v>6.12</v>
          </cell>
          <cell r="F1365" t="str">
            <v>NSBK2510</v>
          </cell>
          <cell r="G1365" t="str">
            <v>RC</v>
          </cell>
        </row>
        <row r="1366">
          <cell r="C1366" t="str">
            <v>025B</v>
          </cell>
          <cell r="D1366">
            <v>7.89</v>
          </cell>
          <cell r="E1366">
            <v>6.36</v>
          </cell>
          <cell r="F1366" t="str">
            <v>NSBK2603</v>
          </cell>
          <cell r="G1366" t="str">
            <v>RC</v>
          </cell>
        </row>
        <row r="1367">
          <cell r="C1367" t="str">
            <v>056G1</v>
          </cell>
          <cell r="D1367">
            <v>10</v>
          </cell>
          <cell r="E1367">
            <v>8.41</v>
          </cell>
          <cell r="F1367" t="str">
            <v>NSBK2510</v>
          </cell>
          <cell r="G1367" t="str">
            <v>RC</v>
          </cell>
        </row>
        <row r="1368">
          <cell r="C1368" t="str">
            <v>019E1</v>
          </cell>
          <cell r="D1368">
            <v>10.3</v>
          </cell>
          <cell r="E1368">
            <v>8.4700000000000006</v>
          </cell>
          <cell r="F1368" t="str">
            <v>NSBK2602</v>
          </cell>
          <cell r="G1368" t="str">
            <v>RC</v>
          </cell>
        </row>
        <row r="1369">
          <cell r="C1369" t="str">
            <v>019E2</v>
          </cell>
          <cell r="D1369">
            <v>5.9</v>
          </cell>
          <cell r="E1369">
            <v>4.67</v>
          </cell>
          <cell r="F1369" t="str">
            <v>NSBK2604</v>
          </cell>
          <cell r="G1369" t="str">
            <v>RC</v>
          </cell>
        </row>
        <row r="1370">
          <cell r="D1370">
            <v>280.25999999999993</v>
          </cell>
          <cell r="E1370">
            <v>231.39000000000001</v>
          </cell>
          <cell r="G1370" t="str">
            <v>Ha</v>
          </cell>
        </row>
        <row r="1371">
          <cell r="C1371" t="str">
            <v>004B</v>
          </cell>
          <cell r="D1371">
            <v>7.8</v>
          </cell>
          <cell r="E1371">
            <v>6.53</v>
          </cell>
          <cell r="F1371" t="str">
            <v>NSBK2510</v>
          </cell>
          <cell r="G1371" t="str">
            <v>RC</v>
          </cell>
        </row>
        <row r="1372">
          <cell r="C1372" t="str">
            <v>043G2</v>
          </cell>
          <cell r="D1372">
            <v>9.01</v>
          </cell>
          <cell r="E1372">
            <v>7.48</v>
          </cell>
          <cell r="F1372" t="str">
            <v>NSBK2602</v>
          </cell>
          <cell r="G1372" t="str">
            <v>BB</v>
          </cell>
        </row>
        <row r="1373">
          <cell r="C1373" t="str">
            <v>004J</v>
          </cell>
          <cell r="D1373">
            <v>7.62</v>
          </cell>
          <cell r="E1373">
            <v>6.35</v>
          </cell>
          <cell r="F1373" t="str">
            <v>NSBK2510</v>
          </cell>
          <cell r="G1373" t="str">
            <v>RC</v>
          </cell>
        </row>
        <row r="1374">
          <cell r="C1374" t="str">
            <v>055Ks</v>
          </cell>
          <cell r="D1374">
            <v>1.57</v>
          </cell>
          <cell r="E1374">
            <v>1.34</v>
          </cell>
          <cell r="F1374" t="str">
            <v>NSBK2603</v>
          </cell>
          <cell r="G1374" t="str">
            <v>BB</v>
          </cell>
        </row>
        <row r="1375">
          <cell r="C1375" t="str">
            <v>092H</v>
          </cell>
          <cell r="D1375">
            <v>7.43</v>
          </cell>
          <cell r="E1375">
            <v>6.14</v>
          </cell>
          <cell r="F1375" t="str">
            <v>NSBK2512</v>
          </cell>
          <cell r="G1375" t="str">
            <v>RC</v>
          </cell>
        </row>
        <row r="1376">
          <cell r="C1376" t="str">
            <v>092I</v>
          </cell>
          <cell r="D1376">
            <v>10.1</v>
          </cell>
          <cell r="E1376">
            <v>8.4</v>
          </cell>
          <cell r="F1376" t="str">
            <v>NSBK2512</v>
          </cell>
          <cell r="G1376" t="str">
            <v>RC</v>
          </cell>
        </row>
        <row r="1377">
          <cell r="C1377" t="str">
            <v>013G2</v>
          </cell>
          <cell r="D1377">
            <v>3.23</v>
          </cell>
          <cell r="E1377">
            <v>2.72</v>
          </cell>
          <cell r="F1377" t="str">
            <v>NSBK2603</v>
          </cell>
          <cell r="G1377" t="str">
            <v>RC</v>
          </cell>
        </row>
        <row r="1378">
          <cell r="C1378" t="str">
            <v>048D</v>
          </cell>
          <cell r="D1378">
            <v>11.09</v>
          </cell>
          <cell r="E1378">
            <v>9.3000000000000007</v>
          </cell>
          <cell r="F1378" t="str">
            <v>NSBK2605</v>
          </cell>
          <cell r="G1378" t="str">
            <v>BB</v>
          </cell>
        </row>
        <row r="1379">
          <cell r="C1379" t="str">
            <v>064C</v>
          </cell>
          <cell r="D1379">
            <v>8.58</v>
          </cell>
          <cell r="E1379">
            <v>6.95</v>
          </cell>
          <cell r="F1379" t="str">
            <v>NSBK2603</v>
          </cell>
          <cell r="G1379" t="str">
            <v>RC</v>
          </cell>
        </row>
        <row r="1380">
          <cell r="C1380" t="str">
            <v>043G3</v>
          </cell>
          <cell r="D1380">
            <v>6.87</v>
          </cell>
          <cell r="E1380">
            <v>5.64</v>
          </cell>
          <cell r="F1380" t="str">
            <v>NSBK2602</v>
          </cell>
          <cell r="G1380" t="str">
            <v>BB</v>
          </cell>
        </row>
        <row r="1381">
          <cell r="C1381" t="str">
            <v>072D1</v>
          </cell>
          <cell r="D1381">
            <v>7.51</v>
          </cell>
          <cell r="E1381">
            <v>6.25</v>
          </cell>
          <cell r="F1381" t="str">
            <v>NSBK2603</v>
          </cell>
          <cell r="G1381" t="str">
            <v>RC</v>
          </cell>
        </row>
        <row r="1382">
          <cell r="C1382" t="str">
            <v>092D</v>
          </cell>
          <cell r="D1382">
            <v>14.91</v>
          </cell>
          <cell r="E1382">
            <v>12.37</v>
          </cell>
          <cell r="F1382" t="str">
            <v>NSBK2601</v>
          </cell>
          <cell r="G1382" t="str">
            <v>RC</v>
          </cell>
        </row>
        <row r="1383">
          <cell r="C1383" t="str">
            <v>047F1</v>
          </cell>
          <cell r="D1383">
            <v>13.61</v>
          </cell>
          <cell r="E1383">
            <v>11.18</v>
          </cell>
          <cell r="F1383" t="str">
            <v>NSBK2601</v>
          </cell>
          <cell r="G1383" t="str">
            <v>BB</v>
          </cell>
        </row>
        <row r="1384">
          <cell r="C1384" t="str">
            <v>072B1</v>
          </cell>
          <cell r="D1384">
            <v>6.6</v>
          </cell>
          <cell r="E1384">
            <v>5.46</v>
          </cell>
          <cell r="F1384" t="str">
            <v>NSBK2602</v>
          </cell>
          <cell r="G1384" t="str">
            <v>RC</v>
          </cell>
        </row>
        <row r="1385">
          <cell r="C1385" t="str">
            <v>072B2</v>
          </cell>
          <cell r="D1385">
            <v>11.54</v>
          </cell>
          <cell r="E1385">
            <v>9.67</v>
          </cell>
          <cell r="F1385" t="str">
            <v>NSBK2512</v>
          </cell>
          <cell r="G1385" t="str">
            <v>RC</v>
          </cell>
        </row>
        <row r="1386">
          <cell r="C1386" t="str">
            <v>072D2</v>
          </cell>
          <cell r="D1386">
            <v>9.74</v>
          </cell>
          <cell r="E1386">
            <v>8.0299999999999994</v>
          </cell>
          <cell r="F1386" t="str">
            <v>NSBK2603</v>
          </cell>
          <cell r="G1386" t="str">
            <v>RC</v>
          </cell>
        </row>
        <row r="1387">
          <cell r="C1387" t="str">
            <v>063G2</v>
          </cell>
          <cell r="D1387">
            <v>9.59</v>
          </cell>
          <cell r="E1387">
            <v>7.91</v>
          </cell>
          <cell r="F1387" t="str">
            <v>NSBK2603</v>
          </cell>
          <cell r="G1387" t="str">
            <v>RC</v>
          </cell>
        </row>
        <row r="1388">
          <cell r="C1388" t="str">
            <v>089D1</v>
          </cell>
          <cell r="D1388">
            <v>6.54</v>
          </cell>
          <cell r="E1388">
            <v>5.44</v>
          </cell>
          <cell r="F1388" t="str">
            <v>NSBK2512</v>
          </cell>
          <cell r="G1388" t="str">
            <v>RC</v>
          </cell>
        </row>
        <row r="1389">
          <cell r="C1389" t="str">
            <v>063G3</v>
          </cell>
          <cell r="D1389">
            <v>10.56</v>
          </cell>
          <cell r="E1389">
            <v>8.77</v>
          </cell>
          <cell r="F1389" t="str">
            <v>NSBK2603</v>
          </cell>
          <cell r="G1389" t="str">
            <v>BB</v>
          </cell>
        </row>
        <row r="1390">
          <cell r="C1390" t="str">
            <v>013B1</v>
          </cell>
          <cell r="D1390">
            <v>6.38</v>
          </cell>
          <cell r="E1390">
            <v>5.43</v>
          </cell>
          <cell r="F1390" t="str">
            <v>NSBK2603</v>
          </cell>
          <cell r="G1390" t="str">
            <v>RC</v>
          </cell>
        </row>
        <row r="1391">
          <cell r="C1391" t="str">
            <v>038F</v>
          </cell>
          <cell r="D1391">
            <v>7.7</v>
          </cell>
          <cell r="E1391">
            <v>6.05</v>
          </cell>
          <cell r="F1391" t="str">
            <v>NSBK2512</v>
          </cell>
          <cell r="G1391" t="str">
            <v>RC</v>
          </cell>
        </row>
        <row r="1392">
          <cell r="C1392" t="str">
            <v>042B2</v>
          </cell>
          <cell r="D1392">
            <v>6.63</v>
          </cell>
          <cell r="E1392">
            <v>5.89</v>
          </cell>
          <cell r="F1392" t="str">
            <v>NSBK2602</v>
          </cell>
          <cell r="G1392" t="str">
            <v>BB</v>
          </cell>
        </row>
        <row r="1393">
          <cell r="C1393" t="str">
            <v>042B3</v>
          </cell>
          <cell r="D1393">
            <v>10.16</v>
          </cell>
          <cell r="E1393">
            <v>8.93</v>
          </cell>
          <cell r="F1393" t="str">
            <v>NSBK2602</v>
          </cell>
          <cell r="G1393" t="str">
            <v>BB</v>
          </cell>
        </row>
        <row r="1394">
          <cell r="C1394" t="str">
            <v>057C</v>
          </cell>
          <cell r="D1394">
            <v>5.0199999999999996</v>
          </cell>
          <cell r="E1394">
            <v>3.93</v>
          </cell>
          <cell r="F1394" t="str">
            <v>NSBK2511</v>
          </cell>
          <cell r="G1394" t="str">
            <v>RC</v>
          </cell>
        </row>
        <row r="1395">
          <cell r="C1395" t="str">
            <v>013F</v>
          </cell>
          <cell r="D1395">
            <v>9.26</v>
          </cell>
          <cell r="E1395">
            <v>7.43</v>
          </cell>
          <cell r="F1395" t="str">
            <v>NSBK2512</v>
          </cell>
          <cell r="G1395" t="str">
            <v>RC</v>
          </cell>
        </row>
        <row r="1396">
          <cell r="C1396" t="str">
            <v>013C</v>
          </cell>
          <cell r="D1396">
            <v>9.8000000000000007</v>
          </cell>
          <cell r="E1396">
            <v>7.84</v>
          </cell>
          <cell r="F1396" t="str">
            <v>NSBK2602</v>
          </cell>
          <cell r="G1396" t="str">
            <v>RC</v>
          </cell>
        </row>
        <row r="1397">
          <cell r="C1397" t="str">
            <v>092C1</v>
          </cell>
          <cell r="D1397">
            <v>11.8</v>
          </cell>
          <cell r="E1397">
            <v>9.23</v>
          </cell>
          <cell r="F1397" t="str">
            <v>NSBK2512</v>
          </cell>
          <cell r="G1397" t="str">
            <v>RC</v>
          </cell>
        </row>
        <row r="1398">
          <cell r="D1398">
            <v>230.65</v>
          </cell>
          <cell r="E1398">
            <v>190.66000000000003</v>
          </cell>
          <cell r="G1398" t="str">
            <v>Ha</v>
          </cell>
        </row>
        <row r="1399">
          <cell r="C1399" t="str">
            <v>010C1</v>
          </cell>
          <cell r="D1399">
            <v>8.35</v>
          </cell>
          <cell r="E1399">
            <v>7.07</v>
          </cell>
          <cell r="F1399" t="str">
            <v>NSBK2604</v>
          </cell>
          <cell r="G1399" t="str">
            <v>BB</v>
          </cell>
        </row>
        <row r="1400">
          <cell r="C1400" t="str">
            <v>083H</v>
          </cell>
          <cell r="D1400">
            <v>11.95</v>
          </cell>
          <cell r="E1400">
            <v>9.91</v>
          </cell>
          <cell r="F1400" t="str">
            <v>NSBK2510</v>
          </cell>
          <cell r="G1400" t="str">
            <v>RC</v>
          </cell>
        </row>
        <row r="1401">
          <cell r="C1401" t="str">
            <v>020B</v>
          </cell>
          <cell r="D1401">
            <v>13</v>
          </cell>
          <cell r="E1401">
            <v>10.25</v>
          </cell>
          <cell r="F1401" t="str">
            <v>NSBK2605</v>
          </cell>
          <cell r="G1401" t="str">
            <v>RC</v>
          </cell>
        </row>
        <row r="1402">
          <cell r="C1402" t="str">
            <v>020C</v>
          </cell>
          <cell r="D1402">
            <v>3.68</v>
          </cell>
          <cell r="E1402">
            <v>2.89</v>
          </cell>
          <cell r="F1402" t="str">
            <v>NSBK2602</v>
          </cell>
          <cell r="G1402" t="str">
            <v>RC</v>
          </cell>
        </row>
        <row r="1403">
          <cell r="C1403" t="str">
            <v>013D</v>
          </cell>
          <cell r="D1403">
            <v>11.44</v>
          </cell>
          <cell r="E1403">
            <v>8.9600000000000009</v>
          </cell>
          <cell r="F1403" t="str">
            <v>NSBK2604</v>
          </cell>
          <cell r="G1403" t="str">
            <v>BB</v>
          </cell>
        </row>
        <row r="1404">
          <cell r="C1404" t="str">
            <v>084C1</v>
          </cell>
          <cell r="D1404">
            <v>10.65</v>
          </cell>
          <cell r="E1404">
            <v>8.3699999999999992</v>
          </cell>
          <cell r="F1404" t="str">
            <v>NSBK2601</v>
          </cell>
          <cell r="G1404" t="str">
            <v>RC</v>
          </cell>
        </row>
        <row r="1405">
          <cell r="C1405" t="str">
            <v>084A</v>
          </cell>
          <cell r="D1405">
            <v>4.8</v>
          </cell>
          <cell r="E1405">
            <v>3.77</v>
          </cell>
          <cell r="F1405" t="str">
            <v>NSBK2602</v>
          </cell>
          <cell r="G1405" t="str">
            <v>RC</v>
          </cell>
        </row>
        <row r="1406">
          <cell r="C1406" t="str">
            <v>078B</v>
          </cell>
          <cell r="D1406">
            <v>10.36</v>
          </cell>
          <cell r="E1406">
            <v>8.1999999999999993</v>
          </cell>
          <cell r="F1406" t="str">
            <v>NSBK2604</v>
          </cell>
          <cell r="G1406" t="str">
            <v>RC</v>
          </cell>
        </row>
        <row r="1407">
          <cell r="C1407" t="str">
            <v>078E2</v>
          </cell>
          <cell r="D1407">
            <v>15.1</v>
          </cell>
          <cell r="E1407">
            <v>11.98</v>
          </cell>
          <cell r="F1407" t="str">
            <v>NSBK2602</v>
          </cell>
          <cell r="G1407" t="str">
            <v>RC</v>
          </cell>
        </row>
        <row r="1408">
          <cell r="C1408" t="str">
            <v>024C</v>
          </cell>
          <cell r="D1408">
            <v>6.7</v>
          </cell>
          <cell r="E1408">
            <v>5.37</v>
          </cell>
          <cell r="F1408" t="str">
            <v>NSBK2605</v>
          </cell>
          <cell r="G1408" t="str">
            <v>RC</v>
          </cell>
        </row>
        <row r="1409">
          <cell r="C1409" t="str">
            <v>024B</v>
          </cell>
          <cell r="D1409">
            <v>10.55</v>
          </cell>
          <cell r="E1409">
            <v>8.3000000000000007</v>
          </cell>
          <cell r="F1409" t="str">
            <v>NSBK2606</v>
          </cell>
          <cell r="G1409" t="str">
            <v>RC</v>
          </cell>
        </row>
        <row r="1410">
          <cell r="C1410" t="str">
            <v>092E1</v>
          </cell>
          <cell r="D1410">
            <v>10.63</v>
          </cell>
          <cell r="E1410">
            <v>8.7100000000000009</v>
          </cell>
          <cell r="F1410" t="str">
            <v>NSBK2509</v>
          </cell>
          <cell r="G1410" t="str">
            <v>BB</v>
          </cell>
        </row>
        <row r="1411">
          <cell r="C1411" t="str">
            <v>013E</v>
          </cell>
          <cell r="D1411">
            <v>5.84</v>
          </cell>
          <cell r="E1411">
            <v>5.09</v>
          </cell>
          <cell r="F1411" t="str">
            <v>PYBK2605</v>
          </cell>
          <cell r="G1411" t="str">
            <v>PY</v>
          </cell>
        </row>
        <row r="1412">
          <cell r="C1412" t="str">
            <v>010F1</v>
          </cell>
          <cell r="D1412">
            <v>3.51</v>
          </cell>
          <cell r="E1412">
            <v>3.02</v>
          </cell>
          <cell r="F1412" t="str">
            <v>PYBK2605</v>
          </cell>
          <cell r="G1412" t="str">
            <v>PY</v>
          </cell>
        </row>
        <row r="1413">
          <cell r="C1413" t="str">
            <v>010F2</v>
          </cell>
          <cell r="D1413">
            <v>5.37</v>
          </cell>
          <cell r="E1413">
            <v>4.58</v>
          </cell>
          <cell r="F1413" t="str">
            <v>PYBK2605</v>
          </cell>
          <cell r="G1413" t="str">
            <v>PY</v>
          </cell>
        </row>
        <row r="1414">
          <cell r="C1414" t="str">
            <v>002B2</v>
          </cell>
          <cell r="D1414">
            <v>12.55</v>
          </cell>
          <cell r="E1414">
            <v>10.56</v>
          </cell>
          <cell r="F1414" t="str">
            <v>PSBK2601</v>
          </cell>
          <cell r="G1414" t="str">
            <v>PS</v>
          </cell>
        </row>
        <row r="1415">
          <cell r="C1415" t="str">
            <v>093D</v>
          </cell>
          <cell r="D1415">
            <v>13.66</v>
          </cell>
          <cell r="E1415">
            <v>10.85</v>
          </cell>
          <cell r="F1415" t="str">
            <v>NSBK2603</v>
          </cell>
          <cell r="G1415" t="str">
            <v>RC</v>
          </cell>
        </row>
        <row r="1416">
          <cell r="C1416" t="str">
            <v>070D</v>
          </cell>
          <cell r="D1416">
            <v>7.28</v>
          </cell>
          <cell r="E1416">
            <v>5.77</v>
          </cell>
          <cell r="F1416" t="str">
            <v>NSBK2605</v>
          </cell>
          <cell r="G1416" t="str">
            <v>RC</v>
          </cell>
        </row>
        <row r="1417">
          <cell r="C1417" t="str">
            <v>002A2</v>
          </cell>
          <cell r="D1417">
            <v>6.83</v>
          </cell>
          <cell r="E1417">
            <v>5.51</v>
          </cell>
          <cell r="F1417" t="str">
            <v>PSBK2603</v>
          </cell>
          <cell r="G1417" t="str">
            <v>PS</v>
          </cell>
        </row>
        <row r="1418">
          <cell r="C1418" t="str">
            <v>085C</v>
          </cell>
          <cell r="D1418">
            <v>15.02</v>
          </cell>
          <cell r="E1418">
            <v>11.82</v>
          </cell>
          <cell r="F1418" t="str">
            <v>NSBK2605</v>
          </cell>
          <cell r="G1418" t="str">
            <v>RC</v>
          </cell>
        </row>
        <row r="1419">
          <cell r="D1419">
            <v>187.27</v>
          </cell>
          <cell r="E1419">
            <v>150.97999999999999</v>
          </cell>
          <cell r="G1419" t="str">
            <v>Ha</v>
          </cell>
        </row>
        <row r="1420">
          <cell r="C1420" t="str">
            <v>078A</v>
          </cell>
          <cell r="D1420">
            <v>6.1</v>
          </cell>
          <cell r="E1420">
            <v>4.8600000000000003</v>
          </cell>
          <cell r="F1420" t="str">
            <v>NSBK2601</v>
          </cell>
          <cell r="G1420" t="str">
            <v>RC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WIL13"/>
      <sheetName val="WIL21"/>
    </sheetNames>
    <sheetDataSet>
      <sheetData sheetId="0">
        <row r="40">
          <cell r="B40" t="str">
            <v>027J</v>
          </cell>
          <cell r="C40">
            <v>2.0299999999999998</v>
          </cell>
          <cell r="D40" t="str">
            <v>GP3</v>
          </cell>
          <cell r="E40" t="str">
            <v>Crown</v>
          </cell>
          <cell r="F40" t="str">
            <v>Kecil</v>
          </cell>
        </row>
        <row r="41">
          <cell r="B41" t="str">
            <v>066B</v>
          </cell>
          <cell r="C41">
            <v>7.06</v>
          </cell>
          <cell r="D41" t="str">
            <v>GP3</v>
          </cell>
          <cell r="E41" t="str">
            <v>Crown</v>
          </cell>
          <cell r="F41" t="str">
            <v>Kecil</v>
          </cell>
        </row>
        <row r="42">
          <cell r="B42" t="str">
            <v>066G1</v>
          </cell>
          <cell r="C42">
            <v>6.05</v>
          </cell>
          <cell r="D42" t="str">
            <v>GP3</v>
          </cell>
          <cell r="E42" t="str">
            <v>Nursery</v>
          </cell>
          <cell r="F42" t="str">
            <v>Kecil</v>
          </cell>
        </row>
        <row r="43">
          <cell r="B43" t="str">
            <v>061A</v>
          </cell>
          <cell r="C43">
            <v>16.440000000000001</v>
          </cell>
          <cell r="D43" t="str">
            <v>GP3</v>
          </cell>
          <cell r="E43" t="str">
            <v>Sucker</v>
          </cell>
          <cell r="F43" t="str">
            <v>Sedang</v>
          </cell>
        </row>
        <row r="44">
          <cell r="B44" t="str">
            <v>082C</v>
          </cell>
          <cell r="C44">
            <v>10.5</v>
          </cell>
          <cell r="D44" t="str">
            <v>GP3</v>
          </cell>
          <cell r="E44" t="str">
            <v>Crown</v>
          </cell>
          <cell r="F44" t="str">
            <v>Kecil</v>
          </cell>
        </row>
        <row r="45">
          <cell r="B45" t="str">
            <v>005C</v>
          </cell>
          <cell r="C45">
            <v>6.94</v>
          </cell>
          <cell r="D45" t="str">
            <v>GP3</v>
          </cell>
          <cell r="E45" t="str">
            <v>Sucker</v>
          </cell>
          <cell r="F45" t="str">
            <v>Besar</v>
          </cell>
        </row>
        <row r="46">
          <cell r="B46" t="str">
            <v>027D</v>
          </cell>
          <cell r="C46">
            <v>2.5</v>
          </cell>
          <cell r="D46" t="str">
            <v>GP3</v>
          </cell>
          <cell r="E46" t="str">
            <v>Crown</v>
          </cell>
          <cell r="F46" t="str">
            <v>Kecil</v>
          </cell>
        </row>
        <row r="47">
          <cell r="B47" t="str">
            <v>067D</v>
          </cell>
          <cell r="C47">
            <v>6.21</v>
          </cell>
          <cell r="D47" t="str">
            <v>GP3</v>
          </cell>
          <cell r="E47" t="str">
            <v>Crown</v>
          </cell>
          <cell r="F47" t="str">
            <v>Kecil</v>
          </cell>
        </row>
        <row r="48">
          <cell r="B48" t="str">
            <v>082C1</v>
          </cell>
          <cell r="C48">
            <v>0.89</v>
          </cell>
          <cell r="D48" t="str">
            <v>GP3</v>
          </cell>
          <cell r="E48" t="str">
            <v>Sucker</v>
          </cell>
          <cell r="F48" t="str">
            <v>Besar</v>
          </cell>
        </row>
        <row r="49">
          <cell r="B49" t="str">
            <v>084F</v>
          </cell>
          <cell r="C49">
            <v>10.88</v>
          </cell>
          <cell r="D49" t="str">
            <v>GP3</v>
          </cell>
          <cell r="E49" t="str">
            <v>Crown</v>
          </cell>
          <cell r="F49" t="str">
            <v>Kecil</v>
          </cell>
        </row>
        <row r="50">
          <cell r="B50" t="str">
            <v>085H1</v>
          </cell>
          <cell r="C50">
            <v>8.18</v>
          </cell>
          <cell r="D50" t="str">
            <v>GP3</v>
          </cell>
          <cell r="E50" t="str">
            <v>Crown</v>
          </cell>
          <cell r="F50" t="str">
            <v>Kecil</v>
          </cell>
        </row>
        <row r="51">
          <cell r="B51" t="str">
            <v>047J1</v>
          </cell>
          <cell r="C51">
            <v>10.48</v>
          </cell>
          <cell r="D51" t="str">
            <v>GP3</v>
          </cell>
          <cell r="E51" t="str">
            <v>Crown</v>
          </cell>
          <cell r="F51" t="str">
            <v>Kecil</v>
          </cell>
        </row>
        <row r="52">
          <cell r="B52" t="str">
            <v>047K1</v>
          </cell>
          <cell r="C52">
            <v>5.25</v>
          </cell>
          <cell r="D52" t="str">
            <v>GP3</v>
          </cell>
          <cell r="E52" t="str">
            <v>Nursery</v>
          </cell>
          <cell r="F52" t="str">
            <v>Kecil</v>
          </cell>
        </row>
        <row r="53">
          <cell r="B53" t="str">
            <v>067C</v>
          </cell>
          <cell r="C53">
            <v>6.09</v>
          </cell>
          <cell r="D53" t="str">
            <v>GP3</v>
          </cell>
          <cell r="E53" t="str">
            <v>Crown</v>
          </cell>
          <cell r="F53" t="str">
            <v>Kecil</v>
          </cell>
        </row>
        <row r="54">
          <cell r="B54" t="str">
            <v>073E</v>
          </cell>
          <cell r="C54">
            <v>7.82</v>
          </cell>
          <cell r="D54" t="str">
            <v>GP3</v>
          </cell>
          <cell r="E54" t="str">
            <v>Crown</v>
          </cell>
          <cell r="F54" t="str">
            <v>Kecil</v>
          </cell>
        </row>
        <row r="56">
          <cell r="B56" t="str">
            <v>003J</v>
          </cell>
          <cell r="C56">
            <v>4.6100000000000003</v>
          </cell>
          <cell r="D56" t="str">
            <v>GP3</v>
          </cell>
          <cell r="E56" t="str">
            <v>Nursery</v>
          </cell>
          <cell r="F56" t="str">
            <v>Kecil</v>
          </cell>
        </row>
        <row r="57">
          <cell r="B57" t="str">
            <v>010B</v>
          </cell>
          <cell r="C57">
            <v>3.43</v>
          </cell>
          <cell r="D57" t="str">
            <v>GP3</v>
          </cell>
          <cell r="E57" t="str">
            <v>Crown</v>
          </cell>
          <cell r="F57" t="str">
            <v>Kecil</v>
          </cell>
        </row>
        <row r="58">
          <cell r="B58" t="str">
            <v>012B</v>
          </cell>
          <cell r="C58">
            <v>10.3</v>
          </cell>
          <cell r="D58" t="str">
            <v>GP3</v>
          </cell>
          <cell r="E58" t="str">
            <v>Sucker</v>
          </cell>
          <cell r="F58" t="str">
            <v>Besar</v>
          </cell>
        </row>
        <row r="59">
          <cell r="B59" t="str">
            <v>050A</v>
          </cell>
          <cell r="C59">
            <v>12.16</v>
          </cell>
          <cell r="D59" t="str">
            <v>GP3</v>
          </cell>
          <cell r="E59" t="str">
            <v>Sucker</v>
          </cell>
          <cell r="F59" t="str">
            <v>Sedang</v>
          </cell>
        </row>
        <row r="60">
          <cell r="B60" t="str">
            <v>062A1</v>
          </cell>
          <cell r="C60">
            <v>5.7</v>
          </cell>
          <cell r="D60" t="str">
            <v>GP3</v>
          </cell>
          <cell r="E60" t="str">
            <v>Sucker</v>
          </cell>
          <cell r="F60" t="str">
            <v>Besar</v>
          </cell>
        </row>
        <row r="61">
          <cell r="B61" t="str">
            <v>066G</v>
          </cell>
          <cell r="C61">
            <v>13.48</v>
          </cell>
          <cell r="D61" t="str">
            <v>GP3</v>
          </cell>
          <cell r="E61" t="str">
            <v>Crown</v>
          </cell>
          <cell r="F61" t="str">
            <v>Kecil</v>
          </cell>
        </row>
        <row r="62">
          <cell r="B62" t="str">
            <v>066Q2</v>
          </cell>
          <cell r="C62">
            <v>8.4600000000000009</v>
          </cell>
          <cell r="D62" t="str">
            <v>GP3</v>
          </cell>
          <cell r="E62" t="str">
            <v>Nursery</v>
          </cell>
          <cell r="F62" t="str">
            <v>Sedang</v>
          </cell>
        </row>
        <row r="63">
          <cell r="B63" t="str">
            <v>066T</v>
          </cell>
          <cell r="C63">
            <v>7.66</v>
          </cell>
          <cell r="D63" t="str">
            <v>GP3</v>
          </cell>
          <cell r="E63" t="str">
            <v>Nursery</v>
          </cell>
          <cell r="F63" t="str">
            <v>Sedang</v>
          </cell>
        </row>
        <row r="64">
          <cell r="B64" t="str">
            <v>067E</v>
          </cell>
          <cell r="C64">
            <v>8.39</v>
          </cell>
          <cell r="D64" t="str">
            <v>GP3</v>
          </cell>
          <cell r="E64" t="str">
            <v>Crown</v>
          </cell>
          <cell r="F64" t="str">
            <v>Kecil</v>
          </cell>
        </row>
        <row r="65">
          <cell r="B65" t="str">
            <v>067G</v>
          </cell>
          <cell r="C65">
            <v>1.92</v>
          </cell>
          <cell r="D65" t="str">
            <v>GP3</v>
          </cell>
          <cell r="E65" t="str">
            <v>Crown</v>
          </cell>
          <cell r="F65" t="str">
            <v>Kecil</v>
          </cell>
        </row>
        <row r="66">
          <cell r="B66" t="str">
            <v>072H1</v>
          </cell>
          <cell r="C66">
            <v>11.71</v>
          </cell>
          <cell r="D66" t="str">
            <v>GP3</v>
          </cell>
          <cell r="E66" t="str">
            <v>Crown</v>
          </cell>
          <cell r="F66" t="str">
            <v>Kecil</v>
          </cell>
        </row>
        <row r="67">
          <cell r="B67" t="str">
            <v>073C</v>
          </cell>
          <cell r="C67">
            <v>10.199999999999999</v>
          </cell>
          <cell r="D67" t="str">
            <v>GP3</v>
          </cell>
          <cell r="E67" t="str">
            <v>Crown</v>
          </cell>
          <cell r="F67" t="str">
            <v>Kecil</v>
          </cell>
        </row>
        <row r="68">
          <cell r="B68" t="str">
            <v>073L</v>
          </cell>
          <cell r="C68">
            <v>12.72</v>
          </cell>
          <cell r="D68" t="str">
            <v>GP3</v>
          </cell>
          <cell r="E68" t="str">
            <v>Crown</v>
          </cell>
          <cell r="F68" t="str">
            <v>Kecil</v>
          </cell>
        </row>
        <row r="69">
          <cell r="B69" t="str">
            <v>088C3</v>
          </cell>
          <cell r="C69">
            <v>8.4</v>
          </cell>
          <cell r="D69" t="str">
            <v>GP3</v>
          </cell>
          <cell r="E69" t="str">
            <v>Sucker</v>
          </cell>
          <cell r="F69" t="str">
            <v>Besar</v>
          </cell>
        </row>
        <row r="70">
          <cell r="B70" t="str">
            <v>093E</v>
          </cell>
          <cell r="C70">
            <v>10.62</v>
          </cell>
          <cell r="D70" t="str">
            <v>GP3</v>
          </cell>
          <cell r="E70" t="str">
            <v>Nursery</v>
          </cell>
          <cell r="F70" t="str">
            <v>Kecil</v>
          </cell>
        </row>
        <row r="71">
          <cell r="B71" t="str">
            <v>096J</v>
          </cell>
          <cell r="C71">
            <v>12.38</v>
          </cell>
          <cell r="D71" t="str">
            <v>GP3</v>
          </cell>
          <cell r="E71" t="str">
            <v>Nursery</v>
          </cell>
          <cell r="F71" t="str">
            <v>Kecil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Real"/>
      <sheetName val="selesai tanam"/>
      <sheetName val="Sheet18"/>
      <sheetName val="Status"/>
      <sheetName val="Sheet6"/>
      <sheetName val="Sheet1"/>
      <sheetName val="Sheet3"/>
      <sheetName val="Sheet4"/>
      <sheetName val="Sheet5"/>
      <sheetName val="Sheet2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/>
      <sheetData sheetId="1">
        <row r="11">
          <cell r="C11">
            <v>0</v>
          </cell>
        </row>
        <row r="15">
          <cell r="B15" t="str">
            <v>002A2</v>
          </cell>
          <cell r="C15">
            <v>403826.5</v>
          </cell>
          <cell r="D15">
            <v>5.5</v>
          </cell>
          <cell r="E15" t="str">
            <v>Sedang</v>
          </cell>
          <cell r="F15" t="str">
            <v>Sucker</v>
          </cell>
        </row>
        <row r="16">
          <cell r="B16" t="str">
            <v>010F1</v>
          </cell>
          <cell r="C16">
            <v>308376.60000000003</v>
          </cell>
          <cell r="D16">
            <v>4.2</v>
          </cell>
          <cell r="E16" t="str">
            <v>Kecil</v>
          </cell>
          <cell r="F16" t="str">
            <v>Crown</v>
          </cell>
        </row>
        <row r="17">
          <cell r="B17" t="str">
            <v>010F2</v>
          </cell>
          <cell r="C17">
            <v>440538</v>
          </cell>
          <cell r="D17">
            <v>6</v>
          </cell>
          <cell r="E17" t="str">
            <v>Kecil</v>
          </cell>
          <cell r="F17" t="str">
            <v>Crown</v>
          </cell>
        </row>
        <row r="18">
          <cell r="B18" t="str">
            <v>013D</v>
          </cell>
          <cell r="C18">
            <v>693113.12</v>
          </cell>
          <cell r="D18">
            <v>9.44</v>
          </cell>
          <cell r="E18" t="str">
            <v>Extra Kecil</v>
          </cell>
          <cell r="F18" t="str">
            <v>Crown</v>
          </cell>
        </row>
        <row r="19">
          <cell r="B19" t="str">
            <v>019E2</v>
          </cell>
          <cell r="C19">
            <v>362709.62000000005</v>
          </cell>
          <cell r="D19">
            <v>4.9400000000000004</v>
          </cell>
          <cell r="E19" t="str">
            <v>Kecil</v>
          </cell>
          <cell r="F19" t="str">
            <v>Crown</v>
          </cell>
        </row>
        <row r="20">
          <cell r="B20" t="str">
            <v>024C</v>
          </cell>
          <cell r="C20">
            <v>417042.63999999996</v>
          </cell>
          <cell r="D20">
            <v>5.68</v>
          </cell>
          <cell r="E20" t="str">
            <v>Extra Kecil</v>
          </cell>
          <cell r="F20" t="str">
            <v>Crown</v>
          </cell>
        </row>
        <row r="21">
          <cell r="B21" t="str">
            <v>038F</v>
          </cell>
          <cell r="C21">
            <v>453754.13999999996</v>
          </cell>
          <cell r="D21">
            <v>6.18</v>
          </cell>
          <cell r="E21" t="str">
            <v>Kecil</v>
          </cell>
          <cell r="F21" t="str">
            <v>Crown</v>
          </cell>
        </row>
        <row r="22">
          <cell r="B22" t="str">
            <v>042B2</v>
          </cell>
          <cell r="C22">
            <v>394281.51</v>
          </cell>
          <cell r="D22">
            <v>5.37</v>
          </cell>
          <cell r="E22" t="str">
            <v>Extra Kecil</v>
          </cell>
          <cell r="F22" t="str">
            <v>Crown</v>
          </cell>
        </row>
        <row r="23">
          <cell r="B23" t="str">
            <v>042B3</v>
          </cell>
          <cell r="C23">
            <v>657870.08000000007</v>
          </cell>
          <cell r="D23">
            <v>8.9600000000000009</v>
          </cell>
          <cell r="E23" t="str">
            <v>Extra Kecil</v>
          </cell>
          <cell r="F23" t="str">
            <v>Crown</v>
          </cell>
        </row>
        <row r="24">
          <cell r="B24" t="str">
            <v>047F1</v>
          </cell>
          <cell r="C24">
            <v>820869.14</v>
          </cell>
          <cell r="D24">
            <v>11.18</v>
          </cell>
          <cell r="E24" t="str">
            <v>Kecil</v>
          </cell>
          <cell r="F24" t="str">
            <v>Crown</v>
          </cell>
        </row>
        <row r="25">
          <cell r="B25" t="str">
            <v>056G1</v>
          </cell>
          <cell r="C25">
            <v>617487.43000000005</v>
          </cell>
          <cell r="D25">
            <v>8.41</v>
          </cell>
          <cell r="E25" t="str">
            <v>Sedang</v>
          </cell>
          <cell r="F25" t="str">
            <v>Sucker</v>
          </cell>
        </row>
        <row r="26">
          <cell r="B26" t="str">
            <v>056G2</v>
          </cell>
          <cell r="C26">
            <v>449348.76</v>
          </cell>
          <cell r="D26">
            <v>6.12</v>
          </cell>
          <cell r="E26" t="str">
            <v>Sedang</v>
          </cell>
          <cell r="F26" t="str">
            <v>Sucker</v>
          </cell>
        </row>
        <row r="27">
          <cell r="B27" t="str">
            <v>057C</v>
          </cell>
          <cell r="C27">
            <v>301034.3</v>
          </cell>
          <cell r="D27">
            <v>4.0999999999999996</v>
          </cell>
          <cell r="E27" t="str">
            <v>Extra Kecil</v>
          </cell>
          <cell r="F27" t="str">
            <v>Crown</v>
          </cell>
        </row>
        <row r="28">
          <cell r="B28" t="str">
            <v>063G2</v>
          </cell>
          <cell r="C28">
            <v>580775.93000000005</v>
          </cell>
          <cell r="D28">
            <v>7.91</v>
          </cell>
          <cell r="E28" t="str">
            <v>Kecil</v>
          </cell>
          <cell r="F28" t="str">
            <v>Crown</v>
          </cell>
        </row>
        <row r="29">
          <cell r="B29" t="str">
            <v>063G3</v>
          </cell>
          <cell r="C29">
            <v>643919.71</v>
          </cell>
          <cell r="D29">
            <v>8.77</v>
          </cell>
          <cell r="E29" t="str">
            <v>Kecil</v>
          </cell>
          <cell r="F29" t="str">
            <v>Crown</v>
          </cell>
        </row>
        <row r="30">
          <cell r="B30" t="str">
            <v>072B1</v>
          </cell>
          <cell r="C30">
            <v>400889.58</v>
          </cell>
          <cell r="D30">
            <v>5.46</v>
          </cell>
          <cell r="E30" t="str">
            <v>Kecil</v>
          </cell>
          <cell r="F30" t="str">
            <v>Crown</v>
          </cell>
        </row>
        <row r="31">
          <cell r="B31" t="str">
            <v>078B</v>
          </cell>
          <cell r="C31">
            <v>543330.20000000007</v>
          </cell>
          <cell r="D31">
            <v>7.4</v>
          </cell>
          <cell r="E31" t="str">
            <v>Kecil</v>
          </cell>
          <cell r="F31" t="str">
            <v>Crown</v>
          </cell>
        </row>
        <row r="32">
          <cell r="B32" t="str">
            <v>083H</v>
          </cell>
          <cell r="C32">
            <v>727621.93</v>
          </cell>
          <cell r="D32">
            <v>9.91</v>
          </cell>
          <cell r="E32" t="str">
            <v>Extra Kecil</v>
          </cell>
          <cell r="F32" t="str">
            <v>Crown</v>
          </cell>
        </row>
        <row r="33">
          <cell r="B33" t="str">
            <v>084A</v>
          </cell>
          <cell r="C33">
            <v>282678.55</v>
          </cell>
          <cell r="D33">
            <v>3.85</v>
          </cell>
          <cell r="E33" t="str">
            <v>Extra Kecil</v>
          </cell>
          <cell r="F33" t="str">
            <v>Crown</v>
          </cell>
        </row>
        <row r="34">
          <cell r="B34" t="str">
            <v>084C1</v>
          </cell>
          <cell r="C34">
            <v>640248.56000000006</v>
          </cell>
          <cell r="D34">
            <v>8.7200000000000006</v>
          </cell>
          <cell r="E34" t="str">
            <v>Kecil</v>
          </cell>
          <cell r="F34" t="str">
            <v>Crown</v>
          </cell>
        </row>
        <row r="35">
          <cell r="B35" t="str">
            <v>085C</v>
          </cell>
          <cell r="C35">
            <v>829679.9</v>
          </cell>
          <cell r="D35">
            <v>11.3</v>
          </cell>
          <cell r="E35" t="str">
            <v>Extra Kecil</v>
          </cell>
          <cell r="F35" t="str">
            <v>Crown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5"/>
  <sheetViews>
    <sheetView showGridLines="0" showRowColHeaders="0" zoomScaleNormal="100" workbookViewId="0">
      <selection activeCell="H29" sqref="H29"/>
    </sheetView>
  </sheetViews>
  <sheetFormatPr defaultColWidth="9.109375" defaultRowHeight="14.4"/>
  <cols>
    <col min="1" max="3" width="2.6640625" customWidth="1"/>
    <col min="4" max="4" width="3.33203125" customWidth="1"/>
    <col min="5" max="5" width="7.88671875" customWidth="1"/>
    <col min="6" max="6" width="6" customWidth="1"/>
    <col min="7" max="7" width="4.44140625" customWidth="1"/>
    <col min="8" max="8" width="9" customWidth="1"/>
    <col min="9" max="9" width="3.109375" customWidth="1"/>
    <col min="10" max="10" width="10.44140625" customWidth="1"/>
    <col min="11" max="11" width="3.88671875" customWidth="1"/>
    <col min="12" max="12" width="6" customWidth="1"/>
    <col min="13" max="13" width="4.44140625" customWidth="1"/>
    <col min="14" max="14" width="6.5546875" customWidth="1"/>
    <col min="15" max="15" width="12.88671875" customWidth="1"/>
    <col min="16" max="16" width="6.109375" customWidth="1"/>
    <col min="17" max="17" width="9.88671875" customWidth="1"/>
    <col min="18" max="18" width="10" customWidth="1"/>
    <col min="19" max="19" width="14.88671875" customWidth="1"/>
    <col min="20" max="20" width="1.33203125" customWidth="1"/>
    <col min="21" max="21" width="14" customWidth="1"/>
    <col min="22" max="22" width="10.44140625" customWidth="1"/>
    <col min="23" max="23" width="6.109375" customWidth="1"/>
    <col min="24" max="24" width="11.109375" customWidth="1"/>
    <col min="25" max="26" width="8.44140625" customWidth="1"/>
    <col min="27" max="27" width="4.109375" customWidth="1"/>
    <col min="28" max="28" width="9" customWidth="1"/>
    <col min="29" max="29" width="12.88671875"/>
    <col min="30" max="30" width="9.5546875"/>
  </cols>
  <sheetData>
    <row r="1" spans="1:30" ht="15.9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</row>
    <row r="2" spans="1:30" ht="15.9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5"/>
      <c r="V2" s="103"/>
      <c r="W2" s="103"/>
      <c r="X2" s="103"/>
      <c r="Y2" s="103"/>
      <c r="Z2" s="103"/>
      <c r="AA2" s="103"/>
    </row>
    <row r="3" spans="1:30" ht="15.9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14" t="s">
        <v>0</v>
      </c>
      <c r="O3" s="115"/>
      <c r="P3" s="116" t="s">
        <v>1</v>
      </c>
      <c r="Q3" s="152" t="s">
        <v>2</v>
      </c>
      <c r="R3" s="153">
        <f>R6+R35</f>
        <v>0</v>
      </c>
      <c r="S3" s="154" t="s">
        <v>3</v>
      </c>
      <c r="T3" s="103"/>
      <c r="U3" s="155" t="s">
        <v>4</v>
      </c>
      <c r="V3" s="156"/>
      <c r="W3" s="157" t="s">
        <v>1</v>
      </c>
      <c r="X3" s="158" t="s">
        <v>2</v>
      </c>
      <c r="Y3" s="205" t="s">
        <v>5</v>
      </c>
      <c r="Z3" s="206" t="s">
        <v>6</v>
      </c>
      <c r="AA3" s="103"/>
    </row>
    <row r="4" spans="1:30" ht="15.9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17" t="s">
        <v>7</v>
      </c>
      <c r="O4" s="118"/>
      <c r="P4" s="117"/>
      <c r="Q4" s="159"/>
      <c r="R4" s="160"/>
      <c r="S4" s="161"/>
      <c r="T4" s="103"/>
      <c r="U4" s="119" t="s">
        <v>8</v>
      </c>
      <c r="V4" s="162">
        <f>VLOOKUP(U4,'Data Lokasi'!$C$13:$D$593,2,0)</f>
        <v>8.24</v>
      </c>
      <c r="W4" s="121">
        <f>IFERROR(VLOOKUP(U4,[1]Master!$D$542:$K$1797,8,0),"-")</f>
        <v>0</v>
      </c>
      <c r="X4" s="121">
        <f>IFERROR(VLOOKUP(U4,[1]Master!$D$542:$I$1797,6,0),"-")</f>
        <v>0</v>
      </c>
      <c r="Y4" s="207">
        <v>0.5</v>
      </c>
      <c r="Z4" s="208">
        <f>VLOOKUP(U4,'Data Lokasi'!$C$13:$K$593,9,0)</f>
        <v>44741</v>
      </c>
      <c r="AA4" s="103"/>
      <c r="AB4" s="36">
        <f t="shared" ref="AB4:AB13" si="0">V4*Y4</f>
        <v>4.12</v>
      </c>
      <c r="AC4" s="40"/>
    </row>
    <row r="5" spans="1:30" ht="15.9" customHeight="1">
      <c r="A5" s="103"/>
      <c r="B5" s="103"/>
      <c r="C5" s="104"/>
      <c r="D5" s="610" t="s">
        <v>9</v>
      </c>
      <c r="E5" s="610"/>
      <c r="F5" s="610"/>
      <c r="G5" s="610"/>
      <c r="H5" s="610"/>
      <c r="I5" s="610"/>
      <c r="J5" s="610"/>
      <c r="K5" s="610"/>
      <c r="L5" s="610"/>
      <c r="M5" s="103"/>
      <c r="N5" s="119" t="s">
        <v>10</v>
      </c>
      <c r="O5" s="120"/>
      <c r="P5" s="121">
        <f>IFERROR(VLOOKUP(N5,[1]Master!$D$542:$K$1797,8,0),"-")</f>
        <v>0</v>
      </c>
      <c r="Q5" s="121">
        <f>IFERROR(VLOOKUP(N5,[1]Master!$D$542:$I$1797,6,0),"-")</f>
        <v>0</v>
      </c>
      <c r="R5" s="163">
        <f>IFERROR(VLOOKUP(N5,'Data Lokasi'!$C$13:$X$593,22,0),"-")</f>
        <v>0</v>
      </c>
      <c r="S5" s="164">
        <f>IFERROR(VLOOKUP(N5,'Data Lokasi'!$C$13:$S$593,12,0),"-")</f>
        <v>44749</v>
      </c>
      <c r="T5" s="103"/>
      <c r="U5" s="119" t="s">
        <v>11</v>
      </c>
      <c r="V5" s="162">
        <f>VLOOKUP(U5,'Data Lokasi'!$C$13:$D$593,2,0)</f>
        <v>8.5399999999999991</v>
      </c>
      <c r="W5" s="121">
        <f>IFERROR(VLOOKUP(U5,[1]Master!$D$542:$K$1797,8,0),"-")</f>
        <v>0</v>
      </c>
      <c r="X5" s="121" t="str">
        <f>IFERROR(VLOOKUP(U5,[1]Master!$D$542:$I$1797,6,0),"-")</f>
        <v>PS NS NS</v>
      </c>
      <c r="Y5" s="209"/>
      <c r="Z5" s="208">
        <f>VLOOKUP(U5,'Data Lokasi'!$C$13:$K$593,9,0)</f>
        <v>44747</v>
      </c>
      <c r="AA5" s="103"/>
      <c r="AB5" s="36">
        <f t="shared" si="0"/>
        <v>0</v>
      </c>
      <c r="AC5" s="40"/>
    </row>
    <row r="6" spans="1:30" ht="15.9" customHeight="1">
      <c r="A6" s="103"/>
      <c r="B6" s="103"/>
      <c r="C6" s="104"/>
      <c r="D6" s="610"/>
      <c r="E6" s="610"/>
      <c r="F6" s="610"/>
      <c r="G6" s="610"/>
      <c r="H6" s="610"/>
      <c r="I6" s="610"/>
      <c r="J6" s="610"/>
      <c r="K6" s="610"/>
      <c r="L6" s="610"/>
      <c r="M6" s="103"/>
      <c r="N6" s="122" t="s">
        <v>12</v>
      </c>
      <c r="O6" s="123"/>
      <c r="P6" s="124"/>
      <c r="Q6" s="165"/>
      <c r="R6" s="166">
        <f>SUM(R5:R5)</f>
        <v>0</v>
      </c>
      <c r="S6" s="167" t="s">
        <v>13</v>
      </c>
      <c r="T6" s="103"/>
      <c r="U6" s="119" t="s">
        <v>14</v>
      </c>
      <c r="V6" s="162">
        <f>VLOOKUP(U6,'Data Lokasi'!$C$13:$D$593,2,0)</f>
        <v>10.039999999999999</v>
      </c>
      <c r="W6" s="121">
        <f>IFERROR(VLOOKUP(U6,[1]Master!$D$542:$K$1797,8,0),"-")</f>
        <v>0</v>
      </c>
      <c r="X6" s="121" t="str">
        <f>IFERROR(VLOOKUP(U6,[1]Master!$D$542:$I$1797,6,0),"-")</f>
        <v>PS NS NS</v>
      </c>
      <c r="Y6" s="209"/>
      <c r="Z6" s="208">
        <f>VLOOKUP(U6,'Data Lokasi'!$C$13:$K$593,9,0)</f>
        <v>44747</v>
      </c>
      <c r="AA6" s="103"/>
      <c r="AB6" s="36">
        <f t="shared" si="0"/>
        <v>0</v>
      </c>
      <c r="AC6" s="40"/>
    </row>
    <row r="7" spans="1:30" ht="15.9" customHeight="1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25" t="s">
        <v>15</v>
      </c>
      <c r="O7" s="126"/>
      <c r="P7" s="117"/>
      <c r="Q7" s="159"/>
      <c r="R7" s="168"/>
      <c r="S7" s="154" t="s">
        <v>16</v>
      </c>
      <c r="T7" s="103"/>
      <c r="U7" s="119" t="s">
        <v>17</v>
      </c>
      <c r="V7" s="162">
        <f>VLOOKUP(U7,'Data Lokasi'!$C$13:$D$593,2,0)</f>
        <v>11.4</v>
      </c>
      <c r="W7" s="121">
        <f>IFERROR(VLOOKUP(U7,[1]Master!$D$542:$K$1797,8,0),"-")</f>
        <v>0</v>
      </c>
      <c r="X7" s="121" t="str">
        <f>IFERROR(VLOOKUP(U7,[1]Master!$D$542:$I$1797,6,0),"-")</f>
        <v>PS NS NS</v>
      </c>
      <c r="Y7" s="209"/>
      <c r="Z7" s="208">
        <f>VLOOKUP(U7,'Data Lokasi'!$C$13:$K$593,9,0)</f>
        <v>44747</v>
      </c>
      <c r="AA7" s="103"/>
      <c r="AB7" s="36">
        <f t="shared" si="0"/>
        <v>0</v>
      </c>
      <c r="AC7" s="40"/>
    </row>
    <row r="8" spans="1:30" ht="15.9" customHeight="1">
      <c r="A8" s="103"/>
      <c r="B8" s="103"/>
      <c r="C8" s="103"/>
      <c r="D8" s="103"/>
      <c r="E8" s="103"/>
      <c r="F8" s="103"/>
      <c r="G8" s="103"/>
      <c r="H8" s="105" t="s">
        <v>18</v>
      </c>
      <c r="I8" s="105"/>
      <c r="J8" s="127">
        <f ca="1">+'Data Lokasi'!E4</f>
        <v>46308.615133912041</v>
      </c>
      <c r="K8" s="128"/>
      <c r="L8" s="128"/>
      <c r="M8" s="103"/>
      <c r="N8" s="119" t="s">
        <v>19</v>
      </c>
      <c r="O8" s="129"/>
      <c r="P8" s="121">
        <f>IFERROR(VLOOKUP(N8,[1]Master!$D$542:$K$1797,8,0),"-")</f>
        <v>4.5199999999999996</v>
      </c>
      <c r="Q8" s="169" t="str">
        <f>IFERROR(VLOOKUP(N8,[1]Master!$D$542:$I$1797,6,0),"-")</f>
        <v>PS NS</v>
      </c>
      <c r="R8" s="163">
        <f>VLOOKUP(N8,'Data Lokasi'!$C$13:$X$593,22,0)</f>
        <v>0</v>
      </c>
      <c r="S8" s="164">
        <f>VLOOKUP(N8,'Data Lokasi'!$C$13:$S$593,17,0)</f>
        <v>44713</v>
      </c>
      <c r="T8" s="103"/>
      <c r="U8" s="143" t="s">
        <v>20</v>
      </c>
      <c r="V8" s="170">
        <f>VLOOKUP(U8,'Data Lokasi'!$C$13:$D$593,2,0)</f>
        <v>4.57</v>
      </c>
      <c r="W8" s="144">
        <f>IFERROR(VLOOKUP(U8,[1]Master!$D$542:$K$1797,8,0),"-")</f>
        <v>0</v>
      </c>
      <c r="X8" s="171">
        <f>IFERROR(VLOOKUP(U8,[1]Master!$D$542:$I$1797,6,0),"-")</f>
        <v>0</v>
      </c>
      <c r="Y8" s="207">
        <v>0.3</v>
      </c>
      <c r="Z8" s="208">
        <f>VLOOKUP(U8,'Data Lokasi'!$C$13:$K$593,9,0)</f>
        <v>44749</v>
      </c>
      <c r="AA8" s="103"/>
      <c r="AB8" s="36">
        <f t="shared" si="0"/>
        <v>1.371</v>
      </c>
      <c r="AC8" s="40"/>
    </row>
    <row r="9" spans="1:30" ht="15.9" customHeight="1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19" t="s">
        <v>21</v>
      </c>
      <c r="O9" s="130" t="s">
        <v>22</v>
      </c>
      <c r="P9" s="121">
        <f>IFERROR(VLOOKUP(N9,[1]Master!$D$542:$K$1797,8,0),"-")</f>
        <v>4.8449999999999998</v>
      </c>
      <c r="Q9" s="169" t="str">
        <f>IFERROR(VLOOKUP(N9,[1]Master!$D$542:$I$1797,6,0),"-")</f>
        <v>PS</v>
      </c>
      <c r="R9" s="163">
        <f>VLOOKUP(N9,'Data Lokasi'!$C$13:$X$593,22,0)</f>
        <v>0</v>
      </c>
      <c r="S9" s="164">
        <f>VLOOKUP(N9,'Data Lokasi'!$C$13:$S$593,17,0)</f>
        <v>44732</v>
      </c>
      <c r="T9" s="103"/>
      <c r="U9" s="143" t="s">
        <v>23</v>
      </c>
      <c r="V9" s="170">
        <f>VLOOKUP(U9,'Data Lokasi'!$C$13:$D$593,2,0)</f>
        <v>6.2</v>
      </c>
      <c r="W9" s="144">
        <f>IFERROR(VLOOKUP(U9,[1]Master!$D$542:$K$1797,8,0),"-")</f>
        <v>0</v>
      </c>
      <c r="X9" s="171" t="str">
        <f>IFERROR(VLOOKUP(U9,[1]Master!$D$542:$I$1797,6,0),"-")</f>
        <v>PS NS NS</v>
      </c>
      <c r="Y9" s="209"/>
      <c r="Z9" s="208">
        <f>VLOOKUP(U9,'Data Lokasi'!$C$13:$K$593,9,0)</f>
        <v>44753</v>
      </c>
      <c r="AA9" s="103"/>
      <c r="AB9" s="36">
        <f t="shared" si="0"/>
        <v>0</v>
      </c>
      <c r="AC9" s="40"/>
    </row>
    <row r="10" spans="1:30" ht="15.9" customHeight="1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19" t="s">
        <v>24</v>
      </c>
      <c r="O10" s="130" t="s">
        <v>25</v>
      </c>
      <c r="P10" s="121">
        <f>IFERROR(VLOOKUP(N10,[1]Master!$D$542:$K$1797,8,0),"-")</f>
        <v>0</v>
      </c>
      <c r="Q10" s="169">
        <f>IFERROR(VLOOKUP(N10,[1]Master!$D$542:$I$1797,6,0),"-")</f>
        <v>0</v>
      </c>
      <c r="R10" s="163">
        <f>VLOOKUP(N10,'Data Lokasi'!$C$13:$X$593,22,0)</f>
        <v>0</v>
      </c>
      <c r="S10" s="164">
        <f>VLOOKUP(N10,'Data Lokasi'!$C$13:$S$593,17,0)</f>
        <v>44748</v>
      </c>
      <c r="T10" s="103"/>
      <c r="U10" s="143" t="s">
        <v>26</v>
      </c>
      <c r="V10" s="170">
        <f>VLOOKUP(U10,'Data Lokasi'!$C$13:$D$593,2,0)</f>
        <v>9.58</v>
      </c>
      <c r="W10" s="144">
        <f>IFERROR(VLOOKUP(U10,[1]Master!$D$542:$K$1797,8,0),"-")</f>
        <v>0</v>
      </c>
      <c r="X10" s="171">
        <f>IFERROR(VLOOKUP(U10,[1]Master!$D$542:$I$1797,6,0),"-")</f>
        <v>0</v>
      </c>
      <c r="Y10" s="209"/>
      <c r="Z10" s="208">
        <f>VLOOKUP(U10,'Data Lokasi'!$C$13:$K$593,9,0)</f>
        <v>44753</v>
      </c>
      <c r="AA10" s="103"/>
      <c r="AB10" s="36">
        <f t="shared" si="0"/>
        <v>0</v>
      </c>
      <c r="AC10" s="40"/>
    </row>
    <row r="11" spans="1:30" ht="15.9" customHeight="1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19" t="s">
        <v>27</v>
      </c>
      <c r="O11" s="129"/>
      <c r="P11" s="121">
        <f>IFERROR(VLOOKUP(N11,[1]Master!$D$542:$K$1797,8,0),"-")</f>
        <v>4.8949999999999996</v>
      </c>
      <c r="Q11" s="169" t="str">
        <f>IFERROR(VLOOKUP(N11,[1]Master!$D$542:$I$1797,6,0),"-")</f>
        <v>PS</v>
      </c>
      <c r="R11" s="163">
        <f>VLOOKUP(N11,'Data Lokasi'!$C$13:$X$593,22,0)</f>
        <v>0</v>
      </c>
      <c r="S11" s="164">
        <f>VLOOKUP(N11,'Data Lokasi'!$C$13:$S$593,17,0)</f>
        <v>44737</v>
      </c>
      <c r="T11" s="103"/>
      <c r="U11" s="143" t="s">
        <v>28</v>
      </c>
      <c r="V11" s="170">
        <f>VLOOKUP(U11,'Data Lokasi'!$C$13:$D$593,2,0)</f>
        <v>6.34</v>
      </c>
      <c r="W11" s="144">
        <f>IFERROR(VLOOKUP(U11,[1]Master!$D$542:$K$1797,8,0),"-")</f>
        <v>0</v>
      </c>
      <c r="X11" s="171">
        <f>IFERROR(VLOOKUP(U11,[1]Master!$D$542:$I$1797,6,0),"-")</f>
        <v>0</v>
      </c>
      <c r="Y11" s="207">
        <v>0.9</v>
      </c>
      <c r="Z11" s="208">
        <f>VLOOKUP(U11,'Data Lokasi'!$C$13:$K$593,9,0)</f>
        <v>44747</v>
      </c>
      <c r="AA11" s="103"/>
      <c r="AB11" s="36">
        <f t="shared" si="0"/>
        <v>5.7060000000000004</v>
      </c>
      <c r="AC11" s="40"/>
    </row>
    <row r="12" spans="1:30" ht="15.9" customHeight="1">
      <c r="A12" s="103"/>
      <c r="B12" s="103"/>
      <c r="C12" s="103"/>
      <c r="D12" s="600" t="s">
        <v>29</v>
      </c>
      <c r="E12" s="601"/>
      <c r="F12" s="601"/>
      <c r="G12" s="601"/>
      <c r="H12" s="601"/>
      <c r="I12" s="601"/>
      <c r="J12" s="131">
        <f>SUM(J13:J17)</f>
        <v>212.90000000000003</v>
      </c>
      <c r="K12" s="132" t="s">
        <v>13</v>
      </c>
      <c r="L12" s="103"/>
      <c r="M12" s="103"/>
      <c r="N12" s="119" t="s">
        <v>30</v>
      </c>
      <c r="O12" s="129"/>
      <c r="P12" s="121">
        <f>IFERROR(VLOOKUP(N12,[1]Master!$D$542:$K$1797,8,0),"-")</f>
        <v>4.9550000000000001</v>
      </c>
      <c r="Q12" s="169" t="str">
        <f>IFERROR(VLOOKUP(N12,[1]Master!$D$542:$I$1797,6,0),"-")</f>
        <v>PS NS</v>
      </c>
      <c r="R12" s="163">
        <f>VLOOKUP(N12,'Data Lokasi'!$C$13:$X$593,22,0)</f>
        <v>0</v>
      </c>
      <c r="S12" s="164">
        <f>VLOOKUP(N12,'Data Lokasi'!$C$13:$S$593,17,0)</f>
        <v>44710</v>
      </c>
      <c r="T12" s="103"/>
      <c r="U12" s="143" t="s">
        <v>31</v>
      </c>
      <c r="V12" s="170">
        <f>VLOOKUP(U12,'Data Lokasi'!$C$13:$D$593,2,0)</f>
        <v>7.14</v>
      </c>
      <c r="W12" s="144">
        <f>IFERROR(VLOOKUP(U12,[1]Master!$D$542:$K$1797,8,0),"-")</f>
        <v>0</v>
      </c>
      <c r="X12" s="171">
        <f>IFERROR(VLOOKUP(U12,[1]Master!$D$542:$I$1797,6,0),"-")</f>
        <v>0</v>
      </c>
      <c r="Y12" s="209"/>
      <c r="Z12" s="208">
        <f>VLOOKUP(U12,'Data Lokasi'!$C$13:$K$593,9,0)</f>
        <v>44750</v>
      </c>
      <c r="AA12" s="103"/>
      <c r="AB12" s="36">
        <f t="shared" si="0"/>
        <v>0</v>
      </c>
      <c r="AC12" s="40"/>
    </row>
    <row r="13" spans="1:30" ht="15.9" customHeight="1">
      <c r="A13" s="103"/>
      <c r="B13" s="103"/>
      <c r="C13" s="103"/>
      <c r="D13" s="214" t="s">
        <v>32</v>
      </c>
      <c r="E13" s="106"/>
      <c r="F13" s="106"/>
      <c r="G13" s="106"/>
      <c r="H13" s="106"/>
      <c r="I13" s="106"/>
      <c r="J13" s="133">
        <f>R35+R6</f>
        <v>0</v>
      </c>
      <c r="K13" s="134" t="s">
        <v>13</v>
      </c>
      <c r="L13" s="103"/>
      <c r="M13" s="103"/>
      <c r="N13" s="119" t="s">
        <v>33</v>
      </c>
      <c r="O13" s="129"/>
      <c r="P13" s="121">
        <f>IFERROR(VLOOKUP(N13,[1]Master!$D$542:$K$1797,8,0),"-")</f>
        <v>0</v>
      </c>
      <c r="Q13" s="169">
        <f>IFERROR(VLOOKUP(N13,[1]Master!$D$542:$I$1797,6,0),"-")</f>
        <v>0</v>
      </c>
      <c r="R13" s="163">
        <f>VLOOKUP(N13,'Data Lokasi'!$C$13:$X$593,22,0)</f>
        <v>0</v>
      </c>
      <c r="S13" s="164">
        <f>VLOOKUP(N13,'Data Lokasi'!$C$13:$S$593,17,0)</f>
        <v>44749</v>
      </c>
      <c r="T13" s="103"/>
      <c r="U13" s="143" t="s">
        <v>34</v>
      </c>
      <c r="V13" s="170">
        <f>VLOOKUP(U13,'Data Lokasi'!$C$13:$D$593,2,0)</f>
        <v>3.58</v>
      </c>
      <c r="W13" s="145">
        <f>IFERROR(VLOOKUP(U13,[1]Master!$D$542:$K$1797,8,0),"-")</f>
        <v>4.59</v>
      </c>
      <c r="X13" s="145">
        <f>IFERROR(VLOOKUP(U13,[1]Master!$D$542:$I$1797,6,0),"-")</f>
        <v>0</v>
      </c>
      <c r="Y13" s="207">
        <v>0.25</v>
      </c>
      <c r="Z13" s="208">
        <f>VLOOKUP(U13,'Data Lokasi'!$C$13:$K$593,9,0)</f>
        <v>44750</v>
      </c>
      <c r="AA13" s="103"/>
      <c r="AB13" s="36">
        <f t="shared" si="0"/>
        <v>0.89500000000000002</v>
      </c>
      <c r="AC13" s="40"/>
    </row>
    <row r="14" spans="1:30" ht="15.9" customHeight="1">
      <c r="A14" s="103"/>
      <c r="B14" s="103"/>
      <c r="C14" s="103"/>
      <c r="D14" s="215" t="s">
        <v>35</v>
      </c>
      <c r="E14" s="108"/>
      <c r="F14" s="108"/>
      <c r="G14" s="108"/>
      <c r="H14" s="108"/>
      <c r="I14" s="108"/>
      <c r="J14" s="135"/>
      <c r="K14" s="136"/>
      <c r="L14" s="103"/>
      <c r="M14" s="103"/>
      <c r="N14" s="119" t="s">
        <v>36</v>
      </c>
      <c r="O14" s="129"/>
      <c r="P14" s="121">
        <f>IFERROR(VLOOKUP(N14,[1]Master!$D$542:$K$1797,8,0),"-")</f>
        <v>4.47</v>
      </c>
      <c r="Q14" s="169">
        <f>IFERROR(VLOOKUP(N14,[1]Master!$D$542:$I$1797,6,0),"-")</f>
        <v>0</v>
      </c>
      <c r="R14" s="163">
        <f>VLOOKUP(N14,'Data Lokasi'!$C$13:$X$593,22,0)</f>
        <v>0</v>
      </c>
      <c r="S14" s="164">
        <f>VLOOKUP(N14,'Data Lokasi'!$C$13:$S$593,17,0)</f>
        <v>44705</v>
      </c>
      <c r="T14" s="103"/>
      <c r="U14" s="122" t="s">
        <v>12</v>
      </c>
      <c r="V14" s="166">
        <f>SUM(V4:V13)</f>
        <v>75.63</v>
      </c>
      <c r="W14" s="172" t="s">
        <v>13</v>
      </c>
      <c r="X14" s="173"/>
      <c r="Y14" s="210"/>
      <c r="Z14" s="211"/>
      <c r="AA14" s="103"/>
      <c r="AB14" s="36">
        <f>SUM(AB4:AB13)</f>
        <v>12.091999999999999</v>
      </c>
    </row>
    <row r="15" spans="1:30" ht="15.9" customHeight="1">
      <c r="A15" s="103"/>
      <c r="B15" s="103"/>
      <c r="C15" s="103"/>
      <c r="D15" s="107"/>
      <c r="E15" s="216" t="s">
        <v>37</v>
      </c>
      <c r="F15" s="108"/>
      <c r="G15" s="108"/>
      <c r="H15" s="108"/>
      <c r="I15" s="108"/>
      <c r="J15" s="135">
        <f>'Data Lokasi'!Q6</f>
        <v>0</v>
      </c>
      <c r="K15" s="134" t="s">
        <v>13</v>
      </c>
      <c r="L15" s="103"/>
      <c r="M15" s="103"/>
      <c r="N15" s="119" t="s">
        <v>38</v>
      </c>
      <c r="O15" s="130" t="s">
        <v>39</v>
      </c>
      <c r="P15" s="121">
        <f>IFERROR(VLOOKUP(N15,[1]Master!$D$542:$K$1797,8,0),"-")</f>
        <v>4.91</v>
      </c>
      <c r="Q15" s="169">
        <f>IFERROR(VLOOKUP(N15,[1]Master!$D$542:$I$1797,6,0),"-")</f>
        <v>0</v>
      </c>
      <c r="R15" s="163">
        <f>VLOOKUP(N15,'Data Lokasi'!$C$13:$X$593,22,0)</f>
        <v>0</v>
      </c>
      <c r="S15" s="164">
        <f>VLOOKUP(N15,'Data Lokasi'!$C$13:$S$593,17,0)</f>
        <v>44735</v>
      </c>
      <c r="T15" s="103"/>
      <c r="U15" s="113"/>
      <c r="V15" s="147"/>
      <c r="W15" s="147"/>
      <c r="X15" s="217" t="s">
        <v>40</v>
      </c>
      <c r="Y15" s="113"/>
      <c r="Z15" s="103"/>
      <c r="AA15" s="103"/>
      <c r="AC15" s="40"/>
    </row>
    <row r="16" spans="1:30" ht="15.9" customHeight="1">
      <c r="A16" s="103"/>
      <c r="B16" s="103"/>
      <c r="C16" s="103"/>
      <c r="D16" s="107"/>
      <c r="E16" s="216" t="s">
        <v>41</v>
      </c>
      <c r="F16" s="108"/>
      <c r="G16" s="108"/>
      <c r="H16" s="108"/>
      <c r="I16" s="108"/>
      <c r="J16" s="135">
        <f>'Data Lokasi'!Q7</f>
        <v>212.90000000000003</v>
      </c>
      <c r="K16" s="134" t="s">
        <v>13</v>
      </c>
      <c r="L16" s="103"/>
      <c r="M16" s="103"/>
      <c r="N16" s="119" t="s">
        <v>42</v>
      </c>
      <c r="O16" s="130" t="s">
        <v>25</v>
      </c>
      <c r="P16" s="121">
        <f>IFERROR(VLOOKUP(N16,[1]Master!$D$542:$K$1797,8,0),"-")</f>
        <v>5.24</v>
      </c>
      <c r="Q16" s="169">
        <f>IFERROR(VLOOKUP(N16,[1]Master!$D$542:$I$1797,6,0),"-")</f>
        <v>0</v>
      </c>
      <c r="R16" s="163">
        <f>VLOOKUP(N16,'Data Lokasi'!$C$13:$X$593,22,0)</f>
        <v>0</v>
      </c>
      <c r="S16" s="164">
        <f>VLOOKUP(N16,'Data Lokasi'!$C$13:$S$593,17,0)</f>
        <v>44738</v>
      </c>
      <c r="T16" s="103"/>
      <c r="U16" s="174" t="s">
        <v>43</v>
      </c>
      <c r="V16" s="175">
        <f ca="1">J8-1</f>
        <v>46307.615133912041</v>
      </c>
      <c r="W16" s="103"/>
      <c r="X16" s="103"/>
      <c r="Y16" s="103"/>
      <c r="Z16" s="103"/>
      <c r="AA16" s="103"/>
      <c r="AB16">
        <f>VLOOKUP(N8,'Data Lokasi'!$C$13:$D$593,2,0)</f>
        <v>9.15</v>
      </c>
      <c r="AC16" s="40">
        <v>1</v>
      </c>
      <c r="AD16">
        <f>AC16*AB16</f>
        <v>9.15</v>
      </c>
    </row>
    <row r="17" spans="1:30" ht="15.9" customHeight="1">
      <c r="A17" s="103"/>
      <c r="B17" s="103"/>
      <c r="C17" s="103"/>
      <c r="D17" s="109"/>
      <c r="E17" s="218" t="s">
        <v>44</v>
      </c>
      <c r="F17" s="110"/>
      <c r="G17" s="110"/>
      <c r="H17" s="110"/>
      <c r="I17" s="110"/>
      <c r="J17" s="137">
        <f>'Data Lokasi'!Q8</f>
        <v>0</v>
      </c>
      <c r="K17" s="138" t="s">
        <v>13</v>
      </c>
      <c r="L17" s="103"/>
      <c r="M17" s="103"/>
      <c r="N17" s="119" t="s">
        <v>45</v>
      </c>
      <c r="O17" s="130" t="s">
        <v>25</v>
      </c>
      <c r="P17" s="121">
        <f>IFERROR(VLOOKUP(N17,[1]Master!$D$542:$K$1797,8,0),"-")</f>
        <v>4.7249999999999996</v>
      </c>
      <c r="Q17" s="169">
        <f>IFERROR(VLOOKUP(N17,[1]Master!$D$542:$I$1797,6,0),"-")</f>
        <v>0</v>
      </c>
      <c r="R17" s="163">
        <f>VLOOKUP(N17,'Data Lokasi'!$C$13:$X$593,22,0)</f>
        <v>0</v>
      </c>
      <c r="S17" s="164">
        <f>VLOOKUP(N17,'Data Lokasi'!$C$13:$S$593,17,0)</f>
        <v>44741</v>
      </c>
      <c r="T17" s="103"/>
      <c r="U17" s="176" t="s">
        <v>46</v>
      </c>
      <c r="V17" s="177">
        <v>0</v>
      </c>
      <c r="W17" s="103"/>
      <c r="X17" s="103"/>
      <c r="Y17" s="103"/>
      <c r="Z17" s="103"/>
      <c r="AA17" s="103"/>
      <c r="AB17">
        <f>VLOOKUP(N9,'Data Lokasi'!$C$13:$D$593,2,0)</f>
        <v>6.57</v>
      </c>
      <c r="AC17" s="40">
        <v>0.7</v>
      </c>
      <c r="AD17">
        <f>AC17*AB17</f>
        <v>4.5990000000000002</v>
      </c>
    </row>
    <row r="18" spans="1:30" ht="15.9" customHeight="1">
      <c r="A18" s="103"/>
      <c r="B18" s="103"/>
      <c r="C18" s="103"/>
      <c r="D18" s="105"/>
      <c r="E18" s="105"/>
      <c r="F18" s="105"/>
      <c r="G18" s="105"/>
      <c r="H18" s="105"/>
      <c r="I18" s="105"/>
      <c r="J18" s="103"/>
      <c r="K18" s="103"/>
      <c r="L18" s="103"/>
      <c r="M18" s="103"/>
      <c r="N18" s="119" t="s">
        <v>47</v>
      </c>
      <c r="O18" s="130" t="s">
        <v>48</v>
      </c>
      <c r="P18" s="121">
        <f>IFERROR(VLOOKUP(N18,[1]Master!$D$542:$K$1797,8,0),"-")</f>
        <v>0</v>
      </c>
      <c r="Q18" s="169">
        <f>IFERROR(VLOOKUP(N18,[1]Master!$D$542:$I$1797,6,0),"-")</f>
        <v>0</v>
      </c>
      <c r="R18" s="163">
        <f>VLOOKUP(N18,'Data Lokasi'!$C$13:$X$593,22,0)</f>
        <v>0</v>
      </c>
      <c r="S18" s="164">
        <f>VLOOKUP(N18,'Data Lokasi'!$C$13:$S$593,17,0)</f>
        <v>44745</v>
      </c>
      <c r="T18" s="103"/>
      <c r="U18" s="176" t="s">
        <v>49</v>
      </c>
      <c r="V18" s="177">
        <f>'Data Lokasi'!G6</f>
        <v>51.15</v>
      </c>
      <c r="W18" s="103"/>
      <c r="X18" s="178"/>
      <c r="Y18" s="103"/>
      <c r="Z18" s="103"/>
      <c r="AA18" s="103"/>
      <c r="AB18">
        <f>VLOOKUP(N10,'Data Lokasi'!$C$13:$D$593,2,0)</f>
        <v>5.44</v>
      </c>
      <c r="AC18" s="40">
        <v>0</v>
      </c>
      <c r="AD18">
        <f>AC18*AB18</f>
        <v>0</v>
      </c>
    </row>
    <row r="19" spans="1:30" ht="15.9" customHeight="1">
      <c r="A19" s="103"/>
      <c r="B19" s="103"/>
      <c r="C19" s="103"/>
      <c r="D19" s="602" t="s">
        <v>4</v>
      </c>
      <c r="E19" s="603"/>
      <c r="F19" s="603"/>
      <c r="G19" s="603"/>
      <c r="H19" s="604"/>
      <c r="I19" s="103"/>
      <c r="J19" s="103"/>
      <c r="K19" s="103"/>
      <c r="L19" s="103"/>
      <c r="M19" s="103"/>
      <c r="N19" s="119" t="s">
        <v>50</v>
      </c>
      <c r="O19" s="130" t="s">
        <v>51</v>
      </c>
      <c r="P19" s="121">
        <f>IFERROR(VLOOKUP(N19,[1]Master!$D$542:$K$1797,8,0),"-")</f>
        <v>4.5999999999999996</v>
      </c>
      <c r="Q19" s="169">
        <f>IFERROR(VLOOKUP(N19,[1]Master!$D$542:$I$1797,6,0),"-")</f>
        <v>0</v>
      </c>
      <c r="R19" s="163">
        <f>VLOOKUP(N19,'Data Lokasi'!$C$13:$X$593,22,0)</f>
        <v>0</v>
      </c>
      <c r="S19" s="164">
        <f>VLOOKUP(N19,'Data Lokasi'!$C$13:$S$593,17,0)</f>
        <v>44727</v>
      </c>
      <c r="T19" s="103"/>
      <c r="U19" s="179"/>
      <c r="V19" s="103"/>
      <c r="W19" s="103"/>
      <c r="X19" s="103"/>
      <c r="Y19" s="103"/>
      <c r="Z19" s="103"/>
      <c r="AA19" s="103"/>
      <c r="AB19">
        <f>VLOOKUP(N11,'Data Lokasi'!$C$13:$D$593,2,0)</f>
        <v>6.98</v>
      </c>
      <c r="AC19" s="40">
        <v>1</v>
      </c>
      <c r="AD19">
        <f>AC19*AB19</f>
        <v>6.98</v>
      </c>
    </row>
    <row r="20" spans="1:30" ht="15.9" customHeight="1">
      <c r="A20" s="103"/>
      <c r="B20" s="103"/>
      <c r="C20" s="103"/>
      <c r="D20" s="219" t="s">
        <v>52</v>
      </c>
      <c r="E20" s="111"/>
      <c r="F20" s="111"/>
      <c r="G20" s="111"/>
      <c r="H20" s="111"/>
      <c r="I20" s="111"/>
      <c r="J20" s="139">
        <f>(V14-AB14)+(AB42-AD42)</f>
        <v>91.024499999999975</v>
      </c>
      <c r="K20" s="140" t="s">
        <v>13</v>
      </c>
      <c r="L20" s="103"/>
      <c r="M20" s="103"/>
      <c r="N20" s="119" t="s">
        <v>53</v>
      </c>
      <c r="O20" s="129"/>
      <c r="P20" s="121">
        <f>IFERROR(VLOOKUP(N20,[1]Master!$D$542:$K$1797,8,0),"-")</f>
        <v>4.2750000000000004</v>
      </c>
      <c r="Q20" s="169" t="str">
        <f>IFERROR(VLOOKUP(N20,[1]Master!$D$542:$I$1797,6,0),"-")</f>
        <v>PS NS NS</v>
      </c>
      <c r="R20" s="163">
        <f>VLOOKUP(N20,'Data Lokasi'!$C$13:$X$593,22,0)</f>
        <v>0</v>
      </c>
      <c r="S20" s="164">
        <f>VLOOKUP(N20,'Data Lokasi'!$C$13:$S$593,17,0)</f>
        <v>44723</v>
      </c>
      <c r="T20" s="103"/>
      <c r="U20" s="180" t="s">
        <v>54</v>
      </c>
      <c r="V20" s="181">
        <v>30</v>
      </c>
      <c r="W20" s="103"/>
      <c r="X20" s="178"/>
      <c r="Y20" s="178"/>
      <c r="Z20" s="103"/>
      <c r="AA20" s="103"/>
      <c r="AB20">
        <f>VLOOKUP(N12,'Data Lokasi'!$C$13:$D$593,2,0)</f>
        <v>10.83</v>
      </c>
      <c r="AC20" s="40">
        <v>1</v>
      </c>
      <c r="AD20">
        <f>AC20*AB20</f>
        <v>10.83</v>
      </c>
    </row>
    <row r="21" spans="1:30" ht="15.9" customHeight="1">
      <c r="A21" s="103"/>
      <c r="B21" s="103"/>
      <c r="C21" s="103"/>
      <c r="D21" s="220" t="s">
        <v>55</v>
      </c>
      <c r="E21" s="112"/>
      <c r="F21" s="112"/>
      <c r="G21" s="112"/>
      <c r="H21" s="112"/>
      <c r="I21" s="112"/>
      <c r="J21" s="141">
        <f>'Data Lokasi'!Q8+'Data Lokasi'!Q6</f>
        <v>0</v>
      </c>
      <c r="K21" s="142" t="s">
        <v>13</v>
      </c>
      <c r="L21" s="103"/>
      <c r="M21" s="103"/>
      <c r="N21" s="119" t="s">
        <v>56</v>
      </c>
      <c r="O21" s="130" t="s">
        <v>57</v>
      </c>
      <c r="P21" s="121">
        <f>IFERROR(VLOOKUP(N21,[1]Master!$D$542:$K$1797,8,0),"-")</f>
        <v>4.7</v>
      </c>
      <c r="Q21" s="169" t="str">
        <f>IFERROR(VLOOKUP(N21,[1]Master!$D$542:$I$1797,6,0),"-")</f>
        <v>PS NS</v>
      </c>
      <c r="R21" s="163">
        <f>VLOOKUP(N21,'Data Lokasi'!$C$13:$X$593,22,0)</f>
        <v>0</v>
      </c>
      <c r="S21" s="164">
        <f>VLOOKUP(N21,'Data Lokasi'!$C$13:$S$593,17,0)</f>
        <v>44726</v>
      </c>
      <c r="T21" s="103"/>
      <c r="U21" s="179"/>
      <c r="V21" s="103"/>
      <c r="W21" s="103"/>
      <c r="X21" s="178"/>
      <c r="Y21" s="103"/>
      <c r="Z21" s="103"/>
      <c r="AA21" s="103"/>
      <c r="AB21">
        <f>VLOOKUP(N13,'Data Lokasi'!$C$13:$D$593,2,0)</f>
        <v>6.87</v>
      </c>
      <c r="AC21" s="40">
        <v>1</v>
      </c>
      <c r="AD21">
        <v>0.27850000000000003</v>
      </c>
    </row>
    <row r="22" spans="1:30" ht="15.9" customHeight="1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19" t="s">
        <v>58</v>
      </c>
      <c r="O22" s="130" t="s">
        <v>57</v>
      </c>
      <c r="P22" s="121">
        <f>IFERROR(VLOOKUP(N22,[1]Master!$D$542:$K$1797,8,0),"-")</f>
        <v>4.9550000000000001</v>
      </c>
      <c r="Q22" s="169" t="str">
        <f>IFERROR(VLOOKUP(N22,[1]Master!$D$542:$I$1797,6,0),"-")</f>
        <v>PS NS</v>
      </c>
      <c r="R22" s="163">
        <f>VLOOKUP(N22,'Data Lokasi'!$C$13:$X$593,22,0)</f>
        <v>0</v>
      </c>
      <c r="S22" s="164">
        <f>VLOOKUP(N22,'Data Lokasi'!$C$13:$S$593,17,0)</f>
        <v>44735</v>
      </c>
      <c r="T22" s="103"/>
      <c r="U22" s="180" t="s">
        <v>59</v>
      </c>
      <c r="V22" s="182">
        <f>-V20+V18</f>
        <v>21.15</v>
      </c>
      <c r="W22" s="103"/>
      <c r="X22" s="178"/>
      <c r="Y22" s="103"/>
      <c r="Z22" s="103"/>
      <c r="AA22" s="103"/>
      <c r="AB22">
        <f>VLOOKUP(N14,'Data Lokasi'!$C$13:$D$593,2,0)</f>
        <v>8.41</v>
      </c>
      <c r="AC22" s="40">
        <v>0.5</v>
      </c>
      <c r="AD22">
        <v>0.26750000000000002</v>
      </c>
    </row>
    <row r="23" spans="1:30" ht="15.9" customHeight="1">
      <c r="A23" s="103"/>
      <c r="B23" s="103"/>
      <c r="C23" s="255" t="s">
        <v>60</v>
      </c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19" t="s">
        <v>61</v>
      </c>
      <c r="O23" s="129"/>
      <c r="P23" s="121">
        <f>IFERROR(VLOOKUP(N23,[1]Master!$D$542:$K$1797,8,0),"-")</f>
        <v>4.4450000000000003</v>
      </c>
      <c r="Q23" s="169">
        <f>IFERROR(VLOOKUP(N23,[1]Master!$D$542:$I$1797,6,0),"-")</f>
        <v>0</v>
      </c>
      <c r="R23" s="163">
        <f>VLOOKUP(N23,'Data Lokasi'!$C$13:$X$593,22,0)</f>
        <v>0</v>
      </c>
      <c r="S23" s="164">
        <f>VLOOKUP(N23,'Data Lokasi'!$C$13:$S$593,17,0)</f>
        <v>44733</v>
      </c>
      <c r="T23" s="103"/>
      <c r="U23" s="179"/>
      <c r="V23" s="178"/>
      <c r="W23" s="103"/>
      <c r="X23" s="178"/>
      <c r="Y23" s="103"/>
      <c r="Z23" s="178"/>
      <c r="AA23" s="103"/>
      <c r="AB23">
        <f>VLOOKUP(N15,'Data Lokasi'!$C$13:$D$593,2,0)</f>
        <v>11.75</v>
      </c>
      <c r="AC23" s="40">
        <v>0</v>
      </c>
      <c r="AD23">
        <v>12.948499999999999</v>
      </c>
    </row>
    <row r="24" spans="1:30" ht="15.9" customHeight="1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43" t="s">
        <v>62</v>
      </c>
      <c r="O24" s="129"/>
      <c r="P24" s="144">
        <f>IFERROR(VLOOKUP(N24,[1]Master!$D$542:$K$1797,8,0),"-")</f>
        <v>0</v>
      </c>
      <c r="Q24" s="183" t="str">
        <f>IFERROR(VLOOKUP(N24,[1]Master!$D$542:$I$1797,6,0),"-")</f>
        <v>PS NS NS NS</v>
      </c>
      <c r="R24" s="163">
        <f>VLOOKUP(N24,'Data Lokasi'!$C$13:$X$593,22,0)</f>
        <v>0</v>
      </c>
      <c r="S24" s="164">
        <f>VLOOKUP(N24,'Data Lokasi'!$C$13:$S$593,17,0)</f>
        <v>44732</v>
      </c>
      <c r="T24" s="113"/>
      <c r="U24" s="179"/>
      <c r="V24" s="178"/>
      <c r="W24" s="103"/>
      <c r="X24" s="103"/>
      <c r="Y24" s="103"/>
      <c r="Z24" s="103"/>
      <c r="AA24" s="103"/>
      <c r="AB24">
        <f>VLOOKUP(N16,'Data Lokasi'!$C$13:$D$593,2,0)</f>
        <v>7.07</v>
      </c>
      <c r="AC24" s="40">
        <v>0</v>
      </c>
      <c r="AD24">
        <v>4.8899999999999997</v>
      </c>
    </row>
    <row r="25" spans="1:30" ht="15.9" customHeight="1">
      <c r="A25" s="113"/>
      <c r="B25" s="11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13"/>
      <c r="N25" s="143" t="s">
        <v>63</v>
      </c>
      <c r="O25" s="129"/>
      <c r="P25" s="144">
        <f>IFERROR(VLOOKUP(N25,[1]Master!$D$542:$K$1797,8,0),"-")</f>
        <v>4.8449999999999998</v>
      </c>
      <c r="Q25" s="183">
        <f>IFERROR(VLOOKUP(N25,[1]Master!$D$542:$I$1797,6,0),"-")</f>
        <v>0</v>
      </c>
      <c r="R25" s="163">
        <f>VLOOKUP(N25,'Data Lokasi'!$C$13:$X$593,22,0)</f>
        <v>0</v>
      </c>
      <c r="S25" s="164">
        <f>VLOOKUP(N25,'Data Lokasi'!$C$13:$S$593,17,0)</f>
        <v>44730</v>
      </c>
      <c r="T25" s="113"/>
      <c r="U25" s="184" t="s">
        <v>64</v>
      </c>
      <c r="V25" s="185"/>
      <c r="W25" s="186" t="s">
        <v>65</v>
      </c>
      <c r="X25" s="186"/>
      <c r="Y25" s="212"/>
      <c r="Z25" s="103"/>
      <c r="AA25" s="103"/>
      <c r="AB25">
        <f>VLOOKUP(N17,'Data Lokasi'!$C$13:$D$593,2,0)</f>
        <v>8.17</v>
      </c>
      <c r="AC25" s="40">
        <v>0.6</v>
      </c>
      <c r="AD25">
        <v>6.9420000000000002</v>
      </c>
    </row>
    <row r="26" spans="1:30" ht="15.9" customHeight="1">
      <c r="A26" s="113"/>
      <c r="B26" s="113"/>
      <c r="C26" s="113"/>
      <c r="D26" s="103"/>
      <c r="E26" s="103"/>
      <c r="F26" s="103"/>
      <c r="G26" s="103"/>
      <c r="H26" s="103"/>
      <c r="I26" s="103"/>
      <c r="J26" s="103"/>
      <c r="K26" s="103"/>
      <c r="L26" s="113"/>
      <c r="M26" s="113"/>
      <c r="N26" s="143" t="s">
        <v>66</v>
      </c>
      <c r="O26" s="129"/>
      <c r="P26" s="144">
        <f>IFERROR(VLOOKUP(N26,[1]Master!$D$542:$K$1797,8,0),"-")</f>
        <v>4.8150000000000004</v>
      </c>
      <c r="Q26" s="183" t="str">
        <f>IFERROR(VLOOKUP(N26,[1]Master!$D$542:$I$1797,6,0),"-")</f>
        <v>PS NT NS NS</v>
      </c>
      <c r="R26" s="163">
        <f>VLOOKUP(N26,'Data Lokasi'!$C$13:$X$593,22,0)</f>
        <v>0</v>
      </c>
      <c r="S26" s="164">
        <f>VLOOKUP(N26,'Data Lokasi'!$C$13:$S$593,17,0)</f>
        <v>44748</v>
      </c>
      <c r="T26" s="113"/>
      <c r="U26" s="187" t="s">
        <v>67</v>
      </c>
      <c r="V26" s="188">
        <v>9.84</v>
      </c>
      <c r="W26" s="189" t="s">
        <v>68</v>
      </c>
      <c r="X26" s="190"/>
      <c r="Y26" s="213"/>
      <c r="Z26" s="103"/>
      <c r="AA26" s="103"/>
      <c r="AB26">
        <f>VLOOKUP(N18,'Data Lokasi'!$C$13:$D$593,2,0)</f>
        <v>8.4499999999999993</v>
      </c>
      <c r="AC26" s="40">
        <v>0.85</v>
      </c>
      <c r="AD26">
        <v>0</v>
      </c>
    </row>
    <row r="27" spans="1:30" ht="15.9" customHeight="1">
      <c r="A27" s="113"/>
      <c r="B27" s="113"/>
      <c r="C27" s="113"/>
      <c r="D27" s="103"/>
      <c r="E27" s="103"/>
      <c r="F27" s="103"/>
      <c r="G27" s="103"/>
      <c r="H27" s="103"/>
      <c r="I27" s="103"/>
      <c r="J27" s="103"/>
      <c r="K27" s="103"/>
      <c r="L27" s="113"/>
      <c r="M27" s="113"/>
      <c r="N27" s="143" t="s">
        <v>69</v>
      </c>
      <c r="O27" s="130" t="s">
        <v>70</v>
      </c>
      <c r="P27" s="144">
        <f>IFERROR(VLOOKUP(N27,[1]Master!$D$542:$K$1797,8,0),"-")</f>
        <v>0</v>
      </c>
      <c r="Q27" s="183">
        <f>IFERROR(VLOOKUP(N27,[1]Master!$D$542:$I$1797,6,0),"-")</f>
        <v>0</v>
      </c>
      <c r="R27" s="163">
        <f>VLOOKUP(N27,'Data Lokasi'!$C$13:$X$593,22,0)</f>
        <v>0</v>
      </c>
      <c r="S27" s="164">
        <f>VLOOKUP(N27,'Data Lokasi'!$C$13:$S$593,17,0)</f>
        <v>44750</v>
      </c>
      <c r="T27" s="113"/>
      <c r="U27" s="122" t="s">
        <v>12</v>
      </c>
      <c r="V27" s="191">
        <f>SUM(V26:V26)</f>
        <v>9.84</v>
      </c>
      <c r="W27" s="166"/>
      <c r="X27" s="166"/>
      <c r="Y27" s="191"/>
      <c r="Z27" s="103"/>
      <c r="AA27" s="103"/>
      <c r="AB27">
        <f>VLOOKUP(N19,'Data Lokasi'!$C$13:$D$593,2,0)</f>
        <v>10.1</v>
      </c>
      <c r="AC27" s="40">
        <v>1</v>
      </c>
      <c r="AD27">
        <v>6.42</v>
      </c>
    </row>
    <row r="28" spans="1:30" ht="15.9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43" t="s">
        <v>71</v>
      </c>
      <c r="O28" s="129"/>
      <c r="P28" s="144">
        <f>IFERROR(VLOOKUP(N28,[1]Master!$D$542:$K$1797,8,0),"-")</f>
        <v>4.4249999999999998</v>
      </c>
      <c r="Q28" s="192">
        <f>IFERROR(VLOOKUP(N28,[1]Master!$D$542:$I$1797,6,0),"-")</f>
        <v>0</v>
      </c>
      <c r="R28" s="163">
        <f>VLOOKUP(N28,'Data Lokasi'!$C$13:$X$593,22,0)</f>
        <v>0</v>
      </c>
      <c r="S28" s="164">
        <f>VLOOKUP(N28,'Data Lokasi'!$C$13:$S$593,17,0)</f>
        <v>44728</v>
      </c>
      <c r="T28" s="113"/>
      <c r="U28" s="179"/>
      <c r="V28" s="103"/>
      <c r="W28" s="103"/>
      <c r="X28" s="103"/>
      <c r="Y28" s="103"/>
      <c r="Z28" s="103"/>
      <c r="AA28" s="103"/>
      <c r="AB28">
        <f>VLOOKUP(N20,'Data Lokasi'!$C$13:$D$593,2,0)</f>
        <v>5.57</v>
      </c>
      <c r="AC28" s="40">
        <v>0.9</v>
      </c>
      <c r="AD28">
        <v>0</v>
      </c>
    </row>
    <row r="29" spans="1:30" ht="15.9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43" t="s">
        <v>72</v>
      </c>
      <c r="O29" s="129"/>
      <c r="P29" s="144">
        <f>IFERROR(VLOOKUP(N29,[1]Master!$D$542:$K$1797,8,0),"-")</f>
        <v>4.7850000000000001</v>
      </c>
      <c r="Q29" s="192">
        <f>IFERROR(VLOOKUP(N29,[1]Master!$D$542:$I$1797,6,0),"-")</f>
        <v>0</v>
      </c>
      <c r="R29" s="163">
        <f>VLOOKUP(N29,'Data Lokasi'!$C$13:$X$593,22,0)</f>
        <v>0</v>
      </c>
      <c r="S29" s="164">
        <f>VLOOKUP(N29,'Data Lokasi'!$C$13:$S$593,17,0)</f>
        <v>44713</v>
      </c>
      <c r="T29" s="113"/>
      <c r="U29" s="179"/>
      <c r="V29" s="103"/>
      <c r="W29" s="103"/>
      <c r="X29" s="103"/>
      <c r="Y29" s="103"/>
      <c r="Z29" s="103"/>
      <c r="AA29" s="103"/>
      <c r="AB29">
        <f>VLOOKUP(N21,'Data Lokasi'!$C$13:$D$593,2,0)</f>
        <v>6.38</v>
      </c>
      <c r="AC29" s="40">
        <v>0.9</v>
      </c>
      <c r="AD29">
        <v>9.9359999999999999</v>
      </c>
    </row>
    <row r="30" spans="1:30" ht="15.9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43" t="s">
        <v>73</v>
      </c>
      <c r="O30" s="129"/>
      <c r="P30" s="144">
        <f>IFERROR(VLOOKUP(N30,[1]Master!$D$542:$K$1797,8,0),"-")</f>
        <v>4.58</v>
      </c>
      <c r="Q30" s="192">
        <f>IFERROR(VLOOKUP(N30,[1]Master!$D$542:$I$1797,6,0),"-")</f>
        <v>0</v>
      </c>
      <c r="R30" s="163">
        <f>VLOOKUP(N30,'Data Lokasi'!$C$13:$X$593,22,0)</f>
        <v>0</v>
      </c>
      <c r="S30" s="164">
        <f>VLOOKUP(N30,'Data Lokasi'!$C$13:$S$593,17,0)</f>
        <v>44725</v>
      </c>
      <c r="T30" s="113"/>
      <c r="U30" s="179"/>
      <c r="V30" s="103"/>
      <c r="W30" s="103"/>
      <c r="X30" s="103"/>
      <c r="Y30" s="103"/>
      <c r="Z30" s="103"/>
      <c r="AA30" s="103"/>
      <c r="AB30">
        <f>VLOOKUP(N22,'Data Lokasi'!$C$13:$D$593,2,0)</f>
        <v>5.35</v>
      </c>
      <c r="AC30" s="40">
        <v>1</v>
      </c>
      <c r="AD30">
        <v>11.62</v>
      </c>
    </row>
    <row r="31" spans="1:30" ht="15.9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43" t="s">
        <v>74</v>
      </c>
      <c r="O31" s="129"/>
      <c r="P31" s="144">
        <f>IFERROR(VLOOKUP(N31,[1]Master!$D$542:$K$1797,8,0),"-")</f>
        <v>4.8250000000000002</v>
      </c>
      <c r="Q31" s="192">
        <f>IFERROR(VLOOKUP(N31,[1]Master!$D$542:$I$1797,6,0),"-")</f>
        <v>0</v>
      </c>
      <c r="R31" s="163">
        <f>VLOOKUP(N31,'Data Lokasi'!$C$13:$X$593,22,0)</f>
        <v>0</v>
      </c>
      <c r="S31" s="164">
        <f>VLOOKUP(N31,'Data Lokasi'!$C$13:$S$593,17,0)</f>
        <v>44726</v>
      </c>
      <c r="T31" s="113"/>
      <c r="U31" s="179"/>
      <c r="V31" s="103"/>
      <c r="W31" s="103"/>
      <c r="X31" s="103"/>
      <c r="Y31" s="103"/>
      <c r="Z31" s="103"/>
      <c r="AA31" s="103"/>
      <c r="AB31">
        <f>VLOOKUP(N23,'Data Lokasi'!$C$13:$D$593,2,0)</f>
        <v>4.8899999999999997</v>
      </c>
      <c r="AC31" s="40">
        <v>1</v>
      </c>
      <c r="AD31">
        <v>8.2100000000000009</v>
      </c>
    </row>
    <row r="32" spans="1:30" ht="15.9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43" t="s">
        <v>75</v>
      </c>
      <c r="O32" s="129"/>
      <c r="P32" s="144">
        <f>IFERROR(VLOOKUP(N32,[1]Master!$D$542:$K$1797,8,0),"-")</f>
        <v>4.5599999999999996</v>
      </c>
      <c r="Q32" s="192">
        <f>IFERROR(VLOOKUP(N32,[1]Master!$D$542:$I$1797,6,0),"-")</f>
        <v>0</v>
      </c>
      <c r="R32" s="163">
        <f>VLOOKUP(N32,'Data Lokasi'!$C$13:$X$593,22,0)</f>
        <v>0</v>
      </c>
      <c r="S32" s="164">
        <f>VLOOKUP(N32,'Data Lokasi'!$C$13:$S$593,17,0)</f>
        <v>44737</v>
      </c>
      <c r="T32" s="113"/>
      <c r="U32" s="179"/>
      <c r="V32" s="103"/>
      <c r="W32" s="103"/>
      <c r="X32" s="103"/>
      <c r="Y32" s="103"/>
      <c r="Z32" s="103"/>
      <c r="AA32" s="103"/>
      <c r="AB32">
        <f>VLOOKUP(N24,'Data Lokasi'!$C$13:$D$593,2,0)</f>
        <v>11.57</v>
      </c>
      <c r="AC32" s="40">
        <v>1</v>
      </c>
      <c r="AD32">
        <v>7.49</v>
      </c>
    </row>
    <row r="33" spans="1:30" ht="15.9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43" t="s">
        <v>76</v>
      </c>
      <c r="O33" s="129"/>
      <c r="P33" s="144">
        <f>IFERROR(VLOOKUP(N33,[1]Master!$D$542:$K$1797,8,0),"-")</f>
        <v>4.46</v>
      </c>
      <c r="Q33" s="192">
        <f>IFERROR(VLOOKUP(N33,[1]Master!$D$542:$I$1797,6,0),"-")</f>
        <v>0</v>
      </c>
      <c r="R33" s="163">
        <f>VLOOKUP(N33,'Data Lokasi'!$C$13:$X$593,22,0)</f>
        <v>0</v>
      </c>
      <c r="S33" s="164">
        <f>VLOOKUP(N33,'Data Lokasi'!$C$13:$S$593,17,0)</f>
        <v>44749</v>
      </c>
      <c r="T33" s="113"/>
      <c r="U33" s="179"/>
      <c r="V33" s="103"/>
      <c r="W33" s="103"/>
      <c r="X33" s="103"/>
      <c r="Y33" s="103"/>
      <c r="Z33" s="103"/>
      <c r="AA33" s="103"/>
      <c r="AB33">
        <f>VLOOKUP(N25,'Data Lokasi'!$C$13:$D$593,2,0)</f>
        <v>10.050000000000001</v>
      </c>
      <c r="AC33" s="40">
        <v>1</v>
      </c>
      <c r="AD33">
        <v>3.7959999999999998</v>
      </c>
    </row>
    <row r="34" spans="1:30" ht="15.9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43" t="s">
        <v>77</v>
      </c>
      <c r="O34" s="129"/>
      <c r="P34" s="145">
        <f>IFERROR(VLOOKUP(N34,[1]Master!$D$542:$K$1797,8,0),"-")</f>
        <v>4.5250000000000004</v>
      </c>
      <c r="Q34" s="193">
        <f>IFERROR(VLOOKUP(N34,[1]Master!$D$542:$I$1797,6,0),"-")</f>
        <v>0</v>
      </c>
      <c r="R34" s="163">
        <f>VLOOKUP(N34,'Data Lokasi'!$C$13:$X$593,22,0)</f>
        <v>0</v>
      </c>
      <c r="S34" s="164">
        <f>VLOOKUP(N34,'Data Lokasi'!$C$13:$S$593,17,0)</f>
        <v>44721</v>
      </c>
      <c r="T34" s="113"/>
      <c r="U34" s="179"/>
      <c r="V34" s="103"/>
      <c r="W34" s="103"/>
      <c r="X34" s="103"/>
      <c r="Y34" s="103"/>
      <c r="Z34" s="103"/>
      <c r="AA34" s="103"/>
      <c r="AB34">
        <f>VLOOKUP(N26,'Data Lokasi'!$C$13:$D$593,2,0)</f>
        <v>6.42</v>
      </c>
      <c r="AC34" s="40">
        <v>1</v>
      </c>
      <c r="AD34">
        <v>7.19</v>
      </c>
    </row>
    <row r="35" spans="1:30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22" t="s">
        <v>12</v>
      </c>
      <c r="O35" s="123"/>
      <c r="P35" s="146"/>
      <c r="Q35" s="146"/>
      <c r="R35" s="194">
        <f>SUM(R8:R34)</f>
        <v>0</v>
      </c>
      <c r="S35" s="195" t="s">
        <v>13</v>
      </c>
      <c r="T35" s="113"/>
      <c r="U35" s="179"/>
      <c r="V35" s="103"/>
      <c r="W35" s="103"/>
      <c r="X35" s="103"/>
      <c r="Y35" s="103"/>
      <c r="Z35" s="103"/>
      <c r="AA35" s="103"/>
      <c r="AB35">
        <f>VLOOKUP(N27,'Data Lokasi'!$C$13:$D$593,2,0)</f>
        <v>5.48</v>
      </c>
      <c r="AC35" s="40">
        <v>0.2</v>
      </c>
      <c r="AD35">
        <v>8.14</v>
      </c>
    </row>
    <row r="36" spans="1:30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47"/>
      <c r="O36" s="147"/>
      <c r="P36" s="147"/>
      <c r="Q36" s="147"/>
      <c r="R36" s="221" t="s">
        <v>78</v>
      </c>
      <c r="S36" s="196">
        <f ca="1">J8-1</f>
        <v>46307.615133912041</v>
      </c>
      <c r="T36" s="113"/>
      <c r="U36" s="179"/>
      <c r="V36" s="103"/>
      <c r="W36" s="103"/>
      <c r="X36" s="103"/>
      <c r="Y36" s="103"/>
      <c r="Z36" s="103"/>
      <c r="AA36" s="103" t="s">
        <v>79</v>
      </c>
      <c r="AB36">
        <f>VLOOKUP(N28,'Data Lokasi'!$C$13:$D$593,2,0)</f>
        <v>3.44</v>
      </c>
      <c r="AC36" s="40">
        <v>1</v>
      </c>
      <c r="AD36">
        <v>7.51</v>
      </c>
    </row>
    <row r="37" spans="1:30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48" t="s">
        <v>0</v>
      </c>
      <c r="O37" s="149"/>
      <c r="P37" s="149"/>
      <c r="Q37" s="197"/>
      <c r="R37" s="198" t="s">
        <v>80</v>
      </c>
      <c r="S37" s="199" t="s">
        <v>81</v>
      </c>
      <c r="T37" s="113"/>
      <c r="U37" s="179"/>
      <c r="V37" s="103"/>
      <c r="W37" s="103"/>
      <c r="X37" s="103"/>
      <c r="Y37" s="103"/>
      <c r="Z37" s="103"/>
      <c r="AA37" s="103" t="s">
        <v>79</v>
      </c>
      <c r="AB37">
        <f>VLOOKUP(N29,'Data Lokasi'!$C$13:$D$593,2,0)</f>
        <v>12.42</v>
      </c>
      <c r="AC37" s="40">
        <v>1</v>
      </c>
      <c r="AD37">
        <v>10.242000000000001</v>
      </c>
    </row>
    <row r="38" spans="1:30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50" t="s">
        <v>7</v>
      </c>
      <c r="O38" s="151"/>
      <c r="P38" s="151"/>
      <c r="Q38" s="151"/>
      <c r="R38" s="200">
        <f>SUM(R5:R5)</f>
        <v>0</v>
      </c>
      <c r="S38" s="201"/>
      <c r="T38" s="113"/>
      <c r="U38" s="179"/>
      <c r="V38" s="103"/>
      <c r="W38" s="103"/>
      <c r="X38" s="103"/>
      <c r="Y38" s="103"/>
      <c r="Z38" s="103"/>
      <c r="AA38" s="103" t="s">
        <v>79</v>
      </c>
      <c r="AB38">
        <f>VLOOKUP(N30,'Data Lokasi'!$C$13:$D$593,2,0)</f>
        <v>8.2100000000000009</v>
      </c>
      <c r="AC38" s="40">
        <v>1</v>
      </c>
      <c r="AD38">
        <v>10.242000000000001</v>
      </c>
    </row>
    <row r="39" spans="1:30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7" t="s">
        <v>15</v>
      </c>
      <c r="O39" s="151"/>
      <c r="P39" s="151"/>
      <c r="Q39" s="151"/>
      <c r="R39" s="202">
        <f>SUM(R8:R23)</f>
        <v>0</v>
      </c>
      <c r="S39" s="203">
        <f>SUM(R24:R34)</f>
        <v>0</v>
      </c>
      <c r="T39" s="113"/>
      <c r="U39" s="179"/>
      <c r="V39" s="103"/>
      <c r="W39" s="103"/>
      <c r="X39" s="103"/>
      <c r="Y39" s="103"/>
      <c r="Z39" s="103"/>
      <c r="AA39" s="103" t="s">
        <v>79</v>
      </c>
      <c r="AB39">
        <f>VLOOKUP(N31,'Data Lokasi'!$C$13:$D$593,2,0)</f>
        <v>5.84</v>
      </c>
      <c r="AC39" s="40">
        <v>1</v>
      </c>
      <c r="AD39">
        <v>10.242000000000001</v>
      </c>
    </row>
    <row r="40" spans="1:30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605" t="s">
        <v>82</v>
      </c>
      <c r="O40" s="606"/>
      <c r="P40" s="606"/>
      <c r="Q40" s="607"/>
      <c r="R40" s="202">
        <f>SUM(R38:R39)</f>
        <v>0</v>
      </c>
      <c r="S40" s="203">
        <f>SUM(S38:S39)</f>
        <v>0</v>
      </c>
      <c r="T40" s="113"/>
      <c r="U40" s="179"/>
      <c r="V40" s="103"/>
      <c r="W40" s="103"/>
      <c r="X40" s="103"/>
      <c r="Y40" s="103"/>
      <c r="Z40" s="103"/>
      <c r="AA40" s="103" t="s">
        <v>79</v>
      </c>
    </row>
    <row r="41" spans="1:30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608" t="s">
        <v>12</v>
      </c>
      <c r="O41" s="609"/>
      <c r="P41" s="609"/>
      <c r="Q41" s="609"/>
      <c r="R41" s="194">
        <f>SUM(R40:S40)</f>
        <v>0</v>
      </c>
      <c r="S41" s="204" t="s">
        <v>13</v>
      </c>
      <c r="T41" s="113"/>
      <c r="U41" s="179"/>
      <c r="V41" s="103"/>
      <c r="W41" s="103"/>
      <c r="X41" s="103"/>
      <c r="Y41" s="103"/>
      <c r="Z41" s="103"/>
      <c r="AA41" s="103" t="s">
        <v>79</v>
      </c>
    </row>
    <row r="42" spans="1:30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79"/>
      <c r="V42" s="103"/>
      <c r="W42" s="103"/>
      <c r="X42" s="103"/>
      <c r="Y42" s="103"/>
      <c r="Z42" s="103"/>
      <c r="AA42" s="103" t="s">
        <v>79</v>
      </c>
      <c r="AB42">
        <f>SUM(AB16:AB41)</f>
        <v>185.40999999999997</v>
      </c>
      <c r="AD42">
        <f>SUM(AD16:AD41)</f>
        <v>157.92349999999999</v>
      </c>
    </row>
    <row r="43" spans="1:30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79"/>
      <c r="V43" s="103"/>
      <c r="W43" s="103"/>
      <c r="X43" s="103"/>
      <c r="Y43" s="103"/>
      <c r="Z43" s="103"/>
      <c r="AA43" s="103" t="s">
        <v>79</v>
      </c>
    </row>
    <row r="44" spans="1:30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79"/>
      <c r="V44" s="103"/>
      <c r="W44" s="103"/>
      <c r="X44" s="103"/>
      <c r="Y44" s="103"/>
      <c r="Z44" s="103"/>
      <c r="AA44" s="103" t="s">
        <v>79</v>
      </c>
    </row>
    <row r="45" spans="1:30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79"/>
      <c r="V45" s="103"/>
      <c r="W45" s="103"/>
      <c r="X45" s="103"/>
      <c r="Y45" s="103"/>
      <c r="Z45" s="103"/>
      <c r="AA45" s="103" t="s">
        <v>79</v>
      </c>
    </row>
    <row r="46" spans="1:30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79"/>
      <c r="V46" s="103"/>
      <c r="W46" s="103"/>
      <c r="X46" s="103"/>
      <c r="Y46" s="103"/>
      <c r="Z46" s="103"/>
      <c r="AA46" s="103" t="s">
        <v>79</v>
      </c>
    </row>
    <row r="47" spans="1:30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79"/>
      <c r="V47" s="103"/>
      <c r="W47" s="103"/>
      <c r="X47" s="103"/>
      <c r="Y47" s="103"/>
      <c r="Z47" s="103"/>
      <c r="AA47" s="103" t="s">
        <v>79</v>
      </c>
    </row>
    <row r="48" spans="1:30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79"/>
      <c r="V48" s="103"/>
      <c r="W48" s="103"/>
      <c r="X48" s="103"/>
      <c r="Y48" s="103"/>
      <c r="Z48" s="103"/>
      <c r="AA48" s="103" t="s">
        <v>79</v>
      </c>
    </row>
    <row r="49" spans="1:27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79"/>
      <c r="V49" s="103"/>
      <c r="W49" s="103"/>
      <c r="X49" s="103"/>
      <c r="Y49" s="103"/>
      <c r="Z49" s="103"/>
      <c r="AA49" s="103" t="s">
        <v>79</v>
      </c>
    </row>
    <row r="50" spans="1:27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79"/>
      <c r="V50" s="103"/>
      <c r="W50" s="103"/>
      <c r="X50" s="103"/>
      <c r="Y50" s="103"/>
      <c r="Z50" s="103"/>
      <c r="AA50" s="103" t="s">
        <v>79</v>
      </c>
    </row>
    <row r="51" spans="1:27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79"/>
      <c r="V51" s="103"/>
      <c r="W51" s="103"/>
      <c r="X51" s="103"/>
      <c r="Y51" s="103"/>
      <c r="Z51" s="103"/>
      <c r="AA51" s="103" t="s">
        <v>79</v>
      </c>
    </row>
    <row r="52" spans="1:27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79"/>
      <c r="V52" s="103"/>
      <c r="W52" s="103"/>
      <c r="X52" s="103"/>
      <c r="Y52" s="103"/>
      <c r="Z52" s="103"/>
      <c r="AA52" s="103" t="s">
        <v>79</v>
      </c>
    </row>
    <row r="53" spans="1:27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79"/>
      <c r="V53" s="103"/>
      <c r="W53" s="103"/>
      <c r="X53" s="103"/>
      <c r="Y53" s="103"/>
      <c r="Z53" s="103"/>
      <c r="AA53" s="103" t="s">
        <v>79</v>
      </c>
    </row>
    <row r="54" spans="1:27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79"/>
      <c r="V54" s="103"/>
      <c r="W54" s="103"/>
      <c r="X54" s="103"/>
      <c r="Y54" s="103"/>
      <c r="Z54" s="103"/>
      <c r="AA54" s="103" t="s">
        <v>79</v>
      </c>
    </row>
    <row r="55" spans="1:27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79"/>
      <c r="V55" s="103"/>
      <c r="W55" s="103"/>
      <c r="X55" s="103"/>
      <c r="Y55" s="103"/>
      <c r="Z55" s="103"/>
      <c r="AA55" s="103" t="s">
        <v>79</v>
      </c>
    </row>
    <row r="56" spans="1:27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79"/>
      <c r="V56" s="103"/>
      <c r="W56" s="103"/>
      <c r="X56" s="103"/>
      <c r="Y56" s="103"/>
      <c r="Z56" s="103"/>
      <c r="AA56" s="103" t="s">
        <v>79</v>
      </c>
    </row>
    <row r="57" spans="1:27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79"/>
      <c r="V57" s="103"/>
      <c r="W57" s="103"/>
      <c r="X57" s="103"/>
      <c r="Y57" s="103"/>
      <c r="Z57" s="103"/>
      <c r="AA57" s="103" t="s">
        <v>79</v>
      </c>
    </row>
    <row r="58" spans="1:27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79"/>
      <c r="V58" s="103"/>
      <c r="W58" s="103"/>
      <c r="X58" s="103"/>
      <c r="Y58" s="103"/>
      <c r="Z58" s="103"/>
      <c r="AA58" s="103" t="s">
        <v>79</v>
      </c>
    </row>
    <row r="59" spans="1:27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79"/>
      <c r="V59" s="103"/>
      <c r="W59" s="103"/>
      <c r="X59" s="103"/>
      <c r="Y59" s="103"/>
      <c r="Z59" s="103"/>
      <c r="AA59" s="103" t="s">
        <v>79</v>
      </c>
    </row>
    <row r="60" spans="1:27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79"/>
      <c r="V60" s="103"/>
      <c r="W60" s="103"/>
      <c r="X60" s="103"/>
      <c r="Y60" s="103"/>
      <c r="Z60" s="103"/>
      <c r="AA60" s="103" t="s">
        <v>79</v>
      </c>
    </row>
    <row r="61" spans="1:27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79"/>
      <c r="V61" s="103"/>
      <c r="W61" s="103"/>
      <c r="X61" s="103"/>
      <c r="Y61" s="103"/>
      <c r="Z61" s="103"/>
      <c r="AA61" s="103" t="s">
        <v>79</v>
      </c>
    </row>
    <row r="62" spans="1:27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79"/>
      <c r="V62" s="103"/>
      <c r="W62" s="103"/>
      <c r="X62" s="103"/>
      <c r="Y62" s="103"/>
      <c r="Z62" s="103"/>
      <c r="AA62" s="103" t="s">
        <v>79</v>
      </c>
    </row>
    <row r="63" spans="1:27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79"/>
      <c r="V63" s="103"/>
      <c r="W63" s="103"/>
      <c r="X63" s="103"/>
      <c r="Y63" s="103"/>
      <c r="Z63" s="103"/>
      <c r="AA63" s="103" t="s">
        <v>79</v>
      </c>
    </row>
    <row r="64" spans="1:27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79"/>
      <c r="V64" s="103"/>
      <c r="W64" s="103"/>
      <c r="X64" s="103"/>
      <c r="Y64" s="103"/>
      <c r="Z64" s="103"/>
      <c r="AA64" s="103" t="s">
        <v>79</v>
      </c>
    </row>
    <row r="65" spans="1:27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79"/>
      <c r="V65" s="103"/>
      <c r="W65" s="103"/>
      <c r="X65" s="103"/>
      <c r="Y65" s="103"/>
      <c r="Z65" s="103"/>
      <c r="AA65" s="103" t="s">
        <v>79</v>
      </c>
    </row>
  </sheetData>
  <sortState xmlns:xlrd2="http://schemas.microsoft.com/office/spreadsheetml/2017/richdata2" ref="U21:Y27">
    <sortCondition ref="U21:U27"/>
  </sortState>
  <mergeCells count="5">
    <mergeCell ref="D12:I12"/>
    <mergeCell ref="D19:H19"/>
    <mergeCell ref="N40:Q40"/>
    <mergeCell ref="N41:Q41"/>
    <mergeCell ref="D5:L6"/>
  </mergeCells>
  <pageMargins left="0.75" right="0.75" top="1" bottom="1" header="0.51180555555555596" footer="0.51180555555555596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BH1398"/>
  <sheetViews>
    <sheetView showGridLines="0" zoomScale="80" zoomScaleNormal="80" zoomScaleSheetLayoutView="50" workbookViewId="0">
      <pane xSplit="13" ySplit="13" topLeftCell="X14" activePane="bottomRight" state="frozen"/>
      <selection pane="topRight"/>
      <selection pane="bottomLeft"/>
      <selection pane="bottomRight" activeCell="AF46" sqref="AF46"/>
    </sheetView>
  </sheetViews>
  <sheetFormatPr defaultColWidth="9.109375" defaultRowHeight="14.4"/>
  <cols>
    <col min="1" max="1" width="2.109375" customWidth="1"/>
    <col min="2" max="2" width="8.33203125" customWidth="1"/>
    <col min="3" max="3" width="8" bestFit="1" customWidth="1"/>
    <col min="4" max="4" width="7.6640625" customWidth="1"/>
    <col min="5" max="5" width="10.5546875" customWidth="1"/>
    <col min="6" max="6" width="2.33203125" hidden="1" customWidth="1"/>
    <col min="7" max="7" width="13.109375" customWidth="1"/>
    <col min="8" max="8" width="10.109375" hidden="1" customWidth="1"/>
    <col min="9" max="9" width="10.88671875" bestFit="1" customWidth="1"/>
    <col min="10" max="10" width="2.33203125" hidden="1" customWidth="1"/>
    <col min="11" max="11" width="14.44140625" customWidth="1"/>
    <col min="12" max="13" width="2.33203125" hidden="1" customWidth="1"/>
    <col min="14" max="14" width="14.44140625" customWidth="1"/>
    <col min="15" max="16" width="2.33203125" hidden="1" customWidth="1"/>
    <col min="17" max="17" width="13.6640625" customWidth="1"/>
    <col min="18" max="18" width="2.33203125" hidden="1" customWidth="1"/>
    <col min="19" max="19" width="16.5546875" customWidth="1"/>
    <col min="20" max="20" width="18" customWidth="1"/>
    <col min="21" max="21" width="2.33203125" hidden="1" customWidth="1"/>
    <col min="22" max="22" width="20.5546875" customWidth="1"/>
    <col min="23" max="23" width="15.6640625" customWidth="1"/>
    <col min="24" max="24" width="10.33203125" customWidth="1"/>
    <col min="25" max="25" width="12.33203125" bestFit="1" customWidth="1"/>
    <col min="26" max="26" width="9.44140625" customWidth="1"/>
    <col min="27" max="27" width="16.5546875" customWidth="1"/>
    <col min="28" max="28" width="16.5546875" style="30" customWidth="1"/>
    <col min="29" max="29" width="9.44140625" customWidth="1"/>
    <col min="30" max="30" width="16.5546875" customWidth="1"/>
    <col min="31" max="31" width="4.6640625" customWidth="1"/>
    <col min="32" max="32" width="13.5546875" style="42" customWidth="1"/>
    <col min="33" max="40" width="10.109375" style="42" customWidth="1"/>
    <col min="41" max="42" width="9.5546875" style="42" customWidth="1"/>
    <col min="43" max="43" width="2.5546875" customWidth="1"/>
    <col min="44" max="45" width="10.109375" style="42" customWidth="1"/>
    <col min="46" max="46" width="2.5546875" style="42" customWidth="1"/>
    <col min="47" max="48" width="0" hidden="1" customWidth="1"/>
    <col min="49" max="49" width="2.5546875" hidden="1" customWidth="1"/>
    <col min="50" max="51" width="0" hidden="1" customWidth="1"/>
    <col min="52" max="52" width="2.5546875" customWidth="1"/>
  </cols>
  <sheetData>
    <row r="1" spans="1:60" ht="5.0999999999999996" customHeight="1" thickBot="1">
      <c r="A1" t="s">
        <v>2607</v>
      </c>
      <c r="I1" s="68">
        <v>9</v>
      </c>
      <c r="K1" s="68">
        <v>9</v>
      </c>
      <c r="N1" t="s">
        <v>2539</v>
      </c>
      <c r="S1" s="68">
        <v>17</v>
      </c>
      <c r="T1" s="68">
        <v>18</v>
      </c>
      <c r="AA1" s="68"/>
      <c r="AB1" s="470"/>
      <c r="AD1" s="68"/>
    </row>
    <row r="2" spans="1:60" ht="22.2" thickTop="1" thickBot="1">
      <c r="B2" s="43" t="s">
        <v>83</v>
      </c>
      <c r="C2" s="44"/>
      <c r="D2" s="44"/>
      <c r="E2" s="45"/>
      <c r="G2" s="46"/>
    </row>
    <row r="3" spans="1:60" ht="3" customHeight="1" thickTop="1">
      <c r="B3" s="47"/>
    </row>
    <row r="4" spans="1:60">
      <c r="B4" s="48" t="s">
        <v>84</v>
      </c>
      <c r="C4" s="13"/>
      <c r="D4" s="49" t="s">
        <v>85</v>
      </c>
      <c r="E4" s="50">
        <f ca="1">NOW()</f>
        <v>46308.615133912041</v>
      </c>
      <c r="F4" s="13"/>
      <c r="G4" s="51">
        <f>G9+Q9</f>
        <v>228.54000000000002</v>
      </c>
      <c r="H4" s="13"/>
      <c r="I4" s="14" t="s">
        <v>13</v>
      </c>
      <c r="K4" s="69"/>
      <c r="V4" s="79"/>
      <c r="W4" s="36"/>
      <c r="X4" s="76"/>
      <c r="Y4" s="76"/>
      <c r="Z4" s="76"/>
      <c r="AC4" s="76"/>
      <c r="AE4" s="76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R4" s="84"/>
      <c r="AS4" s="84"/>
      <c r="AT4" s="84"/>
    </row>
    <row r="5" spans="1:60">
      <c r="B5" s="52" t="s">
        <v>86</v>
      </c>
      <c r="C5" s="53"/>
      <c r="D5" s="53"/>
      <c r="E5" s="53"/>
      <c r="F5" s="53"/>
      <c r="G5" s="53"/>
      <c r="H5" s="53"/>
      <c r="I5" s="70"/>
      <c r="K5" s="52" t="s">
        <v>87</v>
      </c>
      <c r="L5" s="59"/>
      <c r="M5" s="59"/>
      <c r="N5" s="59"/>
      <c r="O5" s="59"/>
      <c r="P5" s="59"/>
      <c r="Q5" s="59"/>
      <c r="R5" s="59"/>
      <c r="S5" s="77"/>
      <c r="T5" s="78"/>
      <c r="V5" s="79"/>
      <c r="W5" s="387"/>
      <c r="X5" s="81"/>
      <c r="Y5" s="76"/>
      <c r="Z5" s="76"/>
      <c r="AC5" s="76"/>
      <c r="AE5" s="76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R5" s="84"/>
      <c r="AS5" s="84"/>
      <c r="AT5" s="84"/>
    </row>
    <row r="6" spans="1:60">
      <c r="B6" s="222" t="s">
        <v>88</v>
      </c>
      <c r="C6" s="53"/>
      <c r="D6" s="53"/>
      <c r="E6" s="53"/>
      <c r="F6" s="53"/>
      <c r="G6" s="55">
        <f>SUMPRODUCT($W$14:$W$2288,$R$14:$R$2288)</f>
        <v>51.15</v>
      </c>
      <c r="H6" s="53"/>
      <c r="I6" s="70" t="s">
        <v>13</v>
      </c>
      <c r="K6" s="54" t="s">
        <v>55</v>
      </c>
      <c r="N6" s="53"/>
      <c r="Q6" s="80">
        <f>SUMPRODUCT($X$1:$X$2288,$L$1:$L$2288)-Q8</f>
        <v>0</v>
      </c>
      <c r="S6" s="70" t="s">
        <v>13</v>
      </c>
      <c r="V6" s="75"/>
      <c r="X6" s="81"/>
      <c r="Y6" s="76"/>
      <c r="Z6" s="76"/>
      <c r="AC6" s="76"/>
      <c r="AE6" s="82"/>
      <c r="AF6" s="85"/>
      <c r="AG6" s="85"/>
      <c r="AH6" s="85"/>
      <c r="AI6" s="85"/>
      <c r="AJ6" s="85"/>
      <c r="AK6" s="85"/>
      <c r="AL6" s="85"/>
      <c r="AM6" s="85"/>
      <c r="AN6" s="85"/>
      <c r="AO6" s="84"/>
      <c r="AP6" s="84"/>
      <c r="AR6" s="85"/>
      <c r="AS6" s="85"/>
      <c r="AT6" s="85"/>
    </row>
    <row r="7" spans="1:60">
      <c r="B7" s="222" t="s">
        <v>89</v>
      </c>
      <c r="C7" s="53"/>
      <c r="D7" s="53"/>
      <c r="E7" s="53"/>
      <c r="F7" s="53"/>
      <c r="G7" s="55">
        <f>SUMPRODUCT($X$14:$X$2288,$R$14:$R$2288)</f>
        <v>15.639999999999999</v>
      </c>
      <c r="H7" s="53"/>
      <c r="I7" s="70" t="s">
        <v>13</v>
      </c>
      <c r="K7" s="54" t="s">
        <v>52</v>
      </c>
      <c r="N7" s="53"/>
      <c r="Q7" s="80">
        <f>SUMPRODUCT($X$1:$X$2288,$J$1:$J$2288)-SUMPRODUCT($X:$X,$M:$M)</f>
        <v>212.90000000000003</v>
      </c>
      <c r="S7" s="70" t="s">
        <v>13</v>
      </c>
      <c r="V7" s="79"/>
      <c r="X7" s="81"/>
      <c r="Y7" s="76"/>
      <c r="Z7" s="86"/>
      <c r="AC7" s="86"/>
      <c r="AE7" s="86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R7" s="84"/>
      <c r="AS7" s="84"/>
      <c r="AT7" s="84"/>
    </row>
    <row r="8" spans="1:60">
      <c r="B8" s="222" t="s">
        <v>32</v>
      </c>
      <c r="C8" s="53"/>
      <c r="D8" s="53"/>
      <c r="E8" s="53"/>
      <c r="F8" s="53"/>
      <c r="G8" s="55">
        <f>SUMPRODUCT($X$14:$X$2288,$O$14:$O$2288)-SUMPRODUCT($X$14:$X$2288,$R$14:$R$2288)</f>
        <v>0</v>
      </c>
      <c r="H8" s="53"/>
      <c r="I8" s="70" t="s">
        <v>13</v>
      </c>
      <c r="K8" s="54" t="s">
        <v>90</v>
      </c>
      <c r="N8" s="53"/>
      <c r="Q8" s="80">
        <f>SUMPRODUCT($X2:$X2287,$M2:$M2287)</f>
        <v>0</v>
      </c>
      <c r="S8" s="70" t="s">
        <v>13</v>
      </c>
      <c r="V8" s="227"/>
      <c r="X8" s="82"/>
      <c r="Y8" s="252"/>
      <c r="Z8" s="82"/>
      <c r="AC8" s="82"/>
      <c r="AE8" s="87"/>
      <c r="AF8" s="85"/>
      <c r="AG8" s="85"/>
      <c r="AH8" s="85"/>
      <c r="AI8" s="85"/>
      <c r="AJ8" s="85"/>
      <c r="AK8" s="85"/>
      <c r="AL8" s="85"/>
      <c r="AM8" s="85"/>
      <c r="AN8" s="85"/>
      <c r="AO8" s="84"/>
      <c r="AP8" s="84"/>
      <c r="AR8" s="85"/>
      <c r="AS8" s="85"/>
      <c r="AT8" s="85"/>
    </row>
    <row r="9" spans="1:60">
      <c r="B9" s="56" t="s">
        <v>82</v>
      </c>
      <c r="C9" s="57"/>
      <c r="D9" s="57"/>
      <c r="E9" s="57"/>
      <c r="F9" s="57"/>
      <c r="G9" s="58">
        <f>SUM(G7:G8)</f>
        <v>15.639999999999999</v>
      </c>
      <c r="H9" s="57"/>
      <c r="I9" s="71" t="s">
        <v>13</v>
      </c>
      <c r="K9" s="56" t="s">
        <v>82</v>
      </c>
      <c r="N9" s="57"/>
      <c r="Q9" s="58">
        <f>SUM(Q6:Q8)</f>
        <v>212.90000000000003</v>
      </c>
      <c r="S9" s="71" t="s">
        <v>13</v>
      </c>
      <c r="V9" s="226"/>
      <c r="X9" s="76"/>
      <c r="Y9" s="76"/>
      <c r="Z9" s="81"/>
      <c r="AC9" s="81"/>
      <c r="AE9" s="76"/>
      <c r="AF9" s="254"/>
      <c r="AH9" s="84"/>
      <c r="AI9" s="84"/>
      <c r="AJ9" s="84"/>
      <c r="AK9" s="84"/>
      <c r="AL9" s="84"/>
      <c r="AM9" s="84"/>
      <c r="AN9" s="84"/>
      <c r="AR9" s="611" t="s">
        <v>2597</v>
      </c>
      <c r="AS9" s="611"/>
      <c r="AT9" s="84"/>
    </row>
    <row r="10" spans="1:60" ht="5.0999999999999996" customHeight="1">
      <c r="D10" s="59"/>
      <c r="F10" s="53"/>
      <c r="H10" s="53"/>
      <c r="K10" s="59"/>
      <c r="N10" s="72"/>
      <c r="Q10" s="83"/>
      <c r="S10" s="59"/>
    </row>
    <row r="11" spans="1:60">
      <c r="B11" s="223" t="s">
        <v>91</v>
      </c>
      <c r="C11" s="60"/>
      <c r="D11" s="60"/>
      <c r="E11" s="60"/>
      <c r="G11" s="224" t="s">
        <v>92</v>
      </c>
      <c r="V11" s="245" t="s">
        <v>2556</v>
      </c>
      <c r="W11" s="246"/>
      <c r="AH11" s="441" t="s">
        <v>2722</v>
      </c>
      <c r="AI11" s="441"/>
      <c r="AJ11" s="441"/>
      <c r="AK11" s="441"/>
      <c r="AL11" s="441"/>
      <c r="AM11" s="441"/>
      <c r="AP11" s="440"/>
      <c r="AQ11" s="60"/>
      <c r="AR11" s="442" t="s">
        <v>2723</v>
      </c>
      <c r="AS11" s="440"/>
      <c r="AU11" s="612" t="s">
        <v>2593</v>
      </c>
      <c r="AV11" s="612"/>
      <c r="AX11" s="613" t="s">
        <v>2594</v>
      </c>
      <c r="AY11" s="613"/>
      <c r="BA11" s="8" t="s">
        <v>2618</v>
      </c>
    </row>
    <row r="12" spans="1:60" ht="5.0999999999999996" customHeight="1" thickBot="1">
      <c r="AU12" s="42"/>
      <c r="AV12" s="42"/>
      <c r="BA12" s="8"/>
    </row>
    <row r="13" spans="1:60">
      <c r="B13" s="61" t="s">
        <v>93</v>
      </c>
      <c r="C13" s="62" t="s">
        <v>94</v>
      </c>
      <c r="D13" s="62" t="s">
        <v>95</v>
      </c>
      <c r="E13" s="62" t="s">
        <v>96</v>
      </c>
      <c r="F13" s="62"/>
      <c r="G13" s="62" t="s">
        <v>97</v>
      </c>
      <c r="H13" s="62"/>
      <c r="I13" s="62" t="s">
        <v>5</v>
      </c>
      <c r="J13" s="62"/>
      <c r="K13" s="62" t="s">
        <v>98</v>
      </c>
      <c r="L13" s="62"/>
      <c r="M13" s="62"/>
      <c r="N13" s="62" t="s">
        <v>0</v>
      </c>
      <c r="O13" s="62"/>
      <c r="P13" s="73"/>
      <c r="Q13" s="73" t="s">
        <v>99</v>
      </c>
      <c r="R13" s="73"/>
      <c r="S13" s="73" t="s">
        <v>16</v>
      </c>
      <c r="T13" s="73" t="s">
        <v>100</v>
      </c>
      <c r="U13" s="73"/>
      <c r="V13" s="73" t="s">
        <v>101</v>
      </c>
      <c r="W13" s="73" t="s">
        <v>102</v>
      </c>
      <c r="X13" s="73" t="s">
        <v>103</v>
      </c>
      <c r="Y13" s="88" t="s">
        <v>2714</v>
      </c>
      <c r="Z13" s="88" t="s">
        <v>104</v>
      </c>
      <c r="AA13" s="73" t="s">
        <v>2739</v>
      </c>
      <c r="AB13" s="73" t="s">
        <v>2740</v>
      </c>
      <c r="AC13" s="88" t="s">
        <v>2710</v>
      </c>
      <c r="AD13" s="73" t="s">
        <v>100</v>
      </c>
      <c r="AF13" s="249" t="s">
        <v>2775</v>
      </c>
      <c r="AG13" s="244" t="s">
        <v>2596</v>
      </c>
      <c r="AH13" s="244">
        <v>46307</v>
      </c>
      <c r="AI13" s="244">
        <f>AH13+1</f>
        <v>46308</v>
      </c>
      <c r="AJ13" s="244">
        <f t="shared" ref="AJ13:AK13" si="0">AI13+1</f>
        <v>46309</v>
      </c>
      <c r="AK13" s="244">
        <f t="shared" si="0"/>
        <v>46310</v>
      </c>
      <c r="AL13" s="244">
        <f>AK13+1</f>
        <v>46311</v>
      </c>
      <c r="AM13" s="244">
        <f>AL13+1</f>
        <v>46312</v>
      </c>
      <c r="AN13" s="228"/>
      <c r="AO13" s="250" t="s">
        <v>2619</v>
      </c>
      <c r="AP13" s="249" t="s">
        <v>2543</v>
      </c>
      <c r="AQ13" s="25"/>
      <c r="AR13" s="244" t="s">
        <v>2596</v>
      </c>
      <c r="AS13" s="233" t="s">
        <v>2544</v>
      </c>
      <c r="AT13" s="235"/>
      <c r="AU13" s="244" t="s">
        <v>2595</v>
      </c>
      <c r="AV13" s="233" t="s">
        <v>2544</v>
      </c>
      <c r="AX13" s="244" t="s">
        <v>2596</v>
      </c>
      <c r="AY13" s="233" t="s">
        <v>2544</v>
      </c>
      <c r="BA13" s="8" t="s">
        <v>2617</v>
      </c>
    </row>
    <row r="14" spans="1:60" ht="9.75" customHeight="1">
      <c r="A14" s="5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30"/>
      <c r="AD14" s="63"/>
      <c r="AF14" s="89"/>
      <c r="AG14" s="89"/>
      <c r="AH14" s="89"/>
      <c r="AI14" s="89"/>
      <c r="AJ14" s="89"/>
      <c r="AK14" s="89"/>
      <c r="AL14" s="89"/>
      <c r="AM14" s="89"/>
      <c r="AN14" s="89"/>
      <c r="AO14" s="90"/>
      <c r="AP14" s="89"/>
      <c r="AQ14" s="25"/>
      <c r="AR14" s="89"/>
      <c r="AS14" s="89"/>
      <c r="AT14" s="89"/>
      <c r="AU14" s="89"/>
      <c r="AV14" s="89"/>
      <c r="AX14" s="89"/>
      <c r="AY14" s="89"/>
    </row>
    <row r="15" spans="1:60">
      <c r="B15" s="64" t="s">
        <v>107</v>
      </c>
      <c r="C15" s="65" t="s">
        <v>2712</v>
      </c>
      <c r="D15" s="479">
        <v>6.02</v>
      </c>
      <c r="E15" s="67">
        <v>46253</v>
      </c>
      <c r="F15" s="64"/>
      <c r="G15" s="67">
        <v>46254</v>
      </c>
      <c r="H15" s="67"/>
      <c r="I15" s="67">
        <f t="shared" ref="I15" si="1">+G15</f>
        <v>46254</v>
      </c>
      <c r="J15" s="64">
        <f t="shared" ref="J15" si="2">IF(I15&gt;0,0,1)</f>
        <v>0</v>
      </c>
      <c r="K15" s="67">
        <v>46268</v>
      </c>
      <c r="L15" s="64"/>
      <c r="M15" s="64">
        <f t="shared" ref="M15" si="3">IF(AND(J15&gt;0,L15&gt;0),1,0)</f>
        <v>0</v>
      </c>
      <c r="N15" s="67">
        <f t="shared" ref="N15" si="4">IF(AND(I15&gt;0,K15&gt;0),MAX(I15:K15)+1,"")</f>
        <v>46269</v>
      </c>
      <c r="O15" s="64">
        <f t="shared" ref="O15" si="5">IF(N15&gt;0,1,0)</f>
        <v>1</v>
      </c>
      <c r="P15" s="64">
        <f t="shared" ref="P15" si="6">IF(O15&gt;0,0,1)</f>
        <v>0</v>
      </c>
      <c r="Q15" s="91" t="str">
        <f t="shared" ref="Q15" si="7">IF(T15&gt;0,"Selesai","Proses")</f>
        <v>Proses</v>
      </c>
      <c r="R15" s="64">
        <f t="shared" ref="R15" si="8">IF(Q15="proses",1,0)</f>
        <v>1</v>
      </c>
      <c r="S15" s="67">
        <v>46271</v>
      </c>
      <c r="T15" s="67"/>
      <c r="U15" s="64"/>
      <c r="V15" s="66">
        <f t="shared" ref="V15:W17" si="9">AO15</f>
        <v>6.0200000000000005</v>
      </c>
      <c r="W15" s="66">
        <f t="shared" si="9"/>
        <v>0.05</v>
      </c>
      <c r="X15" s="93">
        <f t="shared" ref="X15" si="10">IF(G15=0,"",D15-V15)</f>
        <v>-8.8817841970012523E-16</v>
      </c>
      <c r="Y15" s="409" t="str">
        <f>VLOOKUP($C15,[2]Nanas!$C$1336:$G$1420,5,0)</f>
        <v>PS</v>
      </c>
      <c r="Z15" s="481">
        <f t="shared" ref="Z15:Z21" si="11">1-X15/D15</f>
        <v>1.0000000000000002</v>
      </c>
      <c r="AA15" s="67"/>
      <c r="AB15" s="471"/>
      <c r="AC15" s="516" t="s">
        <v>2711</v>
      </c>
      <c r="AD15" s="67">
        <v>46296</v>
      </c>
      <c r="AF15" s="42">
        <f>IFERROR(VLOOKUP($C15,[3]Real!$B$11:$Y$28,20,0),"")</f>
        <v>6.0200000000000005</v>
      </c>
      <c r="AG15" s="42">
        <f>IFERROR(VLOOKUP($C15,[3]Real!$B$11:$Y$28,18,0),"")</f>
        <v>0.05</v>
      </c>
      <c r="AH15" s="42">
        <f>SUMIFS('Input Real Tanam&amp;Petik Nanas'!$J:$J,'Input Real Tanam&amp;Petik Nanas'!$C:$C,$C15,'Input Real Tanam&amp;Petik Nanas'!$B:$B,'Data Lokasi'!AH$13)</f>
        <v>0</v>
      </c>
      <c r="AI15" s="42">
        <f>SUMIFS('Input Real Tanam&amp;Petik Nanas'!$J:$J,'Input Real Tanam&amp;Petik Nanas'!$C:$C,$C15,'Input Real Tanam&amp;Petik Nanas'!$B:$B,'Data Lokasi'!AI$13)</f>
        <v>0</v>
      </c>
      <c r="AJ15" s="42">
        <f>SUMIFS('Input Real Tanam&amp;Petik Nanas'!$J:$J,'Input Real Tanam&amp;Petik Nanas'!$C:$C,$C15,'Input Real Tanam&amp;Petik Nanas'!$B:$B,'Data Lokasi'!AJ$13)</f>
        <v>0</v>
      </c>
      <c r="AK15" s="42">
        <f>SUMIFS('Input Real Tanam&amp;Petik Nanas'!$J:$J,'Input Real Tanam&amp;Petik Nanas'!$C:$C,$C15,'Input Real Tanam&amp;Petik Nanas'!$B:$B,'Data Lokasi'!AK$13)</f>
        <v>0</v>
      </c>
      <c r="AL15" s="42">
        <f>SUMIFS('Input Real Tanam&amp;Petik Nanas'!$J:$J,'Input Real Tanam&amp;Petik Nanas'!$C:$C,$C15,'Input Real Tanam&amp;Petik Nanas'!$B:$B,'Data Lokasi'!AL$13)</f>
        <v>0</v>
      </c>
      <c r="AM15" s="42">
        <f>SUMIFS('Input Real Tanam&amp;Petik Nanas'!$J:$J,'Input Real Tanam&amp;Petik Nanas'!$C:$C,$C15,'Input Real Tanam&amp;Petik Nanas'!$B:$B,'Data Lokasi'!AM$13)</f>
        <v>0</v>
      </c>
      <c r="AO15" s="42">
        <f>IFERROR(AF15+AI15+AJ15+AK15+AL15+AM15,"")</f>
        <v>6.0200000000000005</v>
      </c>
      <c r="AP15" s="42">
        <f>IFERROR(AG15+AI15+AJ15+AK15+AL15+AM15,"")</f>
        <v>0.05</v>
      </c>
      <c r="AR15" s="42">
        <f>IFERROR(VLOOKUP($C15,[3]Real!$B$11:$Y$28,18,0),"")</f>
        <v>0.05</v>
      </c>
      <c r="AS15" s="42" t="str">
        <f t="shared" ref="AS15:AS29" si="12">IFERROR(IF(AR15-AP15=0,"",(AR15-AP15)),"")</f>
        <v/>
      </c>
      <c r="BA15" s="520" t="s">
        <v>2746</v>
      </c>
      <c r="BH15" s="36"/>
    </row>
    <row r="16" spans="1:60">
      <c r="B16" s="64" t="s">
        <v>113</v>
      </c>
      <c r="C16" s="65" t="s">
        <v>148</v>
      </c>
      <c r="D16" s="66">
        <v>8.76</v>
      </c>
      <c r="E16" s="67">
        <v>46244</v>
      </c>
      <c r="F16" s="64"/>
      <c r="G16" s="67">
        <v>46245</v>
      </c>
      <c r="H16" s="67"/>
      <c r="I16" s="67">
        <f>+G16</f>
        <v>46245</v>
      </c>
      <c r="J16" s="64">
        <f>IF(I16&gt;0,0,1)</f>
        <v>0</v>
      </c>
      <c r="K16" s="67">
        <v>46269</v>
      </c>
      <c r="L16" s="64"/>
      <c r="M16" s="64">
        <f>IF(AND(J16&gt;0,L16&gt;0),1,0)</f>
        <v>0</v>
      </c>
      <c r="N16" s="67">
        <f>IF(AND(I16&gt;0,K16&gt;0),MAX(I16:K16)+1,"")</f>
        <v>46270</v>
      </c>
      <c r="O16" s="64">
        <f>IF(N16&gt;0,1,0)</f>
        <v>1</v>
      </c>
      <c r="P16" s="64">
        <f>IF(O16&gt;0,0,1)</f>
        <v>0</v>
      </c>
      <c r="Q16" s="91" t="str">
        <f>IF(T16&gt;0,"Selesai","Proses")</f>
        <v>Proses</v>
      </c>
      <c r="R16" s="64">
        <f>IF(Q16="proses",1,0)</f>
        <v>1</v>
      </c>
      <c r="S16" s="67">
        <v>46281</v>
      </c>
      <c r="T16" s="67"/>
      <c r="U16" s="64"/>
      <c r="V16" s="66">
        <f t="shared" si="9"/>
        <v>8.76</v>
      </c>
      <c r="W16" s="66">
        <f t="shared" si="9"/>
        <v>0.05</v>
      </c>
      <c r="X16" s="93">
        <f>IF(G16=0,"",D16-V16)</f>
        <v>0</v>
      </c>
      <c r="Y16" s="409" t="str">
        <f>VLOOKUP($C16,[4]Nanas!$C$1336:$G$1416,5,0)</f>
        <v>RC</v>
      </c>
      <c r="Z16" s="481">
        <f t="shared" si="11"/>
        <v>1</v>
      </c>
      <c r="AA16" s="67">
        <f>INDEX([5]Nanas!$M$1336:$M$1444,MATCH($C16,[5]Nanas!$C$1336:$C$1444,0))</f>
        <v>46205</v>
      </c>
      <c r="AB16" s="471">
        <f t="shared" ref="AB16" si="13">S16-AA16</f>
        <v>76</v>
      </c>
      <c r="AC16" s="516" t="s">
        <v>2711</v>
      </c>
      <c r="AD16" s="67"/>
      <c r="AF16" s="42">
        <f>IFERROR(VLOOKUP($C16,[3]Real!$B$11:$Y$28,20,0),"")</f>
        <v>8.76</v>
      </c>
      <c r="AG16" s="42">
        <f>IFERROR(VLOOKUP($C16,[3]Real!$B$11:$Y$28,18,0),"")</f>
        <v>0.05</v>
      </c>
      <c r="AH16" s="42">
        <f>SUMIFS('Input Real Tanam&amp;Petik Nanas'!$J:$J,'Input Real Tanam&amp;Petik Nanas'!$C:$C,$C16,'Input Real Tanam&amp;Petik Nanas'!$B:$B,'Data Lokasi'!AH$13)</f>
        <v>0</v>
      </c>
      <c r="AI16" s="42">
        <f>SUMIFS('Input Real Tanam&amp;Petik Nanas'!$J:$J,'Input Real Tanam&amp;Petik Nanas'!$C:$C,$C16,'Input Real Tanam&amp;Petik Nanas'!$B:$B,'Data Lokasi'!AI$13)</f>
        <v>0</v>
      </c>
      <c r="AJ16" s="42">
        <f>SUMIFS('Input Real Tanam&amp;Petik Nanas'!$J:$J,'Input Real Tanam&amp;Petik Nanas'!$C:$C,$C16,'Input Real Tanam&amp;Petik Nanas'!$B:$B,'Data Lokasi'!AJ$13)</f>
        <v>0</v>
      </c>
      <c r="AK16" s="42">
        <f>SUMIFS('Input Real Tanam&amp;Petik Nanas'!$J:$J,'Input Real Tanam&amp;Petik Nanas'!$C:$C,$C16,'Input Real Tanam&amp;Petik Nanas'!$B:$B,'Data Lokasi'!AK$13)</f>
        <v>0</v>
      </c>
      <c r="AL16" s="42">
        <f>SUMIFS('Input Real Tanam&amp;Petik Nanas'!$J:$J,'Input Real Tanam&amp;Petik Nanas'!$C:$C,$C16,'Input Real Tanam&amp;Petik Nanas'!$B:$B,'Data Lokasi'!AL$13)</f>
        <v>0</v>
      </c>
      <c r="AM16" s="42">
        <f>SUMIFS('Input Real Tanam&amp;Petik Nanas'!$J:$J,'Input Real Tanam&amp;Petik Nanas'!$C:$C,$C16,'Input Real Tanam&amp;Petik Nanas'!$B:$B,'Data Lokasi'!AM$13)</f>
        <v>0</v>
      </c>
      <c r="AO16" s="42">
        <f t="shared" ref="AO16" si="14">IFERROR(AF16+AI16+AJ16+AK16+AL16+AM16,"")</f>
        <v>8.76</v>
      </c>
      <c r="AP16" s="42">
        <f>IFERROR(AG16+AI16+AJ16+AK16+AL16+AM16,"")</f>
        <v>0.05</v>
      </c>
      <c r="AR16" s="42">
        <f>IFERROR(VLOOKUP($C16,[3]Real!$B$11:$Y$28,18,0),"")</f>
        <v>0.05</v>
      </c>
      <c r="AS16" s="42" t="str">
        <f t="shared" si="12"/>
        <v/>
      </c>
      <c r="BA16" s="477" t="s">
        <v>2741</v>
      </c>
      <c r="BH16" s="36"/>
    </row>
    <row r="17" spans="2:60">
      <c r="B17" s="64" t="s">
        <v>116</v>
      </c>
      <c r="C17" s="65" t="s">
        <v>279</v>
      </c>
      <c r="D17" s="66">
        <v>5.05</v>
      </c>
      <c r="E17" s="67">
        <v>46262</v>
      </c>
      <c r="F17" s="64"/>
      <c r="G17" s="67">
        <v>46263</v>
      </c>
      <c r="H17" s="67"/>
      <c r="I17" s="67">
        <f>+G17</f>
        <v>46263</v>
      </c>
      <c r="J17" s="64">
        <f t="shared" ref="J17" si="15">IF(I17&gt;0,0,1)</f>
        <v>0</v>
      </c>
      <c r="K17" s="67">
        <v>46270</v>
      </c>
      <c r="L17" s="64"/>
      <c r="M17" s="64">
        <f>IF(AND(J17&gt;0,L17&gt;0),1,0)</f>
        <v>0</v>
      </c>
      <c r="N17" s="67">
        <f>IF(AND(I17&gt;0,K17&gt;0),MAX(I17:K17)+1,"")</f>
        <v>46271</v>
      </c>
      <c r="O17" s="64">
        <f t="shared" ref="O17" si="16">IF(N17&gt;0,1,0)</f>
        <v>1</v>
      </c>
      <c r="P17" s="64">
        <f t="shared" ref="P17" si="17">IF(O17&gt;0,0,1)</f>
        <v>0</v>
      </c>
      <c r="Q17" s="91" t="str">
        <f>IF(T17&gt;0,"Selesai","Proses")</f>
        <v>Proses</v>
      </c>
      <c r="R17" s="64">
        <f t="shared" ref="R17" si="18">IF(Q17="proses",1,0)</f>
        <v>1</v>
      </c>
      <c r="S17" s="67">
        <v>46276</v>
      </c>
      <c r="T17" s="67"/>
      <c r="U17" s="64"/>
      <c r="V17" s="66">
        <f t="shared" si="9"/>
        <v>5.05</v>
      </c>
      <c r="W17" s="66">
        <f t="shared" si="9"/>
        <v>0.25</v>
      </c>
      <c r="X17" s="93">
        <f>IF(G17=0,"",D17-V17)</f>
        <v>0</v>
      </c>
      <c r="Y17" s="409" t="s">
        <v>2728</v>
      </c>
      <c r="Z17" s="481">
        <f t="shared" si="11"/>
        <v>1</v>
      </c>
      <c r="AA17" s="67">
        <f>INDEX([5]Nanas!$M$1336:$M$1444,MATCH($C17,[5]Nanas!$C$1336:$C$1444,0))</f>
        <v>46230</v>
      </c>
      <c r="AB17" s="471">
        <f t="shared" ref="AB17" si="19">S17-AA17</f>
        <v>46</v>
      </c>
      <c r="AC17" s="516" t="s">
        <v>2711</v>
      </c>
      <c r="AD17" s="67"/>
      <c r="AF17" s="42">
        <f>IFERROR(VLOOKUP($C17,[3]Real!$B$11:$Y$28,20,0),"")</f>
        <v>5.05</v>
      </c>
      <c r="AG17" s="42">
        <f>IFERROR(VLOOKUP($C17,[3]Real!$B$11:$Y$28,18,0),"")</f>
        <v>0.25</v>
      </c>
      <c r="AH17" s="42">
        <f>SUMIFS('Input Real Tanam&amp;Petik Nanas'!$J:$J,'Input Real Tanam&amp;Petik Nanas'!$C:$C,$C17,'Input Real Tanam&amp;Petik Nanas'!$B:$B,'Data Lokasi'!AH$13)</f>
        <v>0</v>
      </c>
      <c r="AI17" s="42">
        <f>SUMIFS('Input Real Tanam&amp;Petik Nanas'!$J:$J,'Input Real Tanam&amp;Petik Nanas'!$C:$C,$C17,'Input Real Tanam&amp;Petik Nanas'!$B:$B,'Data Lokasi'!AI$13)</f>
        <v>0</v>
      </c>
      <c r="AJ17" s="42">
        <f>SUMIFS('Input Real Tanam&amp;Petik Nanas'!$J:$J,'Input Real Tanam&amp;Petik Nanas'!$C:$C,$C17,'Input Real Tanam&amp;Petik Nanas'!$B:$B,'Data Lokasi'!AJ$13)</f>
        <v>0</v>
      </c>
      <c r="AK17" s="42">
        <f>SUMIFS('Input Real Tanam&amp;Petik Nanas'!$J:$J,'Input Real Tanam&amp;Petik Nanas'!$C:$C,$C17,'Input Real Tanam&amp;Petik Nanas'!$B:$B,'Data Lokasi'!AK$13)</f>
        <v>0</v>
      </c>
      <c r="AL17" s="42">
        <f>SUMIFS('Input Real Tanam&amp;Petik Nanas'!$J:$J,'Input Real Tanam&amp;Petik Nanas'!$C:$C,$C17,'Input Real Tanam&amp;Petik Nanas'!$B:$B,'Data Lokasi'!AL$13)</f>
        <v>0</v>
      </c>
      <c r="AM17" s="42">
        <f>SUMIFS('Input Real Tanam&amp;Petik Nanas'!$J:$J,'Input Real Tanam&amp;Petik Nanas'!$C:$C,$C17,'Input Real Tanam&amp;Petik Nanas'!$B:$B,'Data Lokasi'!AM$13)</f>
        <v>0</v>
      </c>
      <c r="AO17" s="42">
        <f>IFERROR(AF17+AI17+AJ17+AK17+AL17+AM17,"")</f>
        <v>5.05</v>
      </c>
      <c r="AP17" s="42">
        <f>IFERROR(AG17+AI17+AJ17+AK17+AL17+AM17,"")</f>
        <v>0.25</v>
      </c>
      <c r="AR17" s="42">
        <f>IFERROR(VLOOKUP($C17,[3]Real!$B$11:$Y$28,18,0),"")</f>
        <v>0.25</v>
      </c>
      <c r="AS17" s="42" t="str">
        <f t="shared" si="12"/>
        <v/>
      </c>
      <c r="BA17" s="468" t="s">
        <v>2735</v>
      </c>
      <c r="BH17" s="36"/>
    </row>
    <row r="18" spans="2:60">
      <c r="B18" s="64" t="s">
        <v>109</v>
      </c>
      <c r="C18" s="65" t="s">
        <v>124</v>
      </c>
      <c r="D18" s="66">
        <v>3.85</v>
      </c>
      <c r="E18" s="67">
        <v>46272</v>
      </c>
      <c r="F18" s="64"/>
      <c r="G18" s="67">
        <v>46273</v>
      </c>
      <c r="H18" s="67"/>
      <c r="I18" s="67">
        <f t="shared" ref="I18" si="20">+G18</f>
        <v>46273</v>
      </c>
      <c r="J18" s="64">
        <f>IF(I18&gt;0,0,1)</f>
        <v>0</v>
      </c>
      <c r="K18" s="67">
        <v>46283</v>
      </c>
      <c r="L18" s="64"/>
      <c r="M18" s="64">
        <f t="shared" ref="M18" si="21">IF(AND(J18&gt;0,L18&gt;0),1,0)</f>
        <v>0</v>
      </c>
      <c r="N18" s="67">
        <f t="shared" ref="N18" si="22">IF(AND(I18&gt;0,K18&gt;0),MAX(I18:K18)+1,"")</f>
        <v>46284</v>
      </c>
      <c r="O18" s="64">
        <f>IF(N18&gt;0,1,0)</f>
        <v>1</v>
      </c>
      <c r="P18" s="64">
        <f>IF(O18&gt;0,0,1)</f>
        <v>0</v>
      </c>
      <c r="Q18" s="91" t="str">
        <f t="shared" ref="Q18" si="23">IF(T18&gt;0,"Selesai","Proses")</f>
        <v>Proses</v>
      </c>
      <c r="R18" s="64">
        <f>IF(Q18="proses",1,0)</f>
        <v>1</v>
      </c>
      <c r="S18" s="67">
        <v>46288</v>
      </c>
      <c r="T18" s="67"/>
      <c r="U18" s="64"/>
      <c r="V18" s="66">
        <f t="shared" ref="V18:W18" si="24">AO18</f>
        <v>3.8499999999999996</v>
      </c>
      <c r="W18" s="66">
        <f t="shared" si="24"/>
        <v>0.03</v>
      </c>
      <c r="X18" s="93">
        <f t="shared" ref="X18" si="25">IF(G18=0,"",D18-V18)</f>
        <v>4.4408920985006262E-16</v>
      </c>
      <c r="Y18" s="409" t="str">
        <f>INDEX([6]Nanas!$G$1429:$G$1436,MATCH($C18,[6]Nanas!$C$1429:$C$1436,0))</f>
        <v>RC</v>
      </c>
      <c r="Z18" s="481">
        <f t="shared" si="11"/>
        <v>0.99999999999999989</v>
      </c>
      <c r="AA18" s="67">
        <f>INDEX([5]Nanas!$M$1336:$M$1444,MATCH($C18,[5]Nanas!$C$1336:$C$1444,0))</f>
        <v>46205</v>
      </c>
      <c r="AB18" s="471">
        <f ca="1">$E$4-AA18</f>
        <v>103.61513391204062</v>
      </c>
      <c r="AC18" s="516" t="s">
        <v>2711</v>
      </c>
      <c r="AD18" s="67"/>
      <c r="AF18" s="42">
        <f>IFERROR(VLOOKUP($C18,[3]Real!$B$11:$Y$28,20,0),"")</f>
        <v>3.8499999999999996</v>
      </c>
      <c r="AG18" s="42">
        <f>IFERROR(VLOOKUP($C18,[3]Real!$B$11:$Y$28,18,0),"")</f>
        <v>0.03</v>
      </c>
      <c r="AH18" s="42">
        <f>SUMIFS('Input Real Tanam&amp;Petik Nanas'!$J:$J,'Input Real Tanam&amp;Petik Nanas'!$C:$C,$C18,'Input Real Tanam&amp;Petik Nanas'!$B:$B,'Data Lokasi'!AH$13)</f>
        <v>0</v>
      </c>
      <c r="AI18" s="42">
        <f>SUMIFS('Input Real Tanam&amp;Petik Nanas'!$J:$J,'Input Real Tanam&amp;Petik Nanas'!$C:$C,$C18,'Input Real Tanam&amp;Petik Nanas'!$B:$B,'Data Lokasi'!AI$13)</f>
        <v>0</v>
      </c>
      <c r="AJ18" s="42">
        <f>SUMIFS('Input Real Tanam&amp;Petik Nanas'!$J:$J,'Input Real Tanam&amp;Petik Nanas'!$C:$C,$C18,'Input Real Tanam&amp;Petik Nanas'!$B:$B,'Data Lokasi'!AJ$13)</f>
        <v>0</v>
      </c>
      <c r="AK18" s="42">
        <f>SUMIFS('Input Real Tanam&amp;Petik Nanas'!$J:$J,'Input Real Tanam&amp;Petik Nanas'!$C:$C,$C18,'Input Real Tanam&amp;Petik Nanas'!$B:$B,'Data Lokasi'!AK$13)</f>
        <v>0</v>
      </c>
      <c r="AL18" s="42">
        <f>SUMIFS('Input Real Tanam&amp;Petik Nanas'!$J:$J,'Input Real Tanam&amp;Petik Nanas'!$C:$C,$C18,'Input Real Tanam&amp;Petik Nanas'!$B:$B,'Data Lokasi'!AL$13)</f>
        <v>0</v>
      </c>
      <c r="AM18" s="42">
        <f>SUMIFS('Input Real Tanam&amp;Petik Nanas'!$J:$J,'Input Real Tanam&amp;Petik Nanas'!$C:$C,$C18,'Input Real Tanam&amp;Petik Nanas'!$B:$B,'Data Lokasi'!AM$13)</f>
        <v>0</v>
      </c>
      <c r="AO18" s="42">
        <f t="shared" ref="AO18" si="26">IFERROR(AF18+AI18+AJ18+AK18+AL18+AM18,"")</f>
        <v>3.8499999999999996</v>
      </c>
      <c r="AP18" s="42">
        <f>IFERROR(AG18+AI18+AJ18+AK18+AL18+AM18,"")</f>
        <v>0.03</v>
      </c>
      <c r="AR18" s="42">
        <f>IFERROR(VLOOKUP($C18,[3]Real!$B$11:$Y$28,18,0),"")</f>
        <v>0.03</v>
      </c>
      <c r="AS18" s="42" t="str">
        <f>IFERROR(IF(AR18-AP18=0,"",(AR18-AP18)),"")</f>
        <v/>
      </c>
      <c r="BA18" s="521" t="s">
        <v>2747</v>
      </c>
      <c r="BH18" s="36"/>
    </row>
    <row r="19" spans="2:60">
      <c r="B19" s="64" t="s">
        <v>109</v>
      </c>
      <c r="C19" s="65" t="s">
        <v>137</v>
      </c>
      <c r="D19" s="66">
        <v>6.01</v>
      </c>
      <c r="E19" s="67">
        <v>46272</v>
      </c>
      <c r="F19" s="64"/>
      <c r="G19" s="67">
        <v>46273</v>
      </c>
      <c r="H19" s="67"/>
      <c r="I19" s="67">
        <f t="shared" ref="I19:I25" si="27">+G19</f>
        <v>46273</v>
      </c>
      <c r="J19" s="64">
        <f>IF(I19&gt;0,0,1)</f>
        <v>0</v>
      </c>
      <c r="K19" s="67">
        <v>46283</v>
      </c>
      <c r="L19" s="64"/>
      <c r="M19" s="64">
        <f>IF(AND(J19&gt;0,L19&gt;0),1,0)</f>
        <v>0</v>
      </c>
      <c r="N19" s="67">
        <f t="shared" ref="N19:N25" si="28">IF(AND(I19&gt;0,K19&gt;0),MAX(I19:K19)+1,"")</f>
        <v>46284</v>
      </c>
      <c r="O19" s="64">
        <f>IF(N19&gt;0,1,0)</f>
        <v>1</v>
      </c>
      <c r="P19" s="64">
        <f>IF(O19&gt;0,0,1)</f>
        <v>0</v>
      </c>
      <c r="Q19" s="91" t="str">
        <f t="shared" ref="Q19:Q25" si="29">IF(T19&gt;0,"Selesai","Proses")</f>
        <v>Proses</v>
      </c>
      <c r="R19" s="64">
        <f>IF(Q19="proses",1,0)</f>
        <v>1</v>
      </c>
      <c r="S19" s="67">
        <v>46291</v>
      </c>
      <c r="T19" s="67"/>
      <c r="U19" s="64"/>
      <c r="V19" s="66">
        <f t="shared" ref="V19" si="30">AO19</f>
        <v>6.0100000000000007</v>
      </c>
      <c r="W19" s="66">
        <f t="shared" ref="W19" si="31">AP19</f>
        <v>0.12</v>
      </c>
      <c r="X19" s="93">
        <f>IF(G19=0,"",D19-V19)</f>
        <v>-8.8817841970012523E-16</v>
      </c>
      <c r="Y19" s="409" t="str">
        <f>INDEX([6]Nanas!$G$1429:$G$1436,MATCH($C19,[6]Nanas!$C$1429:$C$1436,0))</f>
        <v>RC</v>
      </c>
      <c r="Z19" s="481">
        <f t="shared" si="11"/>
        <v>1.0000000000000002</v>
      </c>
      <c r="AA19" s="67">
        <f>INDEX([5]Nanas!$M$1336:$M$1444,MATCH($C19,[5]Nanas!$C$1336:$C$1444,0))</f>
        <v>46238</v>
      </c>
      <c r="AB19" s="471">
        <f ca="1">$E$4-AA19</f>
        <v>70.615133912040619</v>
      </c>
      <c r="AC19" s="516" t="s">
        <v>2711</v>
      </c>
      <c r="AD19" s="67"/>
      <c r="AF19" s="42">
        <f>IFERROR(VLOOKUP($C19,[3]Real!$B$11:$Y$28,20,0),"")</f>
        <v>6.0100000000000007</v>
      </c>
      <c r="AG19" s="42">
        <f>IFERROR(VLOOKUP($C19,[3]Real!$B$11:$Y$28,18,0),"")</f>
        <v>0.12</v>
      </c>
      <c r="AH19" s="42">
        <f>SUMIFS('Input Real Tanam&amp;Petik Nanas'!$J:$J,'Input Real Tanam&amp;Petik Nanas'!$C:$C,$C19,'Input Real Tanam&amp;Petik Nanas'!$B:$B,'Data Lokasi'!AH$13)</f>
        <v>0</v>
      </c>
      <c r="AI19" s="42">
        <f>SUMIFS('Input Real Tanam&amp;Petik Nanas'!$J:$J,'Input Real Tanam&amp;Petik Nanas'!$C:$C,$C19,'Input Real Tanam&amp;Petik Nanas'!$B:$B,'Data Lokasi'!AI$13)</f>
        <v>0</v>
      </c>
      <c r="AJ19" s="42">
        <f>SUMIFS('Input Real Tanam&amp;Petik Nanas'!$J:$J,'Input Real Tanam&amp;Petik Nanas'!$C:$C,$C19,'Input Real Tanam&amp;Petik Nanas'!$B:$B,'Data Lokasi'!AJ$13)</f>
        <v>0</v>
      </c>
      <c r="AK19" s="42">
        <f>SUMIFS('Input Real Tanam&amp;Petik Nanas'!$J:$J,'Input Real Tanam&amp;Petik Nanas'!$C:$C,$C19,'Input Real Tanam&amp;Petik Nanas'!$B:$B,'Data Lokasi'!AK$13)</f>
        <v>0</v>
      </c>
      <c r="AL19" s="42">
        <f>SUMIFS('Input Real Tanam&amp;Petik Nanas'!$J:$J,'Input Real Tanam&amp;Petik Nanas'!$C:$C,$C19,'Input Real Tanam&amp;Petik Nanas'!$B:$B,'Data Lokasi'!AL$13)</f>
        <v>0</v>
      </c>
      <c r="AM19" s="42">
        <f>SUMIFS('Input Real Tanam&amp;Petik Nanas'!$J:$J,'Input Real Tanam&amp;Petik Nanas'!$C:$C,$C19,'Input Real Tanam&amp;Petik Nanas'!$B:$B,'Data Lokasi'!AM$13)</f>
        <v>0</v>
      </c>
      <c r="AO19" s="42">
        <f t="shared" ref="AO19" si="32">IFERROR(AF19+AI19+AJ19+AK19+AL19+AM19,"")</f>
        <v>6.0100000000000007</v>
      </c>
      <c r="AP19" s="42">
        <f>IFERROR(AG19+AI19+AJ19+AK19+AL19+AM19,"")</f>
        <v>0.12</v>
      </c>
      <c r="AR19" s="42">
        <f>IFERROR(VLOOKUP($C19,[3]Real!$B$11:$Y$28,18,0),"")</f>
        <v>0.12</v>
      </c>
      <c r="AS19" s="42" t="str">
        <f>IFERROR(IF(AR19-AP19=0,"",(AR19-AP19)),"")</f>
        <v/>
      </c>
      <c r="BA19" s="523" t="s">
        <v>2754</v>
      </c>
      <c r="BH19" s="36"/>
    </row>
    <row r="20" spans="2:60">
      <c r="B20" s="64" t="s">
        <v>109</v>
      </c>
      <c r="C20" s="65" t="s">
        <v>125</v>
      </c>
      <c r="D20" s="66">
        <v>6.45</v>
      </c>
      <c r="E20" s="67">
        <v>46279</v>
      </c>
      <c r="F20" s="64"/>
      <c r="G20" s="67">
        <v>46280</v>
      </c>
      <c r="H20" s="67"/>
      <c r="I20" s="67">
        <f t="shared" si="27"/>
        <v>46280</v>
      </c>
      <c r="J20" s="64">
        <f>IF(I20&gt;0,0,1)</f>
        <v>0</v>
      </c>
      <c r="K20" s="67">
        <v>46289</v>
      </c>
      <c r="L20" s="64"/>
      <c r="M20" s="64">
        <f>IF(AND(J20&gt;0,L20&gt;0),1,0)</f>
        <v>0</v>
      </c>
      <c r="N20" s="67">
        <f t="shared" si="28"/>
        <v>46290</v>
      </c>
      <c r="O20" s="64">
        <f t="shared" ref="O20" si="33">IF(N20&gt;0,1,0)</f>
        <v>1</v>
      </c>
      <c r="P20" s="64">
        <f t="shared" ref="P20" si="34">IF(O20&gt;0,0,1)</f>
        <v>0</v>
      </c>
      <c r="Q20" s="91" t="str">
        <f t="shared" si="29"/>
        <v>Proses</v>
      </c>
      <c r="R20" s="64">
        <f t="shared" ref="R20" si="35">IF(Q20="proses",1,0)</f>
        <v>1</v>
      </c>
      <c r="S20" s="67">
        <v>46299</v>
      </c>
      <c r="T20" s="67"/>
      <c r="U20" s="64"/>
      <c r="V20" s="66">
        <f t="shared" ref="V20" si="36">AO20</f>
        <v>6.4500000000000011</v>
      </c>
      <c r="W20" s="66">
        <f t="shared" ref="W20" si="37">AP20</f>
        <v>6.4500000000000011</v>
      </c>
      <c r="X20" s="93">
        <f>IF(G20=0,"",D20-V20)</f>
        <v>-8.8817841970012523E-16</v>
      </c>
      <c r="Y20" s="409" t="s">
        <v>2728</v>
      </c>
      <c r="Z20" s="481">
        <f t="shared" si="11"/>
        <v>1.0000000000000002</v>
      </c>
      <c r="AA20" s="67">
        <f>INDEX([5]Nanas!$M$1336:$M$1444,MATCH($C20,[5]Nanas!$C$1336:$C$1444,0))</f>
        <v>46242</v>
      </c>
      <c r="AB20" s="471">
        <f t="shared" ref="AB20" ca="1" si="38">$E$4-AA20</f>
        <v>66.615133912040619</v>
      </c>
      <c r="AC20" s="516" t="s">
        <v>2711</v>
      </c>
      <c r="AD20" s="67"/>
      <c r="AF20" s="42">
        <f>IFERROR(VLOOKUP($C20,[3]Real!$B$11:$Y$28,20,0),"")</f>
        <v>6.4500000000000011</v>
      </c>
      <c r="AG20" s="42">
        <f>IFERROR(VLOOKUP($C20,[3]Real!$B$11:$Y$28,18,0),"")</f>
        <v>6.4500000000000011</v>
      </c>
      <c r="AH20" s="42">
        <f>SUMIFS('Input Real Tanam&amp;Petik Nanas'!$J:$J,'Input Real Tanam&amp;Petik Nanas'!$C:$C,$C20,'Input Real Tanam&amp;Petik Nanas'!$B:$B,'Data Lokasi'!AH$13)</f>
        <v>0.22</v>
      </c>
      <c r="AI20" s="42">
        <f>SUMIFS('Input Real Tanam&amp;Petik Nanas'!$J:$J,'Input Real Tanam&amp;Petik Nanas'!$C:$C,$C20,'Input Real Tanam&amp;Petik Nanas'!$B:$B,'Data Lokasi'!AI$13)</f>
        <v>0</v>
      </c>
      <c r="AJ20" s="42">
        <f>SUMIFS('Input Real Tanam&amp;Petik Nanas'!$J:$J,'Input Real Tanam&amp;Petik Nanas'!$C:$C,$C20,'Input Real Tanam&amp;Petik Nanas'!$B:$B,'Data Lokasi'!AJ$13)</f>
        <v>0</v>
      </c>
      <c r="AK20" s="42">
        <f>SUMIFS('Input Real Tanam&amp;Petik Nanas'!$J:$J,'Input Real Tanam&amp;Petik Nanas'!$C:$C,$C20,'Input Real Tanam&amp;Petik Nanas'!$B:$B,'Data Lokasi'!AK$13)</f>
        <v>0</v>
      </c>
      <c r="AL20" s="42">
        <f>SUMIFS('Input Real Tanam&amp;Petik Nanas'!$J:$J,'Input Real Tanam&amp;Petik Nanas'!$C:$C,$C20,'Input Real Tanam&amp;Petik Nanas'!$B:$B,'Data Lokasi'!AL$13)</f>
        <v>0</v>
      </c>
      <c r="AM20" s="42">
        <f>SUMIFS('Input Real Tanam&amp;Petik Nanas'!$J:$J,'Input Real Tanam&amp;Petik Nanas'!$C:$C,$C20,'Input Real Tanam&amp;Petik Nanas'!$B:$B,'Data Lokasi'!AM$13)</f>
        <v>0</v>
      </c>
      <c r="AO20" s="42">
        <f>IFERROR(AF20+AI20+AJ20+AK20+AL20+AM20,"")</f>
        <v>6.4500000000000011</v>
      </c>
      <c r="AP20" s="42">
        <f t="shared" ref="AP20" si="39">IFERROR(AG20+AI20+AJ20+AK20+AL20+AM20,"")</f>
        <v>6.4500000000000011</v>
      </c>
      <c r="AR20" s="42">
        <f>IFERROR(VLOOKUP($C20,[3]Real!$B$11:$Y$28,18,0),"")</f>
        <v>6.4500000000000011</v>
      </c>
      <c r="AS20" s="42" t="str">
        <f>IFERROR(IF(AR20-AP20=0,"",(AR20-AP20)),"")</f>
        <v/>
      </c>
      <c r="BA20" t="s">
        <v>2761</v>
      </c>
      <c r="BH20" s="36"/>
    </row>
    <row r="21" spans="2:60">
      <c r="B21" s="64" t="s">
        <v>109</v>
      </c>
      <c r="C21" s="65" t="s">
        <v>134</v>
      </c>
      <c r="D21" s="66">
        <v>4.1900000000000004</v>
      </c>
      <c r="E21" s="67">
        <v>46279</v>
      </c>
      <c r="F21" s="64"/>
      <c r="G21" s="67">
        <v>46280</v>
      </c>
      <c r="H21" s="67"/>
      <c r="I21" s="67">
        <f t="shared" si="27"/>
        <v>46280</v>
      </c>
      <c r="J21" s="64">
        <f>IF(I21&gt;0,0,1)</f>
        <v>0</v>
      </c>
      <c r="K21" s="67">
        <v>46289</v>
      </c>
      <c r="L21" s="64"/>
      <c r="M21" s="64">
        <f>IF(AND(J21&gt;0,L21&gt;0),1,0)</f>
        <v>0</v>
      </c>
      <c r="N21" s="67">
        <f t="shared" si="28"/>
        <v>46290</v>
      </c>
      <c r="O21" s="64">
        <f>IF(N21&gt;0,1,0)</f>
        <v>1</v>
      </c>
      <c r="P21" s="64">
        <f>IF(O21&gt;0,0,1)</f>
        <v>0</v>
      </c>
      <c r="Q21" s="91" t="str">
        <f t="shared" si="29"/>
        <v>Proses</v>
      </c>
      <c r="R21" s="64">
        <f>IF(Q21="proses",1,0)</f>
        <v>1</v>
      </c>
      <c r="S21" s="67">
        <v>46295</v>
      </c>
      <c r="T21" s="67"/>
      <c r="U21" s="64"/>
      <c r="V21" s="66">
        <f>AO21</f>
        <v>4.1899999999999995</v>
      </c>
      <c r="W21" s="66">
        <f>AP21</f>
        <v>3.7199999999999993</v>
      </c>
      <c r="X21" s="93">
        <f>IF(G21=0,"",D21-V21)</f>
        <v>8.8817841970012523E-16</v>
      </c>
      <c r="Y21" s="409" t="s">
        <v>2728</v>
      </c>
      <c r="Z21" s="481">
        <f t="shared" si="11"/>
        <v>0.99999999999999978</v>
      </c>
      <c r="AA21" s="67">
        <f>INDEX([5]Nanas!$M$1336:$M$1444,MATCH($C21,[5]Nanas!$C$1336:$C$1444,0))</f>
        <v>46242</v>
      </c>
      <c r="AB21" s="471">
        <f ca="1">$E$4-AA21</f>
        <v>66.615133912040619</v>
      </c>
      <c r="AC21" s="516" t="s">
        <v>2711</v>
      </c>
      <c r="AD21" s="67"/>
      <c r="AF21" s="42">
        <f>IFERROR(VLOOKUP($C21,[3]Real!$B$11:$Y$28,20,0),"")</f>
        <v>4.1899999999999995</v>
      </c>
      <c r="AG21" s="42">
        <f>IFERROR(VLOOKUP($C21,[3]Real!$B$11:$Y$28,18,0),"")</f>
        <v>3.7199999999999993</v>
      </c>
      <c r="AH21" s="42">
        <f>SUMIFS('Input Real Tanam&amp;Petik Nanas'!$J:$J,'Input Real Tanam&amp;Petik Nanas'!$C:$C,$C21,'Input Real Tanam&amp;Petik Nanas'!$B:$B,'Data Lokasi'!AH$13)</f>
        <v>0.42</v>
      </c>
      <c r="AI21" s="42">
        <f>SUMIFS('Input Real Tanam&amp;Petik Nanas'!$J:$J,'Input Real Tanam&amp;Petik Nanas'!$C:$C,$C21,'Input Real Tanam&amp;Petik Nanas'!$B:$B,'Data Lokasi'!AI$13)</f>
        <v>0</v>
      </c>
      <c r="AJ21" s="42">
        <f>SUMIFS('Input Real Tanam&amp;Petik Nanas'!$J:$J,'Input Real Tanam&amp;Petik Nanas'!$C:$C,$C21,'Input Real Tanam&amp;Petik Nanas'!$B:$B,'Data Lokasi'!AJ$13)</f>
        <v>0</v>
      </c>
      <c r="AK21" s="42">
        <f>SUMIFS('Input Real Tanam&amp;Petik Nanas'!$J:$J,'Input Real Tanam&amp;Petik Nanas'!$C:$C,$C21,'Input Real Tanam&amp;Petik Nanas'!$B:$B,'Data Lokasi'!AK$13)</f>
        <v>0</v>
      </c>
      <c r="AL21" s="42">
        <f>SUMIFS('Input Real Tanam&amp;Petik Nanas'!$J:$J,'Input Real Tanam&amp;Petik Nanas'!$C:$C,$C21,'Input Real Tanam&amp;Petik Nanas'!$B:$B,'Data Lokasi'!AL$13)</f>
        <v>0</v>
      </c>
      <c r="AM21" s="42">
        <f>SUMIFS('Input Real Tanam&amp;Petik Nanas'!$J:$J,'Input Real Tanam&amp;Petik Nanas'!$C:$C,$C21,'Input Real Tanam&amp;Petik Nanas'!$B:$B,'Data Lokasi'!AM$13)</f>
        <v>0</v>
      </c>
      <c r="AO21" s="42">
        <f>IFERROR(AF21+AI21+AJ21+AK21+AL21+AM21,"")</f>
        <v>4.1899999999999995</v>
      </c>
      <c r="AP21" s="42">
        <f>IFERROR(AG21+AI21+AJ21+AK21+AL21+AM21,"")</f>
        <v>3.7199999999999993</v>
      </c>
      <c r="AR21" s="42">
        <f>IFERROR(VLOOKUP($C21,[3]Real!$B$11:$Y$28,18,0),"")</f>
        <v>3.7199999999999993</v>
      </c>
      <c r="AS21" s="42" t="str">
        <f>IFERROR(IF(AR21-AP21=0,"",(AR21-AP21)),"")</f>
        <v/>
      </c>
      <c r="BA21" s="561" t="s">
        <v>2757</v>
      </c>
      <c r="BH21" s="36"/>
    </row>
    <row r="22" spans="2:60">
      <c r="B22" s="64" t="s">
        <v>107</v>
      </c>
      <c r="C22" s="65" t="s">
        <v>2713</v>
      </c>
      <c r="D22" s="66">
        <v>10.01</v>
      </c>
      <c r="E22" s="67">
        <v>46245</v>
      </c>
      <c r="F22" s="64"/>
      <c r="G22" s="67">
        <v>46253</v>
      </c>
      <c r="H22" s="67"/>
      <c r="I22" s="67">
        <f t="shared" si="27"/>
        <v>46253</v>
      </c>
      <c r="J22" s="64">
        <f t="shared" ref="J22:J27" si="40">IF(I22&gt;0,0,1)</f>
        <v>0</v>
      </c>
      <c r="K22" s="67">
        <v>46268</v>
      </c>
      <c r="L22" s="64"/>
      <c r="M22" s="64">
        <f>IF(AND(J22&gt;0,L22&gt;0),1,0)</f>
        <v>0</v>
      </c>
      <c r="N22" s="67">
        <f t="shared" si="28"/>
        <v>46269</v>
      </c>
      <c r="O22" s="64">
        <f t="shared" ref="O22:O27" si="41">IF(N22&gt;0,1,0)</f>
        <v>1</v>
      </c>
      <c r="P22" s="64">
        <f t="shared" ref="P22:P27" si="42">IF(O22&gt;0,0,1)</f>
        <v>0</v>
      </c>
      <c r="Q22" s="91" t="str">
        <f t="shared" si="29"/>
        <v>Proses</v>
      </c>
      <c r="R22" s="64">
        <f>IF(Q22="proses",1,0)</f>
        <v>1</v>
      </c>
      <c r="S22" s="67">
        <v>46284</v>
      </c>
      <c r="T22" s="67"/>
      <c r="U22" s="64"/>
      <c r="V22" s="66">
        <f t="shared" ref="V22" si="43">AO22</f>
        <v>9.0100000000000016</v>
      </c>
      <c r="W22" s="66">
        <f t="shared" ref="W22" si="44">AP22</f>
        <v>4.2300000000000004</v>
      </c>
      <c r="X22" s="93">
        <f>IF(G22=0,"",D22-V22)</f>
        <v>0.99999999999999822</v>
      </c>
      <c r="Y22" s="409" t="str">
        <f>VLOOKUP($C22,[4]Nanas!$C$1336:$G$1416,5,0)</f>
        <v>PS</v>
      </c>
      <c r="Z22" s="410">
        <f t="shared" ref="Z22:Z27" si="45">1-X22/D22</f>
        <v>0.90009990009990026</v>
      </c>
      <c r="AA22" s="67"/>
      <c r="AB22" s="471"/>
      <c r="AC22" s="516" t="s">
        <v>2711</v>
      </c>
      <c r="AD22" s="67"/>
      <c r="AF22" s="42">
        <f>IFERROR(VLOOKUP($C22,[3]Real!$B$11:$Y$28,20,0),"")</f>
        <v>8.8000000000000007</v>
      </c>
      <c r="AG22" s="42">
        <f>IFERROR(VLOOKUP($C22,[3]Real!$B$11:$Y$28,18,0),"")</f>
        <v>4.0200000000000005</v>
      </c>
      <c r="AH22" s="42">
        <f>SUMIFS('Input Real Tanam&amp;Petik Nanas'!$J:$J,'Input Real Tanam&amp;Petik Nanas'!$C:$C,$C22,'Input Real Tanam&amp;Petik Nanas'!$B:$B,'Data Lokasi'!AH$13)</f>
        <v>0</v>
      </c>
      <c r="AI22" s="42">
        <f>SUMIFS('Input Real Tanam&amp;Petik Nanas'!$J:$J,'Input Real Tanam&amp;Petik Nanas'!$C:$C,$C22,'Input Real Tanam&amp;Petik Nanas'!$B:$B,'Data Lokasi'!AI$13)</f>
        <v>0.21</v>
      </c>
      <c r="AJ22" s="42">
        <f>SUMIFS('Input Real Tanam&amp;Petik Nanas'!$J:$J,'Input Real Tanam&amp;Petik Nanas'!$C:$C,$C22,'Input Real Tanam&amp;Petik Nanas'!$B:$B,'Data Lokasi'!AJ$13)</f>
        <v>0</v>
      </c>
      <c r="AK22" s="42">
        <f>SUMIFS('Input Real Tanam&amp;Petik Nanas'!$J:$J,'Input Real Tanam&amp;Petik Nanas'!$C:$C,$C22,'Input Real Tanam&amp;Petik Nanas'!$B:$B,'Data Lokasi'!AK$13)</f>
        <v>0</v>
      </c>
      <c r="AL22" s="42">
        <f>SUMIFS('Input Real Tanam&amp;Petik Nanas'!$J:$J,'Input Real Tanam&amp;Petik Nanas'!$C:$C,$C22,'Input Real Tanam&amp;Petik Nanas'!$B:$B,'Data Lokasi'!AL$13)</f>
        <v>0</v>
      </c>
      <c r="AM22" s="42">
        <f>SUMIFS('Input Real Tanam&amp;Petik Nanas'!$J:$J,'Input Real Tanam&amp;Petik Nanas'!$C:$C,$C22,'Input Real Tanam&amp;Petik Nanas'!$B:$B,'Data Lokasi'!AM$13)</f>
        <v>0</v>
      </c>
      <c r="AO22" s="42">
        <f t="shared" ref="AO22" si="46">IFERROR(AF22+AI22+AJ22+AK22+AL22+AM22,"")</f>
        <v>9.0100000000000016</v>
      </c>
      <c r="AP22" s="42">
        <f t="shared" ref="AP22:AP29" si="47">IFERROR(AG22+AI22+AJ22+AK22+AL22+AM22,"")</f>
        <v>4.2300000000000004</v>
      </c>
      <c r="AR22" s="42">
        <f>IFERROR(VLOOKUP($C22,[3]Real!$B$11:$Y$28,18,0),"")</f>
        <v>4.0200000000000005</v>
      </c>
      <c r="AS22" s="42">
        <f t="shared" si="12"/>
        <v>-0.20999999999999996</v>
      </c>
      <c r="BA22" s="520" t="s">
        <v>2745</v>
      </c>
      <c r="BH22" s="36"/>
    </row>
    <row r="23" spans="2:60">
      <c r="B23" s="64" t="s">
        <v>107</v>
      </c>
      <c r="C23" s="65" t="s">
        <v>306</v>
      </c>
      <c r="D23" s="66">
        <v>6.68</v>
      </c>
      <c r="E23" s="67">
        <v>46282</v>
      </c>
      <c r="F23" s="64"/>
      <c r="G23" s="67">
        <v>46283</v>
      </c>
      <c r="H23" s="67"/>
      <c r="I23" s="67">
        <f t="shared" si="27"/>
        <v>46283</v>
      </c>
      <c r="J23" s="64">
        <f t="shared" ref="J23" si="48">IF(I23&gt;0,0,1)</f>
        <v>0</v>
      </c>
      <c r="K23" s="67">
        <v>46301</v>
      </c>
      <c r="L23" s="64"/>
      <c r="M23" s="64">
        <f t="shared" ref="M23" si="49">IF(AND(J23&gt;0,L23&gt;0),1,0)</f>
        <v>0</v>
      </c>
      <c r="N23" s="67">
        <f t="shared" si="28"/>
        <v>46302</v>
      </c>
      <c r="O23" s="64">
        <f>IF(N23&gt;0,1,0)</f>
        <v>1</v>
      </c>
      <c r="P23" s="64">
        <f>IF(O23&gt;0,0,1)</f>
        <v>0</v>
      </c>
      <c r="Q23" s="91" t="str">
        <f t="shared" si="29"/>
        <v>Proses</v>
      </c>
      <c r="R23" s="64">
        <f>IF(Q23="proses",1,0)</f>
        <v>1</v>
      </c>
      <c r="S23" s="67">
        <v>46306</v>
      </c>
      <c r="T23" s="67"/>
      <c r="U23" s="64"/>
      <c r="V23" s="66">
        <f t="shared" ref="V23" si="50">AO23</f>
        <v>0.58000000000000007</v>
      </c>
      <c r="W23" s="66">
        <f t="shared" ref="W23" si="51">AP23</f>
        <v>0.58000000000000007</v>
      </c>
      <c r="X23" s="93">
        <f>IF(G23=0,"",D23-V23)</f>
        <v>6.1</v>
      </c>
      <c r="Y23" s="409" t="s">
        <v>2728</v>
      </c>
      <c r="Z23" s="410">
        <f>1-X23/D23</f>
        <v>8.6826347305389184E-2</v>
      </c>
      <c r="AA23" s="67">
        <f>INDEX([5]Nanas!$M$1336:$M$1444,MATCH($C23,[5]Nanas!$C$1336:$C$1444,0))</f>
        <v>46248</v>
      </c>
      <c r="AB23" s="471">
        <f t="shared" ref="AB23" ca="1" si="52">$E$4-AA23</f>
        <v>60.615133912040619</v>
      </c>
      <c r="AC23" s="516" t="s">
        <v>2711</v>
      </c>
      <c r="AD23" s="67"/>
      <c r="AF23" s="42">
        <f>IFERROR(VLOOKUP($C23,[3]Real!$B$11:$Y$28,20,0),"")</f>
        <v>0.44000000000000006</v>
      </c>
      <c r="AG23" s="42">
        <f>IFERROR(VLOOKUP($C23,[3]Real!$B$11:$Y$28,18,0),"")</f>
        <v>0.44000000000000006</v>
      </c>
      <c r="AH23" s="42">
        <f>SUMIFS('Input Real Tanam&amp;Petik Nanas'!$J:$J,'Input Real Tanam&amp;Petik Nanas'!$C:$C,$C23,'Input Real Tanam&amp;Petik Nanas'!$B:$B,'Data Lokasi'!AH$13)</f>
        <v>0.16</v>
      </c>
      <c r="AI23" s="42">
        <f>SUMIFS('Input Real Tanam&amp;Petik Nanas'!$J:$J,'Input Real Tanam&amp;Petik Nanas'!$C:$C,$C23,'Input Real Tanam&amp;Petik Nanas'!$B:$B,'Data Lokasi'!AI$13)</f>
        <v>0.14000000000000001</v>
      </c>
      <c r="AJ23" s="42">
        <f>SUMIFS('Input Real Tanam&amp;Petik Nanas'!$J:$J,'Input Real Tanam&amp;Petik Nanas'!$C:$C,$C23,'Input Real Tanam&amp;Petik Nanas'!$B:$B,'Data Lokasi'!AJ$13)</f>
        <v>0</v>
      </c>
      <c r="AK23" s="42">
        <f>SUMIFS('Input Real Tanam&amp;Petik Nanas'!$J:$J,'Input Real Tanam&amp;Petik Nanas'!$C:$C,$C23,'Input Real Tanam&amp;Petik Nanas'!$B:$B,'Data Lokasi'!AK$13)</f>
        <v>0</v>
      </c>
      <c r="AL23" s="42">
        <f>SUMIFS('Input Real Tanam&amp;Petik Nanas'!$J:$J,'Input Real Tanam&amp;Petik Nanas'!$C:$C,$C23,'Input Real Tanam&amp;Petik Nanas'!$B:$B,'Data Lokasi'!AL$13)</f>
        <v>0</v>
      </c>
      <c r="AM23" s="42">
        <f>SUMIFS('Input Real Tanam&amp;Petik Nanas'!$J:$J,'Input Real Tanam&amp;Petik Nanas'!$C:$C,$C23,'Input Real Tanam&amp;Petik Nanas'!$B:$B,'Data Lokasi'!AM$13)</f>
        <v>0</v>
      </c>
      <c r="AO23" s="42">
        <f t="shared" ref="AO23" si="53">IFERROR(AF23+AI23+AJ23+AK23+AL23+AM23,"")</f>
        <v>0.58000000000000007</v>
      </c>
      <c r="AP23" s="42">
        <f t="shared" ref="AP23" si="54">IFERROR(AG23+AI23+AJ23+AK23+AL23+AM23,"")</f>
        <v>0.58000000000000007</v>
      </c>
      <c r="AR23" s="42">
        <f>IFERROR(VLOOKUP($C23,[3]Real!$B$11:$Y$28,18,0),"")</f>
        <v>0.44000000000000006</v>
      </c>
      <c r="AS23" s="42">
        <f t="shared" si="12"/>
        <v>-0.14000000000000001</v>
      </c>
      <c r="BA23" s="599" t="s">
        <v>2776</v>
      </c>
      <c r="BH23" s="36"/>
    </row>
    <row r="24" spans="2:60">
      <c r="B24" s="64" t="s">
        <v>113</v>
      </c>
      <c r="C24" s="65" t="s">
        <v>686</v>
      </c>
      <c r="D24" s="66">
        <v>8.09</v>
      </c>
      <c r="E24" s="67">
        <v>46193</v>
      </c>
      <c r="F24" s="64"/>
      <c r="G24" s="67">
        <v>46213</v>
      </c>
      <c r="H24" s="67"/>
      <c r="I24" s="67">
        <f t="shared" si="27"/>
        <v>46213</v>
      </c>
      <c r="J24" s="64">
        <f t="shared" ref="J24" si="55">IF(I24&gt;0,0,1)</f>
        <v>0</v>
      </c>
      <c r="K24" s="67">
        <v>46238</v>
      </c>
      <c r="L24" s="64"/>
      <c r="M24" s="64">
        <f t="shared" ref="M24" si="56">IF(AND(J24&gt;0,L24&gt;0),1,0)</f>
        <v>0</v>
      </c>
      <c r="N24" s="67">
        <f t="shared" si="28"/>
        <v>46239</v>
      </c>
      <c r="O24" s="64">
        <f t="shared" ref="O24" si="57">IF(N24&gt;0,1,0)</f>
        <v>1</v>
      </c>
      <c r="P24" s="64">
        <f t="shared" ref="P24" si="58">IF(O24&gt;0,0,1)</f>
        <v>0</v>
      </c>
      <c r="Q24" s="91" t="str">
        <f t="shared" si="29"/>
        <v>Proses</v>
      </c>
      <c r="R24" s="64">
        <f t="shared" ref="R24" si="59">IF(Q24="proses",1,0)</f>
        <v>1</v>
      </c>
      <c r="S24" s="67">
        <v>46301</v>
      </c>
      <c r="T24" s="67"/>
      <c r="U24" s="64"/>
      <c r="V24" s="66">
        <f t="shared" ref="V24" si="60">AO24</f>
        <v>7.7799999999999985</v>
      </c>
      <c r="W24" s="66">
        <f t="shared" ref="W24" si="61">AP24</f>
        <v>7.7799999999999985</v>
      </c>
      <c r="X24" s="93">
        <f t="shared" ref="X24" si="62">IF(G24=0,"",D24-V24)</f>
        <v>0.31000000000000139</v>
      </c>
      <c r="Y24" s="409" t="str">
        <f>VLOOKUP($C24,[4]Nanas!$C$1336:$G$1405,5,0)</f>
        <v>RC</v>
      </c>
      <c r="Z24" s="410">
        <f t="shared" ref="Z24" si="63">1-X24/D24</f>
        <v>0.96168108776266981</v>
      </c>
      <c r="AA24" s="67">
        <f>INDEX([5]Nanas!$M$1336:$M$1444,MATCH($C24,[5]Nanas!$C$1336:$C$1444,0))</f>
        <v>46082</v>
      </c>
      <c r="AB24" s="471">
        <f ca="1">$E$4-AA24</f>
        <v>226.61513391204062</v>
      </c>
      <c r="AC24" s="516" t="s">
        <v>2711</v>
      </c>
      <c r="AD24" s="67"/>
      <c r="AF24" s="42">
        <f>IFERROR(VLOOKUP($C24,[3]Real!$B$11:$Y$28,20,0),"")</f>
        <v>7.5399999999999983</v>
      </c>
      <c r="AG24" s="42">
        <f>IFERROR(VLOOKUP($C24,[3]Real!$B$11:$Y$28,18,0),"")</f>
        <v>7.5399999999999983</v>
      </c>
      <c r="AH24" s="42">
        <f>SUMIFS('Input Real Tanam&amp;Petik Nanas'!$J:$J,'Input Real Tanam&amp;Petik Nanas'!$C:$C,$C24,'Input Real Tanam&amp;Petik Nanas'!$B:$B,'Data Lokasi'!AH$13)</f>
        <v>0.22</v>
      </c>
      <c r="AI24" s="42">
        <f>SUMIFS('Input Real Tanam&amp;Petik Nanas'!$J:$J,'Input Real Tanam&amp;Petik Nanas'!$C:$C,$C24,'Input Real Tanam&amp;Petik Nanas'!$B:$B,'Data Lokasi'!AI$13)</f>
        <v>0.24</v>
      </c>
      <c r="AJ24" s="42">
        <f>SUMIFS('Input Real Tanam&amp;Petik Nanas'!$J:$J,'Input Real Tanam&amp;Petik Nanas'!$C:$C,$C24,'Input Real Tanam&amp;Petik Nanas'!$B:$B,'Data Lokasi'!AJ$13)</f>
        <v>0</v>
      </c>
      <c r="AK24" s="42">
        <f>SUMIFS('Input Real Tanam&amp;Petik Nanas'!$J:$J,'Input Real Tanam&amp;Petik Nanas'!$C:$C,$C24,'Input Real Tanam&amp;Petik Nanas'!$B:$B,'Data Lokasi'!AK$13)</f>
        <v>0</v>
      </c>
      <c r="AL24" s="42">
        <f>SUMIFS('Input Real Tanam&amp;Petik Nanas'!$J:$J,'Input Real Tanam&amp;Petik Nanas'!$C:$C,$C24,'Input Real Tanam&amp;Petik Nanas'!$B:$B,'Data Lokasi'!AL$13)</f>
        <v>0</v>
      </c>
      <c r="AM24" s="42">
        <f>SUMIFS('Input Real Tanam&amp;Petik Nanas'!$J:$J,'Input Real Tanam&amp;Petik Nanas'!$C:$C,$C24,'Input Real Tanam&amp;Petik Nanas'!$B:$B,'Data Lokasi'!AM$13)</f>
        <v>0</v>
      </c>
      <c r="AO24" s="42">
        <f>IFERROR(AF24+AI24+AJ24+AK24+AL24+AM24,"")</f>
        <v>7.7799999999999985</v>
      </c>
      <c r="AP24" s="42">
        <f>IFERROR(AG24+AI24+AJ24+AK24+AL24+AM24,"")</f>
        <v>7.7799999999999985</v>
      </c>
      <c r="AR24" s="42">
        <f>IFERROR(VLOOKUP($C24,[3]Real!$B$11:$Y$28,18,0),"")</f>
        <v>7.5399999999999983</v>
      </c>
      <c r="AS24" s="42">
        <f>IFERROR(IF(AR24-AP24=0,"",(AR24-AP24)),"")</f>
        <v>-0.24000000000000021</v>
      </c>
      <c r="BA24" s="589" t="s">
        <v>2772</v>
      </c>
      <c r="BH24" s="36"/>
    </row>
    <row r="25" spans="2:60">
      <c r="B25" s="64" t="s">
        <v>113</v>
      </c>
      <c r="C25" s="65" t="s">
        <v>683</v>
      </c>
      <c r="D25" s="66">
        <v>7.64</v>
      </c>
      <c r="E25" s="67">
        <v>46193</v>
      </c>
      <c r="F25" s="64"/>
      <c r="G25" s="67">
        <v>46213</v>
      </c>
      <c r="H25" s="67"/>
      <c r="I25" s="67">
        <f t="shared" si="27"/>
        <v>46213</v>
      </c>
      <c r="J25" s="64">
        <f>IF(I25&gt;0,0,1)</f>
        <v>0</v>
      </c>
      <c r="K25" s="67">
        <v>46238</v>
      </c>
      <c r="L25" s="64"/>
      <c r="M25" s="64">
        <f t="shared" ref="M25:M28" si="64">IF(AND(J25&gt;0,L25&gt;0),1,0)</f>
        <v>0</v>
      </c>
      <c r="N25" s="67">
        <f t="shared" si="28"/>
        <v>46239</v>
      </c>
      <c r="O25" s="64">
        <f>IF(N25&gt;0,1,0)</f>
        <v>1</v>
      </c>
      <c r="P25" s="64">
        <f>IF(O25&gt;0,0,1)</f>
        <v>0</v>
      </c>
      <c r="Q25" s="91" t="str">
        <f t="shared" si="29"/>
        <v>Proses</v>
      </c>
      <c r="R25" s="64">
        <f>IF(Q25="proses",1,0)</f>
        <v>1</v>
      </c>
      <c r="S25" s="67">
        <v>46302</v>
      </c>
      <c r="T25" s="67"/>
      <c r="U25" s="64"/>
      <c r="V25" s="66">
        <f t="shared" ref="V25" si="65">AO25</f>
        <v>7.0299999999999994</v>
      </c>
      <c r="W25" s="66">
        <f t="shared" ref="W25" si="66">AP25</f>
        <v>7.0299999999999994</v>
      </c>
      <c r="X25" s="93">
        <f t="shared" ref="X25" si="67">IF(G25=0,"",D25-V25)</f>
        <v>0.61000000000000032</v>
      </c>
      <c r="Y25" s="409" t="str">
        <f>VLOOKUP($C25,[4]Nanas!$C$1336:$G$1405,5,0)</f>
        <v>RC</v>
      </c>
      <c r="Z25" s="410">
        <f>1-X25/D25</f>
        <v>0.92015706806282715</v>
      </c>
      <c r="AA25" s="67">
        <f>INDEX([5]Nanas!$M$1336:$M$1444,MATCH($C25,[5]Nanas!$C$1336:$C$1444,0))</f>
        <v>46012</v>
      </c>
      <c r="AB25" s="471">
        <f t="shared" ref="AB25" ca="1" si="68">$E$4-AA25</f>
        <v>296.61513391204062</v>
      </c>
      <c r="AC25" s="516" t="s">
        <v>2711</v>
      </c>
      <c r="AD25" s="67"/>
      <c r="AF25" s="42">
        <f>IFERROR(VLOOKUP($C25,[3]Real!$B$11:$Y$28,20,0),"")</f>
        <v>5.38</v>
      </c>
      <c r="AG25" s="42">
        <f>IFERROR(VLOOKUP($C25,[3]Real!$B$11:$Y$28,18,0),"")</f>
        <v>5.38</v>
      </c>
      <c r="AH25" s="42">
        <f>SUMIFS('Input Real Tanam&amp;Petik Nanas'!$J:$J,'Input Real Tanam&amp;Petik Nanas'!$C:$C,$C25,'Input Real Tanam&amp;Petik Nanas'!$B:$B,'Data Lokasi'!AH$13)</f>
        <v>1.47</v>
      </c>
      <c r="AI25" s="42">
        <f>SUMIFS('Input Real Tanam&amp;Petik Nanas'!$J:$J,'Input Real Tanam&amp;Petik Nanas'!$C:$C,$C25,'Input Real Tanam&amp;Petik Nanas'!$B:$B,'Data Lokasi'!AI$13)</f>
        <v>1.65</v>
      </c>
      <c r="AJ25" s="42">
        <f>SUMIFS('Input Real Tanam&amp;Petik Nanas'!$J:$J,'Input Real Tanam&amp;Petik Nanas'!$C:$C,$C25,'Input Real Tanam&amp;Petik Nanas'!$B:$B,'Data Lokasi'!AJ$13)</f>
        <v>0</v>
      </c>
      <c r="AK25" s="42">
        <f>SUMIFS('Input Real Tanam&amp;Petik Nanas'!$J:$J,'Input Real Tanam&amp;Petik Nanas'!$C:$C,$C25,'Input Real Tanam&amp;Petik Nanas'!$B:$B,'Data Lokasi'!AK$13)</f>
        <v>0</v>
      </c>
      <c r="AL25" s="42">
        <f>SUMIFS('Input Real Tanam&amp;Petik Nanas'!$J:$J,'Input Real Tanam&amp;Petik Nanas'!$C:$C,$C25,'Input Real Tanam&amp;Petik Nanas'!$B:$B,'Data Lokasi'!AL$13)</f>
        <v>0</v>
      </c>
      <c r="AM25" s="42">
        <f>SUMIFS('Input Real Tanam&amp;Petik Nanas'!$J:$J,'Input Real Tanam&amp;Petik Nanas'!$C:$C,$C25,'Input Real Tanam&amp;Petik Nanas'!$B:$B,'Data Lokasi'!AM$13)</f>
        <v>0</v>
      </c>
      <c r="AO25" s="42">
        <f>IFERROR(AF25+AI25+AJ25+AK25+AL25+AM25,"")</f>
        <v>7.0299999999999994</v>
      </c>
      <c r="AP25" s="42">
        <f t="shared" ref="AP25" si="69">IFERROR(AG25+AI25+AJ25+AK25+AL25+AM25,"")</f>
        <v>7.0299999999999994</v>
      </c>
      <c r="AR25" s="42">
        <f>IFERROR(VLOOKUP($C25,[3]Real!$B$11:$Y$28,18,0),"")</f>
        <v>5.38</v>
      </c>
      <c r="AS25" s="42">
        <f t="shared" si="12"/>
        <v>-1.6499999999999995</v>
      </c>
      <c r="BA25" s="579" t="s">
        <v>879</v>
      </c>
      <c r="BH25" s="36"/>
    </row>
    <row r="26" spans="2:60">
      <c r="B26" s="64" t="s">
        <v>109</v>
      </c>
      <c r="C26" s="65" t="s">
        <v>445</v>
      </c>
      <c r="D26" s="66">
        <v>10.65</v>
      </c>
      <c r="E26" s="67">
        <v>46278</v>
      </c>
      <c r="F26" s="64"/>
      <c r="G26" s="67">
        <v>46279</v>
      </c>
      <c r="H26" s="67"/>
      <c r="I26" s="67">
        <f t="shared" ref="I26:I29" si="70">+G26</f>
        <v>46279</v>
      </c>
      <c r="J26" s="64">
        <f t="shared" si="40"/>
        <v>0</v>
      </c>
      <c r="K26" s="67">
        <v>46289</v>
      </c>
      <c r="L26" s="64"/>
      <c r="M26" s="64">
        <f t="shared" si="64"/>
        <v>0</v>
      </c>
      <c r="N26" s="67">
        <f t="shared" ref="N26:N29" si="71">IF(AND(I26&gt;0,K26&gt;0),MAX(I26:K26)+1,"")</f>
        <v>46290</v>
      </c>
      <c r="O26" s="64">
        <f t="shared" si="41"/>
        <v>1</v>
      </c>
      <c r="P26" s="64">
        <f t="shared" si="42"/>
        <v>0</v>
      </c>
      <c r="Q26" s="91" t="str">
        <f t="shared" ref="Q26:Q29" si="72">IF(T26&gt;0,"Selesai","Proses")</f>
        <v>Proses</v>
      </c>
      <c r="R26" s="64">
        <f>IF(Q26="proses",1,0)</f>
        <v>1</v>
      </c>
      <c r="S26" s="67">
        <v>46292</v>
      </c>
      <c r="T26" s="67"/>
      <c r="U26" s="64"/>
      <c r="V26" s="66">
        <f t="shared" ref="V26" si="73">AO26</f>
        <v>10.52</v>
      </c>
      <c r="W26" s="66">
        <f t="shared" ref="W26" si="74">AP26</f>
        <v>5.47</v>
      </c>
      <c r="X26" s="93">
        <f>IF(G26=0,"",D26-V26)</f>
        <v>0.13000000000000078</v>
      </c>
      <c r="Y26" s="409" t="s">
        <v>2729</v>
      </c>
      <c r="Z26" s="410">
        <f t="shared" si="45"/>
        <v>0.98779342723004693</v>
      </c>
      <c r="AA26" s="67"/>
      <c r="AB26" s="471"/>
      <c r="AC26" s="516" t="s">
        <v>2711</v>
      </c>
      <c r="AD26" s="67"/>
      <c r="AF26" s="42">
        <f>IFERROR(VLOOKUP($C26,[3]Real!$B$11:$Y$28,20,0),"")</f>
        <v>10.44</v>
      </c>
      <c r="AG26" s="42">
        <f>IFERROR(VLOOKUP($C26,[3]Real!$B$11:$Y$28,18,0),"")</f>
        <v>5.39</v>
      </c>
      <c r="AH26" s="42">
        <f>SUMIFS('Input Real Tanam&amp;Petik Nanas'!$J:$J,'Input Real Tanam&amp;Petik Nanas'!$C:$C,$C26,'Input Real Tanam&amp;Petik Nanas'!$B:$B,'Data Lokasi'!AH$13)</f>
        <v>0</v>
      </c>
      <c r="AI26" s="42">
        <f>SUMIFS('Input Real Tanam&amp;Petik Nanas'!$J:$J,'Input Real Tanam&amp;Petik Nanas'!$C:$C,$C26,'Input Real Tanam&amp;Petik Nanas'!$B:$B,'Data Lokasi'!AI$13)</f>
        <v>0.08</v>
      </c>
      <c r="AJ26" s="42">
        <f>SUMIFS('Input Real Tanam&amp;Petik Nanas'!$J:$J,'Input Real Tanam&amp;Petik Nanas'!$C:$C,$C26,'Input Real Tanam&amp;Petik Nanas'!$B:$B,'Data Lokasi'!AJ$13)</f>
        <v>0</v>
      </c>
      <c r="AK26" s="42">
        <f>SUMIFS('Input Real Tanam&amp;Petik Nanas'!$J:$J,'Input Real Tanam&amp;Petik Nanas'!$C:$C,$C26,'Input Real Tanam&amp;Petik Nanas'!$B:$B,'Data Lokasi'!AK$13)</f>
        <v>0</v>
      </c>
      <c r="AL26" s="42">
        <f>SUMIFS('Input Real Tanam&amp;Petik Nanas'!$J:$J,'Input Real Tanam&amp;Petik Nanas'!$C:$C,$C26,'Input Real Tanam&amp;Petik Nanas'!$B:$B,'Data Lokasi'!AL$13)</f>
        <v>0</v>
      </c>
      <c r="AM26" s="42">
        <f>SUMIFS('Input Real Tanam&amp;Petik Nanas'!$J:$J,'Input Real Tanam&amp;Petik Nanas'!$C:$C,$C26,'Input Real Tanam&amp;Petik Nanas'!$B:$B,'Data Lokasi'!AM$13)</f>
        <v>0</v>
      </c>
      <c r="AO26" s="42">
        <f t="shared" ref="AO26" si="75">IFERROR(AF26+AI26+AJ26+AK26+AL26+AM26,"")</f>
        <v>10.52</v>
      </c>
      <c r="AP26" s="42">
        <f t="shared" si="47"/>
        <v>5.47</v>
      </c>
      <c r="AR26" s="42">
        <f>IFERROR(VLOOKUP($C26,[3]Real!$B$11:$Y$28,18,0),"")</f>
        <v>5.39</v>
      </c>
      <c r="AS26" s="42">
        <f t="shared" si="12"/>
        <v>-8.0000000000000071E-2</v>
      </c>
      <c r="BA26" s="523" t="s">
        <v>2753</v>
      </c>
      <c r="BH26" s="36"/>
    </row>
    <row r="27" spans="2:60">
      <c r="B27" s="64" t="s">
        <v>105</v>
      </c>
      <c r="C27" s="65" t="s">
        <v>2737</v>
      </c>
      <c r="D27" s="66">
        <v>7.19</v>
      </c>
      <c r="E27" s="67">
        <v>46281</v>
      </c>
      <c r="F27" s="64"/>
      <c r="G27" s="67">
        <v>46282</v>
      </c>
      <c r="H27" s="67"/>
      <c r="I27" s="67">
        <f t="shared" si="70"/>
        <v>46282</v>
      </c>
      <c r="J27" s="64">
        <f t="shared" si="40"/>
        <v>0</v>
      </c>
      <c r="K27" s="67">
        <v>46289</v>
      </c>
      <c r="L27" s="64"/>
      <c r="M27" s="64">
        <f t="shared" si="64"/>
        <v>0</v>
      </c>
      <c r="N27" s="67">
        <f t="shared" si="71"/>
        <v>46290</v>
      </c>
      <c r="O27" s="64">
        <f t="shared" si="41"/>
        <v>1</v>
      </c>
      <c r="P27" s="64">
        <f t="shared" si="42"/>
        <v>0</v>
      </c>
      <c r="Q27" s="91" t="str">
        <f t="shared" si="72"/>
        <v>Proses</v>
      </c>
      <c r="R27" s="64">
        <f>IF(Q27="proses",1,0)</f>
        <v>1</v>
      </c>
      <c r="S27" s="67">
        <v>46290</v>
      </c>
      <c r="T27" s="67"/>
      <c r="U27" s="64"/>
      <c r="V27" s="66">
        <f t="shared" ref="V27" si="76">AO27</f>
        <v>6.8199999999999994</v>
      </c>
      <c r="W27" s="66">
        <f t="shared" ref="W27" si="77">AP27</f>
        <v>2.9299999999999997</v>
      </c>
      <c r="X27" s="93">
        <f>IF(G27=0,"",D27-V27)</f>
        <v>0.37000000000000099</v>
      </c>
      <c r="Y27" s="409" t="s">
        <v>784</v>
      </c>
      <c r="Z27" s="410">
        <f t="shared" si="45"/>
        <v>0.94853963838664801</v>
      </c>
      <c r="AA27" s="67"/>
      <c r="AB27" s="471"/>
      <c r="AC27" s="516" t="s">
        <v>2711</v>
      </c>
      <c r="AD27" s="67"/>
      <c r="AF27" s="42">
        <f>IFERROR(VLOOKUP($C27,[3]Real!$B$11:$Y$28,20,0),"")</f>
        <v>6.8199999999999994</v>
      </c>
      <c r="AG27" s="42">
        <f>IFERROR(VLOOKUP($C27,[3]Real!$B$11:$Y$28,18,0),"")</f>
        <v>2.9299999999999997</v>
      </c>
      <c r="AH27" s="42">
        <f>SUMIFS('Input Real Tanam&amp;Petik Nanas'!$J:$J,'Input Real Tanam&amp;Petik Nanas'!$C:$C,$C27,'Input Real Tanam&amp;Petik Nanas'!$B:$B,'Data Lokasi'!AH$13)</f>
        <v>0</v>
      </c>
      <c r="AI27" s="42">
        <f>SUMIFS('Input Real Tanam&amp;Petik Nanas'!$J:$J,'Input Real Tanam&amp;Petik Nanas'!$C:$C,$C27,'Input Real Tanam&amp;Petik Nanas'!$B:$B,'Data Lokasi'!AI$13)</f>
        <v>0</v>
      </c>
      <c r="AJ27" s="42">
        <f>SUMIFS('Input Real Tanam&amp;Petik Nanas'!$J:$J,'Input Real Tanam&amp;Petik Nanas'!$C:$C,$C27,'Input Real Tanam&amp;Petik Nanas'!$B:$B,'Data Lokasi'!AJ$13)</f>
        <v>0</v>
      </c>
      <c r="AK27" s="42">
        <f>SUMIFS('Input Real Tanam&amp;Petik Nanas'!$J:$J,'Input Real Tanam&amp;Petik Nanas'!$C:$C,$C27,'Input Real Tanam&amp;Petik Nanas'!$B:$B,'Data Lokasi'!AK$13)</f>
        <v>0</v>
      </c>
      <c r="AL27" s="42">
        <f>SUMIFS('Input Real Tanam&amp;Petik Nanas'!$J:$J,'Input Real Tanam&amp;Petik Nanas'!$C:$C,$C27,'Input Real Tanam&amp;Petik Nanas'!$B:$B,'Data Lokasi'!AL$13)</f>
        <v>0</v>
      </c>
      <c r="AM27" s="42">
        <f>SUMIFS('Input Real Tanam&amp;Petik Nanas'!$J:$J,'Input Real Tanam&amp;Petik Nanas'!$C:$C,$C27,'Input Real Tanam&amp;Petik Nanas'!$B:$B,'Data Lokasi'!AM$13)</f>
        <v>0</v>
      </c>
      <c r="AO27" s="42">
        <f t="shared" ref="AO27" si="78">IFERROR(AF27+AI27+AJ27+AK27+AL27+AM27,"")</f>
        <v>6.8199999999999994</v>
      </c>
      <c r="AP27" s="42">
        <f t="shared" si="47"/>
        <v>2.9299999999999997</v>
      </c>
      <c r="AR27" s="42">
        <f>IFERROR(VLOOKUP($C27,[3]Real!$B$11:$Y$28,18,0),"")</f>
        <v>2.9299999999999997</v>
      </c>
      <c r="AS27" s="42" t="str">
        <f t="shared" si="12"/>
        <v/>
      </c>
      <c r="BA27" s="522" t="s">
        <v>2752</v>
      </c>
      <c r="BH27" s="36"/>
    </row>
    <row r="28" spans="2:60">
      <c r="B28" s="64" t="s">
        <v>116</v>
      </c>
      <c r="C28" s="65" t="s">
        <v>280</v>
      </c>
      <c r="D28" s="66">
        <v>9.2200000000000006</v>
      </c>
      <c r="E28" s="67">
        <v>46267</v>
      </c>
      <c r="F28" s="64"/>
      <c r="G28" s="67">
        <v>46268</v>
      </c>
      <c r="H28" s="67"/>
      <c r="I28" s="67">
        <f>+G28</f>
        <v>46268</v>
      </c>
      <c r="J28" s="64">
        <f>IF(I28&gt;0,0,1)</f>
        <v>0</v>
      </c>
      <c r="K28" s="67">
        <v>46303</v>
      </c>
      <c r="L28" s="64"/>
      <c r="M28" s="64">
        <f t="shared" si="64"/>
        <v>0</v>
      </c>
      <c r="N28" s="67">
        <f>IF(AND(I28&gt;0,K28&gt;0),MAX(I28:K28)+1,"")</f>
        <v>46304</v>
      </c>
      <c r="O28" s="64">
        <f>IF(N28&gt;0,1,0)</f>
        <v>1</v>
      </c>
      <c r="P28" s="64">
        <f>IF(O28&gt;0,0,1)</f>
        <v>0</v>
      </c>
      <c r="Q28" s="91" t="str">
        <f>IF(T28&gt;0,"Selesai","Proses")</f>
        <v>Proses</v>
      </c>
      <c r="R28" s="64">
        <f>IF(Q28="proses",1,0)</f>
        <v>1</v>
      </c>
      <c r="S28" s="67">
        <v>46304</v>
      </c>
      <c r="T28" s="67"/>
      <c r="U28" s="64"/>
      <c r="V28" s="66">
        <f t="shared" ref="V28" si="79">AO28</f>
        <v>5.3400000000000007</v>
      </c>
      <c r="W28" s="66">
        <f t="shared" ref="W28" si="80">AP28</f>
        <v>5.3400000000000007</v>
      </c>
      <c r="X28" s="93">
        <f t="shared" ref="X28" si="81">IF(G28=0,"",D28-V28)</f>
        <v>3.88</v>
      </c>
      <c r="Y28" s="409" t="str">
        <f>INDEX([6]Nanas!$G$1429:$G$1436,MATCH($C28,[6]Nanas!$C$1429:$C$1436,0))</f>
        <v>RC</v>
      </c>
      <c r="Z28" s="410">
        <f>1-X28/D28</f>
        <v>0.57917570498915405</v>
      </c>
      <c r="AA28" s="67">
        <f>INDEX([5]Nanas!$M$1336:$M$1444,MATCH($C28,[5]Nanas!$C$1336:$C$1444,0))</f>
        <v>46237</v>
      </c>
      <c r="AB28" s="471">
        <f ca="1">$E$4-AA28</f>
        <v>71.615133912040619</v>
      </c>
      <c r="AC28" s="516" t="s">
        <v>2711</v>
      </c>
      <c r="AD28" s="67"/>
      <c r="AF28" s="42">
        <f>IFERROR(VLOOKUP($C28,[3]Real!$B$11:$Y$28,20,0),"")</f>
        <v>4.3900000000000006</v>
      </c>
      <c r="AG28" s="42">
        <f>IFERROR(VLOOKUP($C28,[3]Real!$B$11:$Y$28,18,0),"")</f>
        <v>4.3900000000000006</v>
      </c>
      <c r="AH28" s="42">
        <f>SUMIFS('Input Real Tanam&amp;Petik Nanas'!$J:$J,'Input Real Tanam&amp;Petik Nanas'!$C:$C,$C28,'Input Real Tanam&amp;Petik Nanas'!$B:$B,'Data Lokasi'!AH$13)</f>
        <v>0.56000000000000005</v>
      </c>
      <c r="AI28" s="42">
        <f>SUMIFS('Input Real Tanam&amp;Petik Nanas'!$J:$J,'Input Real Tanam&amp;Petik Nanas'!$C:$C,$C28,'Input Real Tanam&amp;Petik Nanas'!$B:$B,'Data Lokasi'!AI$13)</f>
        <v>0.95</v>
      </c>
      <c r="AJ28" s="42">
        <f>SUMIFS('Input Real Tanam&amp;Petik Nanas'!$J:$J,'Input Real Tanam&amp;Petik Nanas'!$C:$C,$C28,'Input Real Tanam&amp;Petik Nanas'!$B:$B,'Data Lokasi'!AJ$13)</f>
        <v>0</v>
      </c>
      <c r="AK28" s="42">
        <f>SUMIFS('Input Real Tanam&amp;Petik Nanas'!$J:$J,'Input Real Tanam&amp;Petik Nanas'!$C:$C,$C28,'Input Real Tanam&amp;Petik Nanas'!$B:$B,'Data Lokasi'!AK$13)</f>
        <v>0</v>
      </c>
      <c r="AL28" s="42">
        <f>SUMIFS('Input Real Tanam&amp;Petik Nanas'!$J:$J,'Input Real Tanam&amp;Petik Nanas'!$C:$C,$C28,'Input Real Tanam&amp;Petik Nanas'!$B:$B,'Data Lokasi'!AL$13)</f>
        <v>0</v>
      </c>
      <c r="AM28" s="42">
        <f>SUMIFS('Input Real Tanam&amp;Petik Nanas'!$J:$J,'Input Real Tanam&amp;Petik Nanas'!$C:$C,$C28,'Input Real Tanam&amp;Petik Nanas'!$B:$B,'Data Lokasi'!AM$13)</f>
        <v>0</v>
      </c>
      <c r="AO28" s="42">
        <f>IFERROR(AF28+AI28+AJ28+AK28+AL28+AM28,"")</f>
        <v>5.3400000000000007</v>
      </c>
      <c r="AP28" s="42">
        <f t="shared" ref="AP28" si="82">IFERROR(AG28+AI28+AJ28+AK28+AL28+AM28,"")</f>
        <v>5.3400000000000007</v>
      </c>
      <c r="AR28" s="42">
        <f>IFERROR(VLOOKUP($C28,[3]Real!$B$11:$Y$28,18,0),"")</f>
        <v>4.3900000000000006</v>
      </c>
      <c r="AS28" s="42">
        <f>IFERROR(IF(AR28-AP28=0,"",(AR28-AP28)),"")</f>
        <v>-0.95000000000000018</v>
      </c>
      <c r="BA28" s="594" t="s">
        <v>2773</v>
      </c>
      <c r="BH28" s="36"/>
    </row>
    <row r="29" spans="2:60">
      <c r="B29" s="64" t="s">
        <v>116</v>
      </c>
      <c r="C29" s="65" t="s">
        <v>696</v>
      </c>
      <c r="D29" s="66">
        <v>12.75</v>
      </c>
      <c r="E29" s="67">
        <v>46242</v>
      </c>
      <c r="F29" s="64"/>
      <c r="G29" s="67">
        <v>46244</v>
      </c>
      <c r="H29" s="67"/>
      <c r="I29" s="67">
        <f t="shared" si="70"/>
        <v>46244</v>
      </c>
      <c r="J29" s="64">
        <f t="shared" ref="J29" si="83">IF(I29&gt;0,0,1)</f>
        <v>0</v>
      </c>
      <c r="K29" s="67">
        <v>46268</v>
      </c>
      <c r="L29" s="64"/>
      <c r="M29" s="64">
        <f t="shared" ref="M29" si="84">IF(AND(J29&gt;0,L29&gt;0),1,0)</f>
        <v>0</v>
      </c>
      <c r="N29" s="67">
        <f t="shared" si="71"/>
        <v>46269</v>
      </c>
      <c r="O29" s="64">
        <f>IF(N29&gt;0,1,0)</f>
        <v>1</v>
      </c>
      <c r="P29" s="64">
        <f>IF(O29&gt;0,0,1)</f>
        <v>0</v>
      </c>
      <c r="Q29" s="91" t="str">
        <f t="shared" si="72"/>
        <v>Proses</v>
      </c>
      <c r="R29" s="64">
        <f>IF(Q29="proses",1,0)</f>
        <v>1</v>
      </c>
      <c r="S29" s="67">
        <v>46290</v>
      </c>
      <c r="T29" s="67"/>
      <c r="U29" s="64"/>
      <c r="V29" s="66">
        <f t="shared" ref="V29:W29" si="85">AO29</f>
        <v>9.51</v>
      </c>
      <c r="W29" s="66">
        <f t="shared" si="85"/>
        <v>7.1199999999999992</v>
      </c>
      <c r="X29" s="93">
        <f t="shared" ref="X29" si="86">IF(G29=0,"",D29-V29)</f>
        <v>3.24</v>
      </c>
      <c r="Y29" s="409" t="str">
        <f>VLOOKUP($C29,[4]Nanas!$C$1336:$G$1416,5,0)</f>
        <v>RC</v>
      </c>
      <c r="Z29" s="410">
        <f t="shared" ref="Z29" si="87">1-X29/D29</f>
        <v>0.74588235294117644</v>
      </c>
      <c r="AA29" s="67"/>
      <c r="AB29" s="471"/>
      <c r="AC29" s="516" t="s">
        <v>2711</v>
      </c>
      <c r="AD29" s="67"/>
      <c r="AF29" s="42">
        <f>IFERROR(VLOOKUP($C29,[3]Real!$B$11:$Y$28,20,0),"")</f>
        <v>9.08</v>
      </c>
      <c r="AG29" s="42">
        <f>IFERROR(VLOOKUP($C29,[3]Real!$B$11:$Y$28,18,0),"")</f>
        <v>6.6899999999999995</v>
      </c>
      <c r="AH29" s="42">
        <f>SUMIFS('Input Real Tanam&amp;Petik Nanas'!$J:$J,'Input Real Tanam&amp;Petik Nanas'!$C:$C,$C29,'Input Real Tanam&amp;Petik Nanas'!$B:$B,'Data Lokasi'!AH$13)</f>
        <v>0.08</v>
      </c>
      <c r="AI29" s="42">
        <f>SUMIFS('Input Real Tanam&amp;Petik Nanas'!$J:$J,'Input Real Tanam&amp;Petik Nanas'!$C:$C,$C29,'Input Real Tanam&amp;Petik Nanas'!$B:$B,'Data Lokasi'!AI$13)</f>
        <v>0.43</v>
      </c>
      <c r="AJ29" s="42">
        <f>SUMIFS('Input Real Tanam&amp;Petik Nanas'!$J:$J,'Input Real Tanam&amp;Petik Nanas'!$C:$C,$C29,'Input Real Tanam&amp;Petik Nanas'!$B:$B,'Data Lokasi'!AJ$13)</f>
        <v>0</v>
      </c>
      <c r="AK29" s="42">
        <f>SUMIFS('Input Real Tanam&amp;Petik Nanas'!$J:$J,'Input Real Tanam&amp;Petik Nanas'!$C:$C,$C29,'Input Real Tanam&amp;Petik Nanas'!$B:$B,'Data Lokasi'!AK$13)</f>
        <v>0</v>
      </c>
      <c r="AL29" s="42">
        <f>SUMIFS('Input Real Tanam&amp;Petik Nanas'!$J:$J,'Input Real Tanam&amp;Petik Nanas'!$C:$C,$C29,'Input Real Tanam&amp;Petik Nanas'!$B:$B,'Data Lokasi'!AL$13)</f>
        <v>0</v>
      </c>
      <c r="AM29" s="42">
        <f>SUMIFS('Input Real Tanam&amp;Petik Nanas'!$J:$J,'Input Real Tanam&amp;Petik Nanas'!$C:$C,$C29,'Input Real Tanam&amp;Petik Nanas'!$B:$B,'Data Lokasi'!AM$13)</f>
        <v>0</v>
      </c>
      <c r="AO29" s="42">
        <f>IFERROR(AF29+AI29+AJ29+AK29+AL29+AM29,"")</f>
        <v>9.51</v>
      </c>
      <c r="AP29" s="42">
        <f t="shared" si="47"/>
        <v>7.1199999999999992</v>
      </c>
      <c r="AR29" s="42">
        <f>IFERROR(VLOOKUP($C29,[3]Real!$B$11:$Y$28,18,0),"")</f>
        <v>6.6899999999999995</v>
      </c>
      <c r="AS29" s="42">
        <f t="shared" si="12"/>
        <v>-0.42999999999999972</v>
      </c>
      <c r="BA29" s="522" t="s">
        <v>2751</v>
      </c>
      <c r="BH29" s="36"/>
    </row>
    <row r="30" spans="2:60">
      <c r="B30" s="64"/>
      <c r="C30" s="65"/>
      <c r="D30" s="66"/>
      <c r="E30" s="67"/>
      <c r="F30" s="64">
        <f t="shared" ref="F30" si="88">IF(E30&gt;0,1,0)</f>
        <v>0</v>
      </c>
      <c r="G30" s="67"/>
      <c r="H30" s="64">
        <f t="shared" ref="H30" si="89">IF(G30&gt;0,1,0)</f>
        <v>0</v>
      </c>
      <c r="I30" s="67"/>
      <c r="J30" s="64">
        <f t="shared" ref="J30" si="90">IF(I30&gt;0,0,1)</f>
        <v>1</v>
      </c>
      <c r="K30" s="67"/>
      <c r="L30" s="64">
        <f t="shared" ref="L30" si="91">IF(K30&gt;0,0,1)</f>
        <v>1</v>
      </c>
      <c r="M30" s="64">
        <f t="shared" ref="M30" si="92">IF(AND(J30&gt;0,L30&gt;0),1,0)</f>
        <v>1</v>
      </c>
      <c r="N30" s="67" t="str">
        <f t="shared" ref="N30" si="93">IF(AND(I30&gt;0,K30&gt;0),MAX(I30:K30)+1,"")</f>
        <v/>
      </c>
      <c r="O30" s="64">
        <f t="shared" ref="O30" si="94">IF(N30&gt;0,1,0)</f>
        <v>1</v>
      </c>
      <c r="P30" s="64">
        <f t="shared" ref="P30" si="95">IF(O30&gt;0,0,1)</f>
        <v>0</v>
      </c>
      <c r="Q30" s="91"/>
      <c r="R30" s="64">
        <f t="shared" ref="R30" si="96">IF(Q30="proses",1,0)</f>
        <v>0</v>
      </c>
      <c r="S30" s="67"/>
      <c r="T30" s="67"/>
      <c r="U30" s="64">
        <f>IF(T30&gt;0,1,0)</f>
        <v>0</v>
      </c>
      <c r="V30" s="66"/>
      <c r="W30" s="66"/>
      <c r="X30" s="93" t="str">
        <f t="shared" ref="X30" si="97">IF(G30=0,"",D30-V30)</f>
        <v/>
      </c>
      <c r="Y30" s="94"/>
      <c r="Z30" s="410"/>
      <c r="AA30" s="67"/>
      <c r="AB30" s="471"/>
      <c r="AC30" s="237"/>
      <c r="AD30" s="67"/>
      <c r="AF30" s="230">
        <f t="shared" ref="AF30:AP30" si="98">SUM(AF15:AF29)</f>
        <v>93.219999999999985</v>
      </c>
      <c r="AG30" s="230">
        <f t="shared" si="98"/>
        <v>47.449999999999996</v>
      </c>
      <c r="AH30" s="230">
        <f t="shared" si="98"/>
        <v>3.1300000000000003</v>
      </c>
      <c r="AI30" s="230">
        <f t="shared" si="98"/>
        <v>3.6999999999999997</v>
      </c>
      <c r="AJ30" s="230">
        <f t="shared" si="98"/>
        <v>0</v>
      </c>
      <c r="AK30" s="230">
        <f t="shared" si="98"/>
        <v>0</v>
      </c>
      <c r="AL30" s="230">
        <f t="shared" si="98"/>
        <v>0</v>
      </c>
      <c r="AM30" s="230">
        <f t="shared" si="98"/>
        <v>0</v>
      </c>
      <c r="AN30" s="230">
        <f t="shared" si="98"/>
        <v>0</v>
      </c>
      <c r="AO30" s="230">
        <f t="shared" si="98"/>
        <v>96.92</v>
      </c>
      <c r="AP30" s="230">
        <f t="shared" si="98"/>
        <v>51.15</v>
      </c>
      <c r="AQ30" s="230"/>
      <c r="AR30" s="230">
        <f>SUM(AR15:AR29)</f>
        <v>47.449999999999996</v>
      </c>
      <c r="AS30" s="230">
        <f>SUM(AS15:AS29)</f>
        <v>-3.6999999999999997</v>
      </c>
      <c r="AT30" s="230"/>
      <c r="AU30" s="230">
        <f>SUM(AU1276:AU1278)</f>
        <v>0</v>
      </c>
      <c r="AV30" s="230">
        <f>SUM(AV1276:AV1278)</f>
        <v>0</v>
      </c>
      <c r="AX30" s="257">
        <f>SUM(AX1276:AX1278)</f>
        <v>0</v>
      </c>
      <c r="AY30" s="230">
        <f>SUM(AY1276:AY1278)</f>
        <v>0</v>
      </c>
      <c r="BH30" s="36"/>
    </row>
    <row r="31" spans="2:60">
      <c r="B31" s="460" t="s">
        <v>2655</v>
      </c>
      <c r="C31" s="460"/>
      <c r="D31" s="500"/>
      <c r="E31" s="483"/>
      <c r="F31" s="482"/>
      <c r="G31" s="483"/>
      <c r="H31" s="482"/>
      <c r="I31" s="483"/>
      <c r="J31" s="482"/>
      <c r="K31" s="483"/>
      <c r="L31" s="482"/>
      <c r="M31" s="482"/>
      <c r="N31" s="483"/>
      <c r="O31" s="482">
        <f t="shared" ref="O31:O71" si="99">IF(N31&gt;0,1,0)</f>
        <v>0</v>
      </c>
      <c r="P31" s="482"/>
      <c r="Q31" s="484"/>
      <c r="R31" s="482"/>
      <c r="S31" s="483"/>
      <c r="T31" s="483"/>
      <c r="U31" s="482"/>
      <c r="V31" s="485"/>
      <c r="W31" s="485"/>
      <c r="X31" s="486"/>
      <c r="Y31" s="487"/>
      <c r="Z31" s="488"/>
      <c r="AA31" s="483"/>
      <c r="AB31" s="489"/>
      <c r="AC31" s="488"/>
      <c r="AD31" s="490"/>
      <c r="AF31" s="459" t="s">
        <v>2730</v>
      </c>
      <c r="BH31" s="36"/>
    </row>
    <row r="32" spans="2:60">
      <c r="B32" s="462"/>
      <c r="C32" s="463"/>
      <c r="D32" s="464"/>
      <c r="E32" s="492"/>
      <c r="F32" s="491"/>
      <c r="G32" s="492"/>
      <c r="H32" s="491"/>
      <c r="I32" s="492"/>
      <c r="J32" s="491"/>
      <c r="K32" s="492"/>
      <c r="L32" s="491"/>
      <c r="M32" s="491"/>
      <c r="N32" s="492"/>
      <c r="O32" s="491"/>
      <c r="P32" s="491"/>
      <c r="Q32" s="493"/>
      <c r="R32" s="491"/>
      <c r="S32" s="492"/>
      <c r="T32" s="492"/>
      <c r="U32" s="491"/>
      <c r="V32" s="494"/>
      <c r="W32" s="494"/>
      <c r="X32" s="495"/>
      <c r="Y32" s="496"/>
      <c r="Z32" s="497"/>
      <c r="AA32" s="492"/>
      <c r="AB32" s="498"/>
      <c r="AC32" s="497"/>
      <c r="AD32" s="499"/>
      <c r="AF32" s="450">
        <f>SUM(X33:X34)</f>
        <v>13.35</v>
      </c>
      <c r="BH32" s="36"/>
    </row>
    <row r="33" spans="2:60">
      <c r="B33" s="64" t="s">
        <v>113</v>
      </c>
      <c r="C33" s="65" t="s">
        <v>892</v>
      </c>
      <c r="D33" s="66">
        <v>7.09</v>
      </c>
      <c r="E33" s="67">
        <v>46234</v>
      </c>
      <c r="F33" s="64"/>
      <c r="G33" s="67">
        <v>46252</v>
      </c>
      <c r="H33" s="67"/>
      <c r="I33" s="67"/>
      <c r="J33" s="64">
        <f>IF(I33&gt;0,0,1)</f>
        <v>1</v>
      </c>
      <c r="K33" s="67">
        <v>46293</v>
      </c>
      <c r="L33" s="64"/>
      <c r="M33" s="64">
        <f>IF(AND(J33&gt;0,L33&gt;0),1,0)</f>
        <v>0</v>
      </c>
      <c r="N33" s="67"/>
      <c r="O33" s="64">
        <f>IF(N33&gt;0,1,0)</f>
        <v>0</v>
      </c>
      <c r="P33" s="64">
        <f>IF(O33&gt;0,0,1)</f>
        <v>1</v>
      </c>
      <c r="Q33" s="91"/>
      <c r="R33" s="64">
        <f>IF(Q33="proses",1,0)</f>
        <v>0</v>
      </c>
      <c r="S33" s="67"/>
      <c r="T33" s="67"/>
      <c r="U33" s="64"/>
      <c r="V33" s="66"/>
      <c r="W33" s="66"/>
      <c r="X33" s="93">
        <f>IF(G33=0,"",D33-V33)</f>
        <v>7.09</v>
      </c>
      <c r="Y33" s="409" t="str">
        <f>VLOOKUP($C33,[4]Nanas!$C$1336:$G$1416,5,0)</f>
        <v>PY</v>
      </c>
      <c r="Z33" s="410">
        <f>1-X33/D33</f>
        <v>0</v>
      </c>
      <c r="AA33" s="67"/>
      <c r="AB33" s="471"/>
      <c r="AC33" s="516" t="s">
        <v>2711</v>
      </c>
      <c r="AD33" s="67"/>
      <c r="BH33" s="36"/>
    </row>
    <row r="34" spans="2:60">
      <c r="B34" s="64" t="s">
        <v>118</v>
      </c>
      <c r="C34" s="65" t="s">
        <v>283</v>
      </c>
      <c r="D34" s="66">
        <v>6.26</v>
      </c>
      <c r="E34" s="67">
        <v>46265</v>
      </c>
      <c r="F34" s="64"/>
      <c r="G34" s="67">
        <v>46267</v>
      </c>
      <c r="H34" s="67"/>
      <c r="I34" s="67"/>
      <c r="J34" s="64">
        <f>IF(I34&gt;0,0,1)</f>
        <v>1</v>
      </c>
      <c r="K34" s="67">
        <v>46296</v>
      </c>
      <c r="L34" s="64"/>
      <c r="M34" s="64">
        <f>IF(AND(J34&gt;0,L34&gt;0),1,0)</f>
        <v>0</v>
      </c>
      <c r="N34" s="67"/>
      <c r="O34" s="64">
        <f>IF(N34&gt;0,1,0)</f>
        <v>0</v>
      </c>
      <c r="P34" s="64">
        <f>IF(O34&gt;0,0,1)</f>
        <v>1</v>
      </c>
      <c r="Q34" s="91"/>
      <c r="R34" s="64">
        <f>IF(Q34="proses",1,0)</f>
        <v>0</v>
      </c>
      <c r="S34" s="67"/>
      <c r="T34" s="67"/>
      <c r="U34" s="64"/>
      <c r="V34" s="66"/>
      <c r="W34" s="66"/>
      <c r="X34" s="93">
        <f>IF(G34=0,"",D34-V34)</f>
        <v>6.26</v>
      </c>
      <c r="Y34" s="409" t="s">
        <v>2728</v>
      </c>
      <c r="Z34" s="410">
        <f>1-X34/D34</f>
        <v>0</v>
      </c>
      <c r="AA34" s="67">
        <f>INDEX([5]Nanas!$M$1336:$M$1444,MATCH($C34,[5]Nanas!$C$1336:$C$1444,0))</f>
        <v>46239</v>
      </c>
      <c r="AB34" s="471">
        <f ca="1">$E$4-AA34</f>
        <v>69.615133912040619</v>
      </c>
      <c r="AC34" s="237"/>
      <c r="AD34" s="67"/>
      <c r="BH34" s="36"/>
    </row>
    <row r="35" spans="2:60">
      <c r="B35" s="460" t="s">
        <v>2622</v>
      </c>
      <c r="C35" s="460"/>
      <c r="D35" s="461"/>
      <c r="E35" s="501"/>
      <c r="F35" s="503"/>
      <c r="G35" s="483"/>
      <c r="H35" s="482"/>
      <c r="I35" s="483"/>
      <c r="J35" s="482"/>
      <c r="K35" s="483"/>
      <c r="L35" s="482"/>
      <c r="M35" s="482"/>
      <c r="N35" s="483"/>
      <c r="O35" s="482">
        <f t="shared" ref="O35:O68" si="100">IF(N35&gt;0,1,0)</f>
        <v>0</v>
      </c>
      <c r="P35" s="482"/>
      <c r="Q35" s="484"/>
      <c r="R35" s="482"/>
      <c r="S35" s="483"/>
      <c r="T35" s="483"/>
      <c r="U35" s="482"/>
      <c r="V35" s="485"/>
      <c r="W35" s="485"/>
      <c r="X35" s="486"/>
      <c r="Y35" s="487"/>
      <c r="Z35" s="488"/>
      <c r="AA35" s="483"/>
      <c r="AB35" s="489"/>
      <c r="AC35" s="488"/>
      <c r="AD35" s="490"/>
      <c r="AF35" s="459" t="s">
        <v>1904</v>
      </c>
      <c r="BH35" s="36"/>
    </row>
    <row r="36" spans="2:60">
      <c r="B36" s="462"/>
      <c r="C36" s="463"/>
      <c r="D36" s="464"/>
      <c r="E36" s="502"/>
      <c r="F36" s="503"/>
      <c r="G36" s="492"/>
      <c r="H36" s="491"/>
      <c r="I36" s="492"/>
      <c r="J36" s="491"/>
      <c r="K36" s="492"/>
      <c r="L36" s="491"/>
      <c r="M36" s="491"/>
      <c r="N36" s="492"/>
      <c r="O36" s="491"/>
      <c r="P36" s="491"/>
      <c r="Q36" s="493"/>
      <c r="R36" s="491"/>
      <c r="S36" s="492"/>
      <c r="T36" s="492"/>
      <c r="U36" s="491"/>
      <c r="V36" s="494"/>
      <c r="W36" s="494"/>
      <c r="X36" s="495"/>
      <c r="Y36" s="496"/>
      <c r="Z36" s="497"/>
      <c r="AA36" s="492"/>
      <c r="AB36" s="498"/>
      <c r="AC36" s="497"/>
      <c r="AD36" s="499"/>
      <c r="AF36" s="450">
        <f>SUM(X37:X63)</f>
        <v>199.55</v>
      </c>
      <c r="BH36" s="36"/>
    </row>
    <row r="37" spans="2:60">
      <c r="B37" s="64" t="s">
        <v>116</v>
      </c>
      <c r="C37" s="65" t="s">
        <v>189</v>
      </c>
      <c r="D37" s="66">
        <v>9.23</v>
      </c>
      <c r="E37" s="67">
        <v>46212</v>
      </c>
      <c r="F37" s="64"/>
      <c r="G37" s="67">
        <v>46213</v>
      </c>
      <c r="H37" s="67"/>
      <c r="I37" s="67"/>
      <c r="J37" s="64">
        <f t="shared" ref="J37" si="101">IF(I37&gt;0,0,1)</f>
        <v>1</v>
      </c>
      <c r="K37" s="67"/>
      <c r="L37" s="64"/>
      <c r="M37" s="64">
        <f t="shared" ref="M37" si="102">IF(AND(J37&gt;0,L37&gt;0),1,0)</f>
        <v>0</v>
      </c>
      <c r="N37" s="67"/>
      <c r="O37" s="64">
        <f t="shared" si="100"/>
        <v>0</v>
      </c>
      <c r="P37" s="64">
        <f t="shared" ref="P37" si="103">IF(O37&gt;0,0,1)</f>
        <v>1</v>
      </c>
      <c r="Q37" s="91"/>
      <c r="R37" s="64">
        <f t="shared" ref="R37" si="104">IF(Q37="proses",1,0)</f>
        <v>0</v>
      </c>
      <c r="S37" s="67"/>
      <c r="T37" s="67"/>
      <c r="U37" s="64"/>
      <c r="V37" s="66"/>
      <c r="W37" s="66"/>
      <c r="X37" s="93">
        <f t="shared" ref="X37" si="105">IF(G37=0,"",D37-V37)</f>
        <v>9.23</v>
      </c>
      <c r="Y37" s="409" t="str">
        <f>VLOOKUP($C37,[4]Nanas!$C$1336:$G$1416,5,0)</f>
        <v>RC</v>
      </c>
      <c r="Z37" s="410">
        <f t="shared" ref="Z37" si="106">1-X37/D37</f>
        <v>0</v>
      </c>
      <c r="AA37" s="67">
        <f>INDEX([5]Nanas!$M$1336:$M$1444,MATCH($C37,[5]Nanas!$C$1336:$C$1444,0))</f>
        <v>46053</v>
      </c>
      <c r="AB37" s="471">
        <f t="shared" ref="AB37:AB38" ca="1" si="107">$E$4-AA37</f>
        <v>255.61513391204062</v>
      </c>
      <c r="AC37" s="237"/>
      <c r="AD37" s="67"/>
      <c r="BH37" s="36"/>
    </row>
    <row r="38" spans="2:60">
      <c r="B38" s="64" t="s">
        <v>116</v>
      </c>
      <c r="C38" s="65" t="s">
        <v>634</v>
      </c>
      <c r="D38" s="66">
        <v>8.7100000000000009</v>
      </c>
      <c r="E38" s="67">
        <v>46214</v>
      </c>
      <c r="F38" s="64"/>
      <c r="G38" s="67">
        <v>46252</v>
      </c>
      <c r="H38" s="67"/>
      <c r="I38" s="67"/>
      <c r="J38" s="64">
        <f t="shared" ref="J38:J40" si="108">IF(I38&gt;0,0,1)</f>
        <v>1</v>
      </c>
      <c r="K38" s="67"/>
      <c r="L38" s="64"/>
      <c r="M38" s="64">
        <f t="shared" ref="M38:M40" si="109">IF(AND(J38&gt;0,L38&gt;0),1,0)</f>
        <v>0</v>
      </c>
      <c r="N38" s="67"/>
      <c r="O38" s="64">
        <f t="shared" ref="O38:O39" si="110">IF(N38&gt;0,1,0)</f>
        <v>0</v>
      </c>
      <c r="P38" s="64">
        <f t="shared" ref="P38:P39" si="111">IF(O38&gt;0,0,1)</f>
        <v>1</v>
      </c>
      <c r="Q38" s="91"/>
      <c r="R38" s="64">
        <f t="shared" ref="R38:R39" si="112">IF(Q38="proses",1,0)</f>
        <v>0</v>
      </c>
      <c r="S38" s="67"/>
      <c r="T38" s="67"/>
      <c r="U38" s="64"/>
      <c r="V38" s="66"/>
      <c r="W38" s="66"/>
      <c r="X38" s="93">
        <f t="shared" ref="X38:X42" si="113">IF(G38=0,"",D38-V38)</f>
        <v>8.7100000000000009</v>
      </c>
      <c r="Y38" s="409" t="str">
        <f>VLOOKUP($C38,[4]Nanas!$C$1336:$G$1416,5,0)</f>
        <v>BB</v>
      </c>
      <c r="Z38" s="410">
        <f t="shared" ref="Z38:Z42" si="114">1-X38/D38</f>
        <v>0</v>
      </c>
      <c r="AA38" s="67">
        <f>INDEX([5]Nanas!$M$1336:$M$1444,MATCH($C38,[5]Nanas!$C$1336:$C$1444,0))</f>
        <v>46008</v>
      </c>
      <c r="AB38" s="471">
        <f t="shared" ca="1" si="107"/>
        <v>300.61513391204062</v>
      </c>
      <c r="AC38" s="516" t="s">
        <v>2711</v>
      </c>
      <c r="AD38" s="67"/>
      <c r="BH38" s="36"/>
    </row>
    <row r="39" spans="2:60">
      <c r="B39" s="64" t="s">
        <v>116</v>
      </c>
      <c r="C39" s="65" t="s">
        <v>316</v>
      </c>
      <c r="D39" s="66">
        <v>11.63</v>
      </c>
      <c r="E39" s="67">
        <v>46249</v>
      </c>
      <c r="F39" s="64"/>
      <c r="G39" s="67">
        <v>46253</v>
      </c>
      <c r="H39" s="67"/>
      <c r="I39" s="67"/>
      <c r="J39" s="64">
        <f t="shared" si="108"/>
        <v>1</v>
      </c>
      <c r="K39" s="67"/>
      <c r="L39" s="64"/>
      <c r="M39" s="64">
        <f t="shared" si="109"/>
        <v>0</v>
      </c>
      <c r="N39" s="67"/>
      <c r="O39" s="64">
        <f t="shared" si="110"/>
        <v>0</v>
      </c>
      <c r="P39" s="64">
        <f t="shared" si="111"/>
        <v>1</v>
      </c>
      <c r="Q39" s="91"/>
      <c r="R39" s="64">
        <f t="shared" si="112"/>
        <v>0</v>
      </c>
      <c r="S39" s="67"/>
      <c r="T39" s="67"/>
      <c r="U39" s="64"/>
      <c r="V39" s="66"/>
      <c r="W39" s="66"/>
      <c r="X39" s="93">
        <f t="shared" si="113"/>
        <v>11.63</v>
      </c>
      <c r="Y39" s="409" t="str">
        <f>VLOOKUP($C39,[4]Nanas!$C$1336:$G$1416,5,0)</f>
        <v>RC</v>
      </c>
      <c r="Z39" s="410">
        <f t="shared" si="114"/>
        <v>0</v>
      </c>
      <c r="AA39" s="67">
        <f>INDEX([5]Nanas!$M$1336:$M$1444,MATCH($C39,[5]Nanas!$C$1336:$C$1444,0))</f>
        <v>46147</v>
      </c>
      <c r="AB39" s="471">
        <f t="shared" ref="AB39:AB42" ca="1" si="115">$E$4-AA39</f>
        <v>161.61513391204062</v>
      </c>
      <c r="AC39" s="516" t="s">
        <v>2711</v>
      </c>
      <c r="AD39" s="67"/>
      <c r="BH39" s="36"/>
    </row>
    <row r="40" spans="2:60">
      <c r="B40" s="64" t="s">
        <v>111</v>
      </c>
      <c r="C40" s="65" t="s">
        <v>129</v>
      </c>
      <c r="D40" s="66">
        <v>6.05</v>
      </c>
      <c r="E40" s="67">
        <v>46252</v>
      </c>
      <c r="F40" s="64"/>
      <c r="G40" s="67">
        <v>46253</v>
      </c>
      <c r="H40" s="67"/>
      <c r="I40" s="67"/>
      <c r="J40" s="64">
        <f t="shared" si="108"/>
        <v>1</v>
      </c>
      <c r="K40" s="67"/>
      <c r="L40" s="64"/>
      <c r="M40" s="64">
        <f t="shared" si="109"/>
        <v>0</v>
      </c>
      <c r="N40" s="67"/>
      <c r="O40" s="64">
        <f t="shared" ref="O40:O42" si="116">IF(N40&gt;0,1,0)</f>
        <v>0</v>
      </c>
      <c r="P40" s="64">
        <f t="shared" ref="P40:P42" si="117">IF(O40&gt;0,0,1)</f>
        <v>1</v>
      </c>
      <c r="Q40" s="91"/>
      <c r="R40" s="64">
        <f t="shared" ref="R40" si="118">IF(Q40="proses",1,0)</f>
        <v>0</v>
      </c>
      <c r="S40" s="67"/>
      <c r="T40" s="67"/>
      <c r="U40" s="64"/>
      <c r="V40" s="66"/>
      <c r="W40" s="66"/>
      <c r="X40" s="93">
        <f t="shared" si="113"/>
        <v>6.05</v>
      </c>
      <c r="Y40" s="409" t="str">
        <f>VLOOKUP($C40,[2]Nanas!$C$1336:$G$1416,5,0)</f>
        <v>RC</v>
      </c>
      <c r="Z40" s="410">
        <f t="shared" si="114"/>
        <v>0</v>
      </c>
      <c r="AA40" s="67">
        <f>INDEX([5]Nanas!$M$1336:$M$1444,MATCH($C40,[5]Nanas!$C$1336:$C$1444,0))</f>
        <v>46206</v>
      </c>
      <c r="AB40" s="471">
        <f t="shared" ca="1" si="115"/>
        <v>102.61513391204062</v>
      </c>
      <c r="AC40" s="516" t="s">
        <v>2711</v>
      </c>
      <c r="AD40" s="67"/>
      <c r="BH40" s="36"/>
    </row>
    <row r="41" spans="2:60">
      <c r="B41" s="64" t="s">
        <v>116</v>
      </c>
      <c r="C41" s="65" t="s">
        <v>345</v>
      </c>
      <c r="D41" s="66">
        <v>7.56</v>
      </c>
      <c r="E41" s="67">
        <v>46263</v>
      </c>
      <c r="F41" s="64"/>
      <c r="G41" s="67">
        <v>46267</v>
      </c>
      <c r="H41" s="67"/>
      <c r="I41" s="67"/>
      <c r="J41" s="64">
        <f t="shared" ref="J41:J42" si="119">IF(I41&gt;0,0,1)</f>
        <v>1</v>
      </c>
      <c r="K41" s="67"/>
      <c r="L41" s="64"/>
      <c r="M41" s="64">
        <f t="shared" ref="M41:M42" si="120">IF(AND(J41&gt;0,L41&gt;0),1,0)</f>
        <v>0</v>
      </c>
      <c r="N41" s="67"/>
      <c r="O41" s="64">
        <f t="shared" si="116"/>
        <v>0</v>
      </c>
      <c r="P41" s="64">
        <f t="shared" si="117"/>
        <v>1</v>
      </c>
      <c r="Q41" s="91"/>
      <c r="R41" s="64">
        <f t="shared" ref="R41:R42" si="121">IF(Q41="proses",1,0)</f>
        <v>0</v>
      </c>
      <c r="S41" s="67"/>
      <c r="T41" s="67"/>
      <c r="U41" s="64"/>
      <c r="V41" s="66"/>
      <c r="W41" s="66"/>
      <c r="X41" s="93">
        <f t="shared" si="113"/>
        <v>7.56</v>
      </c>
      <c r="Y41" s="409" t="s">
        <v>2729</v>
      </c>
      <c r="Z41" s="410">
        <f t="shared" si="114"/>
        <v>0</v>
      </c>
      <c r="AA41" s="67">
        <f>INDEX([5]Nanas!$M$1336:$M$1444,MATCH($C41,[5]Nanas!$C$1336:$C$1444,0))</f>
        <v>46237</v>
      </c>
      <c r="AB41" s="471">
        <f t="shared" ca="1" si="115"/>
        <v>71.615133912040619</v>
      </c>
      <c r="AC41" s="237"/>
      <c r="AD41" s="67"/>
      <c r="BH41" s="36"/>
    </row>
    <row r="42" spans="2:60">
      <c r="B42" s="64" t="s">
        <v>109</v>
      </c>
      <c r="C42" s="65" t="s">
        <v>383</v>
      </c>
      <c r="D42" s="66">
        <v>5.21</v>
      </c>
      <c r="E42" s="67">
        <v>46266</v>
      </c>
      <c r="F42" s="64"/>
      <c r="G42" s="67">
        <v>46270</v>
      </c>
      <c r="H42" s="67"/>
      <c r="I42" s="67"/>
      <c r="J42" s="64">
        <f t="shared" si="119"/>
        <v>1</v>
      </c>
      <c r="K42" s="67"/>
      <c r="L42" s="64"/>
      <c r="M42" s="64">
        <f t="shared" si="120"/>
        <v>0</v>
      </c>
      <c r="N42" s="67"/>
      <c r="O42" s="64">
        <f t="shared" si="116"/>
        <v>0</v>
      </c>
      <c r="P42" s="64">
        <f t="shared" si="117"/>
        <v>1</v>
      </c>
      <c r="Q42" s="91"/>
      <c r="R42" s="64">
        <f t="shared" si="121"/>
        <v>0</v>
      </c>
      <c r="S42" s="67"/>
      <c r="T42" s="67"/>
      <c r="U42" s="64"/>
      <c r="V42" s="66"/>
      <c r="W42" s="66"/>
      <c r="X42" s="93">
        <f t="shared" si="113"/>
        <v>5.21</v>
      </c>
      <c r="Y42" s="409" t="s">
        <v>2728</v>
      </c>
      <c r="Z42" s="410">
        <f t="shared" si="114"/>
        <v>0</v>
      </c>
      <c r="AA42" s="67">
        <f>INDEX([5]Nanas!$M$1336:$M$1444,MATCH($C42,[5]Nanas!$C$1336:$C$1444,0))</f>
        <v>46238</v>
      </c>
      <c r="AB42" s="471">
        <f t="shared" ca="1" si="115"/>
        <v>70.615133912040619</v>
      </c>
      <c r="AC42" s="237"/>
      <c r="AD42" s="67"/>
      <c r="BH42" s="36"/>
    </row>
    <row r="43" spans="2:60">
      <c r="B43" s="64" t="s">
        <v>111</v>
      </c>
      <c r="C43" s="65" t="s">
        <v>135</v>
      </c>
      <c r="D43" s="66">
        <v>6.91</v>
      </c>
      <c r="E43" s="67">
        <v>46287</v>
      </c>
      <c r="F43" s="64"/>
      <c r="G43" s="67">
        <v>46288</v>
      </c>
      <c r="H43" s="67"/>
      <c r="I43" s="67"/>
      <c r="J43" s="64">
        <f t="shared" ref="J43" si="122">IF(I43&gt;0,0,1)</f>
        <v>1</v>
      </c>
      <c r="K43" s="67"/>
      <c r="L43" s="64"/>
      <c r="M43" s="64">
        <f t="shared" ref="M43" si="123">IF(AND(J43&gt;0,L43&gt;0),1,0)</f>
        <v>0</v>
      </c>
      <c r="N43" s="67"/>
      <c r="O43" s="64">
        <f t="shared" ref="O43" si="124">IF(N43&gt;0,1,0)</f>
        <v>0</v>
      </c>
      <c r="P43" s="64">
        <f t="shared" ref="P43" si="125">IF(O43&gt;0,0,1)</f>
        <v>1</v>
      </c>
      <c r="Q43" s="91"/>
      <c r="R43" s="64">
        <f t="shared" ref="R43" si="126">IF(Q43="proses",1,0)</f>
        <v>0</v>
      </c>
      <c r="S43" s="67"/>
      <c r="T43" s="67"/>
      <c r="U43" s="64"/>
      <c r="V43" s="66"/>
      <c r="W43" s="66"/>
      <c r="X43" s="93">
        <f>IF(G43=0,"",D43-V43)</f>
        <v>6.91</v>
      </c>
      <c r="Y43" s="409" t="s">
        <v>784</v>
      </c>
      <c r="Z43" s="410">
        <f t="shared" ref="Z43:Z63" si="127">1-X43/D43</f>
        <v>0</v>
      </c>
      <c r="AA43" s="67">
        <v>46241</v>
      </c>
      <c r="AB43" s="471">
        <f ca="1">$E$4-AA43</f>
        <v>67.615133912040619</v>
      </c>
      <c r="AC43" s="516" t="s">
        <v>2711</v>
      </c>
      <c r="AD43" s="67"/>
      <c r="BH43" s="36"/>
    </row>
    <row r="44" spans="2:60">
      <c r="B44" s="64" t="s">
        <v>105</v>
      </c>
      <c r="C44" s="65" t="s">
        <v>2738</v>
      </c>
      <c r="D44" s="66">
        <v>5.27</v>
      </c>
      <c r="E44" s="67">
        <v>46281</v>
      </c>
      <c r="F44" s="64"/>
      <c r="G44" s="67">
        <v>46290</v>
      </c>
      <c r="H44" s="67"/>
      <c r="I44" s="67"/>
      <c r="J44" s="64">
        <f t="shared" ref="J44" si="128">IF(I44&gt;0,0,1)</f>
        <v>1</v>
      </c>
      <c r="K44" s="67"/>
      <c r="L44" s="64"/>
      <c r="M44" s="64">
        <f t="shared" ref="M44" si="129">IF(AND(J44&gt;0,L44&gt;0),1,0)</f>
        <v>0</v>
      </c>
      <c r="N44" s="67"/>
      <c r="O44" s="64">
        <f t="shared" ref="O44:O49" si="130">IF(N44&gt;0,1,0)</f>
        <v>0</v>
      </c>
      <c r="P44" s="64">
        <f t="shared" ref="P44" si="131">IF(O44&gt;0,0,1)</f>
        <v>1</v>
      </c>
      <c r="Q44" s="91"/>
      <c r="R44" s="64">
        <f t="shared" ref="R44" si="132">IF(Q44="proses",1,0)</f>
        <v>0</v>
      </c>
      <c r="S44" s="67"/>
      <c r="T44" s="67"/>
      <c r="U44" s="64"/>
      <c r="V44" s="66"/>
      <c r="W44" s="66"/>
      <c r="X44" s="93">
        <f>IF(G44=0,"",D44-V44)</f>
        <v>5.27</v>
      </c>
      <c r="Y44" s="409" t="s">
        <v>784</v>
      </c>
      <c r="Z44" s="410">
        <f t="shared" si="127"/>
        <v>0</v>
      </c>
      <c r="AA44" s="67"/>
      <c r="AB44" s="471"/>
      <c r="AC44" s="516" t="s">
        <v>2711</v>
      </c>
      <c r="AD44" s="67"/>
      <c r="BH44" s="36"/>
    </row>
    <row r="45" spans="2:60">
      <c r="B45" s="64" t="s">
        <v>116</v>
      </c>
      <c r="C45" s="65" t="s">
        <v>130</v>
      </c>
      <c r="D45" s="66">
        <v>9.6199999999999992</v>
      </c>
      <c r="E45" s="67">
        <v>46289</v>
      </c>
      <c r="F45" s="64"/>
      <c r="G45" s="67">
        <v>46292</v>
      </c>
      <c r="H45" s="67"/>
      <c r="I45" s="67"/>
      <c r="J45" s="64">
        <f t="shared" ref="J45" si="133">IF(I45&gt;0,0,1)</f>
        <v>1</v>
      </c>
      <c r="K45" s="67"/>
      <c r="L45" s="64"/>
      <c r="M45" s="64">
        <f t="shared" ref="M45" si="134">IF(AND(J45&gt;0,L45&gt;0),1,0)</f>
        <v>0</v>
      </c>
      <c r="N45" s="67"/>
      <c r="O45" s="64">
        <f t="shared" si="130"/>
        <v>0</v>
      </c>
      <c r="P45" s="64">
        <f t="shared" ref="P45:P51" si="135">IF(O45&gt;0,0,1)</f>
        <v>1</v>
      </c>
      <c r="Q45" s="91"/>
      <c r="R45" s="64">
        <f t="shared" ref="R45:R51" si="136">IF(Q45="proses",1,0)</f>
        <v>0</v>
      </c>
      <c r="S45" s="67"/>
      <c r="T45" s="67"/>
      <c r="U45" s="64"/>
      <c r="V45" s="66"/>
      <c r="W45" s="66"/>
      <c r="X45" s="93">
        <f t="shared" ref="X45:X56" si="137">IF(G45=0,"",D45-V45)</f>
        <v>9.6199999999999992</v>
      </c>
      <c r="Y45" s="409" t="s">
        <v>2728</v>
      </c>
      <c r="Z45" s="410">
        <f t="shared" si="127"/>
        <v>0</v>
      </c>
      <c r="AA45" s="67">
        <v>46239</v>
      </c>
      <c r="AB45" s="471">
        <f t="shared" ref="AB45:AB50" ca="1" si="138">$E$4-AA45</f>
        <v>69.615133912040619</v>
      </c>
      <c r="AC45" s="237"/>
      <c r="AD45" s="67"/>
      <c r="BH45" s="36"/>
    </row>
    <row r="46" spans="2:60">
      <c r="B46" s="64" t="s">
        <v>116</v>
      </c>
      <c r="C46" s="65" t="s">
        <v>315</v>
      </c>
      <c r="D46" s="66">
        <v>10.83</v>
      </c>
      <c r="E46" s="67">
        <v>46290</v>
      </c>
      <c r="F46" s="64"/>
      <c r="G46" s="67">
        <v>46292</v>
      </c>
      <c r="H46" s="67"/>
      <c r="I46" s="67"/>
      <c r="J46" s="64">
        <f t="shared" ref="J46:J51" si="139">IF(I46&gt;0,0,1)</f>
        <v>1</v>
      </c>
      <c r="K46" s="67"/>
      <c r="L46" s="64"/>
      <c r="M46" s="64">
        <f t="shared" ref="M46:M51" si="140">IF(AND(J46&gt;0,L46&gt;0),1,0)</f>
        <v>0</v>
      </c>
      <c r="N46" s="67"/>
      <c r="O46" s="64">
        <f t="shared" si="130"/>
        <v>0</v>
      </c>
      <c r="P46" s="64">
        <f t="shared" si="135"/>
        <v>1</v>
      </c>
      <c r="Q46" s="91"/>
      <c r="R46" s="64">
        <f t="shared" si="136"/>
        <v>0</v>
      </c>
      <c r="S46" s="67"/>
      <c r="T46" s="67"/>
      <c r="U46" s="64"/>
      <c r="V46" s="66"/>
      <c r="W46" s="66"/>
      <c r="X46" s="93">
        <f t="shared" si="137"/>
        <v>10.83</v>
      </c>
      <c r="Y46" s="409" t="s">
        <v>2728</v>
      </c>
      <c r="Z46" s="410">
        <f t="shared" si="127"/>
        <v>0</v>
      </c>
      <c r="AA46" s="67">
        <v>46206</v>
      </c>
      <c r="AB46" s="471">
        <f t="shared" ca="1" si="138"/>
        <v>102.61513391204062</v>
      </c>
      <c r="AC46" s="237"/>
      <c r="AD46" s="67"/>
      <c r="BH46" s="36"/>
    </row>
    <row r="47" spans="2:60">
      <c r="B47" s="64" t="s">
        <v>109</v>
      </c>
      <c r="C47" s="65" t="s">
        <v>145</v>
      </c>
      <c r="D47" s="66">
        <v>5.58</v>
      </c>
      <c r="E47" s="67">
        <v>46291</v>
      </c>
      <c r="F47" s="64"/>
      <c r="G47" s="67">
        <v>46293</v>
      </c>
      <c r="H47" s="67"/>
      <c r="I47" s="67"/>
      <c r="J47" s="64">
        <f t="shared" si="139"/>
        <v>1</v>
      </c>
      <c r="K47" s="67"/>
      <c r="L47" s="64"/>
      <c r="M47" s="64">
        <f t="shared" si="140"/>
        <v>0</v>
      </c>
      <c r="N47" s="67"/>
      <c r="O47" s="64">
        <f t="shared" si="130"/>
        <v>0</v>
      </c>
      <c r="P47" s="64">
        <f t="shared" si="135"/>
        <v>1</v>
      </c>
      <c r="Q47" s="91"/>
      <c r="R47" s="64">
        <f t="shared" si="136"/>
        <v>0</v>
      </c>
      <c r="S47" s="67"/>
      <c r="T47" s="67"/>
      <c r="U47" s="64"/>
      <c r="V47" s="66"/>
      <c r="W47" s="66"/>
      <c r="X47" s="93">
        <f t="shared" si="137"/>
        <v>5.58</v>
      </c>
      <c r="Y47" s="409" t="s">
        <v>2728</v>
      </c>
      <c r="Z47" s="410">
        <f t="shared" si="127"/>
        <v>0</v>
      </c>
      <c r="AA47" s="67">
        <v>46261</v>
      </c>
      <c r="AB47" s="471">
        <f t="shared" ca="1" si="138"/>
        <v>47.615133912040619</v>
      </c>
      <c r="AC47" s="237"/>
      <c r="AD47" s="67"/>
      <c r="BH47" s="36"/>
    </row>
    <row r="48" spans="2:60">
      <c r="B48" s="64" t="s">
        <v>109</v>
      </c>
      <c r="C48" s="65" t="s">
        <v>146</v>
      </c>
      <c r="D48" s="66">
        <v>5.59</v>
      </c>
      <c r="E48" s="67">
        <v>46291</v>
      </c>
      <c r="F48" s="64"/>
      <c r="G48" s="67">
        <v>46293</v>
      </c>
      <c r="H48" s="67"/>
      <c r="I48" s="67"/>
      <c r="J48" s="64">
        <f t="shared" si="139"/>
        <v>1</v>
      </c>
      <c r="K48" s="67"/>
      <c r="L48" s="64"/>
      <c r="M48" s="64">
        <f t="shared" si="140"/>
        <v>0</v>
      </c>
      <c r="N48" s="67"/>
      <c r="O48" s="64">
        <f t="shared" si="130"/>
        <v>0</v>
      </c>
      <c r="P48" s="64">
        <f t="shared" si="135"/>
        <v>1</v>
      </c>
      <c r="Q48" s="91"/>
      <c r="R48" s="64">
        <f t="shared" si="136"/>
        <v>0</v>
      </c>
      <c r="S48" s="67"/>
      <c r="T48" s="67"/>
      <c r="U48" s="64"/>
      <c r="V48" s="66"/>
      <c r="W48" s="66"/>
      <c r="X48" s="93">
        <f t="shared" si="137"/>
        <v>5.59</v>
      </c>
      <c r="Y48" s="409" t="s">
        <v>2728</v>
      </c>
      <c r="Z48" s="410">
        <f t="shared" si="127"/>
        <v>0</v>
      </c>
      <c r="AA48" s="67">
        <v>46261</v>
      </c>
      <c r="AB48" s="471">
        <f t="shared" ca="1" si="138"/>
        <v>47.615133912040619</v>
      </c>
      <c r="AC48" s="237"/>
      <c r="AD48" s="67"/>
      <c r="BH48" s="36"/>
    </row>
    <row r="49" spans="2:60">
      <c r="B49" s="64" t="s">
        <v>116</v>
      </c>
      <c r="C49" s="65" t="s">
        <v>117</v>
      </c>
      <c r="D49" s="66">
        <v>7.42</v>
      </c>
      <c r="E49" s="67">
        <v>46289</v>
      </c>
      <c r="F49" s="64"/>
      <c r="G49" s="67">
        <v>46293</v>
      </c>
      <c r="H49" s="67"/>
      <c r="I49" s="67"/>
      <c r="J49" s="64">
        <f t="shared" si="139"/>
        <v>1</v>
      </c>
      <c r="K49" s="67"/>
      <c r="L49" s="64"/>
      <c r="M49" s="64">
        <f t="shared" si="140"/>
        <v>0</v>
      </c>
      <c r="N49" s="67"/>
      <c r="O49" s="64">
        <f t="shared" si="130"/>
        <v>0</v>
      </c>
      <c r="P49" s="64">
        <f t="shared" si="135"/>
        <v>1</v>
      </c>
      <c r="Q49" s="91"/>
      <c r="R49" s="64">
        <f t="shared" si="136"/>
        <v>0</v>
      </c>
      <c r="S49" s="67"/>
      <c r="T49" s="67"/>
      <c r="U49" s="64"/>
      <c r="V49" s="66"/>
      <c r="W49" s="66"/>
      <c r="X49" s="93">
        <f t="shared" si="137"/>
        <v>7.42</v>
      </c>
      <c r="Y49" s="409" t="s">
        <v>2728</v>
      </c>
      <c r="Z49" s="410">
        <f t="shared" si="127"/>
        <v>0</v>
      </c>
      <c r="AA49" s="67">
        <v>46237</v>
      </c>
      <c r="AB49" s="471">
        <f t="shared" ca="1" si="138"/>
        <v>71.615133912040619</v>
      </c>
      <c r="AC49" s="237"/>
      <c r="AD49" s="67"/>
      <c r="BH49" s="36"/>
    </row>
    <row r="50" spans="2:60">
      <c r="B50" s="64" t="s">
        <v>111</v>
      </c>
      <c r="C50" s="65" t="s">
        <v>127</v>
      </c>
      <c r="D50" s="66">
        <v>9.93</v>
      </c>
      <c r="E50" s="67">
        <v>46293</v>
      </c>
      <c r="F50" s="64"/>
      <c r="G50" s="67">
        <v>46294</v>
      </c>
      <c r="H50" s="67"/>
      <c r="I50" s="67"/>
      <c r="J50" s="64">
        <f t="shared" si="139"/>
        <v>1</v>
      </c>
      <c r="K50" s="67"/>
      <c r="L50" s="64"/>
      <c r="M50" s="64">
        <f t="shared" si="140"/>
        <v>0</v>
      </c>
      <c r="N50" s="67"/>
      <c r="O50" s="64">
        <f>IF(N50&gt;0,1,0)</f>
        <v>0</v>
      </c>
      <c r="P50" s="64">
        <f t="shared" si="135"/>
        <v>1</v>
      </c>
      <c r="Q50" s="91"/>
      <c r="R50" s="64">
        <f t="shared" si="136"/>
        <v>0</v>
      </c>
      <c r="S50" s="67"/>
      <c r="T50" s="67"/>
      <c r="U50" s="64"/>
      <c r="V50" s="66"/>
      <c r="W50" s="66"/>
      <c r="X50" s="93">
        <f t="shared" si="137"/>
        <v>9.93</v>
      </c>
      <c r="Y50" s="409" t="str">
        <f>INDEX([6]Nanas!$G$1429:$G$1436,MATCH($C50,[6]Nanas!$C$1429:$C$1436,0))</f>
        <v>RC</v>
      </c>
      <c r="Z50" s="410">
        <f t="shared" si="127"/>
        <v>0</v>
      </c>
      <c r="AA50" s="67">
        <f>INDEX([5]Nanas!$M$1336:$M$1444,MATCH($C50,[5]Nanas!$C$1336:$C$1444,0))</f>
        <v>46230</v>
      </c>
      <c r="AB50" s="471">
        <f t="shared" ca="1" si="138"/>
        <v>78.615133912040619</v>
      </c>
      <c r="AC50" s="237"/>
      <c r="AD50" s="67"/>
      <c r="BH50" s="36"/>
    </row>
    <row r="51" spans="2:60">
      <c r="B51" s="64" t="s">
        <v>105</v>
      </c>
      <c r="C51" s="65" t="s">
        <v>402</v>
      </c>
      <c r="D51" s="66">
        <v>6.02</v>
      </c>
      <c r="E51" s="67">
        <v>46293</v>
      </c>
      <c r="F51" s="64"/>
      <c r="G51" s="67">
        <v>46294</v>
      </c>
      <c r="H51" s="67"/>
      <c r="I51" s="67"/>
      <c r="J51" s="64">
        <f t="shared" si="139"/>
        <v>1</v>
      </c>
      <c r="K51" s="67"/>
      <c r="L51" s="64"/>
      <c r="M51" s="64">
        <f t="shared" si="140"/>
        <v>0</v>
      </c>
      <c r="N51" s="67"/>
      <c r="O51" s="64">
        <f>IF(N51&gt;0,1,0)</f>
        <v>0</v>
      </c>
      <c r="P51" s="64">
        <f t="shared" si="135"/>
        <v>1</v>
      </c>
      <c r="Q51" s="91"/>
      <c r="R51" s="64">
        <f t="shared" si="136"/>
        <v>0</v>
      </c>
      <c r="S51" s="67"/>
      <c r="T51" s="67"/>
      <c r="U51" s="64"/>
      <c r="V51" s="66"/>
      <c r="W51" s="66"/>
      <c r="X51" s="93">
        <f t="shared" si="137"/>
        <v>6.02</v>
      </c>
      <c r="Y51" s="409" t="s">
        <v>784</v>
      </c>
      <c r="Z51" s="410">
        <f t="shared" si="127"/>
        <v>0</v>
      </c>
      <c r="AA51" s="67"/>
      <c r="AB51" s="471"/>
      <c r="AC51" s="237"/>
      <c r="AD51" s="67"/>
      <c r="BH51" s="36"/>
    </row>
    <row r="52" spans="2:60">
      <c r="B52" s="64" t="s">
        <v>105</v>
      </c>
      <c r="C52" s="65" t="s">
        <v>140</v>
      </c>
      <c r="D52" s="66">
        <v>4.53</v>
      </c>
      <c r="E52" s="67">
        <v>46295</v>
      </c>
      <c r="F52" s="64"/>
      <c r="G52" s="67">
        <v>46296</v>
      </c>
      <c r="H52" s="67"/>
      <c r="I52" s="67"/>
      <c r="J52" s="64">
        <f t="shared" ref="J52" si="141">IF(I52&gt;0,0,1)</f>
        <v>1</v>
      </c>
      <c r="K52" s="67"/>
      <c r="L52" s="64"/>
      <c r="M52" s="64">
        <f t="shared" ref="M52" si="142">IF(AND(J52&gt;0,L52&gt;0),1,0)</f>
        <v>0</v>
      </c>
      <c r="N52" s="67"/>
      <c r="O52" s="64">
        <f t="shared" ref="O52" si="143">IF(N52&gt;0,1,0)</f>
        <v>0</v>
      </c>
      <c r="P52" s="64">
        <f t="shared" ref="P52" si="144">IF(O52&gt;0,0,1)</f>
        <v>1</v>
      </c>
      <c r="Q52" s="91"/>
      <c r="R52" s="64">
        <f t="shared" ref="R52" si="145">IF(Q52="proses",1,0)</f>
        <v>0</v>
      </c>
      <c r="S52" s="67"/>
      <c r="T52" s="67"/>
      <c r="U52" s="64"/>
      <c r="V52" s="66"/>
      <c r="W52" s="66"/>
      <c r="X52" s="93">
        <f t="shared" si="137"/>
        <v>4.53</v>
      </c>
      <c r="Y52" s="409" t="s">
        <v>2728</v>
      </c>
      <c r="Z52" s="410">
        <f t="shared" si="127"/>
        <v>0</v>
      </c>
      <c r="AA52" s="67">
        <v>46261</v>
      </c>
      <c r="AB52" s="471">
        <f t="shared" ref="AB52" ca="1" si="146">$E$4-AA52</f>
        <v>47.615133912040619</v>
      </c>
      <c r="AC52" s="237"/>
      <c r="AD52" s="67"/>
      <c r="BH52" s="36"/>
    </row>
    <row r="53" spans="2:60">
      <c r="B53" s="64" t="s">
        <v>105</v>
      </c>
      <c r="C53" s="65" t="s">
        <v>141</v>
      </c>
      <c r="D53" s="66">
        <v>6.53</v>
      </c>
      <c r="E53" s="67">
        <v>46295</v>
      </c>
      <c r="F53" s="64"/>
      <c r="G53" s="67">
        <v>46296</v>
      </c>
      <c r="H53" s="67"/>
      <c r="I53" s="67"/>
      <c r="J53" s="64">
        <f t="shared" ref="J53" si="147">IF(I53&gt;0,0,1)</f>
        <v>1</v>
      </c>
      <c r="K53" s="67"/>
      <c r="L53" s="64"/>
      <c r="M53" s="64">
        <f t="shared" ref="M53" si="148">IF(AND(J53&gt;0,L53&gt;0),1,0)</f>
        <v>0</v>
      </c>
      <c r="N53" s="67"/>
      <c r="O53" s="64">
        <f t="shared" ref="O53" si="149">IF(N53&gt;0,1,0)</f>
        <v>0</v>
      </c>
      <c r="P53" s="64">
        <f t="shared" ref="P53" si="150">IF(O53&gt;0,0,1)</f>
        <v>1</v>
      </c>
      <c r="Q53" s="91"/>
      <c r="R53" s="64">
        <f t="shared" ref="R53" si="151">IF(Q53="proses",1,0)</f>
        <v>0</v>
      </c>
      <c r="S53" s="67"/>
      <c r="T53" s="67"/>
      <c r="U53" s="64"/>
      <c r="V53" s="66"/>
      <c r="W53" s="66"/>
      <c r="X53" s="93">
        <f t="shared" si="137"/>
        <v>6.53</v>
      </c>
      <c r="Y53" s="409" t="s">
        <v>2728</v>
      </c>
      <c r="Z53" s="410">
        <f t="shared" si="127"/>
        <v>0</v>
      </c>
      <c r="AA53" s="67">
        <v>46261</v>
      </c>
      <c r="AB53" s="471">
        <f t="shared" ref="AB53" ca="1" si="152">$E$4-AA53</f>
        <v>47.615133912040619</v>
      </c>
      <c r="AC53" s="237"/>
      <c r="AD53" s="67"/>
      <c r="BH53" s="36"/>
    </row>
    <row r="54" spans="2:60">
      <c r="B54" s="64" t="s">
        <v>118</v>
      </c>
      <c r="C54" s="65" t="s">
        <v>698</v>
      </c>
      <c r="D54" s="66">
        <v>7.76</v>
      </c>
      <c r="E54" s="67">
        <v>46294</v>
      </c>
      <c r="F54" s="64"/>
      <c r="G54" s="67">
        <v>46296</v>
      </c>
      <c r="H54" s="67"/>
      <c r="I54" s="67"/>
      <c r="J54" s="64">
        <f>IF(I54&gt;0,0,1)</f>
        <v>1</v>
      </c>
      <c r="K54" s="67"/>
      <c r="L54" s="64"/>
      <c r="M54" s="64">
        <f>IF(AND(J54&gt;0,L54&gt;0),1,0)</f>
        <v>0</v>
      </c>
      <c r="N54" s="67"/>
      <c r="O54" s="64">
        <f>IF(N54&gt;0,1,0)</f>
        <v>0</v>
      </c>
      <c r="P54" s="64">
        <f>IF(O54&gt;0,0,1)</f>
        <v>1</v>
      </c>
      <c r="Q54" s="91"/>
      <c r="R54" s="64">
        <f>IF(Q54="proses",1,0)</f>
        <v>0</v>
      </c>
      <c r="S54" s="67"/>
      <c r="T54" s="67"/>
      <c r="U54" s="64"/>
      <c r="V54" s="66"/>
      <c r="W54" s="66"/>
      <c r="X54" s="93">
        <f t="shared" si="137"/>
        <v>7.76</v>
      </c>
      <c r="Y54" s="409" t="str">
        <f>INDEX([6]Nanas!$G$1429:$G$1436,MATCH($C54,[6]Nanas!$C$1429:$C$1436,0))</f>
        <v>BB</v>
      </c>
      <c r="Z54" s="410">
        <f t="shared" si="127"/>
        <v>0</v>
      </c>
      <c r="AA54" s="67">
        <f>INDEX([5]Nanas!$M$1336:$M$1444,MATCH($C54,[5]Nanas!$C$1336:$C$1444,0))</f>
        <v>46167</v>
      </c>
      <c r="AB54" s="471">
        <f ca="1">$E$4-AA54</f>
        <v>141.61513391204062</v>
      </c>
      <c r="AC54" s="237"/>
      <c r="AD54" s="67"/>
      <c r="BH54" s="36"/>
    </row>
    <row r="55" spans="2:60">
      <c r="B55" s="64" t="s">
        <v>118</v>
      </c>
      <c r="C55" s="65" t="s">
        <v>699</v>
      </c>
      <c r="D55" s="66">
        <v>6.12</v>
      </c>
      <c r="E55" s="67">
        <v>46294</v>
      </c>
      <c r="F55" s="64"/>
      <c r="G55" s="67">
        <v>46296</v>
      </c>
      <c r="H55" s="67"/>
      <c r="I55" s="67"/>
      <c r="J55" s="64">
        <f>IF(I55&gt;0,0,1)</f>
        <v>1</v>
      </c>
      <c r="K55" s="67"/>
      <c r="L55" s="64"/>
      <c r="M55" s="64">
        <f>IF(AND(J55&gt;0,L55&gt;0),1,0)</f>
        <v>0</v>
      </c>
      <c r="N55" s="67"/>
      <c r="O55" s="64">
        <f>IF(N55&gt;0,1,0)</f>
        <v>0</v>
      </c>
      <c r="P55" s="64">
        <f>IF(O55&gt;0,0,1)</f>
        <v>1</v>
      </c>
      <c r="Q55" s="91"/>
      <c r="R55" s="64">
        <f>IF(Q55="proses",1,0)</f>
        <v>0</v>
      </c>
      <c r="S55" s="67"/>
      <c r="T55" s="67"/>
      <c r="U55" s="64"/>
      <c r="V55" s="66"/>
      <c r="W55" s="66"/>
      <c r="X55" s="93">
        <f t="shared" si="137"/>
        <v>6.12</v>
      </c>
      <c r="Y55" s="409" t="str">
        <f>INDEX([6]Nanas!$G$1429:$G$1436,MATCH($C55,[6]Nanas!$C$1429:$C$1436,0))</f>
        <v>BB</v>
      </c>
      <c r="Z55" s="410">
        <f t="shared" si="127"/>
        <v>0</v>
      </c>
      <c r="AA55" s="67">
        <f>INDEX([5]Nanas!$M$1336:$M$1444,MATCH($C55,[5]Nanas!$C$1336:$C$1444,0))</f>
        <v>46167</v>
      </c>
      <c r="AB55" s="471">
        <f ca="1">$E$4-AA55</f>
        <v>141.61513391204062</v>
      </c>
      <c r="AC55" s="237"/>
      <c r="AD55" s="67"/>
      <c r="BH55" s="36"/>
    </row>
    <row r="56" spans="2:60">
      <c r="B56" s="64" t="s">
        <v>116</v>
      </c>
      <c r="C56" s="65" t="s">
        <v>156</v>
      </c>
      <c r="D56" s="66">
        <v>6.23</v>
      </c>
      <c r="E56" s="67">
        <v>46296</v>
      </c>
      <c r="F56" s="64"/>
      <c r="G56" s="67">
        <v>46297</v>
      </c>
      <c r="H56" s="67"/>
      <c r="I56" s="67"/>
      <c r="J56" s="64">
        <f t="shared" ref="J56" si="153">IF(I56&gt;0,0,1)</f>
        <v>1</v>
      </c>
      <c r="K56" s="67"/>
      <c r="L56" s="64"/>
      <c r="M56" s="64">
        <f t="shared" ref="M56" si="154">IF(AND(J56&gt;0,L56&gt;0),1,0)</f>
        <v>0</v>
      </c>
      <c r="N56" s="67"/>
      <c r="O56" s="64">
        <f t="shared" ref="O56" si="155">IF(N56&gt;0,1,0)</f>
        <v>0</v>
      </c>
      <c r="P56" s="64">
        <f t="shared" ref="P56" si="156">IF(O56&gt;0,0,1)</f>
        <v>1</v>
      </c>
      <c r="Q56" s="91"/>
      <c r="R56" s="64">
        <f t="shared" ref="R56" si="157">IF(Q56="proses",1,0)</f>
        <v>0</v>
      </c>
      <c r="S56" s="67"/>
      <c r="T56" s="67"/>
      <c r="U56" s="64"/>
      <c r="V56" s="66"/>
      <c r="W56" s="66"/>
      <c r="X56" s="93">
        <f t="shared" si="137"/>
        <v>6.23</v>
      </c>
      <c r="Y56" s="409" t="s">
        <v>2728</v>
      </c>
      <c r="Z56" s="410">
        <f t="shared" si="127"/>
        <v>0</v>
      </c>
      <c r="AA56" s="67"/>
      <c r="AB56" s="471"/>
      <c r="AC56" s="237"/>
      <c r="AD56" s="67"/>
      <c r="BH56" s="36"/>
    </row>
    <row r="57" spans="2:60">
      <c r="B57" s="64" t="s">
        <v>116</v>
      </c>
      <c r="C57" s="65" t="s">
        <v>153</v>
      </c>
      <c r="D57" s="66">
        <v>4.12</v>
      </c>
      <c r="E57" s="67">
        <v>46296</v>
      </c>
      <c r="F57" s="64"/>
      <c r="G57" s="67">
        <v>46297</v>
      </c>
      <c r="H57" s="67"/>
      <c r="I57" s="67"/>
      <c r="J57" s="64">
        <f t="shared" ref="J57" si="158">IF(I57&gt;0,0,1)</f>
        <v>1</v>
      </c>
      <c r="K57" s="67"/>
      <c r="L57" s="64"/>
      <c r="M57" s="64">
        <f t="shared" ref="M57" si="159">IF(AND(J57&gt;0,L57&gt;0),1,0)</f>
        <v>0</v>
      </c>
      <c r="N57" s="67"/>
      <c r="O57" s="64">
        <f t="shared" ref="O57" si="160">IF(N57&gt;0,1,0)</f>
        <v>0</v>
      </c>
      <c r="P57" s="64">
        <f t="shared" ref="P57" si="161">IF(O57&gt;0,0,1)</f>
        <v>1</v>
      </c>
      <c r="Q57" s="91"/>
      <c r="R57" s="64">
        <f t="shared" ref="R57" si="162">IF(Q57="proses",1,0)</f>
        <v>0</v>
      </c>
      <c r="S57" s="67"/>
      <c r="T57" s="67"/>
      <c r="U57" s="64"/>
      <c r="V57" s="66"/>
      <c r="W57" s="66"/>
      <c r="X57" s="93">
        <f>IF(G57=0,"",D57-V57)</f>
        <v>4.12</v>
      </c>
      <c r="Y57" s="409" t="s">
        <v>2729</v>
      </c>
      <c r="Z57" s="410">
        <f t="shared" si="127"/>
        <v>0</v>
      </c>
      <c r="AA57" s="67"/>
      <c r="AB57" s="471"/>
      <c r="AC57" s="237"/>
      <c r="AD57" s="67"/>
      <c r="BH57" s="36"/>
    </row>
    <row r="58" spans="2:60">
      <c r="B58" s="64" t="s">
        <v>105</v>
      </c>
      <c r="C58" s="65" t="s">
        <v>707</v>
      </c>
      <c r="D58" s="66">
        <v>10.62</v>
      </c>
      <c r="E58" s="67">
        <v>46296</v>
      </c>
      <c r="F58" s="64"/>
      <c r="G58" s="67">
        <v>46298</v>
      </c>
      <c r="H58" s="67"/>
      <c r="I58" s="67"/>
      <c r="J58" s="64">
        <f>IF(I58&gt;0,0,1)</f>
        <v>1</v>
      </c>
      <c r="K58" s="67"/>
      <c r="L58" s="64"/>
      <c r="M58" s="64">
        <f>IF(AND(J58&gt;0,L58&gt;0),1,0)</f>
        <v>0</v>
      </c>
      <c r="N58" s="67"/>
      <c r="O58" s="64">
        <f>IF(N58&gt;0,1,0)</f>
        <v>0</v>
      </c>
      <c r="P58" s="64">
        <f>IF(O58&gt;0,0,1)</f>
        <v>1</v>
      </c>
      <c r="Q58" s="91"/>
      <c r="R58" s="64">
        <f>IF(Q58="proses",1,0)</f>
        <v>0</v>
      </c>
      <c r="S58" s="67"/>
      <c r="T58" s="67"/>
      <c r="U58" s="64"/>
      <c r="V58" s="66"/>
      <c r="W58" s="66"/>
      <c r="X58" s="93">
        <f t="shared" ref="X58:X61" si="163">IF(G58=0,"",D58-V58)</f>
        <v>10.62</v>
      </c>
      <c r="Y58" s="409" t="s">
        <v>2729</v>
      </c>
      <c r="Z58" s="410">
        <f t="shared" si="127"/>
        <v>0</v>
      </c>
      <c r="AA58" s="67">
        <v>46266</v>
      </c>
      <c r="AB58" s="471">
        <f ca="1">$E$4-AA58</f>
        <v>42.615133912040619</v>
      </c>
      <c r="AC58" s="237"/>
      <c r="AD58" s="67"/>
      <c r="BH58" s="36"/>
    </row>
    <row r="59" spans="2:60">
      <c r="B59" s="64" t="s">
        <v>118</v>
      </c>
      <c r="C59" s="65" t="s">
        <v>131</v>
      </c>
      <c r="D59" s="66">
        <v>5.52</v>
      </c>
      <c r="E59" s="67">
        <v>46297</v>
      </c>
      <c r="F59" s="64"/>
      <c r="G59" s="67">
        <v>46300</v>
      </c>
      <c r="H59" s="67"/>
      <c r="I59" s="67"/>
      <c r="J59" s="64">
        <f t="shared" ref="J59" si="164">IF(I59&gt;0,0,1)</f>
        <v>1</v>
      </c>
      <c r="K59" s="67"/>
      <c r="L59" s="64"/>
      <c r="M59" s="64">
        <f t="shared" ref="M59" si="165">IF(AND(J59&gt;0,L59&gt;0),1,0)</f>
        <v>0</v>
      </c>
      <c r="N59" s="67"/>
      <c r="O59" s="64">
        <f t="shared" ref="O59" si="166">IF(N59&gt;0,1,0)</f>
        <v>0</v>
      </c>
      <c r="P59" s="64">
        <f t="shared" ref="P59" si="167">IF(O59&gt;0,0,1)</f>
        <v>1</v>
      </c>
      <c r="Q59" s="91"/>
      <c r="R59" s="64">
        <f t="shared" ref="R59" si="168">IF(Q59="proses",1,0)</f>
        <v>0</v>
      </c>
      <c r="S59" s="67"/>
      <c r="T59" s="67"/>
      <c r="U59" s="64"/>
      <c r="V59" s="66"/>
      <c r="W59" s="66"/>
      <c r="X59" s="93">
        <f t="shared" si="163"/>
        <v>5.52</v>
      </c>
      <c r="Y59" s="409" t="s">
        <v>2729</v>
      </c>
      <c r="Z59" s="410">
        <f t="shared" si="127"/>
        <v>0</v>
      </c>
      <c r="AA59" s="67">
        <v>46255</v>
      </c>
      <c r="AB59" s="471">
        <f t="shared" ref="AB59" ca="1" si="169">$E$4-AA59</f>
        <v>53.615133912040619</v>
      </c>
      <c r="AC59" s="237"/>
      <c r="AD59" s="67"/>
      <c r="BH59" s="36"/>
    </row>
    <row r="60" spans="2:60">
      <c r="B60" s="64" t="s">
        <v>118</v>
      </c>
      <c r="C60" s="65" t="s">
        <v>132</v>
      </c>
      <c r="D60" s="66">
        <v>8.9499999999999993</v>
      </c>
      <c r="E60" s="67">
        <v>46297</v>
      </c>
      <c r="F60" s="64"/>
      <c r="G60" s="67">
        <v>46300</v>
      </c>
      <c r="H60" s="67"/>
      <c r="I60" s="67"/>
      <c r="J60" s="64">
        <f t="shared" ref="J60" si="170">IF(I60&gt;0,0,1)</f>
        <v>1</v>
      </c>
      <c r="K60" s="67"/>
      <c r="L60" s="64"/>
      <c r="M60" s="64">
        <f t="shared" ref="M60" si="171">IF(AND(J60&gt;0,L60&gt;0),1,0)</f>
        <v>0</v>
      </c>
      <c r="N60" s="67"/>
      <c r="O60" s="64">
        <f t="shared" ref="O60" si="172">IF(N60&gt;0,1,0)</f>
        <v>0</v>
      </c>
      <c r="P60" s="64">
        <f t="shared" ref="P60" si="173">IF(O60&gt;0,0,1)</f>
        <v>1</v>
      </c>
      <c r="Q60" s="91"/>
      <c r="R60" s="64">
        <f t="shared" ref="R60" si="174">IF(Q60="proses",1,0)</f>
        <v>0</v>
      </c>
      <c r="S60" s="67"/>
      <c r="T60" s="67"/>
      <c r="U60" s="64"/>
      <c r="V60" s="66"/>
      <c r="W60" s="66"/>
      <c r="X60" s="93">
        <f t="shared" si="163"/>
        <v>8.9499999999999993</v>
      </c>
      <c r="Y60" s="409" t="s">
        <v>2729</v>
      </c>
      <c r="Z60" s="410">
        <f t="shared" si="127"/>
        <v>0</v>
      </c>
      <c r="AA60" s="67">
        <v>46272</v>
      </c>
      <c r="AB60" s="471">
        <f t="shared" ref="AB60" ca="1" si="175">$E$4-AA60</f>
        <v>36.615133912040619</v>
      </c>
      <c r="AC60" s="237"/>
      <c r="AD60" s="67"/>
      <c r="BH60" s="36"/>
    </row>
    <row r="61" spans="2:60">
      <c r="B61" s="64" t="s">
        <v>105</v>
      </c>
      <c r="C61" s="65" t="s">
        <v>344</v>
      </c>
      <c r="D61" s="66">
        <v>7.27</v>
      </c>
      <c r="E61" s="67">
        <v>46300</v>
      </c>
      <c r="F61" s="64"/>
      <c r="G61" s="67">
        <v>46301</v>
      </c>
      <c r="H61" s="67"/>
      <c r="I61" s="67"/>
      <c r="J61" s="64">
        <f t="shared" ref="J61" si="176">IF(I61&gt;0,0,1)</f>
        <v>1</v>
      </c>
      <c r="K61" s="67"/>
      <c r="L61" s="64"/>
      <c r="M61" s="64">
        <f t="shared" ref="M61" si="177">IF(AND(J61&gt;0,L61&gt;0),1,0)</f>
        <v>0</v>
      </c>
      <c r="N61" s="67"/>
      <c r="O61" s="64">
        <f t="shared" ref="O61" si="178">IF(N61&gt;0,1,0)</f>
        <v>0</v>
      </c>
      <c r="P61" s="64">
        <f t="shared" ref="P61" si="179">IF(O61&gt;0,0,1)</f>
        <v>1</v>
      </c>
      <c r="Q61" s="91"/>
      <c r="R61" s="64">
        <f t="shared" ref="R61" si="180">IF(Q61="proses",1,0)</f>
        <v>0</v>
      </c>
      <c r="S61" s="67"/>
      <c r="T61" s="67"/>
      <c r="U61" s="64"/>
      <c r="V61" s="66"/>
      <c r="W61" s="66"/>
      <c r="X61" s="93">
        <f t="shared" si="163"/>
        <v>7.27</v>
      </c>
      <c r="Y61" s="409" t="s">
        <v>2728</v>
      </c>
      <c r="Z61" s="410">
        <f t="shared" si="127"/>
        <v>0</v>
      </c>
      <c r="AA61" s="67">
        <v>46275</v>
      </c>
      <c r="AB61" s="471">
        <f t="shared" ref="AB61" ca="1" si="181">$E$4-AA61</f>
        <v>33.615133912040619</v>
      </c>
      <c r="AC61" s="237"/>
      <c r="AD61" s="67"/>
      <c r="BH61" s="36"/>
    </row>
    <row r="62" spans="2:60">
      <c r="B62" s="64" t="s">
        <v>105</v>
      </c>
      <c r="C62" s="65" t="s">
        <v>342</v>
      </c>
      <c r="D62" s="66">
        <v>5.24</v>
      </c>
      <c r="E62" s="67">
        <v>46300</v>
      </c>
      <c r="F62" s="64"/>
      <c r="G62" s="67">
        <v>46301</v>
      </c>
      <c r="H62" s="67"/>
      <c r="I62" s="67"/>
      <c r="J62" s="64">
        <f>IF(I62&gt;0,0,1)</f>
        <v>1</v>
      </c>
      <c r="K62" s="67"/>
      <c r="L62" s="64"/>
      <c r="M62" s="64">
        <f>IF(AND(J62&gt;0,L62&gt;0),1,0)</f>
        <v>0</v>
      </c>
      <c r="N62" s="67"/>
      <c r="O62" s="64">
        <f>IF(N62&gt;0,1,0)</f>
        <v>0</v>
      </c>
      <c r="P62" s="64">
        <f>IF(O62&gt;0,0,1)</f>
        <v>1</v>
      </c>
      <c r="Q62" s="91"/>
      <c r="R62" s="64">
        <f>IF(Q62="proses",1,0)</f>
        <v>0</v>
      </c>
      <c r="S62" s="67"/>
      <c r="T62" s="67"/>
      <c r="U62" s="64"/>
      <c r="V62" s="66"/>
      <c r="W62" s="66"/>
      <c r="X62" s="93">
        <f t="shared" ref="X62:X63" si="182">IF(G62=0,"",D62-V62)</f>
        <v>5.24</v>
      </c>
      <c r="Y62" s="409" t="s">
        <v>2728</v>
      </c>
      <c r="Z62" s="410">
        <f t="shared" si="127"/>
        <v>0</v>
      </c>
      <c r="AA62" s="67">
        <v>46275</v>
      </c>
      <c r="AB62" s="471">
        <f ca="1">$E$4-AA62</f>
        <v>33.615133912040619</v>
      </c>
      <c r="AC62" s="237"/>
      <c r="AD62" s="67"/>
      <c r="BH62" s="36"/>
    </row>
    <row r="63" spans="2:60">
      <c r="B63" s="64" t="s">
        <v>111</v>
      </c>
      <c r="C63" s="65" t="s">
        <v>151</v>
      </c>
      <c r="D63" s="66">
        <v>11.1</v>
      </c>
      <c r="E63" s="67">
        <v>46302</v>
      </c>
      <c r="F63" s="64"/>
      <c r="G63" s="67">
        <v>46303</v>
      </c>
      <c r="H63" s="67"/>
      <c r="I63" s="67"/>
      <c r="J63" s="64">
        <f t="shared" ref="J63" si="183">IF(I63&gt;0,0,1)</f>
        <v>1</v>
      </c>
      <c r="K63" s="67"/>
      <c r="L63" s="64"/>
      <c r="M63" s="64">
        <f t="shared" ref="M63" si="184">IF(AND(J63&gt;0,L63&gt;0),1,0)</f>
        <v>0</v>
      </c>
      <c r="N63" s="67"/>
      <c r="O63" s="64">
        <f t="shared" ref="O63" si="185">IF(N63&gt;0,1,0)</f>
        <v>0</v>
      </c>
      <c r="P63" s="64">
        <f t="shared" ref="P63" si="186">IF(O63&gt;0,0,1)</f>
        <v>1</v>
      </c>
      <c r="Q63" s="91"/>
      <c r="R63" s="64">
        <f t="shared" ref="R63" si="187">IF(Q63="proses",1,0)</f>
        <v>0</v>
      </c>
      <c r="S63" s="67"/>
      <c r="T63" s="67"/>
      <c r="U63" s="64"/>
      <c r="V63" s="66"/>
      <c r="W63" s="66"/>
      <c r="X63" s="93">
        <f t="shared" si="182"/>
        <v>11.1</v>
      </c>
      <c r="Y63" s="409" t="s">
        <v>2728</v>
      </c>
      <c r="Z63" s="410">
        <f t="shared" si="127"/>
        <v>0</v>
      </c>
      <c r="AA63" s="67">
        <f>INDEX([5]Nanas!$M$1336:$M$1444,MATCH($C63,[5]Nanas!$C$1336:$C$1444,0))</f>
        <v>46220</v>
      </c>
      <c r="AB63" s="471">
        <f t="shared" ref="AB63" ca="1" si="188">$E$4-AA63</f>
        <v>88.615133912040619</v>
      </c>
      <c r="AC63" s="237"/>
      <c r="AD63" s="67"/>
      <c r="BH63" s="36"/>
    </row>
    <row r="64" spans="2:60">
      <c r="B64" s="504" t="s">
        <v>2690</v>
      </c>
      <c r="C64" s="505"/>
      <c r="D64" s="506"/>
      <c r="E64" s="507"/>
      <c r="F64" s="508"/>
      <c r="G64" s="507"/>
      <c r="H64" s="508"/>
      <c r="I64" s="507"/>
      <c r="J64" s="508"/>
      <c r="K64" s="507"/>
      <c r="L64" s="508"/>
      <c r="M64" s="508"/>
      <c r="N64" s="507"/>
      <c r="O64" s="508">
        <f t="shared" si="100"/>
        <v>0</v>
      </c>
      <c r="P64" s="508"/>
      <c r="Q64" s="509"/>
      <c r="R64" s="508"/>
      <c r="S64" s="507"/>
      <c r="T64" s="507"/>
      <c r="U64" s="508"/>
      <c r="V64" s="506"/>
      <c r="W64" s="506"/>
      <c r="X64" s="510"/>
      <c r="Y64" s="511"/>
      <c r="Z64" s="512"/>
      <c r="AA64" s="507"/>
      <c r="AB64" s="513"/>
      <c r="AC64" s="512"/>
      <c r="AD64" s="514"/>
      <c r="BH64" s="36"/>
    </row>
    <row r="65" spans="2:60">
      <c r="B65" s="64" t="s">
        <v>116</v>
      </c>
      <c r="C65" s="65" t="s">
        <v>709</v>
      </c>
      <c r="D65" s="66">
        <v>6.87</v>
      </c>
      <c r="E65" s="67">
        <v>46295</v>
      </c>
      <c r="F65" s="64"/>
      <c r="G65" s="67"/>
      <c r="H65" s="67"/>
      <c r="I65" s="67"/>
      <c r="J65" s="64">
        <f t="shared" ref="J65" si="189">IF(I65&gt;0,0,1)</f>
        <v>1</v>
      </c>
      <c r="K65" s="67"/>
      <c r="L65" s="64"/>
      <c r="M65" s="64">
        <f t="shared" ref="M65" si="190">IF(AND(J65&gt;0,L65&gt;0),1,0)</f>
        <v>0</v>
      </c>
      <c r="N65" s="67"/>
      <c r="O65" s="64">
        <f>IF(N65&gt;0,1,0)</f>
        <v>0</v>
      </c>
      <c r="P65" s="64">
        <f>IF(O65&gt;0,0,1)</f>
        <v>1</v>
      </c>
      <c r="Q65" s="91"/>
      <c r="R65" s="64">
        <f>IF(Q65="proses",1,0)</f>
        <v>0</v>
      </c>
      <c r="S65" s="67"/>
      <c r="T65" s="67"/>
      <c r="U65" s="64"/>
      <c r="V65" s="66"/>
      <c r="W65" s="66"/>
      <c r="X65" s="93"/>
      <c r="Y65" s="409" t="s">
        <v>2728</v>
      </c>
      <c r="Z65" s="410"/>
      <c r="AA65" s="67">
        <v>46255</v>
      </c>
      <c r="AB65" s="471">
        <f t="shared" ref="AB65" ca="1" si="191">$E$4-AA65</f>
        <v>53.615133912040619</v>
      </c>
      <c r="AC65" s="237"/>
      <c r="AD65" s="67"/>
      <c r="BH65" s="36"/>
    </row>
    <row r="66" spans="2:60">
      <c r="B66" s="64" t="s">
        <v>111</v>
      </c>
      <c r="C66" s="65" t="s">
        <v>353</v>
      </c>
      <c r="D66" s="66">
        <v>6.25</v>
      </c>
      <c r="E66" s="67">
        <v>46301</v>
      </c>
      <c r="F66" s="64"/>
      <c r="G66" s="67"/>
      <c r="H66" s="67"/>
      <c r="I66" s="67"/>
      <c r="J66" s="64">
        <f t="shared" ref="J66" si="192">IF(I66&gt;0,0,1)</f>
        <v>1</v>
      </c>
      <c r="K66" s="67"/>
      <c r="L66" s="64"/>
      <c r="M66" s="64">
        <f t="shared" ref="M66" si="193">IF(AND(J66&gt;0,L66&gt;0),1,0)</f>
        <v>0</v>
      </c>
      <c r="N66" s="67"/>
      <c r="O66" s="64">
        <f t="shared" ref="O66" si="194">IF(N66&gt;0,1,0)</f>
        <v>0</v>
      </c>
      <c r="P66" s="64">
        <f t="shared" ref="P66" si="195">IF(O66&gt;0,0,1)</f>
        <v>1</v>
      </c>
      <c r="Q66" s="91"/>
      <c r="R66" s="64">
        <f t="shared" ref="R66" si="196">IF(Q66="proses",1,0)</f>
        <v>0</v>
      </c>
      <c r="S66" s="67"/>
      <c r="T66" s="67"/>
      <c r="U66" s="64"/>
      <c r="V66" s="66"/>
      <c r="W66" s="66"/>
      <c r="X66" s="93"/>
      <c r="Y66" s="409" t="s">
        <v>2728</v>
      </c>
      <c r="Z66" s="410"/>
      <c r="AA66" s="67">
        <v>46241</v>
      </c>
      <c r="AB66" s="471">
        <f t="shared" ref="AB66" ca="1" si="197">$E$4-AA66</f>
        <v>67.615133912040619</v>
      </c>
      <c r="AC66" s="237"/>
      <c r="AD66" s="67"/>
      <c r="BH66" s="36"/>
    </row>
    <row r="67" spans="2:60">
      <c r="B67" s="64" t="s">
        <v>111</v>
      </c>
      <c r="C67" s="65" t="s">
        <v>144</v>
      </c>
      <c r="D67" s="66">
        <v>6.64</v>
      </c>
      <c r="E67" s="67">
        <v>46301</v>
      </c>
      <c r="F67" s="64"/>
      <c r="G67" s="67"/>
      <c r="H67" s="67"/>
      <c r="I67" s="67"/>
      <c r="J67" s="64">
        <f>IF(I67&gt;0,0,1)</f>
        <v>1</v>
      </c>
      <c r="K67" s="67"/>
      <c r="L67" s="64"/>
      <c r="M67" s="64">
        <f>IF(AND(J67&gt;0,L67&gt;0),1,0)</f>
        <v>0</v>
      </c>
      <c r="N67" s="67"/>
      <c r="O67" s="64">
        <f>IF(N67&gt;0,1,0)</f>
        <v>0</v>
      </c>
      <c r="P67" s="64">
        <f>IF(O67&gt;0,0,1)</f>
        <v>1</v>
      </c>
      <c r="Q67" s="91"/>
      <c r="R67" s="64">
        <f>IF(Q67="proses",1,0)</f>
        <v>0</v>
      </c>
      <c r="S67" s="67"/>
      <c r="T67" s="67"/>
      <c r="U67" s="64"/>
      <c r="V67" s="66"/>
      <c r="W67" s="66"/>
      <c r="X67" s="93" t="str">
        <f t="shared" ref="X67" si="198">IF(G67=0,"",D67-V67)</f>
        <v/>
      </c>
      <c r="Y67" s="409" t="s">
        <v>2729</v>
      </c>
      <c r="Z67" s="410"/>
      <c r="AA67" s="67">
        <v>46255</v>
      </c>
      <c r="AB67" s="471">
        <f ca="1">$E$4-AA67</f>
        <v>53.615133912040619</v>
      </c>
      <c r="AC67" s="237"/>
      <c r="AD67" s="67"/>
      <c r="BH67" s="36"/>
    </row>
    <row r="68" spans="2:60">
      <c r="B68" s="504" t="s">
        <v>2694</v>
      </c>
      <c r="C68" s="505"/>
      <c r="D68" s="506"/>
      <c r="E68" s="507"/>
      <c r="F68" s="508"/>
      <c r="G68" s="507"/>
      <c r="H68" s="508"/>
      <c r="I68" s="507"/>
      <c r="J68" s="508"/>
      <c r="K68" s="507"/>
      <c r="L68" s="508"/>
      <c r="M68" s="508"/>
      <c r="N68" s="507"/>
      <c r="O68" s="508">
        <f t="shared" si="100"/>
        <v>0</v>
      </c>
      <c r="P68" s="508"/>
      <c r="Q68" s="509"/>
      <c r="R68" s="508"/>
      <c r="S68" s="507"/>
      <c r="T68" s="507"/>
      <c r="U68" s="508"/>
      <c r="V68" s="506"/>
      <c r="W68" s="506"/>
      <c r="X68" s="510"/>
      <c r="Y68" s="511"/>
      <c r="Z68" s="512"/>
      <c r="AA68" s="507"/>
      <c r="AB68" s="513"/>
      <c r="AC68" s="512"/>
      <c r="AD68" s="514"/>
      <c r="BH68" s="36"/>
    </row>
    <row r="69" spans="2:60">
      <c r="B69" s="64" t="s">
        <v>109</v>
      </c>
      <c r="C69" s="65" t="s">
        <v>356</v>
      </c>
      <c r="D69" s="66">
        <v>5.28</v>
      </c>
      <c r="E69" s="67"/>
      <c r="F69" s="64"/>
      <c r="G69" s="67"/>
      <c r="H69" s="67"/>
      <c r="I69" s="67"/>
      <c r="J69" s="64">
        <f>IF(I69&gt;0,0,1)</f>
        <v>1</v>
      </c>
      <c r="K69" s="67"/>
      <c r="L69" s="64"/>
      <c r="M69" s="64">
        <f>IF(AND(J69&gt;0,L69&gt;0),1,0)</f>
        <v>0</v>
      </c>
      <c r="N69" s="67"/>
      <c r="O69" s="64">
        <f>IF(N69&gt;0,1,0)</f>
        <v>0</v>
      </c>
      <c r="P69" s="64">
        <f>IF(O69&gt;0,0,1)</f>
        <v>1</v>
      </c>
      <c r="Q69" s="91"/>
      <c r="R69" s="64">
        <f>IF(Q69="proses",1,0)</f>
        <v>0</v>
      </c>
      <c r="S69" s="67"/>
      <c r="T69" s="67"/>
      <c r="U69" s="64"/>
      <c r="V69" s="66"/>
      <c r="W69" s="66"/>
      <c r="X69" s="93" t="str">
        <f t="shared" ref="X69" si="199">IF(G69=0,"",D69-V69)</f>
        <v/>
      </c>
      <c r="Y69" s="409" t="s">
        <v>2728</v>
      </c>
      <c r="Z69" s="410"/>
      <c r="AA69" s="67">
        <v>46275</v>
      </c>
      <c r="AB69" s="471">
        <f ca="1">$E$4-AA69</f>
        <v>33.615133912040619</v>
      </c>
      <c r="AC69" s="237"/>
      <c r="AD69" s="67"/>
      <c r="BH69" s="36"/>
    </row>
    <row r="70" spans="2:60">
      <c r="B70" s="379" t="s">
        <v>2635</v>
      </c>
      <c r="C70" s="379"/>
      <c r="D70" s="383">
        <f>SUM(D65:D69)</f>
        <v>25.040000000000003</v>
      </c>
      <c r="E70" s="380"/>
      <c r="F70" s="381"/>
      <c r="G70" s="380"/>
      <c r="H70" s="380"/>
      <c r="I70" s="380"/>
      <c r="J70" s="381"/>
      <c r="K70" s="380"/>
      <c r="L70" s="381"/>
      <c r="M70" s="381"/>
      <c r="N70" s="380"/>
      <c r="O70" s="381"/>
      <c r="P70" s="381"/>
      <c r="Q70" s="382"/>
      <c r="R70" s="381"/>
      <c r="S70" s="380"/>
      <c r="T70" s="380"/>
      <c r="U70" s="381"/>
      <c r="V70" s="383">
        <f>SUM(V15:V68)</f>
        <v>96.92</v>
      </c>
      <c r="W70" s="383">
        <f>SUM(W15:W68)</f>
        <v>51.15</v>
      </c>
      <c r="X70" s="383">
        <f>SUM(X15:X68)</f>
        <v>228.54000000000002</v>
      </c>
      <c r="Y70" s="384"/>
      <c r="Z70" s="411"/>
      <c r="AA70" s="380"/>
      <c r="AB70" s="472"/>
      <c r="AC70" s="385"/>
      <c r="AD70" s="380"/>
      <c r="BH70" s="36"/>
    </row>
    <row r="71" spans="2:60">
      <c r="B71" s="64"/>
      <c r="C71" s="65"/>
      <c r="D71" s="66"/>
      <c r="E71" s="67"/>
      <c r="F71" s="64"/>
      <c r="G71" s="67"/>
      <c r="H71" s="67"/>
      <c r="I71" s="67"/>
      <c r="J71" s="64">
        <f t="shared" ref="J71" si="200">IF(I71&gt;0,0,1)</f>
        <v>1</v>
      </c>
      <c r="K71" s="67"/>
      <c r="L71" s="64"/>
      <c r="M71" s="64">
        <f t="shared" ref="M71" si="201">IF(AND(J71&gt;0,L71&gt;0),1,0)</f>
        <v>0</v>
      </c>
      <c r="N71" s="67"/>
      <c r="O71" s="64">
        <f t="shared" si="99"/>
        <v>0</v>
      </c>
      <c r="P71" s="64">
        <f t="shared" ref="P71" si="202">IF(O71&gt;0,0,1)</f>
        <v>1</v>
      </c>
      <c r="Q71" s="91"/>
      <c r="R71" s="64">
        <f t="shared" ref="R71" si="203">IF(Q71="proses",1,0)</f>
        <v>0</v>
      </c>
      <c r="S71" s="67"/>
      <c r="T71" s="67"/>
      <c r="U71" s="64"/>
      <c r="V71" s="66"/>
      <c r="W71" s="66"/>
      <c r="X71" s="93" t="str">
        <f t="shared" ref="X71" si="204">IF(G71=0,"",D71-V71)</f>
        <v/>
      </c>
      <c r="Y71" s="94"/>
      <c r="Z71" s="237" t="e">
        <f t="shared" ref="Z71" si="205">1-X71/D71</f>
        <v>#VALUE!</v>
      </c>
      <c r="AA71" s="67"/>
      <c r="AB71" s="473"/>
      <c r="AC71" s="407"/>
      <c r="AD71" s="67"/>
      <c r="BH71" s="36"/>
    </row>
    <row r="72" spans="2:60">
      <c r="B72" s="64"/>
      <c r="C72" s="65"/>
      <c r="D72" s="66"/>
      <c r="E72" s="67"/>
      <c r="F72" s="64"/>
      <c r="G72" s="67"/>
      <c r="H72" s="67"/>
      <c r="I72" s="67"/>
      <c r="J72" s="64"/>
      <c r="K72" s="67"/>
      <c r="L72" s="64"/>
      <c r="M72" s="64"/>
      <c r="N72" s="67"/>
      <c r="O72" s="64"/>
      <c r="P72" s="64">
        <f t="shared" ref="P72" si="206">IF(O72&gt;0,0,1)</f>
        <v>1</v>
      </c>
      <c r="Q72" s="91"/>
      <c r="R72" s="64">
        <f t="shared" ref="R72" si="207">IF(Q72="proses",1,0)</f>
        <v>0</v>
      </c>
      <c r="S72" s="67"/>
      <c r="T72" s="67"/>
      <c r="U72" s="64"/>
      <c r="V72" s="66"/>
      <c r="W72" s="66"/>
      <c r="X72" s="93"/>
      <c r="Y72" s="94"/>
      <c r="Z72" s="237"/>
      <c r="AA72" s="67"/>
      <c r="AB72" s="473"/>
      <c r="AC72" s="407"/>
      <c r="AD72" s="67"/>
      <c r="BH72" s="36"/>
    </row>
    <row r="73" spans="2:60">
      <c r="B73" s="64" t="s">
        <v>109</v>
      </c>
      <c r="C73" s="64" t="s">
        <v>163</v>
      </c>
      <c r="D73" s="64">
        <v>9.18</v>
      </c>
      <c r="E73" s="91">
        <v>43866</v>
      </c>
      <c r="F73" s="64">
        <f t="shared" ref="F73:F79" si="208">IF(E73&gt;0,1,0)</f>
        <v>1</v>
      </c>
      <c r="G73" s="91">
        <v>43886</v>
      </c>
      <c r="H73" s="64">
        <f t="shared" ref="H73:H79" si="209">IF(G73&gt;0,1,0)</f>
        <v>1</v>
      </c>
      <c r="I73" s="91">
        <v>43880</v>
      </c>
      <c r="J73" s="64">
        <f t="shared" ref="J73:J79" si="210">IF(I73&gt;0,0,1)</f>
        <v>0</v>
      </c>
      <c r="K73" s="91">
        <v>43894</v>
      </c>
      <c r="L73" s="64">
        <f t="shared" ref="L73:L79" si="211">IF(K73&gt;0,0,1)</f>
        <v>0</v>
      </c>
      <c r="M73" s="64">
        <f t="shared" ref="M73:M79" si="212">IF(AND(J73&gt;0,L73&gt;0),1,0)</f>
        <v>0</v>
      </c>
      <c r="N73" s="91">
        <v>43894</v>
      </c>
      <c r="O73" s="64">
        <f t="shared" ref="O73:O79" si="213">IF(N73&gt;0,1,0)</f>
        <v>1</v>
      </c>
      <c r="P73" s="64">
        <f t="shared" ref="P73:P79" si="214">IF(O73&gt;0,0,1)</f>
        <v>0</v>
      </c>
      <c r="Q73" s="91" t="str">
        <f t="shared" ref="Q73:Q136" si="215">IF(T73&gt;0,"Selesai","Proses")</f>
        <v>Selesai</v>
      </c>
      <c r="R73" s="64">
        <f t="shared" ref="R73:R79" si="216">IF(Q73="proses",1,0)</f>
        <v>0</v>
      </c>
      <c r="S73" s="91">
        <v>43901</v>
      </c>
      <c r="T73" s="91">
        <v>43909</v>
      </c>
      <c r="U73" s="64">
        <f t="shared" ref="U73:U136" si="217">IF(T73&gt;0,1,0)</f>
        <v>1</v>
      </c>
      <c r="V73" s="91"/>
      <c r="W73" s="64"/>
      <c r="X73" s="93"/>
      <c r="Y73" s="91"/>
      <c r="Z73" s="91" t="str">
        <f>IF(T73="","","100%")</f>
        <v>100%</v>
      </c>
      <c r="AA73" s="91"/>
      <c r="AB73" s="474"/>
      <c r="AC73" s="478" t="s">
        <v>2711</v>
      </c>
      <c r="AD73" s="91"/>
    </row>
    <row r="74" spans="2:60">
      <c r="B74" s="64" t="s">
        <v>107</v>
      </c>
      <c r="C74" s="64" t="s">
        <v>164</v>
      </c>
      <c r="D74" s="64">
        <v>5.4</v>
      </c>
      <c r="E74" s="91">
        <v>43839</v>
      </c>
      <c r="F74" s="64">
        <f t="shared" si="208"/>
        <v>1</v>
      </c>
      <c r="G74" s="91">
        <v>43840</v>
      </c>
      <c r="H74" s="64">
        <f t="shared" si="209"/>
        <v>1</v>
      </c>
      <c r="I74" s="91">
        <v>43882</v>
      </c>
      <c r="J74" s="64">
        <f t="shared" si="210"/>
        <v>0</v>
      </c>
      <c r="K74" s="91">
        <v>43865</v>
      </c>
      <c r="L74" s="64">
        <f t="shared" si="211"/>
        <v>0</v>
      </c>
      <c r="M74" s="64">
        <f t="shared" si="212"/>
        <v>0</v>
      </c>
      <c r="N74" s="91">
        <v>43882</v>
      </c>
      <c r="O74" s="64">
        <f t="shared" si="213"/>
        <v>1</v>
      </c>
      <c r="P74" s="64">
        <f t="shared" si="214"/>
        <v>0</v>
      </c>
      <c r="Q74" s="91" t="str">
        <f t="shared" si="215"/>
        <v>Selesai</v>
      </c>
      <c r="R74" s="64">
        <f t="shared" si="216"/>
        <v>0</v>
      </c>
      <c r="S74" s="91">
        <v>43895</v>
      </c>
      <c r="T74" s="91">
        <v>43910</v>
      </c>
      <c r="U74" s="64">
        <f t="shared" si="217"/>
        <v>1</v>
      </c>
      <c r="V74" s="91"/>
      <c r="W74" s="64"/>
      <c r="X74" s="93"/>
      <c r="Y74" s="91"/>
      <c r="Z74" s="91" t="str">
        <f t="shared" ref="Z74:Z137" si="218">IF(T74="","","100%")</f>
        <v>100%</v>
      </c>
      <c r="AA74" s="91"/>
      <c r="AB74" s="474"/>
      <c r="AC74" s="478" t="s">
        <v>2711</v>
      </c>
      <c r="AD74" s="91"/>
    </row>
    <row r="75" spans="2:60">
      <c r="B75" s="64" t="s">
        <v>113</v>
      </c>
      <c r="C75" s="64" t="s">
        <v>165</v>
      </c>
      <c r="D75" s="64">
        <v>8.59</v>
      </c>
      <c r="E75" s="91">
        <v>43884</v>
      </c>
      <c r="F75" s="64">
        <f t="shared" si="208"/>
        <v>1</v>
      </c>
      <c r="G75" s="91">
        <v>43887</v>
      </c>
      <c r="H75" s="64">
        <f t="shared" si="209"/>
        <v>1</v>
      </c>
      <c r="I75" s="91">
        <v>43890</v>
      </c>
      <c r="J75" s="64">
        <f t="shared" si="210"/>
        <v>0</v>
      </c>
      <c r="K75" s="91">
        <v>43899</v>
      </c>
      <c r="L75" s="64">
        <f t="shared" si="211"/>
        <v>0</v>
      </c>
      <c r="M75" s="64">
        <f t="shared" si="212"/>
        <v>0</v>
      </c>
      <c r="N75" s="91">
        <v>43899</v>
      </c>
      <c r="O75" s="64">
        <f t="shared" si="213"/>
        <v>1</v>
      </c>
      <c r="P75" s="64">
        <f t="shared" si="214"/>
        <v>0</v>
      </c>
      <c r="Q75" s="91" t="str">
        <f t="shared" si="215"/>
        <v>Selesai</v>
      </c>
      <c r="R75" s="64">
        <f t="shared" si="216"/>
        <v>0</v>
      </c>
      <c r="S75" s="91">
        <v>43900</v>
      </c>
      <c r="T75" s="91">
        <v>43910</v>
      </c>
      <c r="U75" s="64">
        <f t="shared" si="217"/>
        <v>1</v>
      </c>
      <c r="V75" s="91"/>
      <c r="W75" s="64"/>
      <c r="X75" s="93"/>
      <c r="Y75" s="91"/>
      <c r="Z75" s="91" t="str">
        <f t="shared" si="218"/>
        <v>100%</v>
      </c>
      <c r="AA75" s="91"/>
      <c r="AB75" s="474"/>
      <c r="AC75" s="478" t="s">
        <v>2711</v>
      </c>
      <c r="AD75" s="91"/>
    </row>
    <row r="76" spans="2:60">
      <c r="B76" s="64" t="s">
        <v>109</v>
      </c>
      <c r="C76" s="64" t="s">
        <v>166</v>
      </c>
      <c r="D76" s="64">
        <v>5</v>
      </c>
      <c r="E76" s="91">
        <v>43828</v>
      </c>
      <c r="F76" s="64">
        <f t="shared" si="208"/>
        <v>1</v>
      </c>
      <c r="G76" s="91">
        <v>43830</v>
      </c>
      <c r="H76" s="64">
        <f t="shared" si="209"/>
        <v>1</v>
      </c>
      <c r="I76" s="91">
        <v>43847</v>
      </c>
      <c r="J76" s="64">
        <f t="shared" si="210"/>
        <v>0</v>
      </c>
      <c r="K76" s="91">
        <v>43883</v>
      </c>
      <c r="L76" s="64">
        <f t="shared" si="211"/>
        <v>0</v>
      </c>
      <c r="M76" s="64">
        <f t="shared" si="212"/>
        <v>0</v>
      </c>
      <c r="N76" s="91">
        <v>43852</v>
      </c>
      <c r="O76" s="64">
        <f t="shared" si="213"/>
        <v>1</v>
      </c>
      <c r="P76" s="64">
        <f t="shared" si="214"/>
        <v>0</v>
      </c>
      <c r="Q76" s="91" t="str">
        <f t="shared" si="215"/>
        <v>Selesai</v>
      </c>
      <c r="R76" s="64">
        <f t="shared" si="216"/>
        <v>0</v>
      </c>
      <c r="S76" s="91">
        <v>43892</v>
      </c>
      <c r="T76" s="91">
        <v>43921</v>
      </c>
      <c r="U76" s="64">
        <f t="shared" si="217"/>
        <v>1</v>
      </c>
      <c r="V76" s="91"/>
      <c r="W76" s="64"/>
      <c r="X76" s="93"/>
      <c r="Y76" s="91"/>
      <c r="Z76" s="91" t="str">
        <f t="shared" si="218"/>
        <v>100%</v>
      </c>
      <c r="AA76" s="91"/>
      <c r="AB76" s="474"/>
      <c r="AC76" s="478" t="s">
        <v>2711</v>
      </c>
      <c r="AD76" s="91"/>
    </row>
    <row r="77" spans="2:60">
      <c r="B77" s="64" t="s">
        <v>105</v>
      </c>
      <c r="C77" s="64" t="s">
        <v>167</v>
      </c>
      <c r="D77" s="64">
        <v>10</v>
      </c>
      <c r="E77" s="91">
        <v>43809</v>
      </c>
      <c r="F77" s="64">
        <f t="shared" si="208"/>
        <v>1</v>
      </c>
      <c r="G77" s="91">
        <v>43814</v>
      </c>
      <c r="H77" s="64">
        <f t="shared" si="209"/>
        <v>1</v>
      </c>
      <c r="I77" s="91">
        <v>43859</v>
      </c>
      <c r="J77" s="64">
        <f t="shared" si="210"/>
        <v>0</v>
      </c>
      <c r="K77" s="91">
        <v>43840</v>
      </c>
      <c r="L77" s="64">
        <f t="shared" si="211"/>
        <v>0</v>
      </c>
      <c r="M77" s="64">
        <f t="shared" si="212"/>
        <v>0</v>
      </c>
      <c r="N77" s="91">
        <v>43859</v>
      </c>
      <c r="O77" s="64">
        <f t="shared" si="213"/>
        <v>1</v>
      </c>
      <c r="P77" s="64">
        <f t="shared" si="214"/>
        <v>0</v>
      </c>
      <c r="Q77" s="91" t="str">
        <f t="shared" si="215"/>
        <v>Selesai</v>
      </c>
      <c r="R77" s="64">
        <f t="shared" si="216"/>
        <v>0</v>
      </c>
      <c r="S77" s="91">
        <v>43902</v>
      </c>
      <c r="T77" s="91">
        <v>43921</v>
      </c>
      <c r="U77" s="64">
        <f t="shared" si="217"/>
        <v>1</v>
      </c>
      <c r="V77" s="91"/>
      <c r="W77" s="64"/>
      <c r="X77" s="93"/>
      <c r="Y77" s="91"/>
      <c r="Z77" s="91" t="str">
        <f t="shared" si="218"/>
        <v>100%</v>
      </c>
      <c r="AA77" s="91"/>
      <c r="AB77" s="474"/>
      <c r="AC77" s="478" t="s">
        <v>2711</v>
      </c>
      <c r="AD77" s="91"/>
    </row>
    <row r="78" spans="2:60">
      <c r="B78" s="64" t="s">
        <v>109</v>
      </c>
      <c r="C78" s="64" t="s">
        <v>168</v>
      </c>
      <c r="D78" s="64">
        <v>6.93</v>
      </c>
      <c r="E78" s="91">
        <v>43815</v>
      </c>
      <c r="F78" s="64">
        <f t="shared" si="208"/>
        <v>1</v>
      </c>
      <c r="G78" s="91">
        <v>43818</v>
      </c>
      <c r="H78" s="64">
        <f t="shared" si="209"/>
        <v>1</v>
      </c>
      <c r="I78" s="91">
        <v>43869</v>
      </c>
      <c r="J78" s="64">
        <f t="shared" si="210"/>
        <v>0</v>
      </c>
      <c r="K78" s="91">
        <v>43834</v>
      </c>
      <c r="L78" s="64">
        <f t="shared" si="211"/>
        <v>0</v>
      </c>
      <c r="M78" s="64">
        <f t="shared" si="212"/>
        <v>0</v>
      </c>
      <c r="N78" s="91">
        <v>43869</v>
      </c>
      <c r="O78" s="64">
        <f t="shared" si="213"/>
        <v>1</v>
      </c>
      <c r="P78" s="64">
        <f t="shared" si="214"/>
        <v>0</v>
      </c>
      <c r="Q78" s="91" t="str">
        <f t="shared" si="215"/>
        <v>Selesai</v>
      </c>
      <c r="R78" s="64">
        <f t="shared" si="216"/>
        <v>0</v>
      </c>
      <c r="S78" s="91">
        <v>43892</v>
      </c>
      <c r="T78" s="91">
        <v>43927</v>
      </c>
      <c r="U78" s="64">
        <f t="shared" si="217"/>
        <v>1</v>
      </c>
      <c r="V78" s="91"/>
      <c r="W78" s="64"/>
      <c r="X78" s="93"/>
      <c r="Y78" s="91"/>
      <c r="Z78" s="91" t="str">
        <f t="shared" si="218"/>
        <v>100%</v>
      </c>
      <c r="AA78" s="91"/>
      <c r="AB78" s="474"/>
      <c r="AC78" s="478" t="s">
        <v>2711</v>
      </c>
      <c r="AD78" s="91"/>
    </row>
    <row r="79" spans="2:60">
      <c r="B79" s="64" t="s">
        <v>105</v>
      </c>
      <c r="C79" s="64" t="s">
        <v>169</v>
      </c>
      <c r="D79" s="64">
        <v>9.6199999999999992</v>
      </c>
      <c r="E79" s="91">
        <v>43810</v>
      </c>
      <c r="F79" s="64">
        <f t="shared" si="208"/>
        <v>1</v>
      </c>
      <c r="G79" s="91">
        <v>43815</v>
      </c>
      <c r="H79" s="64">
        <f t="shared" si="209"/>
        <v>1</v>
      </c>
      <c r="I79" s="91">
        <v>43854</v>
      </c>
      <c r="J79" s="64">
        <f t="shared" si="210"/>
        <v>0</v>
      </c>
      <c r="K79" s="91">
        <v>43839</v>
      </c>
      <c r="L79" s="64">
        <f t="shared" si="211"/>
        <v>0</v>
      </c>
      <c r="M79" s="64">
        <f t="shared" si="212"/>
        <v>0</v>
      </c>
      <c r="N79" s="91">
        <v>43854</v>
      </c>
      <c r="O79" s="64">
        <f t="shared" si="213"/>
        <v>1</v>
      </c>
      <c r="P79" s="64">
        <f t="shared" si="214"/>
        <v>0</v>
      </c>
      <c r="Q79" s="91" t="str">
        <f t="shared" si="215"/>
        <v>Selesai</v>
      </c>
      <c r="R79" s="64">
        <f t="shared" si="216"/>
        <v>0</v>
      </c>
      <c r="S79" s="91">
        <v>43899</v>
      </c>
      <c r="T79" s="91">
        <v>43927</v>
      </c>
      <c r="U79" s="64">
        <f t="shared" si="217"/>
        <v>1</v>
      </c>
      <c r="V79" s="238"/>
      <c r="W79" s="64"/>
      <c r="X79" s="93"/>
      <c r="Y79" s="91"/>
      <c r="Z79" s="91" t="str">
        <f t="shared" si="218"/>
        <v>100%</v>
      </c>
      <c r="AA79" s="91"/>
      <c r="AB79" s="474"/>
      <c r="AC79" s="478" t="s">
        <v>2711</v>
      </c>
      <c r="AD79" s="91"/>
    </row>
    <row r="80" spans="2:60">
      <c r="B80" s="64" t="s">
        <v>109</v>
      </c>
      <c r="C80" s="64" t="s">
        <v>170</v>
      </c>
      <c r="D80" s="64">
        <v>12.32</v>
      </c>
      <c r="E80" s="91">
        <v>43865</v>
      </c>
      <c r="F80" s="64">
        <f t="shared" ref="F80:F111" si="219">IF(E80&gt;0,1,0)</f>
        <v>1</v>
      </c>
      <c r="G80" s="91">
        <v>43885</v>
      </c>
      <c r="H80" s="64">
        <f t="shared" ref="H80:H111" si="220">IF(G80&gt;0,1,0)</f>
        <v>1</v>
      </c>
      <c r="I80" s="91">
        <v>43889</v>
      </c>
      <c r="J80" s="64">
        <f t="shared" ref="J80:J143" si="221">IF(I80&gt;0,0,1)</f>
        <v>0</v>
      </c>
      <c r="K80" s="91">
        <v>43900</v>
      </c>
      <c r="L80" s="64">
        <f t="shared" ref="L80:L143" si="222">IF(K80&gt;0,0,1)</f>
        <v>0</v>
      </c>
      <c r="M80" s="64">
        <f t="shared" ref="M80:M143" si="223">IF(AND(J80&gt;0,L80&gt;0),1,0)</f>
        <v>0</v>
      </c>
      <c r="N80" s="91">
        <v>43900</v>
      </c>
      <c r="O80" s="64">
        <f t="shared" ref="O80:O143" si="224">IF(N80&gt;0,1,0)</f>
        <v>1</v>
      </c>
      <c r="P80" s="64">
        <f t="shared" ref="P80:P143" si="225">IF(O80&gt;0,0,1)</f>
        <v>0</v>
      </c>
      <c r="Q80" s="91" t="str">
        <f t="shared" si="215"/>
        <v>Selesai</v>
      </c>
      <c r="R80" s="64">
        <f t="shared" ref="R80:R143" si="226">IF(Q80="proses",1,0)</f>
        <v>0</v>
      </c>
      <c r="S80" s="91">
        <v>43904</v>
      </c>
      <c r="T80" s="91">
        <v>43927</v>
      </c>
      <c r="U80" s="64">
        <f t="shared" si="217"/>
        <v>1</v>
      </c>
      <c r="V80" s="91"/>
      <c r="W80" s="64"/>
      <c r="X80" s="93"/>
      <c r="Y80" s="91"/>
      <c r="Z80" s="91" t="str">
        <f t="shared" si="218"/>
        <v>100%</v>
      </c>
      <c r="AA80" s="91"/>
      <c r="AB80" s="474"/>
      <c r="AC80" s="478" t="s">
        <v>2711</v>
      </c>
      <c r="AD80" s="91"/>
    </row>
    <row r="81" spans="2:30">
      <c r="B81" s="64" t="s">
        <v>113</v>
      </c>
      <c r="C81" s="64" t="s">
        <v>171</v>
      </c>
      <c r="D81" s="64">
        <v>5.38</v>
      </c>
      <c r="E81" s="91">
        <v>43907</v>
      </c>
      <c r="F81" s="64">
        <f t="shared" si="219"/>
        <v>1</v>
      </c>
      <c r="G81" s="91">
        <v>43909</v>
      </c>
      <c r="H81" s="64">
        <f t="shared" si="220"/>
        <v>1</v>
      </c>
      <c r="I81" s="91">
        <v>43915</v>
      </c>
      <c r="J81" s="64">
        <f t="shared" si="221"/>
        <v>0</v>
      </c>
      <c r="K81" s="91">
        <v>43919</v>
      </c>
      <c r="L81" s="64">
        <f t="shared" si="222"/>
        <v>0</v>
      </c>
      <c r="M81" s="64">
        <f t="shared" si="223"/>
        <v>0</v>
      </c>
      <c r="N81" s="91">
        <v>43919</v>
      </c>
      <c r="O81" s="64">
        <f t="shared" si="224"/>
        <v>1</v>
      </c>
      <c r="P81" s="64">
        <f t="shared" si="225"/>
        <v>0</v>
      </c>
      <c r="Q81" s="91" t="str">
        <f t="shared" si="215"/>
        <v>Selesai</v>
      </c>
      <c r="R81" s="64">
        <f t="shared" si="226"/>
        <v>0</v>
      </c>
      <c r="S81" s="91">
        <v>43919</v>
      </c>
      <c r="T81" s="91">
        <v>43927</v>
      </c>
      <c r="U81" s="64">
        <f t="shared" si="217"/>
        <v>1</v>
      </c>
      <c r="V81" s="91"/>
      <c r="W81" s="64"/>
      <c r="X81" s="93"/>
      <c r="Y81" s="91"/>
      <c r="Z81" s="91" t="str">
        <f t="shared" si="218"/>
        <v>100%</v>
      </c>
      <c r="AA81" s="91"/>
      <c r="AB81" s="474"/>
      <c r="AC81" s="478" t="s">
        <v>2711</v>
      </c>
      <c r="AD81" s="91"/>
    </row>
    <row r="82" spans="2:30">
      <c r="B82" s="64" t="s">
        <v>109</v>
      </c>
      <c r="C82" s="64" t="s">
        <v>172</v>
      </c>
      <c r="D82" s="64">
        <v>7.75</v>
      </c>
      <c r="E82" s="91">
        <v>43815</v>
      </c>
      <c r="F82" s="64">
        <f t="shared" si="219"/>
        <v>1</v>
      </c>
      <c r="G82" s="91">
        <v>43818</v>
      </c>
      <c r="H82" s="64">
        <f t="shared" si="220"/>
        <v>1</v>
      </c>
      <c r="I82" s="91">
        <v>43872</v>
      </c>
      <c r="J82" s="64">
        <f t="shared" si="221"/>
        <v>0</v>
      </c>
      <c r="K82" s="91">
        <v>43834</v>
      </c>
      <c r="L82" s="64">
        <f t="shared" si="222"/>
        <v>0</v>
      </c>
      <c r="M82" s="64">
        <f t="shared" si="223"/>
        <v>0</v>
      </c>
      <c r="N82" s="91">
        <v>43872</v>
      </c>
      <c r="O82" s="64">
        <f t="shared" si="224"/>
        <v>1</v>
      </c>
      <c r="P82" s="64">
        <f t="shared" si="225"/>
        <v>0</v>
      </c>
      <c r="Q82" s="91" t="str">
        <f t="shared" si="215"/>
        <v>Selesai</v>
      </c>
      <c r="R82" s="64">
        <f t="shared" si="226"/>
        <v>0</v>
      </c>
      <c r="S82" s="91">
        <v>43908</v>
      </c>
      <c r="T82" s="91">
        <v>43929</v>
      </c>
      <c r="U82" s="64">
        <f t="shared" si="217"/>
        <v>1</v>
      </c>
      <c r="V82" s="91"/>
      <c r="W82" s="64"/>
      <c r="X82" s="93"/>
      <c r="Y82" s="91"/>
      <c r="Z82" s="91" t="str">
        <f t="shared" si="218"/>
        <v>100%</v>
      </c>
      <c r="AA82" s="91"/>
      <c r="AB82" s="474"/>
      <c r="AC82" s="478" t="s">
        <v>2711</v>
      </c>
      <c r="AD82" s="91"/>
    </row>
    <row r="83" spans="2:30">
      <c r="B83" s="64" t="s">
        <v>105</v>
      </c>
      <c r="C83" s="65" t="s">
        <v>173</v>
      </c>
      <c r="D83" s="66">
        <v>10.82</v>
      </c>
      <c r="E83" s="91">
        <v>43802</v>
      </c>
      <c r="F83" s="64">
        <f t="shared" si="219"/>
        <v>1</v>
      </c>
      <c r="G83" s="91">
        <v>43807</v>
      </c>
      <c r="H83" s="64">
        <f t="shared" si="220"/>
        <v>1</v>
      </c>
      <c r="I83" s="91">
        <v>43902</v>
      </c>
      <c r="J83" s="64">
        <f t="shared" si="221"/>
        <v>0</v>
      </c>
      <c r="K83" s="91">
        <v>43840</v>
      </c>
      <c r="L83" s="64">
        <f t="shared" si="222"/>
        <v>0</v>
      </c>
      <c r="M83" s="64">
        <f t="shared" si="223"/>
        <v>0</v>
      </c>
      <c r="N83" s="91">
        <f t="shared" ref="N83:N95" si="227">IF(AND(I83&gt;0,K83&gt;0),MAX(I83:K83),"")</f>
        <v>43902</v>
      </c>
      <c r="O83" s="64">
        <f t="shared" si="224"/>
        <v>1</v>
      </c>
      <c r="P83" s="64">
        <f t="shared" si="225"/>
        <v>0</v>
      </c>
      <c r="Q83" s="91" t="str">
        <f t="shared" si="215"/>
        <v>Selesai</v>
      </c>
      <c r="R83" s="64">
        <f t="shared" si="226"/>
        <v>0</v>
      </c>
      <c r="S83" s="91">
        <v>43904</v>
      </c>
      <c r="T83" s="91">
        <v>43933</v>
      </c>
      <c r="U83" s="64">
        <f t="shared" si="217"/>
        <v>1</v>
      </c>
      <c r="V83" s="238"/>
      <c r="W83" s="64"/>
      <c r="X83" s="93"/>
      <c r="Y83" s="91"/>
      <c r="Z83" s="91" t="str">
        <f t="shared" si="218"/>
        <v>100%</v>
      </c>
      <c r="AA83" s="91"/>
      <c r="AB83" s="474"/>
      <c r="AC83" s="478" t="s">
        <v>2711</v>
      </c>
      <c r="AD83" s="91"/>
    </row>
    <row r="84" spans="2:30">
      <c r="B84" s="64" t="s">
        <v>113</v>
      </c>
      <c r="C84" s="65" t="s">
        <v>174</v>
      </c>
      <c r="D84" s="66">
        <v>12.68</v>
      </c>
      <c r="E84" s="91">
        <v>43892</v>
      </c>
      <c r="F84" s="64">
        <f t="shared" si="219"/>
        <v>1</v>
      </c>
      <c r="G84" s="91">
        <v>43894</v>
      </c>
      <c r="H84" s="64">
        <f t="shared" si="220"/>
        <v>1</v>
      </c>
      <c r="I84" s="91">
        <v>43902</v>
      </c>
      <c r="J84" s="64">
        <f t="shared" si="221"/>
        <v>0</v>
      </c>
      <c r="K84" s="91">
        <v>43907</v>
      </c>
      <c r="L84" s="64">
        <f t="shared" si="222"/>
        <v>0</v>
      </c>
      <c r="M84" s="64">
        <f t="shared" si="223"/>
        <v>0</v>
      </c>
      <c r="N84" s="91">
        <f t="shared" si="227"/>
        <v>43907</v>
      </c>
      <c r="O84" s="64">
        <f t="shared" si="224"/>
        <v>1</v>
      </c>
      <c r="P84" s="64">
        <f t="shared" si="225"/>
        <v>0</v>
      </c>
      <c r="Q84" s="91" t="str">
        <f t="shared" si="215"/>
        <v>Selesai</v>
      </c>
      <c r="R84" s="64">
        <f t="shared" si="226"/>
        <v>0</v>
      </c>
      <c r="S84" s="91">
        <v>43908</v>
      </c>
      <c r="T84" s="91">
        <v>43933</v>
      </c>
      <c r="U84" s="64">
        <f t="shared" si="217"/>
        <v>1</v>
      </c>
      <c r="V84" s="238"/>
      <c r="W84" s="64"/>
      <c r="X84" s="93"/>
      <c r="Y84" s="91"/>
      <c r="Z84" s="91" t="str">
        <f t="shared" si="218"/>
        <v>100%</v>
      </c>
      <c r="AA84" s="91"/>
      <c r="AB84" s="474"/>
      <c r="AC84" s="478" t="s">
        <v>2711</v>
      </c>
      <c r="AD84" s="91"/>
    </row>
    <row r="85" spans="2:30">
      <c r="B85" s="64" t="s">
        <v>105</v>
      </c>
      <c r="C85" s="65" t="s">
        <v>175</v>
      </c>
      <c r="D85" s="66">
        <v>16.079999999999998</v>
      </c>
      <c r="E85" s="91">
        <v>43789</v>
      </c>
      <c r="F85" s="64">
        <f t="shared" si="219"/>
        <v>1</v>
      </c>
      <c r="G85" s="91">
        <v>43792</v>
      </c>
      <c r="H85" s="64">
        <f t="shared" si="220"/>
        <v>1</v>
      </c>
      <c r="I85" s="91">
        <v>43899</v>
      </c>
      <c r="J85" s="64">
        <f t="shared" si="221"/>
        <v>0</v>
      </c>
      <c r="K85" s="91">
        <v>43827</v>
      </c>
      <c r="L85" s="64">
        <f t="shared" si="222"/>
        <v>0</v>
      </c>
      <c r="M85" s="64">
        <f t="shared" si="223"/>
        <v>0</v>
      </c>
      <c r="N85" s="91">
        <f t="shared" si="227"/>
        <v>43899</v>
      </c>
      <c r="O85" s="64">
        <f t="shared" si="224"/>
        <v>1</v>
      </c>
      <c r="P85" s="64">
        <f t="shared" si="225"/>
        <v>0</v>
      </c>
      <c r="Q85" s="91" t="str">
        <f t="shared" si="215"/>
        <v>Selesai</v>
      </c>
      <c r="R85" s="64">
        <f t="shared" si="226"/>
        <v>0</v>
      </c>
      <c r="S85" s="91">
        <v>43889</v>
      </c>
      <c r="T85" s="91">
        <v>43933</v>
      </c>
      <c r="U85" s="64">
        <f t="shared" si="217"/>
        <v>1</v>
      </c>
      <c r="V85" s="238"/>
      <c r="W85" s="64"/>
      <c r="X85" s="93"/>
      <c r="Y85" s="91"/>
      <c r="Z85" s="91" t="str">
        <f t="shared" si="218"/>
        <v>100%</v>
      </c>
      <c r="AA85" s="91"/>
      <c r="AB85" s="474"/>
      <c r="AC85" s="478" t="s">
        <v>2711</v>
      </c>
      <c r="AD85" s="91"/>
    </row>
    <row r="86" spans="2:30">
      <c r="B86" s="64" t="s">
        <v>105</v>
      </c>
      <c r="C86" s="65" t="s">
        <v>176</v>
      </c>
      <c r="D86" s="66">
        <v>6.42</v>
      </c>
      <c r="E86" s="91">
        <v>43820</v>
      </c>
      <c r="F86" s="64">
        <f t="shared" si="219"/>
        <v>1</v>
      </c>
      <c r="G86" s="91">
        <v>43830</v>
      </c>
      <c r="H86" s="64">
        <f t="shared" si="220"/>
        <v>1</v>
      </c>
      <c r="I86" s="91">
        <v>43906</v>
      </c>
      <c r="J86" s="64">
        <f t="shared" si="221"/>
        <v>0</v>
      </c>
      <c r="K86" s="91">
        <v>43840</v>
      </c>
      <c r="L86" s="64">
        <f t="shared" si="222"/>
        <v>0</v>
      </c>
      <c r="M86" s="64">
        <f t="shared" si="223"/>
        <v>0</v>
      </c>
      <c r="N86" s="91">
        <f t="shared" si="227"/>
        <v>43906</v>
      </c>
      <c r="O86" s="64">
        <f t="shared" si="224"/>
        <v>1</v>
      </c>
      <c r="P86" s="64">
        <f t="shared" si="225"/>
        <v>0</v>
      </c>
      <c r="Q86" s="91" t="str">
        <f t="shared" si="215"/>
        <v>Selesai</v>
      </c>
      <c r="R86" s="64">
        <f t="shared" si="226"/>
        <v>0</v>
      </c>
      <c r="S86" s="91">
        <v>43907</v>
      </c>
      <c r="T86" s="91">
        <v>43933</v>
      </c>
      <c r="U86" s="64">
        <f t="shared" si="217"/>
        <v>1</v>
      </c>
      <c r="V86" s="238"/>
      <c r="W86" s="64"/>
      <c r="X86" s="93"/>
      <c r="Y86" s="91"/>
      <c r="Z86" s="91" t="str">
        <f t="shared" si="218"/>
        <v>100%</v>
      </c>
      <c r="AA86" s="91"/>
      <c r="AB86" s="474"/>
      <c r="AC86" s="478" t="s">
        <v>2711</v>
      </c>
      <c r="AD86" s="91"/>
    </row>
    <row r="87" spans="2:30">
      <c r="B87" s="64" t="s">
        <v>105</v>
      </c>
      <c r="C87" s="65" t="s">
        <v>177</v>
      </c>
      <c r="D87" s="66">
        <v>8.24</v>
      </c>
      <c r="E87" s="91">
        <v>43802</v>
      </c>
      <c r="F87" s="64">
        <f t="shared" si="219"/>
        <v>1</v>
      </c>
      <c r="G87" s="91">
        <v>43807</v>
      </c>
      <c r="H87" s="64">
        <f t="shared" si="220"/>
        <v>1</v>
      </c>
      <c r="I87" s="91">
        <v>43836</v>
      </c>
      <c r="J87" s="64">
        <f t="shared" si="221"/>
        <v>0</v>
      </c>
      <c r="K87" s="91">
        <v>43840</v>
      </c>
      <c r="L87" s="64">
        <f t="shared" si="222"/>
        <v>0</v>
      </c>
      <c r="M87" s="64">
        <f t="shared" si="223"/>
        <v>0</v>
      </c>
      <c r="N87" s="91">
        <f t="shared" si="227"/>
        <v>43840</v>
      </c>
      <c r="O87" s="64">
        <f t="shared" si="224"/>
        <v>1</v>
      </c>
      <c r="P87" s="64">
        <f t="shared" si="225"/>
        <v>0</v>
      </c>
      <c r="Q87" s="91" t="str">
        <f t="shared" si="215"/>
        <v>Selesai</v>
      </c>
      <c r="R87" s="64">
        <f t="shared" si="226"/>
        <v>0</v>
      </c>
      <c r="S87" s="91">
        <v>43916</v>
      </c>
      <c r="T87" s="91">
        <v>43936</v>
      </c>
      <c r="U87" s="64">
        <f t="shared" si="217"/>
        <v>1</v>
      </c>
      <c r="V87" s="238"/>
      <c r="W87" s="64"/>
      <c r="X87" s="93"/>
      <c r="Y87" s="91"/>
      <c r="Z87" s="91" t="str">
        <f t="shared" si="218"/>
        <v>100%</v>
      </c>
      <c r="AA87" s="91"/>
      <c r="AB87" s="474"/>
      <c r="AC87" s="478" t="s">
        <v>2711</v>
      </c>
      <c r="AD87" s="91"/>
    </row>
    <row r="88" spans="2:30">
      <c r="B88" s="64" t="s">
        <v>105</v>
      </c>
      <c r="C88" s="65" t="s">
        <v>178</v>
      </c>
      <c r="D88" s="66">
        <v>6.75</v>
      </c>
      <c r="E88" s="91">
        <v>43810</v>
      </c>
      <c r="F88" s="64">
        <f t="shared" si="219"/>
        <v>1</v>
      </c>
      <c r="G88" s="91">
        <v>43815</v>
      </c>
      <c r="H88" s="64">
        <f t="shared" si="220"/>
        <v>1</v>
      </c>
      <c r="I88" s="91">
        <v>43907</v>
      </c>
      <c r="J88" s="64">
        <f t="shared" si="221"/>
        <v>0</v>
      </c>
      <c r="K88" s="91">
        <v>43839</v>
      </c>
      <c r="L88" s="64">
        <f t="shared" si="222"/>
        <v>0</v>
      </c>
      <c r="M88" s="64">
        <f t="shared" si="223"/>
        <v>0</v>
      </c>
      <c r="N88" s="91">
        <f t="shared" si="227"/>
        <v>43907</v>
      </c>
      <c r="O88" s="64">
        <f t="shared" si="224"/>
        <v>1</v>
      </c>
      <c r="P88" s="64">
        <f t="shared" si="225"/>
        <v>0</v>
      </c>
      <c r="Q88" s="91" t="str">
        <f t="shared" si="215"/>
        <v>Selesai</v>
      </c>
      <c r="R88" s="64">
        <f t="shared" si="226"/>
        <v>0</v>
      </c>
      <c r="S88" s="91">
        <v>43899</v>
      </c>
      <c r="T88" s="91">
        <v>43936</v>
      </c>
      <c r="U88" s="64">
        <f t="shared" si="217"/>
        <v>1</v>
      </c>
      <c r="V88" s="238"/>
      <c r="W88" s="64"/>
      <c r="X88" s="93"/>
      <c r="Y88" s="91"/>
      <c r="Z88" s="91" t="str">
        <f t="shared" si="218"/>
        <v>100%</v>
      </c>
      <c r="AA88" s="91"/>
      <c r="AB88" s="474"/>
      <c r="AC88" s="478" t="s">
        <v>2711</v>
      </c>
      <c r="AD88" s="91"/>
    </row>
    <row r="89" spans="2:30">
      <c r="B89" s="64" t="s">
        <v>105</v>
      </c>
      <c r="C89" s="65" t="s">
        <v>179</v>
      </c>
      <c r="D89" s="66">
        <v>10.43</v>
      </c>
      <c r="E89" s="91">
        <v>43816</v>
      </c>
      <c r="F89" s="64">
        <f t="shared" si="219"/>
        <v>1</v>
      </c>
      <c r="G89" s="91">
        <v>43830</v>
      </c>
      <c r="H89" s="64">
        <f t="shared" si="220"/>
        <v>1</v>
      </c>
      <c r="I89" s="91">
        <v>43904</v>
      </c>
      <c r="J89" s="64">
        <f t="shared" si="221"/>
        <v>0</v>
      </c>
      <c r="K89" s="91">
        <v>43829</v>
      </c>
      <c r="L89" s="64">
        <f t="shared" si="222"/>
        <v>0</v>
      </c>
      <c r="M89" s="64">
        <f t="shared" si="223"/>
        <v>0</v>
      </c>
      <c r="N89" s="91">
        <f t="shared" si="227"/>
        <v>43904</v>
      </c>
      <c r="O89" s="64">
        <f t="shared" si="224"/>
        <v>1</v>
      </c>
      <c r="P89" s="64">
        <f t="shared" si="225"/>
        <v>0</v>
      </c>
      <c r="Q89" s="91" t="str">
        <f t="shared" si="215"/>
        <v>Selesai</v>
      </c>
      <c r="R89" s="64">
        <f t="shared" si="226"/>
        <v>0</v>
      </c>
      <c r="S89" s="91">
        <v>43919</v>
      </c>
      <c r="T89" s="91">
        <v>43936</v>
      </c>
      <c r="U89" s="64">
        <f t="shared" si="217"/>
        <v>1</v>
      </c>
      <c r="V89" s="238"/>
      <c r="W89" s="64"/>
      <c r="X89" s="93"/>
      <c r="Y89" s="91"/>
      <c r="Z89" s="91" t="str">
        <f t="shared" si="218"/>
        <v>100%</v>
      </c>
      <c r="AA89" s="91"/>
      <c r="AB89" s="474"/>
      <c r="AC89" s="478" t="s">
        <v>2711</v>
      </c>
      <c r="AD89" s="91"/>
    </row>
    <row r="90" spans="2:30">
      <c r="B90" s="64" t="s">
        <v>105</v>
      </c>
      <c r="C90" s="65" t="s">
        <v>180</v>
      </c>
      <c r="D90" s="66">
        <v>7.87</v>
      </c>
      <c r="E90" s="91">
        <v>43886</v>
      </c>
      <c r="F90" s="64">
        <f t="shared" si="219"/>
        <v>1</v>
      </c>
      <c r="G90" s="91">
        <v>43887</v>
      </c>
      <c r="H90" s="64">
        <f t="shared" si="220"/>
        <v>1</v>
      </c>
      <c r="I90" s="91">
        <v>43901</v>
      </c>
      <c r="J90" s="64">
        <f t="shared" si="221"/>
        <v>0</v>
      </c>
      <c r="K90" s="91">
        <v>43896</v>
      </c>
      <c r="L90" s="64">
        <f t="shared" si="222"/>
        <v>0</v>
      </c>
      <c r="M90" s="64">
        <f t="shared" si="223"/>
        <v>0</v>
      </c>
      <c r="N90" s="91">
        <f t="shared" si="227"/>
        <v>43901</v>
      </c>
      <c r="O90" s="64">
        <f t="shared" si="224"/>
        <v>1</v>
      </c>
      <c r="P90" s="64">
        <f t="shared" si="225"/>
        <v>0</v>
      </c>
      <c r="Q90" s="91" t="str">
        <f t="shared" si="215"/>
        <v>Selesai</v>
      </c>
      <c r="R90" s="64">
        <f t="shared" si="226"/>
        <v>0</v>
      </c>
      <c r="S90" s="91">
        <v>43895</v>
      </c>
      <c r="T90" s="91">
        <v>43937</v>
      </c>
      <c r="U90" s="64">
        <f t="shared" si="217"/>
        <v>1</v>
      </c>
      <c r="V90" s="238"/>
      <c r="W90" s="64"/>
      <c r="X90" s="93"/>
      <c r="Y90" s="93"/>
      <c r="Z90" s="91" t="str">
        <f t="shared" si="218"/>
        <v>100%</v>
      </c>
      <c r="AA90" s="91"/>
      <c r="AB90" s="474"/>
      <c r="AC90" s="478" t="s">
        <v>2711</v>
      </c>
      <c r="AD90" s="91"/>
    </row>
    <row r="91" spans="2:30">
      <c r="B91" s="64" t="s">
        <v>107</v>
      </c>
      <c r="C91" s="65" t="s">
        <v>181</v>
      </c>
      <c r="D91" s="66">
        <v>9.83</v>
      </c>
      <c r="E91" s="91">
        <v>43907</v>
      </c>
      <c r="F91" s="64">
        <f t="shared" si="219"/>
        <v>1</v>
      </c>
      <c r="G91" s="91">
        <v>43908</v>
      </c>
      <c r="H91" s="64">
        <f t="shared" si="220"/>
        <v>1</v>
      </c>
      <c r="I91" s="91">
        <v>43909</v>
      </c>
      <c r="J91" s="64">
        <f t="shared" si="221"/>
        <v>0</v>
      </c>
      <c r="K91" s="91">
        <v>43918</v>
      </c>
      <c r="L91" s="64">
        <f t="shared" si="222"/>
        <v>0</v>
      </c>
      <c r="M91" s="64">
        <f t="shared" si="223"/>
        <v>0</v>
      </c>
      <c r="N91" s="91">
        <f t="shared" si="227"/>
        <v>43918</v>
      </c>
      <c r="O91" s="64">
        <f t="shared" si="224"/>
        <v>1</v>
      </c>
      <c r="P91" s="64">
        <f t="shared" si="225"/>
        <v>0</v>
      </c>
      <c r="Q91" s="91" t="str">
        <f t="shared" si="215"/>
        <v>Selesai</v>
      </c>
      <c r="R91" s="64">
        <f t="shared" si="226"/>
        <v>0</v>
      </c>
      <c r="S91" s="91">
        <v>43919</v>
      </c>
      <c r="T91" s="91">
        <v>43946</v>
      </c>
      <c r="U91" s="64">
        <f t="shared" si="217"/>
        <v>1</v>
      </c>
      <c r="V91" s="239"/>
      <c r="W91" s="64"/>
      <c r="X91" s="93"/>
      <c r="Y91" s="93"/>
      <c r="Z91" s="91" t="str">
        <f t="shared" si="218"/>
        <v>100%</v>
      </c>
      <c r="AA91" s="91"/>
      <c r="AB91" s="474"/>
      <c r="AC91" s="478" t="s">
        <v>2711</v>
      </c>
      <c r="AD91" s="91"/>
    </row>
    <row r="92" spans="2:30">
      <c r="B92" s="64" t="s">
        <v>105</v>
      </c>
      <c r="C92" s="65" t="s">
        <v>182</v>
      </c>
      <c r="D92" s="66">
        <v>8.7200000000000006</v>
      </c>
      <c r="E92" s="91">
        <v>43895</v>
      </c>
      <c r="F92" s="64">
        <f t="shared" si="219"/>
        <v>1</v>
      </c>
      <c r="G92" s="91">
        <v>43898</v>
      </c>
      <c r="H92" s="64">
        <f t="shared" si="220"/>
        <v>1</v>
      </c>
      <c r="I92" s="91">
        <v>43926</v>
      </c>
      <c r="J92" s="64">
        <f t="shared" si="221"/>
        <v>0</v>
      </c>
      <c r="K92" s="91">
        <v>43904</v>
      </c>
      <c r="L92" s="64">
        <f t="shared" si="222"/>
        <v>0</v>
      </c>
      <c r="M92" s="64">
        <f t="shared" si="223"/>
        <v>0</v>
      </c>
      <c r="N92" s="91">
        <f t="shared" si="227"/>
        <v>43926</v>
      </c>
      <c r="O92" s="64">
        <f t="shared" si="224"/>
        <v>1</v>
      </c>
      <c r="P92" s="64">
        <f t="shared" si="225"/>
        <v>0</v>
      </c>
      <c r="Q92" s="91" t="str">
        <f t="shared" si="215"/>
        <v>Selesai</v>
      </c>
      <c r="R92" s="64">
        <f t="shared" si="226"/>
        <v>0</v>
      </c>
      <c r="S92" s="91">
        <v>43935</v>
      </c>
      <c r="T92" s="91">
        <v>43949</v>
      </c>
      <c r="U92" s="64">
        <f t="shared" si="217"/>
        <v>1</v>
      </c>
      <c r="V92" s="239"/>
      <c r="W92" s="64"/>
      <c r="X92" s="93"/>
      <c r="Y92" s="93"/>
      <c r="Z92" s="91" t="str">
        <f t="shared" si="218"/>
        <v>100%</v>
      </c>
      <c r="AA92" s="91"/>
      <c r="AB92" s="474"/>
      <c r="AC92" s="478" t="s">
        <v>2711</v>
      </c>
      <c r="AD92" s="91"/>
    </row>
    <row r="93" spans="2:30">
      <c r="B93" s="64" t="s">
        <v>105</v>
      </c>
      <c r="C93" s="65" t="s">
        <v>183</v>
      </c>
      <c r="D93" s="66">
        <v>10.55</v>
      </c>
      <c r="E93" s="91">
        <v>43889</v>
      </c>
      <c r="F93" s="64">
        <f t="shared" si="219"/>
        <v>1</v>
      </c>
      <c r="G93" s="91">
        <v>43890</v>
      </c>
      <c r="H93" s="64">
        <f t="shared" si="220"/>
        <v>1</v>
      </c>
      <c r="I93" s="91">
        <v>43922</v>
      </c>
      <c r="J93" s="64">
        <f t="shared" si="221"/>
        <v>0</v>
      </c>
      <c r="K93" s="91">
        <v>43907</v>
      </c>
      <c r="L93" s="64">
        <f t="shared" si="222"/>
        <v>0</v>
      </c>
      <c r="M93" s="64">
        <f t="shared" si="223"/>
        <v>0</v>
      </c>
      <c r="N93" s="91">
        <f t="shared" si="227"/>
        <v>43922</v>
      </c>
      <c r="O93" s="64">
        <f t="shared" si="224"/>
        <v>1</v>
      </c>
      <c r="P93" s="64">
        <f t="shared" si="225"/>
        <v>0</v>
      </c>
      <c r="Q93" s="91" t="str">
        <f t="shared" si="215"/>
        <v>Selesai</v>
      </c>
      <c r="R93" s="64">
        <f t="shared" si="226"/>
        <v>0</v>
      </c>
      <c r="S93" s="91">
        <v>43928</v>
      </c>
      <c r="T93" s="91">
        <v>43950</v>
      </c>
      <c r="U93" s="64">
        <f t="shared" si="217"/>
        <v>1</v>
      </c>
      <c r="V93" s="239"/>
      <c r="W93" s="64"/>
      <c r="X93" s="93"/>
      <c r="Y93" s="93"/>
      <c r="Z93" s="91" t="str">
        <f t="shared" si="218"/>
        <v>100%</v>
      </c>
      <c r="AA93" s="91"/>
      <c r="AB93" s="474"/>
      <c r="AC93" s="478" t="s">
        <v>2711</v>
      </c>
      <c r="AD93" s="91"/>
    </row>
    <row r="94" spans="2:30">
      <c r="B94" s="64" t="s">
        <v>107</v>
      </c>
      <c r="C94" s="65" t="s">
        <v>184</v>
      </c>
      <c r="D94" s="66">
        <v>13.42</v>
      </c>
      <c r="E94" s="91">
        <v>43908</v>
      </c>
      <c r="F94" s="64">
        <f t="shared" si="219"/>
        <v>1</v>
      </c>
      <c r="G94" s="91">
        <v>43910</v>
      </c>
      <c r="H94" s="64">
        <f t="shared" si="220"/>
        <v>1</v>
      </c>
      <c r="I94" s="91">
        <v>43922</v>
      </c>
      <c r="J94" s="64">
        <f t="shared" si="221"/>
        <v>0</v>
      </c>
      <c r="K94" s="91">
        <v>43928</v>
      </c>
      <c r="L94" s="64">
        <f t="shared" si="222"/>
        <v>0</v>
      </c>
      <c r="M94" s="64">
        <f t="shared" si="223"/>
        <v>0</v>
      </c>
      <c r="N94" s="91">
        <f t="shared" si="227"/>
        <v>43928</v>
      </c>
      <c r="O94" s="64">
        <f t="shared" si="224"/>
        <v>1</v>
      </c>
      <c r="P94" s="64">
        <f t="shared" si="225"/>
        <v>0</v>
      </c>
      <c r="Q94" s="91" t="str">
        <f t="shared" si="215"/>
        <v>Selesai</v>
      </c>
      <c r="R94" s="64">
        <f t="shared" si="226"/>
        <v>0</v>
      </c>
      <c r="S94" s="91">
        <v>43931</v>
      </c>
      <c r="T94" s="91">
        <v>43950</v>
      </c>
      <c r="U94" s="64">
        <f t="shared" si="217"/>
        <v>1</v>
      </c>
      <c r="V94" s="239"/>
      <c r="W94" s="64"/>
      <c r="X94" s="93"/>
      <c r="Y94" s="93"/>
      <c r="Z94" s="91" t="str">
        <f t="shared" si="218"/>
        <v>100%</v>
      </c>
      <c r="AA94" s="91"/>
      <c r="AB94" s="474"/>
      <c r="AC94" s="478" t="s">
        <v>2711</v>
      </c>
      <c r="AD94" s="91"/>
    </row>
    <row r="95" spans="2:30">
      <c r="B95" s="64" t="s">
        <v>105</v>
      </c>
      <c r="C95" s="65" t="s">
        <v>185</v>
      </c>
      <c r="D95" s="66">
        <v>9.0500000000000007</v>
      </c>
      <c r="E95" s="91">
        <v>43894</v>
      </c>
      <c r="F95" s="64">
        <f t="shared" si="219"/>
        <v>1</v>
      </c>
      <c r="G95" s="91">
        <v>43897</v>
      </c>
      <c r="H95" s="64">
        <f t="shared" si="220"/>
        <v>1</v>
      </c>
      <c r="I95" s="91">
        <v>43925</v>
      </c>
      <c r="J95" s="64">
        <f t="shared" si="221"/>
        <v>0</v>
      </c>
      <c r="K95" s="91">
        <v>43904</v>
      </c>
      <c r="L95" s="64">
        <f t="shared" si="222"/>
        <v>0</v>
      </c>
      <c r="M95" s="64">
        <f t="shared" si="223"/>
        <v>0</v>
      </c>
      <c r="N95" s="91">
        <f t="shared" si="227"/>
        <v>43925</v>
      </c>
      <c r="O95" s="64">
        <f t="shared" si="224"/>
        <v>1</v>
      </c>
      <c r="P95" s="64">
        <f t="shared" si="225"/>
        <v>0</v>
      </c>
      <c r="Q95" s="91" t="str">
        <f t="shared" si="215"/>
        <v>Selesai</v>
      </c>
      <c r="R95" s="64">
        <f t="shared" si="226"/>
        <v>0</v>
      </c>
      <c r="S95" s="91">
        <v>43928</v>
      </c>
      <c r="T95" s="91">
        <v>43951</v>
      </c>
      <c r="U95" s="64">
        <f t="shared" si="217"/>
        <v>1</v>
      </c>
      <c r="V95" s="239"/>
      <c r="W95" s="64"/>
      <c r="X95" s="93"/>
      <c r="Y95" s="93"/>
      <c r="Z95" s="91" t="str">
        <f t="shared" si="218"/>
        <v>100%</v>
      </c>
      <c r="AA95" s="91"/>
      <c r="AB95" s="474"/>
      <c r="AC95" s="478" t="s">
        <v>2711</v>
      </c>
      <c r="AD95" s="91"/>
    </row>
    <row r="96" spans="2:30">
      <c r="B96" s="64" t="s">
        <v>105</v>
      </c>
      <c r="C96" s="65" t="s">
        <v>186</v>
      </c>
      <c r="D96" s="66">
        <v>7.32</v>
      </c>
      <c r="E96" s="91">
        <v>43893</v>
      </c>
      <c r="F96" s="64">
        <f t="shared" si="219"/>
        <v>1</v>
      </c>
      <c r="G96" s="91">
        <v>43895</v>
      </c>
      <c r="H96" s="64">
        <f t="shared" si="220"/>
        <v>1</v>
      </c>
      <c r="I96" s="91">
        <v>43932</v>
      </c>
      <c r="J96" s="64">
        <f t="shared" si="221"/>
        <v>0</v>
      </c>
      <c r="K96" s="91">
        <v>43907</v>
      </c>
      <c r="L96" s="64">
        <f t="shared" si="222"/>
        <v>0</v>
      </c>
      <c r="M96" s="64">
        <f t="shared" si="223"/>
        <v>0</v>
      </c>
      <c r="N96" s="91">
        <f t="shared" ref="N96:N127" si="228">IF(AND(I96&gt;0,K96&gt;0),MAX(I96:K96)+1,"")</f>
        <v>43933</v>
      </c>
      <c r="O96" s="64">
        <f t="shared" si="224"/>
        <v>1</v>
      </c>
      <c r="P96" s="64">
        <f t="shared" si="225"/>
        <v>0</v>
      </c>
      <c r="Q96" s="91" t="str">
        <f t="shared" si="215"/>
        <v>Selesai</v>
      </c>
      <c r="R96" s="64">
        <f t="shared" si="226"/>
        <v>0</v>
      </c>
      <c r="S96" s="91">
        <v>43942</v>
      </c>
      <c r="T96" s="91">
        <v>43953</v>
      </c>
      <c r="U96" s="64">
        <f t="shared" si="217"/>
        <v>1</v>
      </c>
      <c r="V96" s="239"/>
      <c r="W96" s="64"/>
      <c r="X96" s="93"/>
      <c r="Y96" s="93"/>
      <c r="Z96" s="91" t="str">
        <f t="shared" si="218"/>
        <v>100%</v>
      </c>
      <c r="AA96" s="91"/>
      <c r="AB96" s="474"/>
      <c r="AC96" s="478" t="s">
        <v>2711</v>
      </c>
      <c r="AD96" s="91"/>
    </row>
    <row r="97" spans="2:41">
      <c r="B97" s="64" t="s">
        <v>105</v>
      </c>
      <c r="C97" s="65" t="s">
        <v>187</v>
      </c>
      <c r="D97" s="66">
        <v>12.96</v>
      </c>
      <c r="E97" s="91">
        <v>43885</v>
      </c>
      <c r="F97" s="64">
        <f t="shared" si="219"/>
        <v>1</v>
      </c>
      <c r="G97" s="91">
        <v>43886</v>
      </c>
      <c r="H97" s="64">
        <f t="shared" si="220"/>
        <v>1</v>
      </c>
      <c r="I97" s="91">
        <v>43902</v>
      </c>
      <c r="J97" s="64">
        <f t="shared" si="221"/>
        <v>0</v>
      </c>
      <c r="K97" s="91">
        <v>43895</v>
      </c>
      <c r="L97" s="64">
        <f t="shared" si="222"/>
        <v>0</v>
      </c>
      <c r="M97" s="64">
        <f t="shared" si="223"/>
        <v>0</v>
      </c>
      <c r="N97" s="91">
        <f t="shared" si="228"/>
        <v>43903</v>
      </c>
      <c r="O97" s="64">
        <f t="shared" si="224"/>
        <v>1</v>
      </c>
      <c r="P97" s="64">
        <f t="shared" si="225"/>
        <v>0</v>
      </c>
      <c r="Q97" s="91" t="str">
        <f t="shared" si="215"/>
        <v>Selesai</v>
      </c>
      <c r="R97" s="64">
        <f t="shared" si="226"/>
        <v>0</v>
      </c>
      <c r="S97" s="91">
        <v>43927</v>
      </c>
      <c r="T97" s="91">
        <v>43959</v>
      </c>
      <c r="U97" s="64">
        <f t="shared" si="217"/>
        <v>1</v>
      </c>
      <c r="V97" s="239"/>
      <c r="W97" s="64"/>
      <c r="X97" s="93"/>
      <c r="Y97" s="93"/>
      <c r="Z97" s="91" t="str">
        <f t="shared" si="218"/>
        <v>100%</v>
      </c>
      <c r="AA97" s="91"/>
      <c r="AB97" s="474"/>
      <c r="AC97" s="478" t="s">
        <v>2711</v>
      </c>
      <c r="AD97" s="91"/>
    </row>
    <row r="98" spans="2:41">
      <c r="B98" s="64" t="s">
        <v>109</v>
      </c>
      <c r="C98" s="65" t="s">
        <v>188</v>
      </c>
      <c r="D98" s="66">
        <v>9.93</v>
      </c>
      <c r="E98" s="91">
        <v>43918</v>
      </c>
      <c r="F98" s="64">
        <f t="shared" si="219"/>
        <v>1</v>
      </c>
      <c r="G98" s="91">
        <v>43921</v>
      </c>
      <c r="H98" s="64">
        <f t="shared" si="220"/>
        <v>1</v>
      </c>
      <c r="I98" s="91">
        <v>43929</v>
      </c>
      <c r="J98" s="64">
        <f t="shared" si="221"/>
        <v>0</v>
      </c>
      <c r="K98" s="91">
        <v>43941</v>
      </c>
      <c r="L98" s="64">
        <f t="shared" si="222"/>
        <v>0</v>
      </c>
      <c r="M98" s="64">
        <f t="shared" si="223"/>
        <v>0</v>
      </c>
      <c r="N98" s="91">
        <f t="shared" si="228"/>
        <v>43942</v>
      </c>
      <c r="O98" s="64">
        <f t="shared" si="224"/>
        <v>1</v>
      </c>
      <c r="P98" s="64">
        <f t="shared" si="225"/>
        <v>0</v>
      </c>
      <c r="Q98" s="91" t="str">
        <f t="shared" si="215"/>
        <v>Selesai</v>
      </c>
      <c r="R98" s="64">
        <f t="shared" si="226"/>
        <v>0</v>
      </c>
      <c r="S98" s="91">
        <v>43942</v>
      </c>
      <c r="T98" s="91">
        <v>43962</v>
      </c>
      <c r="U98" s="64">
        <f t="shared" si="217"/>
        <v>1</v>
      </c>
      <c r="V98" s="239"/>
      <c r="W98" s="64"/>
      <c r="X98" s="93"/>
      <c r="Y98" s="93"/>
      <c r="Z98" s="91" t="str">
        <f t="shared" si="218"/>
        <v>100%</v>
      </c>
      <c r="AA98" s="91"/>
      <c r="AB98" s="474"/>
      <c r="AC98" s="478" t="s">
        <v>2711</v>
      </c>
      <c r="AD98" s="91"/>
    </row>
    <row r="99" spans="2:41">
      <c r="B99" s="64" t="s">
        <v>105</v>
      </c>
      <c r="C99" s="65" t="s">
        <v>189</v>
      </c>
      <c r="D99" s="66">
        <v>9.75</v>
      </c>
      <c r="E99" s="91">
        <v>43792</v>
      </c>
      <c r="F99" s="64">
        <f t="shared" si="219"/>
        <v>1</v>
      </c>
      <c r="G99" s="91">
        <v>43797</v>
      </c>
      <c r="H99" s="64">
        <f t="shared" si="220"/>
        <v>1</v>
      </c>
      <c r="I99" s="91">
        <v>43900</v>
      </c>
      <c r="J99" s="64">
        <f t="shared" si="221"/>
        <v>0</v>
      </c>
      <c r="K99" s="91">
        <v>43827</v>
      </c>
      <c r="L99" s="64">
        <f t="shared" si="222"/>
        <v>0</v>
      </c>
      <c r="M99" s="64">
        <f t="shared" si="223"/>
        <v>0</v>
      </c>
      <c r="N99" s="91">
        <f t="shared" si="228"/>
        <v>43901</v>
      </c>
      <c r="O99" s="64">
        <f t="shared" si="224"/>
        <v>1</v>
      </c>
      <c r="P99" s="64">
        <f t="shared" si="225"/>
        <v>0</v>
      </c>
      <c r="Q99" s="91" t="str">
        <f t="shared" si="215"/>
        <v>Selesai</v>
      </c>
      <c r="R99" s="64">
        <f t="shared" si="226"/>
        <v>0</v>
      </c>
      <c r="S99" s="91">
        <v>43910</v>
      </c>
      <c r="T99" s="91">
        <v>43962</v>
      </c>
      <c r="U99" s="64">
        <f t="shared" si="217"/>
        <v>1</v>
      </c>
      <c r="V99" s="239"/>
      <c r="W99" s="64"/>
      <c r="X99" s="93"/>
      <c r="Y99" s="93"/>
      <c r="Z99" s="91" t="str">
        <f t="shared" si="218"/>
        <v>100%</v>
      </c>
      <c r="AA99" s="91"/>
      <c r="AB99" s="474"/>
      <c r="AC99" s="478" t="s">
        <v>2711</v>
      </c>
      <c r="AD99" s="91"/>
      <c r="AE99" s="92"/>
      <c r="AO99" s="84"/>
    </row>
    <row r="100" spans="2:41">
      <c r="B100" s="64" t="s">
        <v>105</v>
      </c>
      <c r="C100" s="65" t="s">
        <v>190</v>
      </c>
      <c r="D100" s="66">
        <v>14</v>
      </c>
      <c r="E100" s="91">
        <v>43793</v>
      </c>
      <c r="F100" s="64">
        <f t="shared" si="219"/>
        <v>1</v>
      </c>
      <c r="G100" s="91">
        <v>43798</v>
      </c>
      <c r="H100" s="64">
        <f t="shared" si="220"/>
        <v>1</v>
      </c>
      <c r="I100" s="91">
        <v>43901</v>
      </c>
      <c r="J100" s="64">
        <f t="shared" si="221"/>
        <v>0</v>
      </c>
      <c r="K100" s="91">
        <v>43827</v>
      </c>
      <c r="L100" s="64">
        <f t="shared" si="222"/>
        <v>0</v>
      </c>
      <c r="M100" s="64">
        <f t="shared" si="223"/>
        <v>0</v>
      </c>
      <c r="N100" s="91">
        <f t="shared" si="228"/>
        <v>43902</v>
      </c>
      <c r="O100" s="64">
        <f t="shared" si="224"/>
        <v>1</v>
      </c>
      <c r="P100" s="64">
        <f t="shared" si="225"/>
        <v>0</v>
      </c>
      <c r="Q100" s="91" t="str">
        <f t="shared" si="215"/>
        <v>Selesai</v>
      </c>
      <c r="R100" s="64">
        <f t="shared" si="226"/>
        <v>0</v>
      </c>
      <c r="S100" s="91">
        <v>43963</v>
      </c>
      <c r="T100" s="91">
        <v>43963</v>
      </c>
      <c r="U100" s="64">
        <f t="shared" si="217"/>
        <v>1</v>
      </c>
      <c r="V100" s="239"/>
      <c r="W100" s="64"/>
      <c r="X100" s="93"/>
      <c r="Y100" s="93"/>
      <c r="Z100" s="91" t="str">
        <f t="shared" si="218"/>
        <v>100%</v>
      </c>
      <c r="AA100" s="91"/>
      <c r="AB100" s="474"/>
      <c r="AC100" s="478" t="s">
        <v>2711</v>
      </c>
      <c r="AD100" s="91"/>
      <c r="AE100" s="92"/>
      <c r="AO100" s="84"/>
    </row>
    <row r="101" spans="2:41">
      <c r="B101" s="64" t="s">
        <v>105</v>
      </c>
      <c r="C101" s="65" t="s">
        <v>191</v>
      </c>
      <c r="D101" s="66">
        <v>7.8</v>
      </c>
      <c r="E101" s="91">
        <v>43887</v>
      </c>
      <c r="F101" s="64">
        <f t="shared" si="219"/>
        <v>1</v>
      </c>
      <c r="G101" s="91">
        <v>43889</v>
      </c>
      <c r="H101" s="64">
        <f t="shared" si="220"/>
        <v>1</v>
      </c>
      <c r="I101" s="91">
        <v>43930</v>
      </c>
      <c r="J101" s="64">
        <f t="shared" si="221"/>
        <v>0</v>
      </c>
      <c r="K101" s="91">
        <v>43896</v>
      </c>
      <c r="L101" s="64">
        <f t="shared" si="222"/>
        <v>0</v>
      </c>
      <c r="M101" s="64">
        <f t="shared" si="223"/>
        <v>0</v>
      </c>
      <c r="N101" s="91">
        <f t="shared" si="228"/>
        <v>43931</v>
      </c>
      <c r="O101" s="64">
        <f t="shared" si="224"/>
        <v>1</v>
      </c>
      <c r="P101" s="64">
        <f t="shared" si="225"/>
        <v>0</v>
      </c>
      <c r="Q101" s="91" t="str">
        <f t="shared" si="215"/>
        <v>Selesai</v>
      </c>
      <c r="R101" s="64">
        <f t="shared" si="226"/>
        <v>0</v>
      </c>
      <c r="S101" s="91">
        <v>43946</v>
      </c>
      <c r="T101" s="91">
        <v>43963</v>
      </c>
      <c r="U101" s="64">
        <f t="shared" si="217"/>
        <v>1</v>
      </c>
      <c r="V101" s="239"/>
      <c r="W101" s="64"/>
      <c r="X101" s="93"/>
      <c r="Y101" s="93"/>
      <c r="Z101" s="91" t="str">
        <f t="shared" si="218"/>
        <v>100%</v>
      </c>
      <c r="AA101" s="91"/>
      <c r="AB101" s="474"/>
      <c r="AC101" s="478" t="s">
        <v>2711</v>
      </c>
      <c r="AD101" s="91"/>
      <c r="AE101" s="92"/>
      <c r="AO101" s="84"/>
    </row>
    <row r="102" spans="2:41">
      <c r="B102" s="64" t="s">
        <v>107</v>
      </c>
      <c r="C102" s="65" t="s">
        <v>192</v>
      </c>
      <c r="D102" s="66">
        <v>5.96</v>
      </c>
      <c r="E102" s="91">
        <v>43932</v>
      </c>
      <c r="F102" s="64">
        <f t="shared" si="219"/>
        <v>1</v>
      </c>
      <c r="G102" s="91">
        <v>43933</v>
      </c>
      <c r="H102" s="64">
        <f t="shared" si="220"/>
        <v>1</v>
      </c>
      <c r="I102" s="91">
        <v>43937</v>
      </c>
      <c r="J102" s="64">
        <f t="shared" si="221"/>
        <v>0</v>
      </c>
      <c r="K102" s="91">
        <v>43941</v>
      </c>
      <c r="L102" s="64">
        <f t="shared" si="222"/>
        <v>0</v>
      </c>
      <c r="M102" s="64">
        <f t="shared" si="223"/>
        <v>0</v>
      </c>
      <c r="N102" s="91">
        <f t="shared" si="228"/>
        <v>43942</v>
      </c>
      <c r="O102" s="64">
        <f t="shared" si="224"/>
        <v>1</v>
      </c>
      <c r="P102" s="64">
        <f t="shared" si="225"/>
        <v>0</v>
      </c>
      <c r="Q102" s="91" t="str">
        <f t="shared" si="215"/>
        <v>Selesai</v>
      </c>
      <c r="R102" s="64">
        <f t="shared" si="226"/>
        <v>0</v>
      </c>
      <c r="S102" s="91">
        <v>43942</v>
      </c>
      <c r="T102" s="91">
        <v>43964</v>
      </c>
      <c r="U102" s="64">
        <f t="shared" si="217"/>
        <v>1</v>
      </c>
      <c r="V102" s="240"/>
      <c r="W102" s="64"/>
      <c r="X102" s="93"/>
      <c r="Y102" s="94"/>
      <c r="Z102" s="91" t="str">
        <f t="shared" si="218"/>
        <v>100%</v>
      </c>
      <c r="AA102" s="91"/>
      <c r="AB102" s="474"/>
      <c r="AC102" s="478" t="s">
        <v>2711</v>
      </c>
      <c r="AD102" s="91"/>
      <c r="AE102" s="92"/>
      <c r="AO102" s="84"/>
    </row>
    <row r="103" spans="2:41">
      <c r="B103" s="64" t="s">
        <v>107</v>
      </c>
      <c r="C103" s="65" t="s">
        <v>193</v>
      </c>
      <c r="D103" s="66">
        <v>8.65</v>
      </c>
      <c r="E103" s="91">
        <v>43932</v>
      </c>
      <c r="F103" s="64">
        <f t="shared" si="219"/>
        <v>1</v>
      </c>
      <c r="G103" s="91">
        <v>43937</v>
      </c>
      <c r="H103" s="64">
        <f t="shared" si="220"/>
        <v>1</v>
      </c>
      <c r="I103" s="91">
        <v>43942</v>
      </c>
      <c r="J103" s="64">
        <f t="shared" si="221"/>
        <v>0</v>
      </c>
      <c r="K103" s="91">
        <v>43936</v>
      </c>
      <c r="L103" s="64">
        <f t="shared" si="222"/>
        <v>0</v>
      </c>
      <c r="M103" s="64">
        <f t="shared" si="223"/>
        <v>0</v>
      </c>
      <c r="N103" s="91">
        <f t="shared" si="228"/>
        <v>43943</v>
      </c>
      <c r="O103" s="64">
        <f t="shared" si="224"/>
        <v>1</v>
      </c>
      <c r="P103" s="64">
        <f t="shared" si="225"/>
        <v>0</v>
      </c>
      <c r="Q103" s="91" t="str">
        <f t="shared" si="215"/>
        <v>Selesai</v>
      </c>
      <c r="R103" s="64">
        <f t="shared" si="226"/>
        <v>0</v>
      </c>
      <c r="S103" s="91">
        <v>43945</v>
      </c>
      <c r="T103" s="91">
        <v>43965</v>
      </c>
      <c r="U103" s="64">
        <f t="shared" si="217"/>
        <v>1</v>
      </c>
      <c r="V103" s="66"/>
      <c r="W103" s="64"/>
      <c r="X103" s="93"/>
      <c r="Y103" s="94"/>
      <c r="Z103" s="91" t="str">
        <f t="shared" si="218"/>
        <v>100%</v>
      </c>
      <c r="AA103" s="91"/>
      <c r="AB103" s="474"/>
      <c r="AC103" s="478" t="s">
        <v>2711</v>
      </c>
      <c r="AD103" s="91"/>
      <c r="AE103" s="92"/>
      <c r="AO103" s="84"/>
    </row>
    <row r="104" spans="2:41">
      <c r="B104" s="64" t="s">
        <v>107</v>
      </c>
      <c r="C104" s="65" t="s">
        <v>194</v>
      </c>
      <c r="D104" s="66">
        <v>10.1</v>
      </c>
      <c r="E104" s="91">
        <v>43940</v>
      </c>
      <c r="F104" s="64">
        <f t="shared" si="219"/>
        <v>1</v>
      </c>
      <c r="G104" s="91">
        <v>43941</v>
      </c>
      <c r="H104" s="64">
        <f t="shared" si="220"/>
        <v>1</v>
      </c>
      <c r="I104" s="91">
        <v>43954</v>
      </c>
      <c r="J104" s="64">
        <f t="shared" si="221"/>
        <v>0</v>
      </c>
      <c r="K104" s="91">
        <v>43943</v>
      </c>
      <c r="L104" s="64">
        <f t="shared" si="222"/>
        <v>0</v>
      </c>
      <c r="M104" s="64">
        <f t="shared" si="223"/>
        <v>0</v>
      </c>
      <c r="N104" s="91">
        <f t="shared" si="228"/>
        <v>43955</v>
      </c>
      <c r="O104" s="64">
        <f t="shared" si="224"/>
        <v>1</v>
      </c>
      <c r="P104" s="64">
        <f t="shared" si="225"/>
        <v>0</v>
      </c>
      <c r="Q104" s="91" t="str">
        <f t="shared" si="215"/>
        <v>Selesai</v>
      </c>
      <c r="R104" s="64">
        <f t="shared" si="226"/>
        <v>0</v>
      </c>
      <c r="S104" s="91">
        <v>43953</v>
      </c>
      <c r="T104" s="91">
        <v>43968</v>
      </c>
      <c r="U104" s="64">
        <f t="shared" si="217"/>
        <v>1</v>
      </c>
      <c r="V104" s="66"/>
      <c r="W104" s="64"/>
      <c r="X104" s="93"/>
      <c r="Y104" s="94"/>
      <c r="Z104" s="91" t="str">
        <f t="shared" si="218"/>
        <v>100%</v>
      </c>
      <c r="AA104" s="91"/>
      <c r="AB104" s="474"/>
      <c r="AC104" s="478" t="s">
        <v>2711</v>
      </c>
      <c r="AD104" s="91"/>
      <c r="AE104" s="92"/>
      <c r="AO104" s="84"/>
    </row>
    <row r="105" spans="2:41">
      <c r="B105" s="64" t="s">
        <v>113</v>
      </c>
      <c r="C105" s="65" t="s">
        <v>195</v>
      </c>
      <c r="D105" s="66">
        <v>9.6999999999999993</v>
      </c>
      <c r="E105" s="91">
        <v>43939</v>
      </c>
      <c r="F105" s="64">
        <f t="shared" si="219"/>
        <v>1</v>
      </c>
      <c r="G105" s="91">
        <v>43940</v>
      </c>
      <c r="H105" s="64">
        <f t="shared" si="220"/>
        <v>1</v>
      </c>
      <c r="I105" s="91">
        <v>43943</v>
      </c>
      <c r="J105" s="64">
        <f t="shared" si="221"/>
        <v>0</v>
      </c>
      <c r="K105" s="91">
        <v>43944</v>
      </c>
      <c r="L105" s="64">
        <f t="shared" si="222"/>
        <v>0</v>
      </c>
      <c r="M105" s="64">
        <f t="shared" si="223"/>
        <v>0</v>
      </c>
      <c r="N105" s="91">
        <f t="shared" si="228"/>
        <v>43945</v>
      </c>
      <c r="O105" s="64">
        <f t="shared" si="224"/>
        <v>1</v>
      </c>
      <c r="P105" s="64">
        <f t="shared" si="225"/>
        <v>0</v>
      </c>
      <c r="Q105" s="91" t="str">
        <f t="shared" si="215"/>
        <v>Selesai</v>
      </c>
      <c r="R105" s="64">
        <f t="shared" si="226"/>
        <v>0</v>
      </c>
      <c r="S105" s="91">
        <v>43947</v>
      </c>
      <c r="T105" s="91">
        <v>43968</v>
      </c>
      <c r="U105" s="64">
        <f t="shared" si="217"/>
        <v>1</v>
      </c>
      <c r="V105" s="66"/>
      <c r="W105" s="64"/>
      <c r="X105" s="93"/>
      <c r="Y105" s="94"/>
      <c r="Z105" s="91" t="str">
        <f t="shared" si="218"/>
        <v>100%</v>
      </c>
      <c r="AA105" s="91"/>
      <c r="AB105" s="474"/>
      <c r="AC105" s="478" t="s">
        <v>2711</v>
      </c>
      <c r="AD105" s="91"/>
      <c r="AE105" s="92"/>
      <c r="AO105" s="84"/>
    </row>
    <row r="106" spans="2:41">
      <c r="B106" s="64" t="s">
        <v>105</v>
      </c>
      <c r="C106" s="65" t="s">
        <v>196</v>
      </c>
      <c r="D106" s="66">
        <v>11.7</v>
      </c>
      <c r="E106" s="91">
        <v>43894</v>
      </c>
      <c r="F106" s="64">
        <f t="shared" si="219"/>
        <v>1</v>
      </c>
      <c r="G106" s="91">
        <v>43896</v>
      </c>
      <c r="H106" s="64">
        <f t="shared" si="220"/>
        <v>1</v>
      </c>
      <c r="I106" s="91">
        <v>43946</v>
      </c>
      <c r="J106" s="64">
        <f t="shared" si="221"/>
        <v>0</v>
      </c>
      <c r="K106" s="91">
        <v>43907</v>
      </c>
      <c r="L106" s="64">
        <f t="shared" si="222"/>
        <v>0</v>
      </c>
      <c r="M106" s="64">
        <f t="shared" si="223"/>
        <v>0</v>
      </c>
      <c r="N106" s="91">
        <f t="shared" si="228"/>
        <v>43947</v>
      </c>
      <c r="O106" s="64">
        <f t="shared" si="224"/>
        <v>1</v>
      </c>
      <c r="P106" s="64">
        <f t="shared" si="225"/>
        <v>0</v>
      </c>
      <c r="Q106" s="91" t="str">
        <f t="shared" si="215"/>
        <v>Selesai</v>
      </c>
      <c r="R106" s="64">
        <f t="shared" si="226"/>
        <v>0</v>
      </c>
      <c r="S106" s="91">
        <v>43948</v>
      </c>
      <c r="T106" s="91">
        <v>43969</v>
      </c>
      <c r="U106" s="64">
        <f t="shared" si="217"/>
        <v>1</v>
      </c>
      <c r="V106" s="239"/>
      <c r="W106" s="64"/>
      <c r="X106" s="93"/>
      <c r="Y106" s="93"/>
      <c r="Z106" s="91" t="str">
        <f t="shared" si="218"/>
        <v>100%</v>
      </c>
      <c r="AA106" s="91"/>
      <c r="AB106" s="474"/>
      <c r="AC106" s="478" t="s">
        <v>2711</v>
      </c>
      <c r="AD106" s="91"/>
      <c r="AE106" s="92"/>
      <c r="AO106" s="84"/>
    </row>
    <row r="107" spans="2:41">
      <c r="B107" s="64" t="s">
        <v>105</v>
      </c>
      <c r="C107" s="65" t="s">
        <v>197</v>
      </c>
      <c r="D107" s="66">
        <v>6.46</v>
      </c>
      <c r="E107" s="91">
        <v>43889</v>
      </c>
      <c r="F107" s="64">
        <f t="shared" si="219"/>
        <v>1</v>
      </c>
      <c r="G107" s="91">
        <v>43890</v>
      </c>
      <c r="H107" s="64">
        <f t="shared" si="220"/>
        <v>1</v>
      </c>
      <c r="I107" s="91">
        <v>43946</v>
      </c>
      <c r="J107" s="64">
        <f t="shared" si="221"/>
        <v>0</v>
      </c>
      <c r="K107" s="91">
        <v>43907</v>
      </c>
      <c r="L107" s="64">
        <f t="shared" si="222"/>
        <v>0</v>
      </c>
      <c r="M107" s="64">
        <f t="shared" si="223"/>
        <v>0</v>
      </c>
      <c r="N107" s="91">
        <f t="shared" si="228"/>
        <v>43947</v>
      </c>
      <c r="O107" s="64">
        <f t="shared" si="224"/>
        <v>1</v>
      </c>
      <c r="P107" s="64">
        <f t="shared" si="225"/>
        <v>0</v>
      </c>
      <c r="Q107" s="91" t="str">
        <f t="shared" si="215"/>
        <v>Selesai</v>
      </c>
      <c r="R107" s="64">
        <f t="shared" si="226"/>
        <v>0</v>
      </c>
      <c r="S107" s="91">
        <v>43956</v>
      </c>
      <c r="T107" s="91">
        <v>43971</v>
      </c>
      <c r="U107" s="64">
        <f t="shared" si="217"/>
        <v>1</v>
      </c>
      <c r="V107" s="239"/>
      <c r="W107" s="64"/>
      <c r="X107" s="93"/>
      <c r="Y107" s="93"/>
      <c r="Z107" s="91" t="str">
        <f t="shared" si="218"/>
        <v>100%</v>
      </c>
      <c r="AA107" s="91"/>
      <c r="AB107" s="474"/>
      <c r="AC107" s="478" t="s">
        <v>2711</v>
      </c>
      <c r="AD107" s="91"/>
      <c r="AE107" s="92"/>
      <c r="AO107" s="84"/>
    </row>
    <row r="108" spans="2:41">
      <c r="B108" s="64" t="s">
        <v>107</v>
      </c>
      <c r="C108" s="65" t="s">
        <v>198</v>
      </c>
      <c r="D108" s="66">
        <v>6.3</v>
      </c>
      <c r="E108" s="91">
        <v>43934</v>
      </c>
      <c r="F108" s="64">
        <f t="shared" si="219"/>
        <v>1</v>
      </c>
      <c r="G108" s="91">
        <v>43937</v>
      </c>
      <c r="H108" s="64">
        <f t="shared" si="220"/>
        <v>1</v>
      </c>
      <c r="I108" s="91">
        <v>43942</v>
      </c>
      <c r="J108" s="64">
        <f t="shared" si="221"/>
        <v>0</v>
      </c>
      <c r="K108" s="91">
        <v>43941</v>
      </c>
      <c r="L108" s="64">
        <f t="shared" si="222"/>
        <v>0</v>
      </c>
      <c r="M108" s="64">
        <f t="shared" si="223"/>
        <v>0</v>
      </c>
      <c r="N108" s="91">
        <f t="shared" si="228"/>
        <v>43943</v>
      </c>
      <c r="O108" s="64">
        <f t="shared" si="224"/>
        <v>1</v>
      </c>
      <c r="P108" s="64">
        <f t="shared" si="225"/>
        <v>0</v>
      </c>
      <c r="Q108" s="91" t="str">
        <f t="shared" si="215"/>
        <v>Selesai</v>
      </c>
      <c r="R108" s="64">
        <f t="shared" si="226"/>
        <v>0</v>
      </c>
      <c r="S108" s="91">
        <v>43945</v>
      </c>
      <c r="T108" s="91">
        <v>43971</v>
      </c>
      <c r="U108" s="64">
        <f t="shared" si="217"/>
        <v>1</v>
      </c>
      <c r="V108" s="66"/>
      <c r="W108" s="64"/>
      <c r="X108" s="93"/>
      <c r="Y108" s="94"/>
      <c r="Z108" s="91" t="str">
        <f t="shared" si="218"/>
        <v>100%</v>
      </c>
      <c r="AA108" s="91"/>
      <c r="AB108" s="474"/>
      <c r="AC108" s="478" t="s">
        <v>2711</v>
      </c>
      <c r="AD108" s="91"/>
      <c r="AE108" s="92"/>
      <c r="AO108" s="84"/>
    </row>
    <row r="109" spans="2:41">
      <c r="B109" s="64" t="s">
        <v>107</v>
      </c>
      <c r="C109" s="65" t="s">
        <v>199</v>
      </c>
      <c r="D109" s="66">
        <v>9.9</v>
      </c>
      <c r="E109" s="91">
        <v>43932</v>
      </c>
      <c r="F109" s="64">
        <f t="shared" si="219"/>
        <v>1</v>
      </c>
      <c r="G109" s="91">
        <v>43936</v>
      </c>
      <c r="H109" s="64">
        <f t="shared" si="220"/>
        <v>1</v>
      </c>
      <c r="I109" s="91">
        <v>43956</v>
      </c>
      <c r="J109" s="64">
        <f t="shared" si="221"/>
        <v>0</v>
      </c>
      <c r="K109" s="91">
        <v>43943</v>
      </c>
      <c r="L109" s="64">
        <f t="shared" si="222"/>
        <v>0</v>
      </c>
      <c r="M109" s="64">
        <f t="shared" si="223"/>
        <v>0</v>
      </c>
      <c r="N109" s="91">
        <f t="shared" si="228"/>
        <v>43957</v>
      </c>
      <c r="O109" s="64">
        <f t="shared" si="224"/>
        <v>1</v>
      </c>
      <c r="P109" s="64">
        <f t="shared" si="225"/>
        <v>0</v>
      </c>
      <c r="Q109" s="91" t="str">
        <f t="shared" si="215"/>
        <v>Selesai</v>
      </c>
      <c r="R109" s="64">
        <f t="shared" si="226"/>
        <v>0</v>
      </c>
      <c r="S109" s="91">
        <v>43958</v>
      </c>
      <c r="T109" s="91">
        <v>43972</v>
      </c>
      <c r="U109" s="64">
        <f t="shared" si="217"/>
        <v>1</v>
      </c>
      <c r="V109" s="66"/>
      <c r="W109" s="64"/>
      <c r="X109" s="93"/>
      <c r="Y109" s="94"/>
      <c r="Z109" s="91" t="str">
        <f t="shared" si="218"/>
        <v>100%</v>
      </c>
      <c r="AA109" s="91"/>
      <c r="AB109" s="474"/>
      <c r="AC109" s="478" t="s">
        <v>2711</v>
      </c>
      <c r="AD109" s="91"/>
      <c r="AE109" s="92"/>
      <c r="AO109" s="84"/>
    </row>
    <row r="110" spans="2:41">
      <c r="B110" s="64" t="s">
        <v>107</v>
      </c>
      <c r="C110" s="65" t="s">
        <v>200</v>
      </c>
      <c r="D110" s="66">
        <v>9.6</v>
      </c>
      <c r="E110" s="91">
        <v>43941</v>
      </c>
      <c r="F110" s="64">
        <f t="shared" si="219"/>
        <v>1</v>
      </c>
      <c r="G110" s="91">
        <v>43943</v>
      </c>
      <c r="H110" s="64">
        <f t="shared" si="220"/>
        <v>1</v>
      </c>
      <c r="I110" s="91">
        <v>43958</v>
      </c>
      <c r="J110" s="64">
        <f t="shared" si="221"/>
        <v>0</v>
      </c>
      <c r="K110" s="91">
        <v>43953</v>
      </c>
      <c r="L110" s="64">
        <f t="shared" si="222"/>
        <v>0</v>
      </c>
      <c r="M110" s="64">
        <f t="shared" si="223"/>
        <v>0</v>
      </c>
      <c r="N110" s="91">
        <f t="shared" si="228"/>
        <v>43959</v>
      </c>
      <c r="O110" s="64">
        <f t="shared" si="224"/>
        <v>1</v>
      </c>
      <c r="P110" s="64">
        <f t="shared" si="225"/>
        <v>0</v>
      </c>
      <c r="Q110" s="91" t="str">
        <f t="shared" si="215"/>
        <v>Selesai</v>
      </c>
      <c r="R110" s="64">
        <f t="shared" si="226"/>
        <v>0</v>
      </c>
      <c r="S110" s="91">
        <v>43960</v>
      </c>
      <c r="T110" s="91">
        <v>43973</v>
      </c>
      <c r="U110" s="64">
        <f t="shared" si="217"/>
        <v>1</v>
      </c>
      <c r="V110" s="238"/>
      <c r="W110" s="64"/>
      <c r="X110" s="93"/>
      <c r="Y110" s="94"/>
      <c r="Z110" s="91" t="str">
        <f t="shared" si="218"/>
        <v>100%</v>
      </c>
      <c r="AA110" s="91"/>
      <c r="AB110" s="474"/>
      <c r="AC110" s="478" t="s">
        <v>2711</v>
      </c>
      <c r="AD110" s="91"/>
      <c r="AE110" s="92"/>
      <c r="AO110" s="84"/>
    </row>
    <row r="111" spans="2:41">
      <c r="B111" s="64" t="s">
        <v>107</v>
      </c>
      <c r="C111" s="65" t="s">
        <v>201</v>
      </c>
      <c r="D111" s="66">
        <v>7.8</v>
      </c>
      <c r="E111" s="91">
        <v>43934</v>
      </c>
      <c r="F111" s="64">
        <f t="shared" si="219"/>
        <v>1</v>
      </c>
      <c r="G111" s="91">
        <v>43938</v>
      </c>
      <c r="H111" s="64">
        <f t="shared" si="220"/>
        <v>1</v>
      </c>
      <c r="I111" s="91">
        <v>43948</v>
      </c>
      <c r="J111" s="64">
        <f t="shared" si="221"/>
        <v>0</v>
      </c>
      <c r="K111" s="91">
        <v>43941</v>
      </c>
      <c r="L111" s="64">
        <f t="shared" si="222"/>
        <v>0</v>
      </c>
      <c r="M111" s="64">
        <f t="shared" si="223"/>
        <v>0</v>
      </c>
      <c r="N111" s="91">
        <f t="shared" si="228"/>
        <v>43949</v>
      </c>
      <c r="O111" s="64">
        <f t="shared" si="224"/>
        <v>1</v>
      </c>
      <c r="P111" s="64">
        <f t="shared" si="225"/>
        <v>0</v>
      </c>
      <c r="Q111" s="91" t="str">
        <f t="shared" si="215"/>
        <v>Selesai</v>
      </c>
      <c r="R111" s="64">
        <f t="shared" si="226"/>
        <v>0</v>
      </c>
      <c r="S111" s="91">
        <v>43950</v>
      </c>
      <c r="T111" s="91">
        <v>43979</v>
      </c>
      <c r="U111" s="64">
        <f t="shared" si="217"/>
        <v>1</v>
      </c>
      <c r="V111" s="239"/>
      <c r="W111" s="64"/>
      <c r="X111" s="93"/>
      <c r="Y111" s="94"/>
      <c r="Z111" s="91" t="str">
        <f t="shared" si="218"/>
        <v>100%</v>
      </c>
      <c r="AA111" s="91"/>
      <c r="AB111" s="474"/>
      <c r="AC111" s="478" t="s">
        <v>2711</v>
      </c>
      <c r="AD111" s="91"/>
      <c r="AE111" s="92"/>
      <c r="AO111" s="84"/>
    </row>
    <row r="112" spans="2:41">
      <c r="B112" s="64" t="s">
        <v>109</v>
      </c>
      <c r="C112" s="65" t="s">
        <v>202</v>
      </c>
      <c r="D112" s="66">
        <v>6.27</v>
      </c>
      <c r="E112" s="91">
        <v>43868</v>
      </c>
      <c r="F112" s="64">
        <f t="shared" ref="F112:F143" si="229">IF(E112&gt;0,1,0)</f>
        <v>1</v>
      </c>
      <c r="G112" s="91">
        <v>43885</v>
      </c>
      <c r="H112" s="64">
        <f t="shared" ref="H112:H143" si="230">IF(G112&gt;0,1,0)</f>
        <v>1</v>
      </c>
      <c r="I112" s="91">
        <v>43926</v>
      </c>
      <c r="J112" s="64">
        <f t="shared" si="221"/>
        <v>0</v>
      </c>
      <c r="K112" s="91">
        <v>43886</v>
      </c>
      <c r="L112" s="64">
        <f t="shared" si="222"/>
        <v>0</v>
      </c>
      <c r="M112" s="64">
        <f t="shared" si="223"/>
        <v>0</v>
      </c>
      <c r="N112" s="91">
        <f t="shared" si="228"/>
        <v>43927</v>
      </c>
      <c r="O112" s="64">
        <f t="shared" si="224"/>
        <v>1</v>
      </c>
      <c r="P112" s="64">
        <f t="shared" si="225"/>
        <v>0</v>
      </c>
      <c r="Q112" s="91" t="str">
        <f t="shared" si="215"/>
        <v>Selesai</v>
      </c>
      <c r="R112" s="64">
        <f t="shared" si="226"/>
        <v>0</v>
      </c>
      <c r="S112" s="91">
        <v>43927</v>
      </c>
      <c r="T112" s="91">
        <v>43979</v>
      </c>
      <c r="U112" s="64">
        <f t="shared" si="217"/>
        <v>1</v>
      </c>
      <c r="V112" s="239"/>
      <c r="W112" s="64"/>
      <c r="X112" s="93"/>
      <c r="Y112" s="93"/>
      <c r="Z112" s="91" t="str">
        <f t="shared" si="218"/>
        <v>100%</v>
      </c>
      <c r="AA112" s="91"/>
      <c r="AB112" s="474"/>
      <c r="AC112" s="478" t="s">
        <v>2711</v>
      </c>
      <c r="AD112" s="91"/>
      <c r="AE112" s="92"/>
      <c r="AO112" s="84"/>
    </row>
    <row r="113" spans="2:46">
      <c r="B113" s="64" t="s">
        <v>109</v>
      </c>
      <c r="C113" s="65" t="s">
        <v>203</v>
      </c>
      <c r="D113" s="66">
        <v>4.1900000000000004</v>
      </c>
      <c r="E113" s="91">
        <v>43951</v>
      </c>
      <c r="F113" s="64">
        <f t="shared" si="229"/>
        <v>1</v>
      </c>
      <c r="G113" s="91">
        <v>43955</v>
      </c>
      <c r="H113" s="64">
        <f t="shared" si="230"/>
        <v>1</v>
      </c>
      <c r="I113" s="91">
        <v>43962</v>
      </c>
      <c r="J113" s="64">
        <f t="shared" si="221"/>
        <v>0</v>
      </c>
      <c r="K113" s="91">
        <v>43962</v>
      </c>
      <c r="L113" s="64">
        <f t="shared" si="222"/>
        <v>0</v>
      </c>
      <c r="M113" s="64">
        <f t="shared" si="223"/>
        <v>0</v>
      </c>
      <c r="N113" s="91">
        <f t="shared" si="228"/>
        <v>43963</v>
      </c>
      <c r="O113" s="64">
        <f t="shared" si="224"/>
        <v>1</v>
      </c>
      <c r="P113" s="64">
        <f t="shared" si="225"/>
        <v>0</v>
      </c>
      <c r="Q113" s="91" t="str">
        <f t="shared" si="215"/>
        <v>Selesai</v>
      </c>
      <c r="R113" s="64">
        <f t="shared" si="226"/>
        <v>0</v>
      </c>
      <c r="S113" s="91">
        <v>43964</v>
      </c>
      <c r="T113" s="91">
        <v>43982</v>
      </c>
      <c r="U113" s="64">
        <f t="shared" si="217"/>
        <v>1</v>
      </c>
      <c r="V113" s="66"/>
      <c r="W113" s="64"/>
      <c r="X113" s="93"/>
      <c r="Y113" s="94"/>
      <c r="Z113" s="91" t="str">
        <f t="shared" si="218"/>
        <v>100%</v>
      </c>
      <c r="AA113" s="91"/>
      <c r="AB113" s="474"/>
      <c r="AC113" s="478" t="s">
        <v>2711</v>
      </c>
      <c r="AD113" s="91"/>
      <c r="AE113" s="92"/>
      <c r="AO113" s="84"/>
    </row>
    <row r="114" spans="2:46">
      <c r="B114" s="64" t="s">
        <v>107</v>
      </c>
      <c r="C114" s="65" t="s">
        <v>204</v>
      </c>
      <c r="D114" s="66">
        <v>6.47</v>
      </c>
      <c r="E114" s="91">
        <v>43940</v>
      </c>
      <c r="F114" s="64">
        <f t="shared" si="229"/>
        <v>1</v>
      </c>
      <c r="G114" s="91">
        <v>43941</v>
      </c>
      <c r="H114" s="64">
        <f t="shared" si="230"/>
        <v>1</v>
      </c>
      <c r="I114" s="91">
        <v>43955</v>
      </c>
      <c r="J114" s="64">
        <f t="shared" si="221"/>
        <v>0</v>
      </c>
      <c r="K114" s="91">
        <v>43943</v>
      </c>
      <c r="L114" s="64">
        <f t="shared" si="222"/>
        <v>0</v>
      </c>
      <c r="M114" s="64">
        <f t="shared" si="223"/>
        <v>0</v>
      </c>
      <c r="N114" s="91">
        <f t="shared" si="228"/>
        <v>43956</v>
      </c>
      <c r="O114" s="64">
        <f t="shared" si="224"/>
        <v>1</v>
      </c>
      <c r="P114" s="64">
        <f t="shared" si="225"/>
        <v>0</v>
      </c>
      <c r="Q114" s="91" t="str">
        <f t="shared" si="215"/>
        <v>Selesai</v>
      </c>
      <c r="R114" s="64">
        <f t="shared" si="226"/>
        <v>0</v>
      </c>
      <c r="S114" s="91">
        <v>43957</v>
      </c>
      <c r="T114" s="91">
        <v>43982</v>
      </c>
      <c r="U114" s="64">
        <f t="shared" si="217"/>
        <v>1</v>
      </c>
      <c r="V114" s="66"/>
      <c r="W114" s="64"/>
      <c r="X114" s="93"/>
      <c r="Y114" s="93"/>
      <c r="Z114" s="91" t="str">
        <f t="shared" si="218"/>
        <v>100%</v>
      </c>
      <c r="AA114" s="91"/>
      <c r="AB114" s="474"/>
      <c r="AC114" s="478" t="s">
        <v>2711</v>
      </c>
      <c r="AD114" s="91"/>
      <c r="AE114" s="92"/>
      <c r="AO114" s="84"/>
    </row>
    <row r="115" spans="2:46">
      <c r="B115" s="64" t="s">
        <v>107</v>
      </c>
      <c r="C115" s="65" t="s">
        <v>205</v>
      </c>
      <c r="D115" s="66">
        <v>5.13</v>
      </c>
      <c r="E115" s="91">
        <v>43937</v>
      </c>
      <c r="F115" s="64">
        <f t="shared" si="229"/>
        <v>1</v>
      </c>
      <c r="G115" s="91">
        <v>43939</v>
      </c>
      <c r="H115" s="64">
        <f t="shared" si="230"/>
        <v>1</v>
      </c>
      <c r="I115" s="91">
        <v>43962</v>
      </c>
      <c r="J115" s="64">
        <f t="shared" si="221"/>
        <v>0</v>
      </c>
      <c r="K115" s="91">
        <v>43941</v>
      </c>
      <c r="L115" s="64">
        <f t="shared" si="222"/>
        <v>0</v>
      </c>
      <c r="M115" s="64">
        <f t="shared" si="223"/>
        <v>0</v>
      </c>
      <c r="N115" s="91">
        <f t="shared" si="228"/>
        <v>43963</v>
      </c>
      <c r="O115" s="64">
        <f t="shared" si="224"/>
        <v>1</v>
      </c>
      <c r="P115" s="64">
        <f t="shared" si="225"/>
        <v>0</v>
      </c>
      <c r="Q115" s="91" t="str">
        <f t="shared" si="215"/>
        <v>Selesai</v>
      </c>
      <c r="R115" s="64">
        <f t="shared" si="226"/>
        <v>0</v>
      </c>
      <c r="S115" s="91">
        <v>43964</v>
      </c>
      <c r="T115" s="91">
        <v>43983</v>
      </c>
      <c r="U115" s="64">
        <f t="shared" si="217"/>
        <v>1</v>
      </c>
      <c r="V115" s="66"/>
      <c r="W115" s="64"/>
      <c r="X115" s="93"/>
      <c r="Y115" s="93"/>
      <c r="Z115" s="91" t="str">
        <f t="shared" si="218"/>
        <v>100%</v>
      </c>
      <c r="AA115" s="91"/>
      <c r="AB115" s="474"/>
      <c r="AC115" s="478" t="s">
        <v>2711</v>
      </c>
      <c r="AD115" s="91"/>
      <c r="AE115" s="92"/>
      <c r="AO115" s="84"/>
    </row>
    <row r="116" spans="2:46">
      <c r="B116" s="64" t="s">
        <v>105</v>
      </c>
      <c r="C116" s="65" t="s">
        <v>206</v>
      </c>
      <c r="D116" s="66">
        <v>9.6300000000000008</v>
      </c>
      <c r="E116" s="91">
        <v>43896</v>
      </c>
      <c r="F116" s="64">
        <f t="shared" si="229"/>
        <v>1</v>
      </c>
      <c r="G116" s="91">
        <v>43899</v>
      </c>
      <c r="H116" s="64">
        <f t="shared" si="230"/>
        <v>1</v>
      </c>
      <c r="I116" s="91">
        <v>43955</v>
      </c>
      <c r="J116" s="64">
        <f t="shared" si="221"/>
        <v>0</v>
      </c>
      <c r="K116" s="91">
        <v>43939</v>
      </c>
      <c r="L116" s="64">
        <f t="shared" si="222"/>
        <v>0</v>
      </c>
      <c r="M116" s="64">
        <f t="shared" si="223"/>
        <v>0</v>
      </c>
      <c r="N116" s="91">
        <f t="shared" si="228"/>
        <v>43956</v>
      </c>
      <c r="O116" s="64">
        <f t="shared" si="224"/>
        <v>1</v>
      </c>
      <c r="P116" s="64">
        <f t="shared" si="225"/>
        <v>0</v>
      </c>
      <c r="Q116" s="91" t="str">
        <f t="shared" si="215"/>
        <v>Selesai</v>
      </c>
      <c r="R116" s="64">
        <f t="shared" si="226"/>
        <v>0</v>
      </c>
      <c r="S116" s="91">
        <v>43956</v>
      </c>
      <c r="T116" s="91">
        <v>43990</v>
      </c>
      <c r="U116" s="64">
        <f t="shared" si="217"/>
        <v>1</v>
      </c>
      <c r="V116" s="238"/>
      <c r="W116" s="64"/>
      <c r="X116" s="93"/>
      <c r="Y116" s="93"/>
      <c r="Z116" s="91" t="str">
        <f t="shared" si="218"/>
        <v>100%</v>
      </c>
      <c r="AA116" s="91"/>
      <c r="AB116" s="474"/>
      <c r="AC116" s="478" t="s">
        <v>2711</v>
      </c>
      <c r="AD116" s="91"/>
      <c r="AE116" s="92"/>
      <c r="AO116" s="84"/>
    </row>
    <row r="117" spans="2:46">
      <c r="B117" s="64" t="s">
        <v>109</v>
      </c>
      <c r="C117" s="65" t="s">
        <v>207</v>
      </c>
      <c r="D117" s="66">
        <v>7.11</v>
      </c>
      <c r="E117" s="91">
        <v>43944</v>
      </c>
      <c r="F117" s="64">
        <f t="shared" si="229"/>
        <v>1</v>
      </c>
      <c r="G117" s="91">
        <v>43950</v>
      </c>
      <c r="H117" s="64">
        <f t="shared" si="230"/>
        <v>1</v>
      </c>
      <c r="I117" s="91">
        <v>43966</v>
      </c>
      <c r="J117" s="64">
        <f t="shared" si="221"/>
        <v>0</v>
      </c>
      <c r="K117" s="91">
        <v>43965</v>
      </c>
      <c r="L117" s="64">
        <f t="shared" si="222"/>
        <v>0</v>
      </c>
      <c r="M117" s="64">
        <f t="shared" si="223"/>
        <v>0</v>
      </c>
      <c r="N117" s="91">
        <f t="shared" si="228"/>
        <v>43967</v>
      </c>
      <c r="O117" s="64">
        <f t="shared" si="224"/>
        <v>1</v>
      </c>
      <c r="P117" s="64">
        <f t="shared" si="225"/>
        <v>0</v>
      </c>
      <c r="Q117" s="91" t="str">
        <f t="shared" si="215"/>
        <v>Selesai</v>
      </c>
      <c r="R117" s="64">
        <f t="shared" si="226"/>
        <v>0</v>
      </c>
      <c r="S117" s="91">
        <v>43967</v>
      </c>
      <c r="T117" s="91">
        <v>43991</v>
      </c>
      <c r="U117" s="64">
        <f t="shared" si="217"/>
        <v>1</v>
      </c>
      <c r="V117" s="238"/>
      <c r="W117" s="64"/>
      <c r="X117" s="93"/>
      <c r="Y117" s="94"/>
      <c r="Z117" s="91" t="str">
        <f t="shared" si="218"/>
        <v>100%</v>
      </c>
      <c r="AA117" s="91"/>
      <c r="AB117" s="474"/>
      <c r="AC117" s="478" t="s">
        <v>2711</v>
      </c>
      <c r="AD117" s="91"/>
      <c r="AE117" s="95"/>
      <c r="AF117" s="96"/>
      <c r="AG117" s="96"/>
      <c r="AH117" s="96"/>
      <c r="AI117" s="96"/>
      <c r="AJ117" s="96"/>
      <c r="AK117" s="96"/>
      <c r="AL117" s="96"/>
      <c r="AM117" s="96"/>
      <c r="AN117" s="96"/>
      <c r="AO117" s="84"/>
      <c r="AR117" s="96"/>
      <c r="AS117" s="96"/>
      <c r="AT117" s="96"/>
    </row>
    <row r="118" spans="2:46">
      <c r="B118" s="64" t="s">
        <v>105</v>
      </c>
      <c r="C118" s="65" t="s">
        <v>208</v>
      </c>
      <c r="D118" s="66">
        <v>11.25</v>
      </c>
      <c r="E118" s="91">
        <v>43901</v>
      </c>
      <c r="F118" s="64">
        <f t="shared" si="229"/>
        <v>1</v>
      </c>
      <c r="G118" s="91">
        <v>43905</v>
      </c>
      <c r="H118" s="64">
        <f t="shared" si="230"/>
        <v>1</v>
      </c>
      <c r="I118" s="91">
        <v>43946</v>
      </c>
      <c r="J118" s="64">
        <f t="shared" si="221"/>
        <v>0</v>
      </c>
      <c r="K118" s="91">
        <v>43929</v>
      </c>
      <c r="L118" s="64">
        <f t="shared" si="222"/>
        <v>0</v>
      </c>
      <c r="M118" s="64">
        <f t="shared" si="223"/>
        <v>0</v>
      </c>
      <c r="N118" s="91">
        <f t="shared" si="228"/>
        <v>43947</v>
      </c>
      <c r="O118" s="64">
        <f t="shared" si="224"/>
        <v>1</v>
      </c>
      <c r="P118" s="64">
        <f t="shared" si="225"/>
        <v>0</v>
      </c>
      <c r="Q118" s="91" t="str">
        <f t="shared" si="215"/>
        <v>Selesai</v>
      </c>
      <c r="R118" s="64">
        <f t="shared" si="226"/>
        <v>0</v>
      </c>
      <c r="S118" s="91">
        <v>43962</v>
      </c>
      <c r="T118" s="67">
        <v>43992</v>
      </c>
      <c r="U118" s="64">
        <f t="shared" si="217"/>
        <v>1</v>
      </c>
      <c r="V118" s="241"/>
      <c r="W118" s="64"/>
      <c r="X118" s="93"/>
      <c r="Y118" s="93"/>
      <c r="Z118" s="91" t="str">
        <f t="shared" si="218"/>
        <v>100%</v>
      </c>
      <c r="AA118" s="91"/>
      <c r="AB118" s="474"/>
      <c r="AC118" s="478" t="s">
        <v>2711</v>
      </c>
      <c r="AD118" s="91"/>
      <c r="AE118" s="95"/>
      <c r="AF118" s="96"/>
      <c r="AG118" s="96"/>
      <c r="AH118" s="96"/>
      <c r="AI118" s="96"/>
      <c r="AJ118" s="96"/>
      <c r="AK118" s="96"/>
      <c r="AL118" s="96"/>
      <c r="AM118" s="96"/>
      <c r="AN118" s="96"/>
      <c r="AO118" s="84"/>
      <c r="AR118" s="96"/>
      <c r="AS118" s="96"/>
      <c r="AT118" s="96"/>
    </row>
    <row r="119" spans="2:46">
      <c r="B119" s="64" t="s">
        <v>107</v>
      </c>
      <c r="C119" s="65" t="s">
        <v>209</v>
      </c>
      <c r="D119" s="66">
        <v>12.35</v>
      </c>
      <c r="E119" s="91">
        <v>43942</v>
      </c>
      <c r="F119" s="64">
        <f t="shared" si="229"/>
        <v>1</v>
      </c>
      <c r="G119" s="91">
        <v>43944</v>
      </c>
      <c r="H119" s="64">
        <f t="shared" si="230"/>
        <v>1</v>
      </c>
      <c r="I119" s="91">
        <v>43965</v>
      </c>
      <c r="J119" s="64">
        <f t="shared" si="221"/>
        <v>0</v>
      </c>
      <c r="K119" s="91">
        <v>43951</v>
      </c>
      <c r="L119" s="64">
        <f t="shared" si="222"/>
        <v>0</v>
      </c>
      <c r="M119" s="64">
        <f t="shared" si="223"/>
        <v>0</v>
      </c>
      <c r="N119" s="91">
        <f t="shared" si="228"/>
        <v>43966</v>
      </c>
      <c r="O119" s="64">
        <f t="shared" si="224"/>
        <v>1</v>
      </c>
      <c r="P119" s="64">
        <f t="shared" si="225"/>
        <v>0</v>
      </c>
      <c r="Q119" s="91" t="str">
        <f t="shared" si="215"/>
        <v>Selesai</v>
      </c>
      <c r="R119" s="64">
        <f t="shared" si="226"/>
        <v>0</v>
      </c>
      <c r="S119" s="91">
        <v>43967</v>
      </c>
      <c r="T119" s="67">
        <v>43997</v>
      </c>
      <c r="U119" s="64">
        <f t="shared" si="217"/>
        <v>1</v>
      </c>
      <c r="V119" s="66"/>
      <c r="W119" s="64"/>
      <c r="X119" s="93"/>
      <c r="Y119" s="93"/>
      <c r="Z119" s="91" t="str">
        <f t="shared" si="218"/>
        <v>100%</v>
      </c>
      <c r="AA119" s="91"/>
      <c r="AB119" s="474"/>
      <c r="AC119" s="478" t="s">
        <v>2711</v>
      </c>
      <c r="AD119" s="91"/>
      <c r="AE119" s="95"/>
      <c r="AF119" s="96"/>
      <c r="AG119" s="96"/>
      <c r="AH119" s="96"/>
      <c r="AI119" s="96"/>
      <c r="AJ119" s="96"/>
      <c r="AK119" s="96"/>
      <c r="AL119" s="96"/>
      <c r="AM119" s="96"/>
      <c r="AN119" s="96"/>
      <c r="AO119" s="84"/>
      <c r="AR119" s="96"/>
      <c r="AS119" s="96"/>
      <c r="AT119" s="96"/>
    </row>
    <row r="120" spans="2:46">
      <c r="B120" s="64" t="s">
        <v>107</v>
      </c>
      <c r="C120" s="65" t="s">
        <v>210</v>
      </c>
      <c r="D120" s="66">
        <v>11</v>
      </c>
      <c r="E120" s="91">
        <v>43957</v>
      </c>
      <c r="F120" s="64">
        <f t="shared" si="229"/>
        <v>1</v>
      </c>
      <c r="G120" s="91">
        <v>43964</v>
      </c>
      <c r="H120" s="64">
        <f t="shared" si="230"/>
        <v>1</v>
      </c>
      <c r="I120" s="91">
        <v>43982</v>
      </c>
      <c r="J120" s="64">
        <f t="shared" si="221"/>
        <v>0</v>
      </c>
      <c r="K120" s="91">
        <v>43967</v>
      </c>
      <c r="L120" s="64">
        <f t="shared" si="222"/>
        <v>0</v>
      </c>
      <c r="M120" s="64">
        <f t="shared" si="223"/>
        <v>0</v>
      </c>
      <c r="N120" s="91">
        <f t="shared" si="228"/>
        <v>43983</v>
      </c>
      <c r="O120" s="64">
        <f t="shared" si="224"/>
        <v>1</v>
      </c>
      <c r="P120" s="64">
        <f t="shared" si="225"/>
        <v>0</v>
      </c>
      <c r="Q120" s="91" t="str">
        <f t="shared" si="215"/>
        <v>Selesai</v>
      </c>
      <c r="R120" s="64">
        <f t="shared" si="226"/>
        <v>0</v>
      </c>
      <c r="S120" s="91">
        <v>43983</v>
      </c>
      <c r="T120" s="67">
        <v>43999</v>
      </c>
      <c r="U120" s="64">
        <f t="shared" si="217"/>
        <v>1</v>
      </c>
      <c r="V120" s="238"/>
      <c r="W120" s="64"/>
      <c r="X120" s="93"/>
      <c r="Y120" s="94"/>
      <c r="Z120" s="91" t="str">
        <f t="shared" si="218"/>
        <v>100%</v>
      </c>
      <c r="AA120" s="91"/>
      <c r="AB120" s="474"/>
      <c r="AC120" s="478" t="s">
        <v>2711</v>
      </c>
      <c r="AD120" s="91"/>
      <c r="AE120" s="95"/>
      <c r="AF120" s="96"/>
      <c r="AG120" s="96"/>
      <c r="AH120" s="96"/>
      <c r="AI120" s="96"/>
      <c r="AJ120" s="96"/>
      <c r="AK120" s="96"/>
      <c r="AL120" s="96"/>
      <c r="AM120" s="96"/>
      <c r="AN120" s="96"/>
      <c r="AO120" s="84"/>
      <c r="AR120" s="96"/>
      <c r="AS120" s="96"/>
      <c r="AT120" s="96"/>
    </row>
    <row r="121" spans="2:46">
      <c r="B121" s="64" t="s">
        <v>107</v>
      </c>
      <c r="C121" s="65" t="s">
        <v>211</v>
      </c>
      <c r="D121" s="66">
        <v>8.33</v>
      </c>
      <c r="E121" s="91">
        <v>43965</v>
      </c>
      <c r="F121" s="64">
        <f t="shared" si="229"/>
        <v>1</v>
      </c>
      <c r="G121" s="91">
        <v>43966</v>
      </c>
      <c r="H121" s="64">
        <f t="shared" si="230"/>
        <v>1</v>
      </c>
      <c r="I121" s="91">
        <v>43989</v>
      </c>
      <c r="J121" s="64">
        <f t="shared" si="221"/>
        <v>0</v>
      </c>
      <c r="K121" s="91">
        <v>43971</v>
      </c>
      <c r="L121" s="64">
        <f t="shared" si="222"/>
        <v>0</v>
      </c>
      <c r="M121" s="64">
        <f t="shared" si="223"/>
        <v>0</v>
      </c>
      <c r="N121" s="91">
        <f t="shared" si="228"/>
        <v>43990</v>
      </c>
      <c r="O121" s="64">
        <f t="shared" si="224"/>
        <v>1</v>
      </c>
      <c r="P121" s="64">
        <f t="shared" si="225"/>
        <v>0</v>
      </c>
      <c r="Q121" s="91" t="str">
        <f t="shared" si="215"/>
        <v>Selesai</v>
      </c>
      <c r="R121" s="64">
        <f t="shared" si="226"/>
        <v>0</v>
      </c>
      <c r="S121" s="91">
        <v>43990</v>
      </c>
      <c r="T121" s="67">
        <v>43999</v>
      </c>
      <c r="U121" s="64">
        <f t="shared" si="217"/>
        <v>1</v>
      </c>
      <c r="V121" s="66"/>
      <c r="W121" s="64"/>
      <c r="X121" s="93"/>
      <c r="Y121" s="93"/>
      <c r="Z121" s="91" t="str">
        <f t="shared" si="218"/>
        <v>100%</v>
      </c>
      <c r="AA121" s="91"/>
      <c r="AB121" s="474"/>
      <c r="AC121" s="478" t="s">
        <v>2711</v>
      </c>
      <c r="AD121" s="91"/>
      <c r="AE121" s="95"/>
      <c r="AF121" s="96"/>
      <c r="AG121" s="96"/>
      <c r="AH121" s="96"/>
      <c r="AI121" s="96"/>
      <c r="AJ121" s="96"/>
      <c r="AK121" s="96"/>
      <c r="AL121" s="96"/>
      <c r="AM121" s="96"/>
      <c r="AN121" s="96"/>
      <c r="AO121" s="84"/>
      <c r="AR121" s="96"/>
      <c r="AS121" s="96"/>
      <c r="AT121" s="96"/>
    </row>
    <row r="122" spans="2:46">
      <c r="B122" s="64" t="s">
        <v>109</v>
      </c>
      <c r="C122" s="65" t="s">
        <v>212</v>
      </c>
      <c r="D122" s="66">
        <v>8.39</v>
      </c>
      <c r="E122" s="91">
        <v>43958</v>
      </c>
      <c r="F122" s="64">
        <f t="shared" si="229"/>
        <v>1</v>
      </c>
      <c r="G122" s="91">
        <v>43964</v>
      </c>
      <c r="H122" s="64">
        <f t="shared" si="230"/>
        <v>1</v>
      </c>
      <c r="I122" s="91">
        <v>43985</v>
      </c>
      <c r="J122" s="64">
        <f t="shared" si="221"/>
        <v>0</v>
      </c>
      <c r="K122" s="91">
        <v>43971</v>
      </c>
      <c r="L122" s="64">
        <f t="shared" si="222"/>
        <v>0</v>
      </c>
      <c r="M122" s="64">
        <f t="shared" si="223"/>
        <v>0</v>
      </c>
      <c r="N122" s="91">
        <f t="shared" si="228"/>
        <v>43986</v>
      </c>
      <c r="O122" s="64">
        <f t="shared" si="224"/>
        <v>1</v>
      </c>
      <c r="P122" s="64">
        <f t="shared" si="225"/>
        <v>0</v>
      </c>
      <c r="Q122" s="91" t="str">
        <f t="shared" si="215"/>
        <v>Selesai</v>
      </c>
      <c r="R122" s="64">
        <f t="shared" si="226"/>
        <v>0</v>
      </c>
      <c r="S122" s="91">
        <v>43988</v>
      </c>
      <c r="T122" s="67">
        <v>43999</v>
      </c>
      <c r="U122" s="64">
        <f t="shared" si="217"/>
        <v>1</v>
      </c>
      <c r="V122" s="66"/>
      <c r="W122" s="64"/>
      <c r="X122" s="93"/>
      <c r="Y122" s="94"/>
      <c r="Z122" s="91" t="str">
        <f t="shared" si="218"/>
        <v>100%</v>
      </c>
      <c r="AA122" s="91"/>
      <c r="AB122" s="474"/>
      <c r="AC122" s="478" t="s">
        <v>2711</v>
      </c>
      <c r="AD122" s="91"/>
      <c r="AO122" s="84"/>
    </row>
    <row r="123" spans="2:46">
      <c r="B123" s="64" t="s">
        <v>107</v>
      </c>
      <c r="C123" s="65" t="s">
        <v>213</v>
      </c>
      <c r="D123" s="66">
        <v>7.13</v>
      </c>
      <c r="E123" s="91">
        <v>43965</v>
      </c>
      <c r="F123" s="64">
        <f t="shared" si="229"/>
        <v>1</v>
      </c>
      <c r="G123" s="91">
        <v>43966</v>
      </c>
      <c r="H123" s="64">
        <f t="shared" si="230"/>
        <v>1</v>
      </c>
      <c r="I123" s="91">
        <v>43989</v>
      </c>
      <c r="J123" s="64">
        <f t="shared" si="221"/>
        <v>0</v>
      </c>
      <c r="K123" s="91">
        <v>43971</v>
      </c>
      <c r="L123" s="64">
        <f t="shared" si="222"/>
        <v>0</v>
      </c>
      <c r="M123" s="64">
        <f t="shared" si="223"/>
        <v>0</v>
      </c>
      <c r="N123" s="91">
        <f t="shared" si="228"/>
        <v>43990</v>
      </c>
      <c r="O123" s="64">
        <f t="shared" si="224"/>
        <v>1</v>
      </c>
      <c r="P123" s="64">
        <f t="shared" si="225"/>
        <v>0</v>
      </c>
      <c r="Q123" s="91" t="str">
        <f t="shared" si="215"/>
        <v>Selesai</v>
      </c>
      <c r="R123" s="64">
        <f t="shared" si="226"/>
        <v>0</v>
      </c>
      <c r="S123" s="91">
        <v>43990</v>
      </c>
      <c r="T123" s="67">
        <v>44000</v>
      </c>
      <c r="U123" s="64">
        <f t="shared" si="217"/>
        <v>1</v>
      </c>
      <c r="V123" s="66"/>
      <c r="W123" s="64"/>
      <c r="X123" s="93"/>
      <c r="Y123" s="94"/>
      <c r="Z123" s="91" t="str">
        <f t="shared" si="218"/>
        <v>100%</v>
      </c>
      <c r="AA123" s="91"/>
      <c r="AB123" s="474"/>
      <c r="AC123" s="478" t="s">
        <v>2711</v>
      </c>
      <c r="AD123" s="91"/>
      <c r="AE123" s="95"/>
      <c r="AF123" s="96"/>
      <c r="AG123" s="96"/>
      <c r="AH123" s="96"/>
      <c r="AI123" s="96"/>
      <c r="AJ123" s="96"/>
      <c r="AK123" s="96"/>
      <c r="AL123" s="96"/>
      <c r="AM123" s="96"/>
      <c r="AN123" s="96"/>
      <c r="AO123" s="84"/>
      <c r="AR123" s="96"/>
      <c r="AS123" s="96"/>
      <c r="AT123" s="96"/>
    </row>
    <row r="124" spans="2:46">
      <c r="B124" s="64" t="s">
        <v>109</v>
      </c>
      <c r="C124" s="65" t="s">
        <v>214</v>
      </c>
      <c r="D124" s="66">
        <v>9.7100000000000009</v>
      </c>
      <c r="E124" s="91">
        <v>43943</v>
      </c>
      <c r="F124" s="64">
        <f t="shared" si="229"/>
        <v>1</v>
      </c>
      <c r="G124" s="91">
        <v>43946</v>
      </c>
      <c r="H124" s="64">
        <f t="shared" si="230"/>
        <v>1</v>
      </c>
      <c r="I124" s="91">
        <v>43962</v>
      </c>
      <c r="J124" s="64">
        <f t="shared" si="221"/>
        <v>0</v>
      </c>
      <c r="K124" s="91">
        <v>43962</v>
      </c>
      <c r="L124" s="64">
        <f t="shared" si="222"/>
        <v>0</v>
      </c>
      <c r="M124" s="64">
        <f t="shared" si="223"/>
        <v>0</v>
      </c>
      <c r="N124" s="91">
        <f t="shared" si="228"/>
        <v>43963</v>
      </c>
      <c r="O124" s="64">
        <f t="shared" si="224"/>
        <v>1</v>
      </c>
      <c r="P124" s="64">
        <f t="shared" si="225"/>
        <v>0</v>
      </c>
      <c r="Q124" s="91" t="str">
        <f t="shared" si="215"/>
        <v>Selesai</v>
      </c>
      <c r="R124" s="64">
        <f t="shared" si="226"/>
        <v>0</v>
      </c>
      <c r="S124" s="91">
        <v>43965</v>
      </c>
      <c r="T124" s="67">
        <v>44003</v>
      </c>
      <c r="U124" s="64">
        <f t="shared" si="217"/>
        <v>1</v>
      </c>
      <c r="V124" s="66"/>
      <c r="W124" s="64"/>
      <c r="X124" s="93"/>
      <c r="Y124" s="94"/>
      <c r="Z124" s="91" t="str">
        <f t="shared" si="218"/>
        <v>100%</v>
      </c>
      <c r="AA124" s="91"/>
      <c r="AB124" s="474"/>
      <c r="AC124" s="478" t="s">
        <v>2711</v>
      </c>
      <c r="AD124" s="91"/>
      <c r="AE124" s="95"/>
      <c r="AF124" s="96"/>
      <c r="AG124" s="96"/>
      <c r="AH124" s="96"/>
      <c r="AI124" s="96"/>
      <c r="AJ124" s="96"/>
      <c r="AK124" s="96"/>
      <c r="AL124" s="96"/>
      <c r="AM124" s="96"/>
      <c r="AN124" s="96"/>
      <c r="AO124" s="84"/>
      <c r="AR124" s="96"/>
      <c r="AS124" s="96"/>
      <c r="AT124" s="96"/>
    </row>
    <row r="125" spans="2:46">
      <c r="B125" s="64" t="s">
        <v>105</v>
      </c>
      <c r="C125" s="65" t="s">
        <v>215</v>
      </c>
      <c r="D125" s="66">
        <v>6.82</v>
      </c>
      <c r="E125" s="91">
        <v>43980</v>
      </c>
      <c r="F125" s="64">
        <f t="shared" si="229"/>
        <v>1</v>
      </c>
      <c r="G125" s="91">
        <v>43981</v>
      </c>
      <c r="H125" s="64">
        <f t="shared" si="230"/>
        <v>1</v>
      </c>
      <c r="I125" s="91">
        <v>43991</v>
      </c>
      <c r="J125" s="64">
        <f t="shared" si="221"/>
        <v>0</v>
      </c>
      <c r="K125" s="91">
        <v>43990</v>
      </c>
      <c r="L125" s="64">
        <f t="shared" si="222"/>
        <v>0</v>
      </c>
      <c r="M125" s="64">
        <f t="shared" si="223"/>
        <v>0</v>
      </c>
      <c r="N125" s="91">
        <f t="shared" si="228"/>
        <v>43992</v>
      </c>
      <c r="O125" s="64">
        <f t="shared" si="224"/>
        <v>1</v>
      </c>
      <c r="P125" s="64">
        <f t="shared" si="225"/>
        <v>0</v>
      </c>
      <c r="Q125" s="91" t="str">
        <f t="shared" si="215"/>
        <v>Selesai</v>
      </c>
      <c r="R125" s="64">
        <f t="shared" si="226"/>
        <v>0</v>
      </c>
      <c r="S125" s="91">
        <v>43994</v>
      </c>
      <c r="T125" s="67">
        <v>44003</v>
      </c>
      <c r="U125" s="64">
        <f t="shared" si="217"/>
        <v>1</v>
      </c>
      <c r="V125" s="66"/>
      <c r="W125" s="64"/>
      <c r="X125" s="93"/>
      <c r="Y125" s="94"/>
      <c r="Z125" s="91" t="str">
        <f t="shared" si="218"/>
        <v>100%</v>
      </c>
      <c r="AA125" s="91"/>
      <c r="AB125" s="474"/>
      <c r="AC125" s="478" t="s">
        <v>2711</v>
      </c>
      <c r="AD125" s="91"/>
      <c r="AE125" s="95"/>
      <c r="AF125" s="96"/>
      <c r="AG125" s="96"/>
      <c r="AH125" s="96"/>
      <c r="AI125" s="96"/>
      <c r="AJ125" s="96"/>
      <c r="AK125" s="96"/>
      <c r="AL125" s="96"/>
      <c r="AM125" s="96"/>
      <c r="AN125" s="96"/>
      <c r="AO125" s="84"/>
      <c r="AR125" s="96"/>
      <c r="AS125" s="96"/>
      <c r="AT125" s="96"/>
    </row>
    <row r="126" spans="2:46">
      <c r="B126" s="64" t="s">
        <v>109</v>
      </c>
      <c r="C126" s="65" t="s">
        <v>216</v>
      </c>
      <c r="D126" s="66">
        <v>9.52</v>
      </c>
      <c r="E126" s="91">
        <v>43990</v>
      </c>
      <c r="F126" s="64">
        <f t="shared" si="229"/>
        <v>1</v>
      </c>
      <c r="G126" s="91">
        <v>43995</v>
      </c>
      <c r="H126" s="64">
        <f t="shared" si="230"/>
        <v>1</v>
      </c>
      <c r="I126" s="91">
        <v>43997</v>
      </c>
      <c r="J126" s="64">
        <f t="shared" si="221"/>
        <v>0</v>
      </c>
      <c r="K126" s="91">
        <v>43997</v>
      </c>
      <c r="L126" s="64">
        <f t="shared" si="222"/>
        <v>0</v>
      </c>
      <c r="M126" s="64">
        <f t="shared" si="223"/>
        <v>0</v>
      </c>
      <c r="N126" s="91">
        <f t="shared" si="228"/>
        <v>43998</v>
      </c>
      <c r="O126" s="64">
        <f t="shared" si="224"/>
        <v>1</v>
      </c>
      <c r="P126" s="64">
        <f t="shared" si="225"/>
        <v>0</v>
      </c>
      <c r="Q126" s="91" t="str">
        <f t="shared" si="215"/>
        <v>Selesai</v>
      </c>
      <c r="R126" s="64">
        <f t="shared" si="226"/>
        <v>0</v>
      </c>
      <c r="S126" s="91">
        <v>43998</v>
      </c>
      <c r="T126" s="67">
        <v>44003</v>
      </c>
      <c r="U126" s="64">
        <f t="shared" si="217"/>
        <v>1</v>
      </c>
      <c r="V126" s="66"/>
      <c r="W126" s="64"/>
      <c r="X126" s="93"/>
      <c r="Y126" s="94"/>
      <c r="Z126" s="91" t="str">
        <f t="shared" si="218"/>
        <v>100%</v>
      </c>
      <c r="AA126" s="91"/>
      <c r="AB126" s="474"/>
      <c r="AC126" s="478" t="s">
        <v>2711</v>
      </c>
      <c r="AD126" s="91"/>
      <c r="AE126" s="95"/>
      <c r="AF126" s="96"/>
      <c r="AG126" s="96"/>
      <c r="AH126" s="96"/>
      <c r="AI126" s="96"/>
      <c r="AJ126" s="96"/>
      <c r="AK126" s="96"/>
      <c r="AL126" s="96"/>
      <c r="AM126" s="96"/>
      <c r="AN126" s="96"/>
      <c r="AO126" s="84"/>
      <c r="AR126" s="96"/>
      <c r="AS126" s="96"/>
      <c r="AT126" s="96"/>
    </row>
    <row r="127" spans="2:46">
      <c r="B127" s="64" t="s">
        <v>113</v>
      </c>
      <c r="C127" s="65" t="s">
        <v>217</v>
      </c>
      <c r="D127" s="66">
        <v>9.8000000000000007</v>
      </c>
      <c r="E127" s="91">
        <v>43995</v>
      </c>
      <c r="F127" s="64">
        <f t="shared" si="229"/>
        <v>1</v>
      </c>
      <c r="G127" s="91">
        <v>43997</v>
      </c>
      <c r="H127" s="64">
        <f t="shared" si="230"/>
        <v>1</v>
      </c>
      <c r="I127" s="67">
        <v>44004</v>
      </c>
      <c r="J127" s="64">
        <f t="shared" si="221"/>
        <v>0</v>
      </c>
      <c r="K127" s="67">
        <v>44002</v>
      </c>
      <c r="L127" s="64">
        <f t="shared" si="222"/>
        <v>0</v>
      </c>
      <c r="M127" s="64">
        <f t="shared" si="223"/>
        <v>0</v>
      </c>
      <c r="N127" s="91">
        <f t="shared" si="228"/>
        <v>44005</v>
      </c>
      <c r="O127" s="64">
        <f t="shared" si="224"/>
        <v>1</v>
      </c>
      <c r="P127" s="64">
        <f t="shared" si="225"/>
        <v>0</v>
      </c>
      <c r="Q127" s="91" t="str">
        <f t="shared" si="215"/>
        <v>Selesai</v>
      </c>
      <c r="R127" s="64">
        <f t="shared" si="226"/>
        <v>0</v>
      </c>
      <c r="S127" s="67">
        <v>44006</v>
      </c>
      <c r="T127" s="67">
        <v>44011</v>
      </c>
      <c r="U127" s="64">
        <f t="shared" si="217"/>
        <v>1</v>
      </c>
      <c r="V127" s="66"/>
      <c r="W127" s="64"/>
      <c r="X127" s="93"/>
      <c r="Y127" s="94"/>
      <c r="Z127" s="91" t="str">
        <f t="shared" si="218"/>
        <v>100%</v>
      </c>
      <c r="AA127" s="67"/>
      <c r="AB127" s="473"/>
      <c r="AC127" s="478" t="s">
        <v>2711</v>
      </c>
      <c r="AD127" s="67"/>
      <c r="AE127" s="95"/>
      <c r="AF127" s="96"/>
      <c r="AG127" s="96"/>
      <c r="AH127" s="96"/>
      <c r="AI127" s="96"/>
      <c r="AJ127" s="96"/>
      <c r="AK127" s="96"/>
      <c r="AL127" s="96"/>
      <c r="AM127" s="96"/>
      <c r="AN127" s="96"/>
      <c r="AO127" s="84"/>
      <c r="AR127" s="96"/>
      <c r="AS127" s="96"/>
      <c r="AT127" s="96"/>
    </row>
    <row r="128" spans="2:46">
      <c r="B128" s="64" t="s">
        <v>109</v>
      </c>
      <c r="C128" s="65" t="s">
        <v>218</v>
      </c>
      <c r="D128" s="66">
        <v>10.41</v>
      </c>
      <c r="E128" s="91">
        <v>43955</v>
      </c>
      <c r="F128" s="64">
        <f t="shared" si="229"/>
        <v>1</v>
      </c>
      <c r="G128" s="91">
        <v>43956</v>
      </c>
      <c r="H128" s="64">
        <f t="shared" si="230"/>
        <v>1</v>
      </c>
      <c r="I128" s="91">
        <v>43969</v>
      </c>
      <c r="J128" s="64">
        <f t="shared" si="221"/>
        <v>0</v>
      </c>
      <c r="K128" s="91">
        <v>43971</v>
      </c>
      <c r="L128" s="64">
        <f t="shared" si="222"/>
        <v>0</v>
      </c>
      <c r="M128" s="64">
        <f t="shared" si="223"/>
        <v>0</v>
      </c>
      <c r="N128" s="91">
        <f t="shared" ref="N128:N159" si="231">IF(AND(I128&gt;0,K128&gt;0),MAX(I128:K128)+1,"")</f>
        <v>43972</v>
      </c>
      <c r="O128" s="64">
        <f t="shared" si="224"/>
        <v>1</v>
      </c>
      <c r="P128" s="64">
        <f t="shared" si="225"/>
        <v>0</v>
      </c>
      <c r="Q128" s="91" t="str">
        <f t="shared" si="215"/>
        <v>Selesai</v>
      </c>
      <c r="R128" s="64">
        <f t="shared" si="226"/>
        <v>0</v>
      </c>
      <c r="S128" s="91">
        <v>43980</v>
      </c>
      <c r="T128" s="67">
        <v>44012</v>
      </c>
      <c r="U128" s="64">
        <f t="shared" si="217"/>
        <v>1</v>
      </c>
      <c r="V128" s="66"/>
      <c r="W128" s="64"/>
      <c r="X128" s="93"/>
      <c r="Y128" s="94"/>
      <c r="Z128" s="91" t="str">
        <f t="shared" si="218"/>
        <v>100%</v>
      </c>
      <c r="AA128" s="91"/>
      <c r="AB128" s="474"/>
      <c r="AC128" s="478" t="s">
        <v>2711</v>
      </c>
      <c r="AD128" s="91"/>
      <c r="AE128" s="95"/>
      <c r="AF128" s="96"/>
      <c r="AG128" s="96"/>
      <c r="AH128" s="96"/>
      <c r="AI128" s="96"/>
      <c r="AJ128" s="96"/>
      <c r="AK128" s="96"/>
      <c r="AL128" s="96"/>
      <c r="AM128" s="96"/>
      <c r="AN128" s="96"/>
      <c r="AO128" s="84"/>
      <c r="AR128" s="96"/>
      <c r="AS128" s="96"/>
      <c r="AT128" s="96"/>
    </row>
    <row r="129" spans="2:46">
      <c r="B129" s="64" t="s">
        <v>109</v>
      </c>
      <c r="C129" s="65" t="s">
        <v>219</v>
      </c>
      <c r="D129" s="66">
        <v>7.8</v>
      </c>
      <c r="E129" s="67">
        <v>43995</v>
      </c>
      <c r="F129" s="64">
        <f t="shared" si="229"/>
        <v>1</v>
      </c>
      <c r="G129" s="67">
        <v>44003</v>
      </c>
      <c r="H129" s="64">
        <f t="shared" si="230"/>
        <v>1</v>
      </c>
      <c r="I129" s="67">
        <v>44007</v>
      </c>
      <c r="J129" s="64">
        <f t="shared" si="221"/>
        <v>0</v>
      </c>
      <c r="K129" s="67">
        <v>44006</v>
      </c>
      <c r="L129" s="64">
        <f t="shared" si="222"/>
        <v>0</v>
      </c>
      <c r="M129" s="64">
        <f t="shared" si="223"/>
        <v>0</v>
      </c>
      <c r="N129" s="91">
        <f t="shared" si="231"/>
        <v>44008</v>
      </c>
      <c r="O129" s="64">
        <f t="shared" si="224"/>
        <v>1</v>
      </c>
      <c r="P129" s="64">
        <f t="shared" si="225"/>
        <v>0</v>
      </c>
      <c r="Q129" s="91" t="str">
        <f t="shared" si="215"/>
        <v>Selesai</v>
      </c>
      <c r="R129" s="64">
        <f t="shared" si="226"/>
        <v>0</v>
      </c>
      <c r="S129" s="67">
        <v>44008</v>
      </c>
      <c r="T129" s="67">
        <v>44015</v>
      </c>
      <c r="U129" s="64">
        <f t="shared" si="217"/>
        <v>1</v>
      </c>
      <c r="V129" s="66"/>
      <c r="W129" s="64"/>
      <c r="X129" s="93"/>
      <c r="Y129" s="94"/>
      <c r="Z129" s="91" t="str">
        <f t="shared" si="218"/>
        <v>100%</v>
      </c>
      <c r="AA129" s="67"/>
      <c r="AB129" s="473"/>
      <c r="AC129" s="478" t="s">
        <v>2711</v>
      </c>
      <c r="AD129" s="67"/>
      <c r="AE129" s="95"/>
      <c r="AF129" s="96"/>
      <c r="AG129" s="96"/>
      <c r="AH129" s="96"/>
      <c r="AI129" s="96"/>
      <c r="AJ129" s="96"/>
      <c r="AK129" s="96"/>
      <c r="AL129" s="96"/>
      <c r="AM129" s="96"/>
      <c r="AN129" s="96"/>
      <c r="AO129" s="84"/>
      <c r="AR129" s="96"/>
      <c r="AS129" s="96"/>
      <c r="AT129" s="96"/>
    </row>
    <row r="130" spans="2:46">
      <c r="B130" s="64" t="s">
        <v>107</v>
      </c>
      <c r="C130" s="65" t="s">
        <v>220</v>
      </c>
      <c r="D130" s="66">
        <v>11.21</v>
      </c>
      <c r="E130" s="91">
        <v>43993</v>
      </c>
      <c r="F130" s="64">
        <f t="shared" si="229"/>
        <v>1</v>
      </c>
      <c r="G130" s="91">
        <v>43994</v>
      </c>
      <c r="H130" s="64">
        <f t="shared" si="230"/>
        <v>1</v>
      </c>
      <c r="I130" s="67">
        <v>44001</v>
      </c>
      <c r="J130" s="64">
        <f t="shared" si="221"/>
        <v>0</v>
      </c>
      <c r="K130" s="67">
        <v>44002</v>
      </c>
      <c r="L130" s="64">
        <f t="shared" si="222"/>
        <v>0</v>
      </c>
      <c r="M130" s="64">
        <f t="shared" si="223"/>
        <v>0</v>
      </c>
      <c r="N130" s="91">
        <f t="shared" si="231"/>
        <v>44003</v>
      </c>
      <c r="O130" s="64">
        <f t="shared" si="224"/>
        <v>1</v>
      </c>
      <c r="P130" s="64">
        <f t="shared" si="225"/>
        <v>0</v>
      </c>
      <c r="Q130" s="91" t="str">
        <f t="shared" si="215"/>
        <v>Selesai</v>
      </c>
      <c r="R130" s="64">
        <f t="shared" si="226"/>
        <v>0</v>
      </c>
      <c r="S130" s="67">
        <v>44002</v>
      </c>
      <c r="T130" s="67">
        <v>44021</v>
      </c>
      <c r="U130" s="64">
        <f t="shared" si="217"/>
        <v>1</v>
      </c>
      <c r="V130" s="66"/>
      <c r="W130" s="64"/>
      <c r="X130" s="93"/>
      <c r="Y130" s="94"/>
      <c r="Z130" s="91" t="str">
        <f t="shared" si="218"/>
        <v>100%</v>
      </c>
      <c r="AA130" s="67"/>
      <c r="AB130" s="473"/>
      <c r="AC130" s="478" t="s">
        <v>2711</v>
      </c>
      <c r="AD130" s="67"/>
      <c r="AE130" s="95"/>
      <c r="AF130" s="96"/>
      <c r="AG130" s="96"/>
      <c r="AH130" s="96"/>
      <c r="AI130" s="96"/>
      <c r="AJ130" s="96"/>
      <c r="AK130" s="96"/>
      <c r="AL130" s="96"/>
      <c r="AM130" s="96"/>
      <c r="AN130" s="96"/>
      <c r="AO130" s="84"/>
      <c r="AR130" s="96"/>
      <c r="AS130" s="96"/>
      <c r="AT130" s="96"/>
    </row>
    <row r="131" spans="2:46">
      <c r="B131" s="64" t="s">
        <v>113</v>
      </c>
      <c r="C131" s="65" t="s">
        <v>221</v>
      </c>
      <c r="D131" s="66">
        <v>4.08</v>
      </c>
      <c r="E131" s="91">
        <v>43997</v>
      </c>
      <c r="F131" s="64">
        <f t="shared" si="229"/>
        <v>1</v>
      </c>
      <c r="G131" s="91">
        <v>43998</v>
      </c>
      <c r="H131" s="64">
        <f t="shared" si="230"/>
        <v>1</v>
      </c>
      <c r="I131" s="67">
        <v>44011</v>
      </c>
      <c r="J131" s="64">
        <f t="shared" si="221"/>
        <v>0</v>
      </c>
      <c r="K131" s="67">
        <v>44006</v>
      </c>
      <c r="L131" s="64">
        <f t="shared" si="222"/>
        <v>0</v>
      </c>
      <c r="M131" s="64">
        <f t="shared" si="223"/>
        <v>0</v>
      </c>
      <c r="N131" s="91">
        <f t="shared" si="231"/>
        <v>44012</v>
      </c>
      <c r="O131" s="64">
        <f t="shared" si="224"/>
        <v>1</v>
      </c>
      <c r="P131" s="64">
        <f t="shared" si="225"/>
        <v>0</v>
      </c>
      <c r="Q131" s="91" t="str">
        <f t="shared" si="215"/>
        <v>Selesai</v>
      </c>
      <c r="R131" s="64">
        <f t="shared" si="226"/>
        <v>0</v>
      </c>
      <c r="S131" s="67">
        <v>44012</v>
      </c>
      <c r="T131" s="67">
        <v>44022</v>
      </c>
      <c r="U131" s="64">
        <f t="shared" si="217"/>
        <v>1</v>
      </c>
      <c r="V131" s="66"/>
      <c r="W131" s="64"/>
      <c r="X131" s="93"/>
      <c r="Y131" s="94"/>
      <c r="Z131" s="91" t="str">
        <f t="shared" si="218"/>
        <v>100%</v>
      </c>
      <c r="AA131" s="67"/>
      <c r="AB131" s="473"/>
      <c r="AC131" s="478" t="s">
        <v>2711</v>
      </c>
      <c r="AD131" s="67"/>
      <c r="AO131" s="84"/>
    </row>
    <row r="132" spans="2:46">
      <c r="B132" s="64" t="s">
        <v>107</v>
      </c>
      <c r="C132" s="65" t="s">
        <v>222</v>
      </c>
      <c r="D132" s="66">
        <v>16.68</v>
      </c>
      <c r="E132" s="91">
        <v>43991</v>
      </c>
      <c r="F132" s="64">
        <f t="shared" si="229"/>
        <v>1</v>
      </c>
      <c r="G132" s="91">
        <v>43992</v>
      </c>
      <c r="H132" s="64">
        <f t="shared" si="230"/>
        <v>1</v>
      </c>
      <c r="I132" s="67">
        <v>44001</v>
      </c>
      <c r="J132" s="64">
        <f t="shared" si="221"/>
        <v>0</v>
      </c>
      <c r="K132" s="67">
        <v>44002</v>
      </c>
      <c r="L132" s="64">
        <f t="shared" si="222"/>
        <v>0</v>
      </c>
      <c r="M132" s="64">
        <f t="shared" si="223"/>
        <v>0</v>
      </c>
      <c r="N132" s="91">
        <f t="shared" si="231"/>
        <v>44003</v>
      </c>
      <c r="O132" s="64">
        <f t="shared" si="224"/>
        <v>1</v>
      </c>
      <c r="P132" s="64">
        <f t="shared" si="225"/>
        <v>0</v>
      </c>
      <c r="Q132" s="91" t="str">
        <f t="shared" si="215"/>
        <v>Selesai</v>
      </c>
      <c r="R132" s="64">
        <f t="shared" si="226"/>
        <v>0</v>
      </c>
      <c r="S132" s="67">
        <v>44002</v>
      </c>
      <c r="T132" s="67">
        <v>44026</v>
      </c>
      <c r="U132" s="64">
        <f t="shared" si="217"/>
        <v>1</v>
      </c>
      <c r="V132" s="66"/>
      <c r="W132" s="64"/>
      <c r="X132" s="93"/>
      <c r="Y132" s="94"/>
      <c r="Z132" s="91" t="str">
        <f t="shared" si="218"/>
        <v>100%</v>
      </c>
      <c r="AA132" s="67"/>
      <c r="AB132" s="473"/>
      <c r="AC132" s="478" t="s">
        <v>2711</v>
      </c>
      <c r="AD132" s="67"/>
      <c r="AE132" s="95"/>
      <c r="AF132" s="96"/>
      <c r="AG132" s="96"/>
      <c r="AH132" s="96"/>
      <c r="AI132" s="96"/>
      <c r="AJ132" s="96"/>
      <c r="AK132" s="96"/>
      <c r="AL132" s="96"/>
      <c r="AM132" s="96"/>
      <c r="AN132" s="96"/>
      <c r="AO132" s="84"/>
      <c r="AR132" s="96"/>
      <c r="AS132" s="96"/>
      <c r="AT132" s="96"/>
    </row>
    <row r="133" spans="2:46">
      <c r="B133" s="64" t="s">
        <v>107</v>
      </c>
      <c r="C133" s="65" t="s">
        <v>223</v>
      </c>
      <c r="D133" s="66">
        <v>9.84</v>
      </c>
      <c r="E133" s="91">
        <v>43992</v>
      </c>
      <c r="F133" s="64">
        <f t="shared" si="229"/>
        <v>1</v>
      </c>
      <c r="G133" s="91">
        <v>43994</v>
      </c>
      <c r="H133" s="64">
        <f t="shared" si="230"/>
        <v>1</v>
      </c>
      <c r="I133" s="67">
        <v>44018</v>
      </c>
      <c r="J133" s="64">
        <f t="shared" si="221"/>
        <v>0</v>
      </c>
      <c r="K133" s="67">
        <v>44002</v>
      </c>
      <c r="L133" s="64">
        <f t="shared" si="222"/>
        <v>0</v>
      </c>
      <c r="M133" s="64">
        <f t="shared" si="223"/>
        <v>0</v>
      </c>
      <c r="N133" s="91">
        <f t="shared" si="231"/>
        <v>44019</v>
      </c>
      <c r="O133" s="64">
        <f t="shared" si="224"/>
        <v>1</v>
      </c>
      <c r="P133" s="64">
        <f t="shared" si="225"/>
        <v>0</v>
      </c>
      <c r="Q133" s="91" t="str">
        <f t="shared" si="215"/>
        <v>Selesai</v>
      </c>
      <c r="R133" s="64">
        <f t="shared" si="226"/>
        <v>0</v>
      </c>
      <c r="S133" s="67">
        <v>44008</v>
      </c>
      <c r="T133" s="67">
        <v>44027</v>
      </c>
      <c r="U133" s="64">
        <f t="shared" si="217"/>
        <v>1</v>
      </c>
      <c r="V133" s="66"/>
      <c r="W133" s="64"/>
      <c r="X133" s="93"/>
      <c r="Y133" s="94"/>
      <c r="Z133" s="91" t="str">
        <f t="shared" si="218"/>
        <v>100%</v>
      </c>
      <c r="AA133" s="67"/>
      <c r="AB133" s="473"/>
      <c r="AC133" s="478" t="s">
        <v>2711</v>
      </c>
      <c r="AD133" s="67"/>
      <c r="AE133" s="95"/>
      <c r="AF133" s="96"/>
      <c r="AG133" s="96"/>
      <c r="AH133" s="96"/>
      <c r="AI133" s="96"/>
      <c r="AJ133" s="96"/>
      <c r="AK133" s="96"/>
      <c r="AL133" s="96"/>
      <c r="AM133" s="96"/>
      <c r="AN133" s="96"/>
      <c r="AO133" s="84"/>
      <c r="AR133" s="96"/>
      <c r="AS133" s="96"/>
      <c r="AT133" s="96"/>
    </row>
    <row r="134" spans="2:46">
      <c r="B134" s="64" t="s">
        <v>107</v>
      </c>
      <c r="C134" s="65" t="s">
        <v>224</v>
      </c>
      <c r="D134" s="66">
        <v>6.94</v>
      </c>
      <c r="E134" s="91">
        <v>43996</v>
      </c>
      <c r="F134" s="64">
        <f t="shared" si="229"/>
        <v>1</v>
      </c>
      <c r="G134" s="91">
        <v>43997</v>
      </c>
      <c r="H134" s="64">
        <f t="shared" si="230"/>
        <v>1</v>
      </c>
      <c r="I134" s="67">
        <v>44015</v>
      </c>
      <c r="J134" s="64">
        <f t="shared" si="221"/>
        <v>0</v>
      </c>
      <c r="K134" s="67">
        <v>44004</v>
      </c>
      <c r="L134" s="64">
        <f t="shared" si="222"/>
        <v>0</v>
      </c>
      <c r="M134" s="64">
        <f t="shared" si="223"/>
        <v>0</v>
      </c>
      <c r="N134" s="91">
        <f t="shared" si="231"/>
        <v>44016</v>
      </c>
      <c r="O134" s="64">
        <f t="shared" si="224"/>
        <v>1</v>
      </c>
      <c r="P134" s="64">
        <f t="shared" si="225"/>
        <v>0</v>
      </c>
      <c r="Q134" s="91" t="str">
        <f t="shared" si="215"/>
        <v>Selesai</v>
      </c>
      <c r="R134" s="64">
        <f t="shared" si="226"/>
        <v>0</v>
      </c>
      <c r="S134" s="67">
        <v>44007</v>
      </c>
      <c r="T134" s="67">
        <v>44027</v>
      </c>
      <c r="U134" s="64">
        <f t="shared" si="217"/>
        <v>1</v>
      </c>
      <c r="V134" s="66"/>
      <c r="W134" s="64"/>
      <c r="X134" s="93"/>
      <c r="Y134" s="94"/>
      <c r="Z134" s="91" t="str">
        <f t="shared" si="218"/>
        <v>100%</v>
      </c>
      <c r="AA134" s="67"/>
      <c r="AB134" s="473"/>
      <c r="AC134" s="478" t="s">
        <v>2711</v>
      </c>
      <c r="AD134" s="67"/>
      <c r="AE134" s="95"/>
      <c r="AF134" s="96"/>
      <c r="AG134" s="96"/>
      <c r="AH134" s="96"/>
      <c r="AI134" s="96"/>
      <c r="AJ134" s="96"/>
      <c r="AK134" s="96"/>
      <c r="AL134" s="96"/>
      <c r="AM134" s="96"/>
      <c r="AN134" s="96"/>
      <c r="AO134" s="84"/>
      <c r="AR134" s="96"/>
      <c r="AS134" s="96"/>
      <c r="AT134" s="96"/>
    </row>
    <row r="135" spans="2:46">
      <c r="B135" s="64" t="s">
        <v>105</v>
      </c>
      <c r="C135" s="65" t="s">
        <v>225</v>
      </c>
      <c r="D135" s="66">
        <v>3.31</v>
      </c>
      <c r="E135" s="67">
        <v>44009</v>
      </c>
      <c r="F135" s="64">
        <f t="shared" si="229"/>
        <v>1</v>
      </c>
      <c r="G135" s="67">
        <v>44010</v>
      </c>
      <c r="H135" s="64">
        <f t="shared" si="230"/>
        <v>1</v>
      </c>
      <c r="I135" s="67">
        <v>44017</v>
      </c>
      <c r="J135" s="64">
        <f t="shared" si="221"/>
        <v>0</v>
      </c>
      <c r="K135" s="67">
        <v>44012</v>
      </c>
      <c r="L135" s="64">
        <f t="shared" si="222"/>
        <v>0</v>
      </c>
      <c r="M135" s="64">
        <f t="shared" si="223"/>
        <v>0</v>
      </c>
      <c r="N135" s="91">
        <f t="shared" si="231"/>
        <v>44018</v>
      </c>
      <c r="O135" s="64">
        <f t="shared" si="224"/>
        <v>1</v>
      </c>
      <c r="P135" s="64">
        <f t="shared" si="225"/>
        <v>0</v>
      </c>
      <c r="Q135" s="91" t="str">
        <f t="shared" si="215"/>
        <v>Selesai</v>
      </c>
      <c r="R135" s="64">
        <f t="shared" si="226"/>
        <v>0</v>
      </c>
      <c r="S135" s="67">
        <v>44013</v>
      </c>
      <c r="T135" s="67">
        <v>44028</v>
      </c>
      <c r="U135" s="64">
        <f t="shared" si="217"/>
        <v>1</v>
      </c>
      <c r="V135" s="66"/>
      <c r="W135" s="64"/>
      <c r="X135" s="93"/>
      <c r="Y135" s="94"/>
      <c r="Z135" s="91" t="str">
        <f t="shared" si="218"/>
        <v>100%</v>
      </c>
      <c r="AA135" s="67"/>
      <c r="AB135" s="473"/>
      <c r="AC135" s="478" t="s">
        <v>2711</v>
      </c>
      <c r="AD135" s="67"/>
      <c r="AE135" s="95"/>
      <c r="AF135" s="96"/>
      <c r="AG135" s="96"/>
      <c r="AH135" s="96"/>
      <c r="AI135" s="96"/>
      <c r="AJ135" s="96"/>
      <c r="AK135" s="96"/>
      <c r="AL135" s="96"/>
      <c r="AM135" s="96"/>
      <c r="AN135" s="96"/>
      <c r="AO135" s="84"/>
      <c r="AR135" s="96"/>
      <c r="AS135" s="96"/>
      <c r="AT135" s="96"/>
    </row>
    <row r="136" spans="2:46">
      <c r="B136" s="64" t="s">
        <v>107</v>
      </c>
      <c r="C136" s="65" t="s">
        <v>226</v>
      </c>
      <c r="D136" s="66">
        <v>9.7200000000000006</v>
      </c>
      <c r="E136" s="91">
        <v>43966</v>
      </c>
      <c r="F136" s="64">
        <f t="shared" si="229"/>
        <v>1</v>
      </c>
      <c r="G136" s="91">
        <v>43967</v>
      </c>
      <c r="H136" s="64">
        <f t="shared" si="230"/>
        <v>1</v>
      </c>
      <c r="I136" s="91">
        <v>43991</v>
      </c>
      <c r="J136" s="64">
        <f t="shared" si="221"/>
        <v>0</v>
      </c>
      <c r="K136" s="91">
        <v>43997</v>
      </c>
      <c r="L136" s="64">
        <f t="shared" si="222"/>
        <v>0</v>
      </c>
      <c r="M136" s="64">
        <f t="shared" si="223"/>
        <v>0</v>
      </c>
      <c r="N136" s="91">
        <f t="shared" si="231"/>
        <v>43998</v>
      </c>
      <c r="O136" s="64">
        <f t="shared" si="224"/>
        <v>1</v>
      </c>
      <c r="P136" s="64">
        <f t="shared" si="225"/>
        <v>0</v>
      </c>
      <c r="Q136" s="91" t="str">
        <f t="shared" si="215"/>
        <v>Selesai</v>
      </c>
      <c r="R136" s="64">
        <f t="shared" si="226"/>
        <v>0</v>
      </c>
      <c r="S136" s="91">
        <v>43998</v>
      </c>
      <c r="T136" s="67">
        <v>44031</v>
      </c>
      <c r="U136" s="64">
        <f t="shared" si="217"/>
        <v>1</v>
      </c>
      <c r="V136" s="66"/>
      <c r="W136" s="64"/>
      <c r="X136" s="93"/>
      <c r="Y136" s="94"/>
      <c r="Z136" s="91" t="str">
        <f t="shared" si="218"/>
        <v>100%</v>
      </c>
      <c r="AA136" s="91"/>
      <c r="AB136" s="474"/>
      <c r="AC136" s="478" t="s">
        <v>2711</v>
      </c>
      <c r="AD136" s="91"/>
      <c r="AE136" s="95"/>
      <c r="AF136" s="96"/>
      <c r="AG136" s="96"/>
      <c r="AH136" s="96"/>
      <c r="AI136" s="96"/>
      <c r="AJ136" s="96"/>
      <c r="AK136" s="96"/>
      <c r="AL136" s="96"/>
      <c r="AM136" s="96"/>
      <c r="AN136" s="96"/>
      <c r="AO136" s="84"/>
      <c r="AR136" s="96"/>
      <c r="AS136" s="96"/>
      <c r="AT136" s="96"/>
    </row>
    <row r="137" spans="2:46">
      <c r="B137" s="64" t="s">
        <v>105</v>
      </c>
      <c r="C137" s="65" t="s">
        <v>227</v>
      </c>
      <c r="D137" s="66">
        <v>6.42</v>
      </c>
      <c r="E137" s="67">
        <v>44009</v>
      </c>
      <c r="F137" s="64">
        <f t="shared" si="229"/>
        <v>1</v>
      </c>
      <c r="G137" s="67">
        <v>44010</v>
      </c>
      <c r="H137" s="64">
        <f t="shared" si="230"/>
        <v>1</v>
      </c>
      <c r="I137" s="67">
        <v>44021</v>
      </c>
      <c r="J137" s="64">
        <f t="shared" si="221"/>
        <v>0</v>
      </c>
      <c r="K137" s="67">
        <v>44012</v>
      </c>
      <c r="L137" s="64">
        <f t="shared" si="222"/>
        <v>0</v>
      </c>
      <c r="M137" s="64">
        <f t="shared" si="223"/>
        <v>0</v>
      </c>
      <c r="N137" s="91">
        <f t="shared" si="231"/>
        <v>44022</v>
      </c>
      <c r="O137" s="64">
        <f t="shared" si="224"/>
        <v>1</v>
      </c>
      <c r="P137" s="64">
        <f t="shared" si="225"/>
        <v>0</v>
      </c>
      <c r="Q137" s="91" t="str">
        <f t="shared" ref="Q137:Q200" si="232">IF(T137&gt;0,"Selesai","Proses")</f>
        <v>Selesai</v>
      </c>
      <c r="R137" s="64">
        <f t="shared" si="226"/>
        <v>0</v>
      </c>
      <c r="S137" s="67">
        <v>44012</v>
      </c>
      <c r="T137" s="67">
        <v>44032</v>
      </c>
      <c r="U137" s="64">
        <f t="shared" ref="U137:U200" si="233">IF(T137&gt;0,1,0)</f>
        <v>1</v>
      </c>
      <c r="V137" s="66"/>
      <c r="W137" s="64"/>
      <c r="X137" s="93"/>
      <c r="Y137" s="94"/>
      <c r="Z137" s="91" t="str">
        <f t="shared" si="218"/>
        <v>100%</v>
      </c>
      <c r="AA137" s="67"/>
      <c r="AB137" s="473"/>
      <c r="AC137" s="478" t="s">
        <v>2711</v>
      </c>
      <c r="AD137" s="67"/>
      <c r="AE137" s="95"/>
      <c r="AF137" s="96"/>
      <c r="AG137" s="96"/>
      <c r="AH137" s="96"/>
      <c r="AI137" s="96"/>
      <c r="AJ137" s="96"/>
      <c r="AK137" s="96"/>
      <c r="AL137" s="96"/>
      <c r="AM137" s="96"/>
      <c r="AN137" s="96"/>
      <c r="AO137" s="84"/>
      <c r="AR137" s="96"/>
      <c r="AS137" s="96"/>
      <c r="AT137" s="96"/>
    </row>
    <row r="138" spans="2:46">
      <c r="B138" s="64" t="s">
        <v>107</v>
      </c>
      <c r="C138" s="65" t="s">
        <v>228</v>
      </c>
      <c r="D138" s="66">
        <v>10.86</v>
      </c>
      <c r="E138" s="67">
        <v>44008</v>
      </c>
      <c r="F138" s="64">
        <f t="shared" si="229"/>
        <v>1</v>
      </c>
      <c r="G138" s="67">
        <v>44009</v>
      </c>
      <c r="H138" s="64">
        <f t="shared" si="230"/>
        <v>1</v>
      </c>
      <c r="I138" s="67">
        <v>44025</v>
      </c>
      <c r="J138" s="64">
        <f t="shared" si="221"/>
        <v>0</v>
      </c>
      <c r="K138" s="67">
        <v>44014</v>
      </c>
      <c r="L138" s="64">
        <f t="shared" si="222"/>
        <v>0</v>
      </c>
      <c r="M138" s="64">
        <f t="shared" si="223"/>
        <v>0</v>
      </c>
      <c r="N138" s="91">
        <f t="shared" si="231"/>
        <v>44026</v>
      </c>
      <c r="O138" s="64">
        <f t="shared" si="224"/>
        <v>1</v>
      </c>
      <c r="P138" s="64">
        <f t="shared" si="225"/>
        <v>0</v>
      </c>
      <c r="Q138" s="91" t="str">
        <f t="shared" si="232"/>
        <v>Selesai</v>
      </c>
      <c r="R138" s="64">
        <f t="shared" si="226"/>
        <v>0</v>
      </c>
      <c r="S138" s="67">
        <v>44017</v>
      </c>
      <c r="T138" s="67">
        <v>44034</v>
      </c>
      <c r="U138" s="64">
        <f t="shared" si="233"/>
        <v>1</v>
      </c>
      <c r="V138" s="66"/>
      <c r="W138" s="64"/>
      <c r="X138" s="93"/>
      <c r="Y138" s="94"/>
      <c r="Z138" s="91" t="str">
        <f t="shared" ref="Z138:Z201" si="234">IF(T138="","","100%")</f>
        <v>100%</v>
      </c>
      <c r="AA138" s="67"/>
      <c r="AB138" s="473"/>
      <c r="AC138" s="478" t="s">
        <v>2711</v>
      </c>
      <c r="AD138" s="67"/>
      <c r="AO138" s="84"/>
    </row>
    <row r="139" spans="2:46">
      <c r="B139" s="64" t="s">
        <v>105</v>
      </c>
      <c r="C139" s="65" t="s">
        <v>229</v>
      </c>
      <c r="D139" s="66">
        <v>6.97</v>
      </c>
      <c r="E139" s="67">
        <v>44011</v>
      </c>
      <c r="F139" s="64">
        <f t="shared" si="229"/>
        <v>1</v>
      </c>
      <c r="G139" s="67">
        <v>44012</v>
      </c>
      <c r="H139" s="64">
        <f t="shared" si="230"/>
        <v>1</v>
      </c>
      <c r="I139" s="67">
        <v>44024</v>
      </c>
      <c r="J139" s="64">
        <f t="shared" si="221"/>
        <v>0</v>
      </c>
      <c r="K139" s="67">
        <v>44017</v>
      </c>
      <c r="L139" s="64">
        <f t="shared" si="222"/>
        <v>0</v>
      </c>
      <c r="M139" s="64">
        <f t="shared" si="223"/>
        <v>0</v>
      </c>
      <c r="N139" s="91">
        <f t="shared" si="231"/>
        <v>44025</v>
      </c>
      <c r="O139" s="64">
        <f t="shared" si="224"/>
        <v>1</v>
      </c>
      <c r="P139" s="64">
        <f t="shared" si="225"/>
        <v>0</v>
      </c>
      <c r="Q139" s="91" t="str">
        <f t="shared" si="232"/>
        <v>Selesai</v>
      </c>
      <c r="R139" s="64">
        <f t="shared" si="226"/>
        <v>0</v>
      </c>
      <c r="S139" s="67">
        <v>44020</v>
      </c>
      <c r="T139" s="67">
        <v>44034</v>
      </c>
      <c r="U139" s="64">
        <f t="shared" si="233"/>
        <v>1</v>
      </c>
      <c r="V139" s="66"/>
      <c r="W139" s="64"/>
      <c r="X139" s="93"/>
      <c r="Y139" s="94"/>
      <c r="Z139" s="91" t="str">
        <f t="shared" si="234"/>
        <v>100%</v>
      </c>
      <c r="AA139" s="67"/>
      <c r="AB139" s="473"/>
      <c r="AC139" s="478" t="s">
        <v>2711</v>
      </c>
      <c r="AD139" s="67"/>
      <c r="AO139" s="84"/>
    </row>
    <row r="140" spans="2:46">
      <c r="B140" s="64" t="s">
        <v>107</v>
      </c>
      <c r="C140" s="65" t="s">
        <v>230</v>
      </c>
      <c r="D140" s="66">
        <v>11.48</v>
      </c>
      <c r="E140" s="67">
        <v>43997</v>
      </c>
      <c r="F140" s="64">
        <f t="shared" si="229"/>
        <v>1</v>
      </c>
      <c r="G140" s="67">
        <v>44006</v>
      </c>
      <c r="H140" s="64">
        <f t="shared" si="230"/>
        <v>1</v>
      </c>
      <c r="I140" s="67">
        <v>44011</v>
      </c>
      <c r="J140" s="64">
        <f t="shared" si="221"/>
        <v>0</v>
      </c>
      <c r="K140" s="67">
        <v>44016</v>
      </c>
      <c r="L140" s="64">
        <f t="shared" si="222"/>
        <v>0</v>
      </c>
      <c r="M140" s="64">
        <f t="shared" si="223"/>
        <v>0</v>
      </c>
      <c r="N140" s="91">
        <f t="shared" si="231"/>
        <v>44017</v>
      </c>
      <c r="O140" s="64">
        <f t="shared" si="224"/>
        <v>1</v>
      </c>
      <c r="P140" s="64">
        <f t="shared" si="225"/>
        <v>0</v>
      </c>
      <c r="Q140" s="91" t="str">
        <f t="shared" si="232"/>
        <v>Selesai</v>
      </c>
      <c r="R140" s="64">
        <f t="shared" si="226"/>
        <v>0</v>
      </c>
      <c r="S140" s="67">
        <v>44018</v>
      </c>
      <c r="T140" s="67">
        <v>44035</v>
      </c>
      <c r="U140" s="64">
        <f t="shared" si="233"/>
        <v>1</v>
      </c>
      <c r="V140" s="66"/>
      <c r="W140" s="64"/>
      <c r="X140" s="93"/>
      <c r="Y140" s="94"/>
      <c r="Z140" s="91" t="str">
        <f t="shared" si="234"/>
        <v>100%</v>
      </c>
      <c r="AA140" s="67"/>
      <c r="AB140" s="473"/>
      <c r="AC140" s="478" t="s">
        <v>2711</v>
      </c>
      <c r="AD140" s="67"/>
      <c r="AO140" s="84"/>
    </row>
    <row r="141" spans="2:46">
      <c r="B141" s="64" t="s">
        <v>107</v>
      </c>
      <c r="C141" s="65" t="s">
        <v>231</v>
      </c>
      <c r="D141" s="66">
        <v>4.4400000000000004</v>
      </c>
      <c r="E141" s="67">
        <v>44012</v>
      </c>
      <c r="F141" s="64">
        <f t="shared" si="229"/>
        <v>1</v>
      </c>
      <c r="G141" s="67">
        <v>44013</v>
      </c>
      <c r="H141" s="64">
        <f t="shared" si="230"/>
        <v>1</v>
      </c>
      <c r="I141" s="67">
        <v>44032</v>
      </c>
      <c r="J141" s="64">
        <f t="shared" si="221"/>
        <v>0</v>
      </c>
      <c r="K141" s="67">
        <v>44019</v>
      </c>
      <c r="L141" s="64">
        <f t="shared" si="222"/>
        <v>0</v>
      </c>
      <c r="M141" s="64">
        <f t="shared" si="223"/>
        <v>0</v>
      </c>
      <c r="N141" s="91">
        <f t="shared" si="231"/>
        <v>44033</v>
      </c>
      <c r="O141" s="64">
        <f t="shared" si="224"/>
        <v>1</v>
      </c>
      <c r="P141" s="64">
        <f t="shared" si="225"/>
        <v>0</v>
      </c>
      <c r="Q141" s="91" t="str">
        <f t="shared" si="232"/>
        <v>Selesai</v>
      </c>
      <c r="R141" s="64">
        <f t="shared" si="226"/>
        <v>0</v>
      </c>
      <c r="S141" s="67">
        <v>44021</v>
      </c>
      <c r="T141" s="67">
        <v>44035</v>
      </c>
      <c r="U141" s="64">
        <f t="shared" si="233"/>
        <v>1</v>
      </c>
      <c r="V141" s="66"/>
      <c r="W141" s="64"/>
      <c r="X141" s="93"/>
      <c r="Y141" s="94"/>
      <c r="Z141" s="91" t="str">
        <f t="shared" si="234"/>
        <v>100%</v>
      </c>
      <c r="AA141" s="67"/>
      <c r="AB141" s="473"/>
      <c r="AC141" s="478" t="s">
        <v>2711</v>
      </c>
      <c r="AD141" s="67"/>
      <c r="AO141" s="84"/>
    </row>
    <row r="142" spans="2:46">
      <c r="B142" s="64" t="s">
        <v>107</v>
      </c>
      <c r="C142" s="65" t="s">
        <v>232</v>
      </c>
      <c r="D142" s="66">
        <v>8.7799999999999994</v>
      </c>
      <c r="E142" s="67">
        <v>44008</v>
      </c>
      <c r="F142" s="64">
        <f t="shared" si="229"/>
        <v>1</v>
      </c>
      <c r="G142" s="67">
        <v>44009</v>
      </c>
      <c r="H142" s="64">
        <f t="shared" si="230"/>
        <v>1</v>
      </c>
      <c r="I142" s="67">
        <v>44025</v>
      </c>
      <c r="J142" s="64">
        <f t="shared" si="221"/>
        <v>0</v>
      </c>
      <c r="K142" s="67">
        <v>44017</v>
      </c>
      <c r="L142" s="64">
        <f t="shared" si="222"/>
        <v>0</v>
      </c>
      <c r="M142" s="64">
        <f t="shared" si="223"/>
        <v>0</v>
      </c>
      <c r="N142" s="91">
        <f t="shared" si="231"/>
        <v>44026</v>
      </c>
      <c r="O142" s="64">
        <f t="shared" si="224"/>
        <v>1</v>
      </c>
      <c r="P142" s="64">
        <f t="shared" si="225"/>
        <v>0</v>
      </c>
      <c r="Q142" s="91" t="str">
        <f t="shared" si="232"/>
        <v>Selesai</v>
      </c>
      <c r="R142" s="64">
        <f t="shared" si="226"/>
        <v>0</v>
      </c>
      <c r="S142" s="67">
        <v>44022</v>
      </c>
      <c r="T142" s="67">
        <v>44035</v>
      </c>
      <c r="U142" s="64">
        <f t="shared" si="233"/>
        <v>1</v>
      </c>
      <c r="V142" s="66"/>
      <c r="W142" s="64"/>
      <c r="X142" s="93"/>
      <c r="Y142" s="94"/>
      <c r="Z142" s="91" t="str">
        <f t="shared" si="234"/>
        <v>100%</v>
      </c>
      <c r="AA142" s="67"/>
      <c r="AB142" s="473"/>
      <c r="AC142" s="478" t="s">
        <v>2711</v>
      </c>
      <c r="AD142" s="67"/>
      <c r="AO142" s="84"/>
    </row>
    <row r="143" spans="2:46">
      <c r="B143" s="64" t="s">
        <v>105</v>
      </c>
      <c r="C143" s="65" t="s">
        <v>233</v>
      </c>
      <c r="D143" s="66">
        <v>10.3</v>
      </c>
      <c r="E143" s="67">
        <v>44012</v>
      </c>
      <c r="F143" s="64">
        <f t="shared" si="229"/>
        <v>1</v>
      </c>
      <c r="G143" s="67">
        <v>44013</v>
      </c>
      <c r="H143" s="64">
        <f t="shared" si="230"/>
        <v>1</v>
      </c>
      <c r="I143" s="67">
        <v>44032</v>
      </c>
      <c r="J143" s="64">
        <f t="shared" si="221"/>
        <v>0</v>
      </c>
      <c r="K143" s="67">
        <v>44017</v>
      </c>
      <c r="L143" s="64">
        <f t="shared" si="222"/>
        <v>0</v>
      </c>
      <c r="M143" s="64">
        <f t="shared" si="223"/>
        <v>0</v>
      </c>
      <c r="N143" s="91">
        <f t="shared" si="231"/>
        <v>44033</v>
      </c>
      <c r="O143" s="64">
        <f t="shared" si="224"/>
        <v>1</v>
      </c>
      <c r="P143" s="64">
        <f t="shared" si="225"/>
        <v>0</v>
      </c>
      <c r="Q143" s="91" t="str">
        <f t="shared" si="232"/>
        <v>Selesai</v>
      </c>
      <c r="R143" s="64">
        <f t="shared" si="226"/>
        <v>0</v>
      </c>
      <c r="S143" s="67">
        <v>44024</v>
      </c>
      <c r="T143" s="67">
        <v>44038</v>
      </c>
      <c r="U143" s="64">
        <f t="shared" si="233"/>
        <v>1</v>
      </c>
      <c r="V143" s="66"/>
      <c r="W143" s="64"/>
      <c r="X143" s="93"/>
      <c r="Y143" s="94"/>
      <c r="Z143" s="91" t="str">
        <f t="shared" si="234"/>
        <v>100%</v>
      </c>
      <c r="AA143" s="67"/>
      <c r="AB143" s="473"/>
      <c r="AC143" s="478" t="s">
        <v>2711</v>
      </c>
      <c r="AD143" s="67"/>
      <c r="AE143" s="95"/>
      <c r="AF143" s="96"/>
      <c r="AG143" s="96"/>
      <c r="AH143" s="96"/>
      <c r="AI143" s="96"/>
      <c r="AJ143" s="96"/>
      <c r="AK143" s="96"/>
      <c r="AL143" s="96"/>
      <c r="AM143" s="96"/>
      <c r="AN143" s="96"/>
      <c r="AO143" s="84"/>
      <c r="AR143" s="96"/>
      <c r="AS143" s="96"/>
      <c r="AT143" s="96"/>
    </row>
    <row r="144" spans="2:46">
      <c r="B144" s="64" t="s">
        <v>109</v>
      </c>
      <c r="C144" s="65" t="s">
        <v>234</v>
      </c>
      <c r="D144" s="66">
        <v>5.85</v>
      </c>
      <c r="E144" s="67">
        <v>44013</v>
      </c>
      <c r="F144" s="64">
        <f t="shared" ref="F144:F175" si="235">IF(E144&gt;0,1,0)</f>
        <v>1</v>
      </c>
      <c r="G144" s="67">
        <v>44032</v>
      </c>
      <c r="H144" s="64">
        <f t="shared" ref="H144:H175" si="236">IF(G144&gt;0,1,0)</f>
        <v>1</v>
      </c>
      <c r="I144" s="67">
        <v>44040</v>
      </c>
      <c r="J144" s="64">
        <f t="shared" ref="J144:J207" si="237">IF(I144&gt;0,0,1)</f>
        <v>0</v>
      </c>
      <c r="K144" s="67">
        <v>44033</v>
      </c>
      <c r="L144" s="64">
        <f t="shared" ref="L144:L207" si="238">IF(K144&gt;0,0,1)</f>
        <v>0</v>
      </c>
      <c r="M144" s="64">
        <f t="shared" ref="M144:M207" si="239">IF(AND(J144&gt;0,L144&gt;0),1,0)</f>
        <v>0</v>
      </c>
      <c r="N144" s="91">
        <f t="shared" si="231"/>
        <v>44041</v>
      </c>
      <c r="O144" s="64">
        <f t="shared" ref="O144:O207" si="240">IF(N144&gt;0,1,0)</f>
        <v>1</v>
      </c>
      <c r="P144" s="64">
        <f t="shared" ref="P144:P207" si="241">IF(O144&gt;0,0,1)</f>
        <v>0</v>
      </c>
      <c r="Q144" s="91" t="str">
        <f t="shared" si="232"/>
        <v>Selesai</v>
      </c>
      <c r="R144" s="64">
        <f t="shared" ref="R144:R207" si="242">IF(Q144="proses",1,0)</f>
        <v>0</v>
      </c>
      <c r="S144" s="67">
        <v>44038</v>
      </c>
      <c r="T144" s="67">
        <v>44042</v>
      </c>
      <c r="U144" s="64">
        <f t="shared" si="233"/>
        <v>1</v>
      </c>
      <c r="V144" s="64"/>
      <c r="W144" s="64"/>
      <c r="X144" s="93"/>
      <c r="Y144" s="94"/>
      <c r="Z144" s="91" t="str">
        <f t="shared" si="234"/>
        <v>100%</v>
      </c>
      <c r="AA144" s="67"/>
      <c r="AB144" s="473"/>
      <c r="AC144" s="478" t="s">
        <v>2711</v>
      </c>
      <c r="AD144" s="67"/>
      <c r="AE144" s="95"/>
      <c r="AF144" s="96"/>
      <c r="AG144" s="96"/>
      <c r="AH144" s="96"/>
      <c r="AI144" s="96"/>
      <c r="AJ144" s="96"/>
      <c r="AK144" s="96"/>
      <c r="AL144" s="96"/>
      <c r="AM144" s="96"/>
      <c r="AN144" s="96"/>
      <c r="AO144" s="84"/>
      <c r="AR144" s="96"/>
      <c r="AS144" s="96"/>
      <c r="AT144" s="96"/>
    </row>
    <row r="145" spans="2:46">
      <c r="B145" s="64" t="s">
        <v>109</v>
      </c>
      <c r="C145" s="65" t="s">
        <v>235</v>
      </c>
      <c r="D145" s="66">
        <v>3.86</v>
      </c>
      <c r="E145" s="67">
        <v>44013</v>
      </c>
      <c r="F145" s="64">
        <f t="shared" si="235"/>
        <v>1</v>
      </c>
      <c r="G145" s="67">
        <v>44032</v>
      </c>
      <c r="H145" s="64">
        <f t="shared" si="236"/>
        <v>1</v>
      </c>
      <c r="I145" s="67">
        <v>44040</v>
      </c>
      <c r="J145" s="64">
        <f t="shared" si="237"/>
        <v>0</v>
      </c>
      <c r="K145" s="67">
        <v>44033</v>
      </c>
      <c r="L145" s="64">
        <f t="shared" si="238"/>
        <v>0</v>
      </c>
      <c r="M145" s="64">
        <f t="shared" si="239"/>
        <v>0</v>
      </c>
      <c r="N145" s="91">
        <f t="shared" si="231"/>
        <v>44041</v>
      </c>
      <c r="O145" s="64">
        <f t="shared" si="240"/>
        <v>1</v>
      </c>
      <c r="P145" s="64">
        <f t="shared" si="241"/>
        <v>0</v>
      </c>
      <c r="Q145" s="91" t="str">
        <f t="shared" si="232"/>
        <v>Selesai</v>
      </c>
      <c r="R145" s="64">
        <f t="shared" si="242"/>
        <v>0</v>
      </c>
      <c r="S145" s="67">
        <v>44034</v>
      </c>
      <c r="T145" s="67">
        <v>44042</v>
      </c>
      <c r="U145" s="64">
        <f t="shared" si="233"/>
        <v>1</v>
      </c>
      <c r="V145" s="66"/>
      <c r="W145" s="64"/>
      <c r="X145" s="93"/>
      <c r="Y145" s="94"/>
      <c r="Z145" s="91" t="str">
        <f t="shared" si="234"/>
        <v>100%</v>
      </c>
      <c r="AA145" s="67"/>
      <c r="AB145" s="473"/>
      <c r="AC145" s="478" t="s">
        <v>2711</v>
      </c>
      <c r="AD145" s="67"/>
      <c r="AE145" s="95"/>
      <c r="AF145" s="96"/>
      <c r="AG145" s="96"/>
      <c r="AH145" s="96"/>
      <c r="AI145" s="96"/>
      <c r="AJ145" s="96"/>
      <c r="AK145" s="96"/>
      <c r="AL145" s="96"/>
      <c r="AM145" s="96"/>
      <c r="AN145" s="96"/>
      <c r="AO145" s="84"/>
      <c r="AR145" s="96"/>
      <c r="AS145" s="96"/>
      <c r="AT145" s="96"/>
    </row>
    <row r="146" spans="2:46">
      <c r="B146" s="64" t="s">
        <v>113</v>
      </c>
      <c r="C146" s="65" t="s">
        <v>236</v>
      </c>
      <c r="D146" s="66">
        <v>12.93</v>
      </c>
      <c r="E146" s="67">
        <v>44011</v>
      </c>
      <c r="F146" s="64">
        <f t="shared" si="235"/>
        <v>1</v>
      </c>
      <c r="G146" s="67">
        <v>44012</v>
      </c>
      <c r="H146" s="64">
        <f t="shared" si="236"/>
        <v>1</v>
      </c>
      <c r="I146" s="67">
        <v>44037</v>
      </c>
      <c r="J146" s="64">
        <f t="shared" si="237"/>
        <v>0</v>
      </c>
      <c r="K146" s="67">
        <v>44023</v>
      </c>
      <c r="L146" s="64">
        <f t="shared" si="238"/>
        <v>0</v>
      </c>
      <c r="M146" s="64">
        <f t="shared" si="239"/>
        <v>0</v>
      </c>
      <c r="N146" s="91">
        <f t="shared" si="231"/>
        <v>44038</v>
      </c>
      <c r="O146" s="64">
        <f t="shared" si="240"/>
        <v>1</v>
      </c>
      <c r="P146" s="64">
        <f t="shared" si="241"/>
        <v>0</v>
      </c>
      <c r="Q146" s="91" t="str">
        <f t="shared" si="232"/>
        <v>Selesai</v>
      </c>
      <c r="R146" s="64">
        <f t="shared" si="242"/>
        <v>0</v>
      </c>
      <c r="S146" s="67">
        <v>44027</v>
      </c>
      <c r="T146" s="67">
        <v>44042</v>
      </c>
      <c r="U146" s="64">
        <f t="shared" si="233"/>
        <v>1</v>
      </c>
      <c r="V146" s="66"/>
      <c r="W146" s="64"/>
      <c r="X146" s="93"/>
      <c r="Y146" s="94"/>
      <c r="Z146" s="91" t="str">
        <f t="shared" si="234"/>
        <v>100%</v>
      </c>
      <c r="AA146" s="67"/>
      <c r="AB146" s="473"/>
      <c r="AC146" s="478" t="s">
        <v>2711</v>
      </c>
      <c r="AD146" s="67"/>
      <c r="AE146" s="95"/>
      <c r="AF146" s="96"/>
      <c r="AG146" s="96"/>
      <c r="AH146" s="96"/>
      <c r="AI146" s="96"/>
      <c r="AJ146" s="96"/>
      <c r="AK146" s="96"/>
      <c r="AL146" s="96"/>
      <c r="AM146" s="96"/>
      <c r="AN146" s="96"/>
      <c r="AO146" s="84"/>
      <c r="AR146" s="96"/>
      <c r="AS146" s="96"/>
      <c r="AT146" s="96"/>
    </row>
    <row r="147" spans="2:46">
      <c r="B147" s="64" t="s">
        <v>109</v>
      </c>
      <c r="C147" s="65" t="s">
        <v>237</v>
      </c>
      <c r="D147" s="66">
        <v>8.8800000000000008</v>
      </c>
      <c r="E147" s="67">
        <v>44025</v>
      </c>
      <c r="F147" s="64">
        <f t="shared" si="235"/>
        <v>1</v>
      </c>
      <c r="G147" s="67">
        <v>44026</v>
      </c>
      <c r="H147" s="64">
        <f t="shared" si="236"/>
        <v>1</v>
      </c>
      <c r="I147" s="67">
        <v>44041</v>
      </c>
      <c r="J147" s="64">
        <f t="shared" si="237"/>
        <v>0</v>
      </c>
      <c r="K147" s="67">
        <v>44029</v>
      </c>
      <c r="L147" s="64">
        <f t="shared" si="238"/>
        <v>0</v>
      </c>
      <c r="M147" s="64">
        <f t="shared" si="239"/>
        <v>0</v>
      </c>
      <c r="N147" s="91">
        <f t="shared" si="231"/>
        <v>44042</v>
      </c>
      <c r="O147" s="64">
        <f t="shared" si="240"/>
        <v>1</v>
      </c>
      <c r="P147" s="64">
        <f t="shared" si="241"/>
        <v>0</v>
      </c>
      <c r="Q147" s="91" t="str">
        <f t="shared" si="232"/>
        <v>Selesai</v>
      </c>
      <c r="R147" s="64">
        <f t="shared" si="242"/>
        <v>0</v>
      </c>
      <c r="S147" s="67">
        <v>44031</v>
      </c>
      <c r="T147" s="67">
        <v>44042</v>
      </c>
      <c r="U147" s="64">
        <f t="shared" si="233"/>
        <v>1</v>
      </c>
      <c r="V147" s="66"/>
      <c r="W147" s="64"/>
      <c r="X147" s="93"/>
      <c r="Y147" s="94"/>
      <c r="Z147" s="91" t="str">
        <f t="shared" si="234"/>
        <v>100%</v>
      </c>
      <c r="AA147" s="67"/>
      <c r="AB147" s="473"/>
      <c r="AC147" s="478" t="s">
        <v>2711</v>
      </c>
      <c r="AD147" s="67"/>
      <c r="AE147" s="95"/>
      <c r="AF147" s="96"/>
      <c r="AG147" s="96"/>
      <c r="AH147" s="96"/>
      <c r="AI147" s="96"/>
      <c r="AJ147" s="96"/>
      <c r="AK147" s="96"/>
      <c r="AL147" s="96"/>
      <c r="AM147" s="96"/>
      <c r="AN147" s="96"/>
      <c r="AR147" s="96"/>
      <c r="AS147" s="96"/>
      <c r="AT147" s="96"/>
    </row>
    <row r="148" spans="2:46">
      <c r="B148" s="64" t="s">
        <v>113</v>
      </c>
      <c r="C148" s="65" t="s">
        <v>238</v>
      </c>
      <c r="D148" s="66">
        <v>17.079999999999998</v>
      </c>
      <c r="E148" s="67">
        <v>44023</v>
      </c>
      <c r="F148" s="64">
        <f t="shared" si="235"/>
        <v>1</v>
      </c>
      <c r="G148" s="67">
        <v>44024</v>
      </c>
      <c r="H148" s="64">
        <f t="shared" si="236"/>
        <v>1</v>
      </c>
      <c r="I148" s="67">
        <v>44045</v>
      </c>
      <c r="J148" s="64">
        <f t="shared" si="237"/>
        <v>0</v>
      </c>
      <c r="K148" s="67">
        <v>44028</v>
      </c>
      <c r="L148" s="64">
        <f t="shared" si="238"/>
        <v>0</v>
      </c>
      <c r="M148" s="64">
        <f t="shared" si="239"/>
        <v>0</v>
      </c>
      <c r="N148" s="91">
        <f t="shared" si="231"/>
        <v>44046</v>
      </c>
      <c r="O148" s="64">
        <f t="shared" si="240"/>
        <v>1</v>
      </c>
      <c r="P148" s="64">
        <f t="shared" si="241"/>
        <v>0</v>
      </c>
      <c r="Q148" s="91" t="str">
        <f t="shared" si="232"/>
        <v>Selesai</v>
      </c>
      <c r="R148" s="64">
        <f t="shared" si="242"/>
        <v>0</v>
      </c>
      <c r="S148" s="67">
        <v>44034</v>
      </c>
      <c r="T148" s="67">
        <v>44047</v>
      </c>
      <c r="U148" s="64">
        <f t="shared" si="233"/>
        <v>1</v>
      </c>
      <c r="V148" s="66"/>
      <c r="W148" s="64"/>
      <c r="X148" s="93"/>
      <c r="Y148" s="94"/>
      <c r="Z148" s="91" t="str">
        <f t="shared" si="234"/>
        <v>100%</v>
      </c>
      <c r="AA148" s="67"/>
      <c r="AB148" s="473"/>
      <c r="AC148" s="478" t="s">
        <v>2711</v>
      </c>
      <c r="AD148" s="67"/>
      <c r="AE148" s="95"/>
      <c r="AF148" s="96"/>
      <c r="AG148" s="96"/>
      <c r="AH148" s="96"/>
      <c r="AI148" s="96"/>
      <c r="AJ148" s="96"/>
      <c r="AK148" s="96"/>
      <c r="AL148" s="96"/>
      <c r="AM148" s="96"/>
      <c r="AN148" s="96"/>
      <c r="AO148" s="84"/>
      <c r="AR148" s="96"/>
      <c r="AS148" s="96"/>
      <c r="AT148" s="96"/>
    </row>
    <row r="149" spans="2:46">
      <c r="B149" s="64" t="s">
        <v>113</v>
      </c>
      <c r="C149" s="65" t="s">
        <v>239</v>
      </c>
      <c r="D149" s="66">
        <v>6.37</v>
      </c>
      <c r="E149" s="67">
        <v>44023</v>
      </c>
      <c r="F149" s="64">
        <f t="shared" si="235"/>
        <v>1</v>
      </c>
      <c r="G149" s="67">
        <v>44026</v>
      </c>
      <c r="H149" s="64">
        <f t="shared" si="236"/>
        <v>1</v>
      </c>
      <c r="I149" s="67">
        <v>44044</v>
      </c>
      <c r="J149" s="64">
        <f t="shared" si="237"/>
        <v>0</v>
      </c>
      <c r="K149" s="67">
        <v>44029</v>
      </c>
      <c r="L149" s="64">
        <f t="shared" si="238"/>
        <v>0</v>
      </c>
      <c r="M149" s="64">
        <f t="shared" si="239"/>
        <v>0</v>
      </c>
      <c r="N149" s="91">
        <f t="shared" si="231"/>
        <v>44045</v>
      </c>
      <c r="O149" s="64">
        <f t="shared" si="240"/>
        <v>1</v>
      </c>
      <c r="P149" s="64">
        <f t="shared" si="241"/>
        <v>0</v>
      </c>
      <c r="Q149" s="91" t="str">
        <f t="shared" si="232"/>
        <v>Selesai</v>
      </c>
      <c r="R149" s="64">
        <f t="shared" si="242"/>
        <v>0</v>
      </c>
      <c r="S149" s="67">
        <v>44032</v>
      </c>
      <c r="T149" s="67">
        <v>44047</v>
      </c>
      <c r="U149" s="64">
        <f t="shared" si="233"/>
        <v>1</v>
      </c>
      <c r="V149" s="66"/>
      <c r="W149" s="64"/>
      <c r="X149" s="93"/>
      <c r="Y149" s="94"/>
      <c r="Z149" s="91" t="str">
        <f t="shared" si="234"/>
        <v>100%</v>
      </c>
      <c r="AA149" s="67"/>
      <c r="AB149" s="473"/>
      <c r="AC149" s="478" t="s">
        <v>2711</v>
      </c>
      <c r="AD149" s="67"/>
      <c r="AE149" s="95"/>
      <c r="AF149" s="96"/>
      <c r="AG149" s="96"/>
      <c r="AH149" s="96"/>
      <c r="AI149" s="96"/>
      <c r="AJ149" s="96"/>
      <c r="AK149" s="96"/>
      <c r="AL149" s="96"/>
      <c r="AM149" s="96"/>
      <c r="AN149" s="96"/>
      <c r="AO149" s="84"/>
      <c r="AR149" s="96"/>
      <c r="AS149" s="96"/>
      <c r="AT149" s="96"/>
    </row>
    <row r="150" spans="2:46">
      <c r="B150" s="64" t="s">
        <v>113</v>
      </c>
      <c r="C150" s="65" t="s">
        <v>240</v>
      </c>
      <c r="D150" s="66">
        <v>4.74</v>
      </c>
      <c r="E150" s="67">
        <v>44023</v>
      </c>
      <c r="F150" s="64">
        <f t="shared" si="235"/>
        <v>1</v>
      </c>
      <c r="G150" s="67">
        <v>44024</v>
      </c>
      <c r="H150" s="64">
        <f t="shared" si="236"/>
        <v>1</v>
      </c>
      <c r="I150" s="67">
        <v>44045</v>
      </c>
      <c r="J150" s="64">
        <f t="shared" si="237"/>
        <v>0</v>
      </c>
      <c r="K150" s="67">
        <v>44028</v>
      </c>
      <c r="L150" s="64">
        <f t="shared" si="238"/>
        <v>0</v>
      </c>
      <c r="M150" s="64">
        <f t="shared" si="239"/>
        <v>0</v>
      </c>
      <c r="N150" s="91">
        <f t="shared" si="231"/>
        <v>44046</v>
      </c>
      <c r="O150" s="64">
        <f t="shared" si="240"/>
        <v>1</v>
      </c>
      <c r="P150" s="64">
        <f t="shared" si="241"/>
        <v>0</v>
      </c>
      <c r="Q150" s="91" t="str">
        <f t="shared" si="232"/>
        <v>Selesai</v>
      </c>
      <c r="R150" s="64">
        <f t="shared" si="242"/>
        <v>0</v>
      </c>
      <c r="S150" s="67">
        <v>44034</v>
      </c>
      <c r="T150" s="67">
        <v>44047</v>
      </c>
      <c r="U150" s="64">
        <f t="shared" si="233"/>
        <v>1</v>
      </c>
      <c r="V150" s="66"/>
      <c r="W150" s="64"/>
      <c r="X150" s="93"/>
      <c r="Y150" s="94"/>
      <c r="Z150" s="91" t="str">
        <f t="shared" si="234"/>
        <v>100%</v>
      </c>
      <c r="AA150" s="67"/>
      <c r="AB150" s="473"/>
      <c r="AC150" s="478" t="s">
        <v>2711</v>
      </c>
      <c r="AD150" s="67"/>
      <c r="AE150" s="95"/>
      <c r="AF150" s="96"/>
      <c r="AG150" s="96"/>
      <c r="AH150" s="96"/>
      <c r="AI150" s="96"/>
      <c r="AJ150" s="96"/>
      <c r="AK150" s="96"/>
      <c r="AL150" s="96"/>
      <c r="AM150" s="96"/>
      <c r="AN150" s="96"/>
      <c r="AO150" s="84"/>
      <c r="AR150" s="96"/>
      <c r="AS150" s="96"/>
      <c r="AT150" s="96"/>
    </row>
    <row r="151" spans="2:46">
      <c r="B151" s="64" t="s">
        <v>109</v>
      </c>
      <c r="C151" s="65" t="s">
        <v>241</v>
      </c>
      <c r="D151" s="66">
        <v>12.7</v>
      </c>
      <c r="E151" s="67">
        <v>44025</v>
      </c>
      <c r="F151" s="64">
        <f t="shared" si="235"/>
        <v>1</v>
      </c>
      <c r="G151" s="67">
        <v>44026</v>
      </c>
      <c r="H151" s="64">
        <f t="shared" si="236"/>
        <v>1</v>
      </c>
      <c r="I151" s="67">
        <v>44040</v>
      </c>
      <c r="J151" s="64">
        <f t="shared" si="237"/>
        <v>0</v>
      </c>
      <c r="K151" s="67">
        <v>44033</v>
      </c>
      <c r="L151" s="64">
        <f t="shared" si="238"/>
        <v>0</v>
      </c>
      <c r="M151" s="64">
        <f t="shared" si="239"/>
        <v>0</v>
      </c>
      <c r="N151" s="91">
        <f t="shared" si="231"/>
        <v>44041</v>
      </c>
      <c r="O151" s="64">
        <f t="shared" si="240"/>
        <v>1</v>
      </c>
      <c r="P151" s="64">
        <f t="shared" si="241"/>
        <v>0</v>
      </c>
      <c r="Q151" s="91" t="str">
        <f t="shared" si="232"/>
        <v>Selesai</v>
      </c>
      <c r="R151" s="64">
        <f t="shared" si="242"/>
        <v>0</v>
      </c>
      <c r="S151" s="67">
        <v>44041</v>
      </c>
      <c r="T151" s="67">
        <v>44054</v>
      </c>
      <c r="U151" s="64">
        <f t="shared" si="233"/>
        <v>1</v>
      </c>
      <c r="V151" s="66"/>
      <c r="W151" s="64"/>
      <c r="X151" s="93"/>
      <c r="Y151" s="94"/>
      <c r="Z151" s="91" t="str">
        <f t="shared" si="234"/>
        <v>100%</v>
      </c>
      <c r="AA151" s="67"/>
      <c r="AB151" s="473"/>
      <c r="AC151" s="478" t="s">
        <v>2711</v>
      </c>
      <c r="AD151" s="67"/>
      <c r="AE151" s="95"/>
      <c r="AF151" s="96"/>
      <c r="AG151" s="96"/>
      <c r="AH151" s="96"/>
      <c r="AI151" s="96"/>
      <c r="AJ151" s="96"/>
      <c r="AK151" s="96"/>
      <c r="AL151" s="96"/>
      <c r="AM151" s="96"/>
      <c r="AN151" s="96"/>
      <c r="AR151" s="96"/>
      <c r="AS151" s="96"/>
      <c r="AT151" s="96"/>
    </row>
    <row r="152" spans="2:46">
      <c r="B152" s="64" t="s">
        <v>113</v>
      </c>
      <c r="C152" s="65" t="s">
        <v>242</v>
      </c>
      <c r="D152" s="66">
        <v>15.5</v>
      </c>
      <c r="E152" s="67">
        <v>44039</v>
      </c>
      <c r="F152" s="64">
        <f t="shared" si="235"/>
        <v>1</v>
      </c>
      <c r="G152" s="67">
        <v>44040</v>
      </c>
      <c r="H152" s="64">
        <f t="shared" si="236"/>
        <v>1</v>
      </c>
      <c r="I152" s="67">
        <v>44050</v>
      </c>
      <c r="J152" s="64">
        <f t="shared" si="237"/>
        <v>0</v>
      </c>
      <c r="K152" s="67">
        <v>44045</v>
      </c>
      <c r="L152" s="64">
        <f t="shared" si="238"/>
        <v>0</v>
      </c>
      <c r="M152" s="64">
        <f t="shared" si="239"/>
        <v>0</v>
      </c>
      <c r="N152" s="91">
        <f t="shared" si="231"/>
        <v>44051</v>
      </c>
      <c r="O152" s="64">
        <f t="shared" si="240"/>
        <v>1</v>
      </c>
      <c r="P152" s="64">
        <f t="shared" si="241"/>
        <v>0</v>
      </c>
      <c r="Q152" s="91" t="str">
        <f t="shared" si="232"/>
        <v>Selesai</v>
      </c>
      <c r="R152" s="64">
        <f t="shared" si="242"/>
        <v>0</v>
      </c>
      <c r="S152" s="67">
        <v>44047</v>
      </c>
      <c r="T152" s="67">
        <v>44055</v>
      </c>
      <c r="U152" s="64">
        <f t="shared" si="233"/>
        <v>1</v>
      </c>
      <c r="V152" s="66"/>
      <c r="W152" s="64"/>
      <c r="X152" s="93"/>
      <c r="Y152" s="94"/>
      <c r="Z152" s="91" t="str">
        <f t="shared" si="234"/>
        <v>100%</v>
      </c>
      <c r="AA152" s="67"/>
      <c r="AB152" s="473"/>
      <c r="AC152" s="478" t="s">
        <v>2711</v>
      </c>
      <c r="AD152" s="67"/>
      <c r="AE152" s="95"/>
      <c r="AF152" s="96"/>
      <c r="AG152" s="96"/>
      <c r="AH152" s="96"/>
      <c r="AI152" s="96"/>
      <c r="AJ152" s="96"/>
      <c r="AK152" s="96"/>
      <c r="AL152" s="96"/>
      <c r="AM152" s="96"/>
      <c r="AN152" s="96"/>
      <c r="AR152" s="96"/>
      <c r="AS152" s="96"/>
      <c r="AT152" s="96"/>
    </row>
    <row r="153" spans="2:46">
      <c r="B153" s="64" t="s">
        <v>109</v>
      </c>
      <c r="C153" s="65" t="s">
        <v>243</v>
      </c>
      <c r="D153" s="66">
        <v>10.08</v>
      </c>
      <c r="E153" s="67">
        <v>44044</v>
      </c>
      <c r="F153" s="64">
        <f t="shared" si="235"/>
        <v>1</v>
      </c>
      <c r="G153" s="67">
        <v>44047</v>
      </c>
      <c r="H153" s="64">
        <f t="shared" si="236"/>
        <v>1</v>
      </c>
      <c r="I153" s="67">
        <v>44050</v>
      </c>
      <c r="J153" s="64">
        <f t="shared" si="237"/>
        <v>0</v>
      </c>
      <c r="K153" s="67">
        <v>44028</v>
      </c>
      <c r="L153" s="64">
        <f t="shared" si="238"/>
        <v>0</v>
      </c>
      <c r="M153" s="64">
        <f t="shared" si="239"/>
        <v>0</v>
      </c>
      <c r="N153" s="91">
        <f t="shared" si="231"/>
        <v>44051</v>
      </c>
      <c r="O153" s="64">
        <f t="shared" si="240"/>
        <v>1</v>
      </c>
      <c r="P153" s="64">
        <f t="shared" si="241"/>
        <v>0</v>
      </c>
      <c r="Q153" s="91" t="str">
        <f t="shared" si="232"/>
        <v>Selesai</v>
      </c>
      <c r="R153" s="64">
        <f t="shared" si="242"/>
        <v>0</v>
      </c>
      <c r="S153" s="67">
        <v>44049</v>
      </c>
      <c r="T153" s="67">
        <v>44057</v>
      </c>
      <c r="U153" s="64">
        <f t="shared" si="233"/>
        <v>1</v>
      </c>
      <c r="V153" s="66"/>
      <c r="W153" s="64"/>
      <c r="X153" s="93"/>
      <c r="Y153" s="94"/>
      <c r="Z153" s="91" t="str">
        <f t="shared" si="234"/>
        <v>100%</v>
      </c>
      <c r="AA153" s="67"/>
      <c r="AB153" s="473"/>
      <c r="AC153" s="478" t="s">
        <v>2711</v>
      </c>
      <c r="AD153" s="67"/>
      <c r="AE153" s="95"/>
      <c r="AF153" s="96"/>
      <c r="AG153" s="96"/>
      <c r="AH153" s="96"/>
      <c r="AI153" s="96"/>
      <c r="AJ153" s="96"/>
      <c r="AK153" s="96"/>
      <c r="AL153" s="96"/>
      <c r="AM153" s="96"/>
      <c r="AN153" s="96"/>
      <c r="AR153" s="96"/>
      <c r="AS153" s="96"/>
      <c r="AT153" s="96"/>
    </row>
    <row r="154" spans="2:46">
      <c r="B154" s="64" t="s">
        <v>113</v>
      </c>
      <c r="C154" s="65" t="s">
        <v>244</v>
      </c>
      <c r="D154" s="66">
        <v>11.05</v>
      </c>
      <c r="E154" s="67">
        <v>44010</v>
      </c>
      <c r="F154" s="64">
        <f t="shared" si="235"/>
        <v>1</v>
      </c>
      <c r="G154" s="67">
        <v>44011</v>
      </c>
      <c r="H154" s="64">
        <f t="shared" si="236"/>
        <v>1</v>
      </c>
      <c r="I154" s="67">
        <v>44032</v>
      </c>
      <c r="J154" s="64">
        <f t="shared" si="237"/>
        <v>0</v>
      </c>
      <c r="K154" s="67">
        <v>44020</v>
      </c>
      <c r="L154" s="64">
        <f t="shared" si="238"/>
        <v>0</v>
      </c>
      <c r="M154" s="64">
        <f t="shared" si="239"/>
        <v>0</v>
      </c>
      <c r="N154" s="91">
        <f t="shared" si="231"/>
        <v>44033</v>
      </c>
      <c r="O154" s="64">
        <f t="shared" si="240"/>
        <v>1</v>
      </c>
      <c r="P154" s="64">
        <f t="shared" si="241"/>
        <v>0</v>
      </c>
      <c r="Q154" s="91" t="str">
        <f t="shared" si="232"/>
        <v>Selesai</v>
      </c>
      <c r="R154" s="64">
        <f t="shared" si="242"/>
        <v>0</v>
      </c>
      <c r="S154" s="67">
        <v>44025</v>
      </c>
      <c r="T154" s="67">
        <v>44061</v>
      </c>
      <c r="U154" s="64">
        <f t="shared" si="233"/>
        <v>1</v>
      </c>
      <c r="V154" s="66"/>
      <c r="W154" s="64"/>
      <c r="X154" s="93"/>
      <c r="Y154" s="94"/>
      <c r="Z154" s="91" t="str">
        <f t="shared" si="234"/>
        <v>100%</v>
      </c>
      <c r="AA154" s="67"/>
      <c r="AB154" s="473"/>
      <c r="AC154" s="478" t="s">
        <v>2711</v>
      </c>
      <c r="AD154" s="67"/>
      <c r="AE154" s="95"/>
      <c r="AF154" s="96"/>
      <c r="AG154" s="96"/>
      <c r="AH154" s="96"/>
      <c r="AI154" s="96"/>
      <c r="AJ154" s="96"/>
      <c r="AK154" s="96"/>
      <c r="AL154" s="96"/>
      <c r="AM154" s="96"/>
      <c r="AN154" s="96"/>
      <c r="AR154" s="96"/>
      <c r="AS154" s="96"/>
      <c r="AT154" s="96"/>
    </row>
    <row r="155" spans="2:46">
      <c r="B155" s="64" t="s">
        <v>107</v>
      </c>
      <c r="C155" s="65" t="s">
        <v>245</v>
      </c>
      <c r="D155" s="66">
        <v>15</v>
      </c>
      <c r="E155" s="67">
        <v>44040</v>
      </c>
      <c r="F155" s="64">
        <f t="shared" si="235"/>
        <v>1</v>
      </c>
      <c r="G155" s="67">
        <v>44041</v>
      </c>
      <c r="H155" s="64">
        <f t="shared" si="236"/>
        <v>1</v>
      </c>
      <c r="I155" s="67">
        <v>44065</v>
      </c>
      <c r="J155" s="64">
        <f t="shared" si="237"/>
        <v>0</v>
      </c>
      <c r="K155" s="67">
        <v>44046</v>
      </c>
      <c r="L155" s="64">
        <f t="shared" si="238"/>
        <v>0</v>
      </c>
      <c r="M155" s="64">
        <f t="shared" si="239"/>
        <v>0</v>
      </c>
      <c r="N155" s="91">
        <f t="shared" si="231"/>
        <v>44066</v>
      </c>
      <c r="O155" s="64">
        <f t="shared" si="240"/>
        <v>1</v>
      </c>
      <c r="P155" s="64">
        <f t="shared" si="241"/>
        <v>0</v>
      </c>
      <c r="Q155" s="91" t="str">
        <f t="shared" si="232"/>
        <v>Selesai</v>
      </c>
      <c r="R155" s="64">
        <f t="shared" si="242"/>
        <v>0</v>
      </c>
      <c r="S155" s="67">
        <v>44053</v>
      </c>
      <c r="T155" s="67">
        <v>44063</v>
      </c>
      <c r="U155" s="64">
        <f t="shared" si="233"/>
        <v>1</v>
      </c>
      <c r="V155" s="66"/>
      <c r="W155" s="64"/>
      <c r="X155" s="93"/>
      <c r="Y155" s="94"/>
      <c r="Z155" s="91" t="str">
        <f t="shared" si="234"/>
        <v>100%</v>
      </c>
      <c r="AA155" s="67"/>
      <c r="AB155" s="473"/>
      <c r="AC155" s="478" t="s">
        <v>2711</v>
      </c>
      <c r="AD155" s="67"/>
      <c r="AE155" s="95"/>
      <c r="AF155" s="96"/>
      <c r="AG155" s="96"/>
      <c r="AH155" s="96"/>
      <c r="AI155" s="96"/>
      <c r="AJ155" s="96"/>
      <c r="AK155" s="96"/>
      <c r="AL155" s="96"/>
      <c r="AM155" s="96"/>
      <c r="AN155" s="96"/>
      <c r="AR155" s="96"/>
      <c r="AS155" s="96"/>
      <c r="AT155" s="96"/>
    </row>
    <row r="156" spans="2:46">
      <c r="B156" s="64" t="s">
        <v>107</v>
      </c>
      <c r="C156" s="65" t="s">
        <v>246</v>
      </c>
      <c r="D156" s="66">
        <v>8.66</v>
      </c>
      <c r="E156" s="67">
        <v>44051</v>
      </c>
      <c r="F156" s="64">
        <f t="shared" si="235"/>
        <v>1</v>
      </c>
      <c r="G156" s="67">
        <v>44054</v>
      </c>
      <c r="H156" s="64">
        <f t="shared" si="236"/>
        <v>1</v>
      </c>
      <c r="I156" s="67">
        <v>44067</v>
      </c>
      <c r="J156" s="64">
        <f t="shared" si="237"/>
        <v>0</v>
      </c>
      <c r="K156" s="67">
        <v>44061</v>
      </c>
      <c r="L156" s="64">
        <f t="shared" si="238"/>
        <v>0</v>
      </c>
      <c r="M156" s="64">
        <f t="shared" si="239"/>
        <v>0</v>
      </c>
      <c r="N156" s="91">
        <f t="shared" si="231"/>
        <v>44068</v>
      </c>
      <c r="O156" s="64">
        <f t="shared" si="240"/>
        <v>1</v>
      </c>
      <c r="P156" s="64">
        <f t="shared" si="241"/>
        <v>0</v>
      </c>
      <c r="Q156" s="91" t="str">
        <f t="shared" si="232"/>
        <v>Selesai</v>
      </c>
      <c r="R156" s="64">
        <f t="shared" si="242"/>
        <v>0</v>
      </c>
      <c r="S156" s="67">
        <v>44062</v>
      </c>
      <c r="T156" s="67">
        <v>44069</v>
      </c>
      <c r="U156" s="64">
        <f t="shared" si="233"/>
        <v>1</v>
      </c>
      <c r="V156" s="66"/>
      <c r="W156" s="64"/>
      <c r="X156" s="93"/>
      <c r="Y156" s="94"/>
      <c r="Z156" s="91" t="str">
        <f t="shared" si="234"/>
        <v>100%</v>
      </c>
      <c r="AA156" s="67"/>
      <c r="AB156" s="473"/>
      <c r="AC156" s="478" t="s">
        <v>2711</v>
      </c>
      <c r="AD156" s="67"/>
      <c r="AE156" s="95"/>
      <c r="AF156" s="96"/>
      <c r="AG156" s="96"/>
      <c r="AH156" s="96"/>
      <c r="AI156" s="96"/>
      <c r="AJ156" s="96"/>
      <c r="AK156" s="96"/>
      <c r="AL156" s="96"/>
      <c r="AM156" s="96"/>
      <c r="AN156" s="96"/>
      <c r="AR156" s="96"/>
      <c r="AS156" s="96"/>
      <c r="AT156" s="96"/>
    </row>
    <row r="157" spans="2:46">
      <c r="B157" s="64" t="s">
        <v>113</v>
      </c>
      <c r="C157" s="65" t="s">
        <v>247</v>
      </c>
      <c r="D157" s="66">
        <v>6.81</v>
      </c>
      <c r="E157" s="67">
        <v>44051</v>
      </c>
      <c r="F157" s="64">
        <f t="shared" si="235"/>
        <v>1</v>
      </c>
      <c r="G157" s="67">
        <v>44052</v>
      </c>
      <c r="H157" s="64">
        <f t="shared" si="236"/>
        <v>1</v>
      </c>
      <c r="I157" s="67">
        <v>44067</v>
      </c>
      <c r="J157" s="64">
        <f t="shared" si="237"/>
        <v>0</v>
      </c>
      <c r="K157" s="67">
        <v>44047</v>
      </c>
      <c r="L157" s="64">
        <f t="shared" si="238"/>
        <v>0</v>
      </c>
      <c r="M157" s="64">
        <f t="shared" si="239"/>
        <v>0</v>
      </c>
      <c r="N157" s="91">
        <f t="shared" si="231"/>
        <v>44068</v>
      </c>
      <c r="O157" s="64">
        <f t="shared" si="240"/>
        <v>1</v>
      </c>
      <c r="P157" s="64">
        <f t="shared" si="241"/>
        <v>0</v>
      </c>
      <c r="Q157" s="91" t="str">
        <f t="shared" si="232"/>
        <v>Selesai</v>
      </c>
      <c r="R157" s="64">
        <f t="shared" si="242"/>
        <v>0</v>
      </c>
      <c r="S157" s="67">
        <v>44056</v>
      </c>
      <c r="T157" s="67">
        <v>44069</v>
      </c>
      <c r="U157" s="64">
        <f t="shared" si="233"/>
        <v>1</v>
      </c>
      <c r="V157" s="66"/>
      <c r="W157" s="64"/>
      <c r="X157" s="93"/>
      <c r="Y157" s="94"/>
      <c r="Z157" s="91" t="str">
        <f t="shared" si="234"/>
        <v>100%</v>
      </c>
      <c r="AA157" s="67"/>
      <c r="AB157" s="473"/>
      <c r="AC157" s="478" t="s">
        <v>2711</v>
      </c>
      <c r="AD157" s="67"/>
      <c r="AE157" s="95"/>
      <c r="AF157" s="96"/>
      <c r="AG157" s="96"/>
      <c r="AH157" s="96"/>
      <c r="AI157" s="96"/>
      <c r="AJ157" s="96"/>
      <c r="AK157" s="96"/>
      <c r="AL157" s="96"/>
      <c r="AM157" s="96"/>
      <c r="AN157" s="96"/>
      <c r="AR157" s="96"/>
      <c r="AS157" s="96"/>
      <c r="AT157" s="96"/>
    </row>
    <row r="158" spans="2:46">
      <c r="B158" s="64" t="s">
        <v>109</v>
      </c>
      <c r="C158" s="65" t="s">
        <v>248</v>
      </c>
      <c r="D158" s="66">
        <v>8.57</v>
      </c>
      <c r="E158" s="67">
        <v>44053</v>
      </c>
      <c r="F158" s="64">
        <f t="shared" si="235"/>
        <v>1</v>
      </c>
      <c r="G158" s="67">
        <v>44054</v>
      </c>
      <c r="H158" s="64">
        <f t="shared" si="236"/>
        <v>1</v>
      </c>
      <c r="I158" s="67">
        <v>44067</v>
      </c>
      <c r="J158" s="64">
        <f t="shared" si="237"/>
        <v>0</v>
      </c>
      <c r="K158" s="67">
        <v>44050</v>
      </c>
      <c r="L158" s="64">
        <f t="shared" si="238"/>
        <v>0</v>
      </c>
      <c r="M158" s="64">
        <f t="shared" si="239"/>
        <v>0</v>
      </c>
      <c r="N158" s="91">
        <f t="shared" si="231"/>
        <v>44068</v>
      </c>
      <c r="O158" s="64">
        <f t="shared" si="240"/>
        <v>1</v>
      </c>
      <c r="P158" s="64">
        <f t="shared" si="241"/>
        <v>0</v>
      </c>
      <c r="Q158" s="91" t="str">
        <f t="shared" si="232"/>
        <v>Selesai</v>
      </c>
      <c r="R158" s="64">
        <f t="shared" si="242"/>
        <v>0</v>
      </c>
      <c r="S158" s="67">
        <v>44055</v>
      </c>
      <c r="T158" s="67">
        <v>44074</v>
      </c>
      <c r="U158" s="64">
        <f t="shared" si="233"/>
        <v>1</v>
      </c>
      <c r="V158" s="66"/>
      <c r="W158" s="64"/>
      <c r="X158" s="93"/>
      <c r="Y158" s="94"/>
      <c r="Z158" s="91" t="str">
        <f t="shared" si="234"/>
        <v>100%</v>
      </c>
      <c r="AA158" s="67"/>
      <c r="AB158" s="473"/>
      <c r="AC158" s="478" t="s">
        <v>2711</v>
      </c>
      <c r="AD158" s="67"/>
      <c r="AE158" s="95"/>
      <c r="AF158" s="96"/>
      <c r="AG158" s="96"/>
      <c r="AH158" s="96"/>
      <c r="AI158" s="96"/>
      <c r="AJ158" s="96"/>
      <c r="AK158" s="96"/>
      <c r="AL158" s="96"/>
      <c r="AM158" s="96"/>
      <c r="AN158" s="96"/>
      <c r="AR158" s="96"/>
      <c r="AS158" s="96"/>
      <c r="AT158" s="96"/>
    </row>
    <row r="159" spans="2:46">
      <c r="B159" s="64" t="s">
        <v>109</v>
      </c>
      <c r="C159" s="65" t="s">
        <v>249</v>
      </c>
      <c r="D159" s="66">
        <v>14.2</v>
      </c>
      <c r="E159" s="67">
        <v>44052</v>
      </c>
      <c r="F159" s="64">
        <f t="shared" si="235"/>
        <v>1</v>
      </c>
      <c r="G159" s="67">
        <v>44054</v>
      </c>
      <c r="H159" s="64">
        <f t="shared" si="236"/>
        <v>1</v>
      </c>
      <c r="I159" s="67">
        <v>44067</v>
      </c>
      <c r="J159" s="64">
        <f t="shared" si="237"/>
        <v>0</v>
      </c>
      <c r="K159" s="67">
        <v>44055</v>
      </c>
      <c r="L159" s="64">
        <f t="shared" si="238"/>
        <v>0</v>
      </c>
      <c r="M159" s="64">
        <f t="shared" si="239"/>
        <v>0</v>
      </c>
      <c r="N159" s="91">
        <f t="shared" si="231"/>
        <v>44068</v>
      </c>
      <c r="O159" s="64">
        <f t="shared" si="240"/>
        <v>1</v>
      </c>
      <c r="P159" s="64">
        <f t="shared" si="241"/>
        <v>0</v>
      </c>
      <c r="Q159" s="91" t="str">
        <f t="shared" si="232"/>
        <v>Selesai</v>
      </c>
      <c r="R159" s="64">
        <f t="shared" si="242"/>
        <v>0</v>
      </c>
      <c r="S159" s="67">
        <v>44062</v>
      </c>
      <c r="T159" s="67">
        <v>44074</v>
      </c>
      <c r="U159" s="64">
        <f t="shared" si="233"/>
        <v>1</v>
      </c>
      <c r="V159" s="66"/>
      <c r="W159" s="64"/>
      <c r="X159" s="93"/>
      <c r="Y159" s="94"/>
      <c r="Z159" s="91" t="str">
        <f t="shared" si="234"/>
        <v>100%</v>
      </c>
      <c r="AA159" s="67"/>
      <c r="AB159" s="473"/>
      <c r="AC159" s="478" t="s">
        <v>2711</v>
      </c>
      <c r="AD159" s="67"/>
      <c r="AE159" s="95"/>
      <c r="AF159" s="96"/>
      <c r="AG159" s="96"/>
      <c r="AH159" s="96"/>
      <c r="AI159" s="96"/>
      <c r="AJ159" s="96"/>
      <c r="AK159" s="96"/>
      <c r="AL159" s="96"/>
      <c r="AM159" s="96"/>
      <c r="AN159" s="96"/>
      <c r="AR159" s="96"/>
      <c r="AS159" s="96"/>
      <c r="AT159" s="96"/>
    </row>
    <row r="160" spans="2:46">
      <c r="B160" s="64" t="s">
        <v>109</v>
      </c>
      <c r="C160" s="65" t="s">
        <v>250</v>
      </c>
      <c r="D160" s="66">
        <v>9.2799999999999994</v>
      </c>
      <c r="E160" s="67">
        <v>44058</v>
      </c>
      <c r="F160" s="64">
        <f t="shared" si="235"/>
        <v>1</v>
      </c>
      <c r="G160" s="67">
        <v>44062</v>
      </c>
      <c r="H160" s="64">
        <f t="shared" si="236"/>
        <v>1</v>
      </c>
      <c r="I160" s="67">
        <v>44073</v>
      </c>
      <c r="J160" s="64">
        <f t="shared" si="237"/>
        <v>0</v>
      </c>
      <c r="K160" s="67">
        <v>44055</v>
      </c>
      <c r="L160" s="64">
        <f t="shared" si="238"/>
        <v>0</v>
      </c>
      <c r="M160" s="64">
        <f t="shared" si="239"/>
        <v>0</v>
      </c>
      <c r="N160" s="91">
        <v>44074</v>
      </c>
      <c r="O160" s="64">
        <f t="shared" si="240"/>
        <v>1</v>
      </c>
      <c r="P160" s="64">
        <f t="shared" si="241"/>
        <v>0</v>
      </c>
      <c r="Q160" s="91" t="str">
        <f t="shared" si="232"/>
        <v>Selesai</v>
      </c>
      <c r="R160" s="64">
        <f t="shared" si="242"/>
        <v>0</v>
      </c>
      <c r="S160" s="67">
        <v>44064</v>
      </c>
      <c r="T160" s="67">
        <v>44077</v>
      </c>
      <c r="U160" s="64">
        <f t="shared" si="233"/>
        <v>1</v>
      </c>
      <c r="V160" s="66"/>
      <c r="W160" s="64"/>
      <c r="X160" s="93"/>
      <c r="Y160" s="94"/>
      <c r="Z160" s="91" t="str">
        <f t="shared" si="234"/>
        <v>100%</v>
      </c>
      <c r="AA160" s="67"/>
      <c r="AB160" s="473"/>
      <c r="AC160" s="478" t="s">
        <v>2711</v>
      </c>
      <c r="AD160" s="67"/>
      <c r="AE160" s="95"/>
      <c r="AF160" s="96"/>
      <c r="AG160" s="96"/>
      <c r="AH160" s="96"/>
      <c r="AI160" s="96"/>
      <c r="AJ160" s="96"/>
      <c r="AK160" s="96"/>
      <c r="AL160" s="96"/>
      <c r="AM160" s="96"/>
      <c r="AN160" s="96"/>
      <c r="AR160" s="96"/>
      <c r="AS160" s="96"/>
      <c r="AT160" s="96"/>
    </row>
    <row r="161" spans="2:46">
      <c r="B161" s="64" t="s">
        <v>107</v>
      </c>
      <c r="C161" s="65" t="s">
        <v>251</v>
      </c>
      <c r="D161" s="66">
        <v>7.72</v>
      </c>
      <c r="E161" s="67">
        <v>44063</v>
      </c>
      <c r="F161" s="64">
        <f t="shared" si="235"/>
        <v>1</v>
      </c>
      <c r="G161" s="67">
        <v>44064</v>
      </c>
      <c r="H161" s="64">
        <f t="shared" si="236"/>
        <v>1</v>
      </c>
      <c r="I161" s="67">
        <v>44067</v>
      </c>
      <c r="J161" s="64">
        <f t="shared" si="237"/>
        <v>0</v>
      </c>
      <c r="K161" s="67">
        <v>44055</v>
      </c>
      <c r="L161" s="64">
        <f t="shared" si="238"/>
        <v>0</v>
      </c>
      <c r="M161" s="64">
        <f t="shared" si="239"/>
        <v>0</v>
      </c>
      <c r="N161" s="91">
        <f>IF(AND(I161&gt;0,K161&gt;0),MAX(I161:K161)+1,"")</f>
        <v>44068</v>
      </c>
      <c r="O161" s="64">
        <f t="shared" si="240"/>
        <v>1</v>
      </c>
      <c r="P161" s="64">
        <f t="shared" si="241"/>
        <v>0</v>
      </c>
      <c r="Q161" s="91" t="str">
        <f t="shared" si="232"/>
        <v>Selesai</v>
      </c>
      <c r="R161" s="64">
        <f t="shared" si="242"/>
        <v>0</v>
      </c>
      <c r="S161" s="67">
        <v>44067</v>
      </c>
      <c r="T161" s="67">
        <v>44077</v>
      </c>
      <c r="U161" s="64">
        <f t="shared" si="233"/>
        <v>1</v>
      </c>
      <c r="V161" s="66"/>
      <c r="W161" s="64"/>
      <c r="X161" s="93"/>
      <c r="Y161" s="94"/>
      <c r="Z161" s="91" t="str">
        <f t="shared" si="234"/>
        <v>100%</v>
      </c>
      <c r="AA161" s="67"/>
      <c r="AB161" s="473"/>
      <c r="AC161" s="478" t="s">
        <v>2711</v>
      </c>
      <c r="AD161" s="67"/>
      <c r="AE161" s="95"/>
      <c r="AF161" s="96"/>
      <c r="AG161" s="96"/>
      <c r="AH161" s="96"/>
      <c r="AI161" s="96"/>
      <c r="AJ161" s="96"/>
      <c r="AK161" s="96"/>
      <c r="AL161" s="96"/>
      <c r="AM161" s="96"/>
      <c r="AN161" s="96"/>
      <c r="AR161" s="96"/>
      <c r="AS161" s="96"/>
      <c r="AT161" s="96"/>
    </row>
    <row r="162" spans="2:46">
      <c r="B162" s="64" t="s">
        <v>107</v>
      </c>
      <c r="C162" s="65" t="s">
        <v>252</v>
      </c>
      <c r="D162" s="66">
        <v>9.5500000000000007</v>
      </c>
      <c r="E162" s="67">
        <v>44044</v>
      </c>
      <c r="F162" s="64">
        <f t="shared" si="235"/>
        <v>1</v>
      </c>
      <c r="G162" s="67">
        <v>44046</v>
      </c>
      <c r="H162" s="64">
        <f t="shared" si="236"/>
        <v>1</v>
      </c>
      <c r="I162" s="67">
        <v>44065</v>
      </c>
      <c r="J162" s="64">
        <f t="shared" si="237"/>
        <v>0</v>
      </c>
      <c r="K162" s="67">
        <v>44053</v>
      </c>
      <c r="L162" s="64">
        <f t="shared" si="238"/>
        <v>0</v>
      </c>
      <c r="M162" s="64">
        <f t="shared" si="239"/>
        <v>0</v>
      </c>
      <c r="N162" s="91">
        <v>44066</v>
      </c>
      <c r="O162" s="64">
        <f t="shared" si="240"/>
        <v>1</v>
      </c>
      <c r="P162" s="64">
        <f t="shared" si="241"/>
        <v>0</v>
      </c>
      <c r="Q162" s="91" t="str">
        <f t="shared" si="232"/>
        <v>Selesai</v>
      </c>
      <c r="R162" s="64">
        <f t="shared" si="242"/>
        <v>0</v>
      </c>
      <c r="S162" s="67">
        <v>44055</v>
      </c>
      <c r="T162" s="67">
        <v>44079</v>
      </c>
      <c r="U162" s="64">
        <f t="shared" si="233"/>
        <v>1</v>
      </c>
      <c r="V162" s="66"/>
      <c r="W162" s="64"/>
      <c r="X162" s="93"/>
      <c r="Y162" s="94"/>
      <c r="Z162" s="91" t="str">
        <f t="shared" si="234"/>
        <v>100%</v>
      </c>
      <c r="AA162" s="67"/>
      <c r="AB162" s="473"/>
      <c r="AC162" s="478" t="s">
        <v>2711</v>
      </c>
      <c r="AD162" s="67"/>
      <c r="AE162" s="95"/>
      <c r="AF162" s="96"/>
      <c r="AG162" s="96"/>
      <c r="AH162" s="96"/>
      <c r="AI162" s="96"/>
      <c r="AJ162" s="96"/>
      <c r="AK162" s="96"/>
      <c r="AL162" s="96"/>
      <c r="AM162" s="96"/>
      <c r="AN162" s="96"/>
      <c r="AR162" s="96"/>
      <c r="AS162" s="96"/>
      <c r="AT162" s="96"/>
    </row>
    <row r="163" spans="2:46">
      <c r="B163" s="64" t="s">
        <v>109</v>
      </c>
      <c r="C163" s="65" t="s">
        <v>253</v>
      </c>
      <c r="D163" s="66">
        <v>3.63</v>
      </c>
      <c r="E163" s="67">
        <v>44063</v>
      </c>
      <c r="F163" s="64">
        <f t="shared" si="235"/>
        <v>1</v>
      </c>
      <c r="G163" s="67">
        <v>44067</v>
      </c>
      <c r="H163" s="64">
        <f t="shared" si="236"/>
        <v>1</v>
      </c>
      <c r="I163" s="67">
        <v>44072</v>
      </c>
      <c r="J163" s="64">
        <f t="shared" si="237"/>
        <v>0</v>
      </c>
      <c r="K163" s="67">
        <v>44055</v>
      </c>
      <c r="L163" s="64">
        <f t="shared" si="238"/>
        <v>0</v>
      </c>
      <c r="M163" s="64">
        <f t="shared" si="239"/>
        <v>0</v>
      </c>
      <c r="N163" s="91">
        <f t="shared" ref="N163:N194" si="243">IF(AND(I163&gt;0,K163&gt;0),MAX(I163:K163)+1,"")</f>
        <v>44073</v>
      </c>
      <c r="O163" s="64">
        <f t="shared" si="240"/>
        <v>1</v>
      </c>
      <c r="P163" s="64">
        <f t="shared" si="241"/>
        <v>0</v>
      </c>
      <c r="Q163" s="91" t="str">
        <f t="shared" si="232"/>
        <v>Selesai</v>
      </c>
      <c r="R163" s="64">
        <f t="shared" si="242"/>
        <v>0</v>
      </c>
      <c r="S163" s="67">
        <v>44069</v>
      </c>
      <c r="T163" s="67">
        <v>44083</v>
      </c>
      <c r="U163" s="64">
        <f t="shared" si="233"/>
        <v>1</v>
      </c>
      <c r="V163" s="66"/>
      <c r="W163" s="64"/>
      <c r="X163" s="93"/>
      <c r="Y163" s="94"/>
      <c r="Z163" s="91" t="str">
        <f t="shared" si="234"/>
        <v>100%</v>
      </c>
      <c r="AA163" s="67"/>
      <c r="AB163" s="473"/>
      <c r="AC163" s="478" t="s">
        <v>2711</v>
      </c>
      <c r="AD163" s="67"/>
      <c r="AE163" s="95"/>
      <c r="AF163" s="96"/>
      <c r="AG163" s="96"/>
      <c r="AH163" s="96"/>
      <c r="AI163" s="96"/>
      <c r="AJ163" s="96"/>
      <c r="AK163" s="96"/>
      <c r="AL163" s="96"/>
      <c r="AM163" s="96"/>
      <c r="AN163" s="96"/>
      <c r="AR163" s="96"/>
      <c r="AS163" s="96"/>
      <c r="AT163" s="96"/>
    </row>
    <row r="164" spans="2:46">
      <c r="B164" s="64" t="s">
        <v>113</v>
      </c>
      <c r="C164" s="65" t="s">
        <v>254</v>
      </c>
      <c r="D164" s="66">
        <v>4.67</v>
      </c>
      <c r="E164" s="67">
        <v>44066</v>
      </c>
      <c r="F164" s="64">
        <f t="shared" si="235"/>
        <v>1</v>
      </c>
      <c r="G164" s="67">
        <v>44068</v>
      </c>
      <c r="H164" s="64">
        <f t="shared" si="236"/>
        <v>1</v>
      </c>
      <c r="I164" s="67">
        <v>44081</v>
      </c>
      <c r="J164" s="64">
        <f t="shared" si="237"/>
        <v>0</v>
      </c>
      <c r="K164" s="67">
        <v>44063</v>
      </c>
      <c r="L164" s="64">
        <f t="shared" si="238"/>
        <v>0</v>
      </c>
      <c r="M164" s="64">
        <f t="shared" si="239"/>
        <v>0</v>
      </c>
      <c r="N164" s="91">
        <f t="shared" si="243"/>
        <v>44082</v>
      </c>
      <c r="O164" s="64">
        <f t="shared" si="240"/>
        <v>1</v>
      </c>
      <c r="P164" s="64">
        <f t="shared" si="241"/>
        <v>0</v>
      </c>
      <c r="Q164" s="91" t="str">
        <f t="shared" si="232"/>
        <v>Selesai</v>
      </c>
      <c r="R164" s="64">
        <f t="shared" si="242"/>
        <v>0</v>
      </c>
      <c r="S164" s="67">
        <v>44075</v>
      </c>
      <c r="T164" s="67">
        <v>44083</v>
      </c>
      <c r="U164" s="64">
        <f t="shared" si="233"/>
        <v>1</v>
      </c>
      <c r="V164" s="66"/>
      <c r="W164" s="64"/>
      <c r="X164" s="93"/>
      <c r="Y164" s="94"/>
      <c r="Z164" s="91" t="str">
        <f t="shared" si="234"/>
        <v>100%</v>
      </c>
      <c r="AA164" s="67"/>
      <c r="AB164" s="473"/>
      <c r="AC164" s="478" t="s">
        <v>2711</v>
      </c>
      <c r="AD164" s="67"/>
      <c r="AE164" s="95"/>
      <c r="AF164" s="96"/>
      <c r="AG164" s="96"/>
      <c r="AH164" s="96"/>
      <c r="AI164" s="96"/>
      <c r="AJ164" s="96"/>
      <c r="AK164" s="96"/>
      <c r="AL164" s="96"/>
      <c r="AM164" s="96"/>
      <c r="AN164" s="96"/>
      <c r="AR164" s="96"/>
      <c r="AS164" s="96"/>
      <c r="AT164" s="96"/>
    </row>
    <row r="165" spans="2:46">
      <c r="B165" s="64" t="s">
        <v>107</v>
      </c>
      <c r="C165" s="65" t="s">
        <v>255</v>
      </c>
      <c r="D165" s="66">
        <v>10.32</v>
      </c>
      <c r="E165" s="67">
        <v>44068</v>
      </c>
      <c r="F165" s="64">
        <f t="shared" si="235"/>
        <v>1</v>
      </c>
      <c r="G165" s="67">
        <v>44069</v>
      </c>
      <c r="H165" s="64">
        <f t="shared" si="236"/>
        <v>1</v>
      </c>
      <c r="I165" s="67">
        <v>44085</v>
      </c>
      <c r="J165" s="64">
        <f t="shared" si="237"/>
        <v>0</v>
      </c>
      <c r="K165" s="67">
        <v>44071</v>
      </c>
      <c r="L165" s="64">
        <f t="shared" si="238"/>
        <v>0</v>
      </c>
      <c r="M165" s="64">
        <f t="shared" si="239"/>
        <v>0</v>
      </c>
      <c r="N165" s="91">
        <f t="shared" si="243"/>
        <v>44086</v>
      </c>
      <c r="O165" s="64">
        <f t="shared" si="240"/>
        <v>1</v>
      </c>
      <c r="P165" s="64">
        <f t="shared" si="241"/>
        <v>0</v>
      </c>
      <c r="Q165" s="91" t="str">
        <f t="shared" si="232"/>
        <v>Selesai</v>
      </c>
      <c r="R165" s="64">
        <f t="shared" si="242"/>
        <v>0</v>
      </c>
      <c r="S165" s="67">
        <v>44079</v>
      </c>
      <c r="T165" s="67">
        <v>44083</v>
      </c>
      <c r="U165" s="64">
        <f t="shared" si="233"/>
        <v>1</v>
      </c>
      <c r="V165" s="66"/>
      <c r="W165" s="64"/>
      <c r="X165" s="93"/>
      <c r="Y165" s="94"/>
      <c r="Z165" s="91" t="str">
        <f t="shared" si="234"/>
        <v>100%</v>
      </c>
      <c r="AA165" s="67"/>
      <c r="AB165" s="473"/>
      <c r="AC165" s="478" t="s">
        <v>2711</v>
      </c>
      <c r="AD165" s="67"/>
      <c r="AE165" s="95"/>
      <c r="AF165" s="96"/>
      <c r="AG165" s="96"/>
      <c r="AH165" s="96"/>
      <c r="AI165" s="96"/>
      <c r="AJ165" s="96"/>
      <c r="AK165" s="96"/>
      <c r="AL165" s="96"/>
      <c r="AM165" s="96"/>
      <c r="AN165" s="96"/>
      <c r="AR165" s="96"/>
      <c r="AS165" s="96"/>
      <c r="AT165" s="96"/>
    </row>
    <row r="166" spans="2:46">
      <c r="B166" s="64" t="s">
        <v>113</v>
      </c>
      <c r="C166" s="65" t="s">
        <v>256</v>
      </c>
      <c r="D166" s="66">
        <v>6.92</v>
      </c>
      <c r="E166" s="67">
        <v>44066</v>
      </c>
      <c r="F166" s="64">
        <f t="shared" si="235"/>
        <v>1</v>
      </c>
      <c r="G166" s="67">
        <v>44068</v>
      </c>
      <c r="H166" s="64">
        <f t="shared" si="236"/>
        <v>1</v>
      </c>
      <c r="I166" s="67">
        <v>44081</v>
      </c>
      <c r="J166" s="64">
        <f t="shared" si="237"/>
        <v>0</v>
      </c>
      <c r="K166" s="67">
        <v>44063</v>
      </c>
      <c r="L166" s="64">
        <f t="shared" si="238"/>
        <v>0</v>
      </c>
      <c r="M166" s="64">
        <f t="shared" si="239"/>
        <v>0</v>
      </c>
      <c r="N166" s="91">
        <f t="shared" si="243"/>
        <v>44082</v>
      </c>
      <c r="O166" s="64">
        <f t="shared" si="240"/>
        <v>1</v>
      </c>
      <c r="P166" s="64">
        <f t="shared" si="241"/>
        <v>0</v>
      </c>
      <c r="Q166" s="91" t="str">
        <f t="shared" si="232"/>
        <v>Selesai</v>
      </c>
      <c r="R166" s="64">
        <f t="shared" si="242"/>
        <v>0</v>
      </c>
      <c r="S166" s="67">
        <v>44077</v>
      </c>
      <c r="T166" s="67">
        <v>44084</v>
      </c>
      <c r="U166" s="64">
        <f t="shared" si="233"/>
        <v>1</v>
      </c>
      <c r="V166" s="66"/>
      <c r="W166" s="64"/>
      <c r="X166" s="93"/>
      <c r="Y166" s="94"/>
      <c r="Z166" s="91" t="str">
        <f t="shared" si="234"/>
        <v>100%</v>
      </c>
      <c r="AA166" s="67"/>
      <c r="AB166" s="473"/>
      <c r="AC166" s="478" t="s">
        <v>2711</v>
      </c>
      <c r="AD166" s="67"/>
      <c r="AE166" s="95"/>
      <c r="AF166" s="96"/>
      <c r="AG166" s="96"/>
      <c r="AH166" s="96"/>
      <c r="AI166" s="96"/>
      <c r="AJ166" s="96"/>
      <c r="AK166" s="96"/>
      <c r="AL166" s="96"/>
      <c r="AM166" s="96"/>
      <c r="AN166" s="96"/>
      <c r="AR166" s="96"/>
      <c r="AS166" s="96"/>
      <c r="AT166" s="96"/>
    </row>
    <row r="167" spans="2:46">
      <c r="B167" s="64" t="s">
        <v>109</v>
      </c>
      <c r="C167" s="65" t="s">
        <v>257</v>
      </c>
      <c r="D167" s="66">
        <v>9.31</v>
      </c>
      <c r="E167" s="67">
        <v>44053</v>
      </c>
      <c r="F167" s="64">
        <f t="shared" si="235"/>
        <v>1</v>
      </c>
      <c r="G167" s="67">
        <v>44053</v>
      </c>
      <c r="H167" s="64">
        <f t="shared" si="236"/>
        <v>1</v>
      </c>
      <c r="I167" s="67">
        <v>44067</v>
      </c>
      <c r="J167" s="64">
        <f t="shared" si="237"/>
        <v>0</v>
      </c>
      <c r="K167" s="67">
        <v>44050</v>
      </c>
      <c r="L167" s="64">
        <f t="shared" si="238"/>
        <v>0</v>
      </c>
      <c r="M167" s="64">
        <f t="shared" si="239"/>
        <v>0</v>
      </c>
      <c r="N167" s="91">
        <f t="shared" si="243"/>
        <v>44068</v>
      </c>
      <c r="O167" s="64">
        <f t="shared" si="240"/>
        <v>1</v>
      </c>
      <c r="P167" s="64">
        <f t="shared" si="241"/>
        <v>0</v>
      </c>
      <c r="Q167" s="91" t="str">
        <f t="shared" si="232"/>
        <v>Selesai</v>
      </c>
      <c r="R167" s="64">
        <f t="shared" si="242"/>
        <v>0</v>
      </c>
      <c r="S167" s="67">
        <v>44058</v>
      </c>
      <c r="T167" s="67">
        <v>44088</v>
      </c>
      <c r="U167" s="64">
        <f t="shared" si="233"/>
        <v>1</v>
      </c>
      <c r="V167" s="66"/>
      <c r="W167" s="64"/>
      <c r="X167" s="93"/>
      <c r="Y167" s="94"/>
      <c r="Z167" s="91" t="str">
        <f t="shared" si="234"/>
        <v>100%</v>
      </c>
      <c r="AA167" s="67"/>
      <c r="AB167" s="473"/>
      <c r="AC167" s="478" t="s">
        <v>2711</v>
      </c>
      <c r="AD167" s="67"/>
    </row>
    <row r="168" spans="2:46">
      <c r="B168" s="64" t="s">
        <v>109</v>
      </c>
      <c r="C168" s="65" t="s">
        <v>258</v>
      </c>
      <c r="D168" s="66">
        <v>14.8</v>
      </c>
      <c r="E168" s="67">
        <v>44056</v>
      </c>
      <c r="F168" s="64">
        <f t="shared" si="235"/>
        <v>1</v>
      </c>
      <c r="G168" s="67">
        <v>44057</v>
      </c>
      <c r="H168" s="64">
        <f t="shared" si="236"/>
        <v>1</v>
      </c>
      <c r="I168" s="67">
        <v>44081</v>
      </c>
      <c r="J168" s="64">
        <f t="shared" si="237"/>
        <v>0</v>
      </c>
      <c r="K168" s="67">
        <v>44055</v>
      </c>
      <c r="L168" s="64">
        <f t="shared" si="238"/>
        <v>0</v>
      </c>
      <c r="M168" s="64">
        <f t="shared" si="239"/>
        <v>0</v>
      </c>
      <c r="N168" s="91">
        <f t="shared" si="243"/>
        <v>44082</v>
      </c>
      <c r="O168" s="64">
        <f t="shared" si="240"/>
        <v>1</v>
      </c>
      <c r="P168" s="64">
        <f t="shared" si="241"/>
        <v>0</v>
      </c>
      <c r="Q168" s="91" t="str">
        <f t="shared" si="232"/>
        <v>Selesai</v>
      </c>
      <c r="R168" s="64">
        <f t="shared" si="242"/>
        <v>0</v>
      </c>
      <c r="S168" s="67">
        <v>44063</v>
      </c>
      <c r="T168" s="67">
        <v>44090</v>
      </c>
      <c r="U168" s="64">
        <f t="shared" si="233"/>
        <v>1</v>
      </c>
      <c r="V168" s="66"/>
      <c r="W168" s="64"/>
      <c r="X168" s="93"/>
      <c r="Y168" s="94"/>
      <c r="Z168" s="91" t="str">
        <f t="shared" si="234"/>
        <v>100%</v>
      </c>
      <c r="AA168" s="67"/>
      <c r="AB168" s="473"/>
      <c r="AC168" s="478" t="s">
        <v>2711</v>
      </c>
      <c r="AD168" s="67"/>
      <c r="AE168" s="95"/>
      <c r="AF168" s="96"/>
      <c r="AG168" s="96"/>
      <c r="AH168" s="96"/>
      <c r="AI168" s="96"/>
      <c r="AJ168" s="96"/>
      <c r="AK168" s="96"/>
      <c r="AL168" s="96"/>
      <c r="AM168" s="96"/>
      <c r="AN168" s="96"/>
      <c r="AR168" s="96"/>
      <c r="AS168" s="96"/>
      <c r="AT168" s="96"/>
    </row>
    <row r="169" spans="2:46">
      <c r="B169" s="64" t="s">
        <v>113</v>
      </c>
      <c r="C169" s="65" t="s">
        <v>259</v>
      </c>
      <c r="D169" s="66">
        <v>13.58</v>
      </c>
      <c r="E169" s="67">
        <v>44067</v>
      </c>
      <c r="F169" s="64">
        <f t="shared" si="235"/>
        <v>1</v>
      </c>
      <c r="G169" s="67">
        <v>44069</v>
      </c>
      <c r="H169" s="64">
        <f t="shared" si="236"/>
        <v>1</v>
      </c>
      <c r="I169" s="67">
        <v>44086</v>
      </c>
      <c r="J169" s="64">
        <f t="shared" si="237"/>
        <v>0</v>
      </c>
      <c r="K169" s="67">
        <v>44062</v>
      </c>
      <c r="L169" s="64">
        <f t="shared" si="238"/>
        <v>0</v>
      </c>
      <c r="M169" s="64">
        <f t="shared" si="239"/>
        <v>0</v>
      </c>
      <c r="N169" s="91">
        <f t="shared" si="243"/>
        <v>44087</v>
      </c>
      <c r="O169" s="64">
        <f t="shared" si="240"/>
        <v>1</v>
      </c>
      <c r="P169" s="64">
        <f t="shared" si="241"/>
        <v>0</v>
      </c>
      <c r="Q169" s="91" t="str">
        <f t="shared" si="232"/>
        <v>Selesai</v>
      </c>
      <c r="R169" s="64">
        <f t="shared" si="242"/>
        <v>0</v>
      </c>
      <c r="S169" s="67">
        <v>44072</v>
      </c>
      <c r="T169" s="67">
        <v>44092</v>
      </c>
      <c r="U169" s="64">
        <f t="shared" si="233"/>
        <v>1</v>
      </c>
      <c r="V169" s="66"/>
      <c r="W169" s="64"/>
      <c r="X169" s="93"/>
      <c r="Y169" s="94"/>
      <c r="Z169" s="91" t="str">
        <f t="shared" si="234"/>
        <v>100%</v>
      </c>
      <c r="AA169" s="67"/>
      <c r="AB169" s="473"/>
      <c r="AC169" s="478" t="s">
        <v>2711</v>
      </c>
      <c r="AD169" s="67"/>
    </row>
    <row r="170" spans="2:46">
      <c r="B170" s="64" t="s">
        <v>109</v>
      </c>
      <c r="C170" s="65" t="s">
        <v>260</v>
      </c>
      <c r="D170" s="66">
        <v>10.07</v>
      </c>
      <c r="E170" s="67">
        <v>44064</v>
      </c>
      <c r="F170" s="64">
        <f t="shared" si="235"/>
        <v>1</v>
      </c>
      <c r="G170" s="67">
        <v>44065</v>
      </c>
      <c r="H170" s="64">
        <f t="shared" si="236"/>
        <v>1</v>
      </c>
      <c r="I170" s="67">
        <v>44081</v>
      </c>
      <c r="J170" s="64">
        <f t="shared" si="237"/>
        <v>0</v>
      </c>
      <c r="K170" s="67">
        <v>44055</v>
      </c>
      <c r="L170" s="64">
        <f t="shared" si="238"/>
        <v>0</v>
      </c>
      <c r="M170" s="64">
        <f t="shared" si="239"/>
        <v>0</v>
      </c>
      <c r="N170" s="91">
        <f t="shared" si="243"/>
        <v>44082</v>
      </c>
      <c r="O170" s="64">
        <f t="shared" si="240"/>
        <v>1</v>
      </c>
      <c r="P170" s="64">
        <f t="shared" si="241"/>
        <v>0</v>
      </c>
      <c r="Q170" s="91" t="str">
        <f t="shared" si="232"/>
        <v>Selesai</v>
      </c>
      <c r="R170" s="64">
        <f t="shared" si="242"/>
        <v>0</v>
      </c>
      <c r="S170" s="67">
        <v>44068</v>
      </c>
      <c r="T170" s="67">
        <v>44092</v>
      </c>
      <c r="U170" s="64">
        <f t="shared" si="233"/>
        <v>1</v>
      </c>
      <c r="V170" s="66"/>
      <c r="W170" s="64"/>
      <c r="X170" s="93"/>
      <c r="Y170" s="94"/>
      <c r="Z170" s="91" t="str">
        <f t="shared" si="234"/>
        <v>100%</v>
      </c>
      <c r="AA170" s="67"/>
      <c r="AB170" s="473"/>
      <c r="AC170" s="478" t="s">
        <v>2711</v>
      </c>
      <c r="AD170" s="67"/>
    </row>
    <row r="171" spans="2:46">
      <c r="B171" s="64" t="s">
        <v>107</v>
      </c>
      <c r="C171" s="65" t="s">
        <v>261</v>
      </c>
      <c r="D171" s="66">
        <v>9.1300000000000008</v>
      </c>
      <c r="E171" s="67">
        <v>44065</v>
      </c>
      <c r="F171" s="64">
        <f t="shared" si="235"/>
        <v>1</v>
      </c>
      <c r="G171" s="67">
        <v>44067</v>
      </c>
      <c r="H171" s="64">
        <f t="shared" si="236"/>
        <v>1</v>
      </c>
      <c r="I171" s="67">
        <v>44073</v>
      </c>
      <c r="J171" s="64">
        <f t="shared" si="237"/>
        <v>0</v>
      </c>
      <c r="K171" s="67">
        <v>44063</v>
      </c>
      <c r="L171" s="64">
        <f t="shared" si="238"/>
        <v>0</v>
      </c>
      <c r="M171" s="64">
        <f t="shared" si="239"/>
        <v>0</v>
      </c>
      <c r="N171" s="91">
        <f t="shared" si="243"/>
        <v>44074</v>
      </c>
      <c r="O171" s="64">
        <f t="shared" si="240"/>
        <v>1</v>
      </c>
      <c r="P171" s="64">
        <f t="shared" si="241"/>
        <v>0</v>
      </c>
      <c r="Q171" s="91" t="str">
        <f t="shared" si="232"/>
        <v>Selesai</v>
      </c>
      <c r="R171" s="64">
        <f t="shared" si="242"/>
        <v>0</v>
      </c>
      <c r="S171" s="67">
        <v>44070</v>
      </c>
      <c r="T171" s="67">
        <v>44092</v>
      </c>
      <c r="U171" s="64">
        <f t="shared" si="233"/>
        <v>1</v>
      </c>
      <c r="V171" s="66"/>
      <c r="W171" s="64"/>
      <c r="X171" s="93"/>
      <c r="Y171" s="94"/>
      <c r="Z171" s="91" t="str">
        <f t="shared" si="234"/>
        <v>100%</v>
      </c>
      <c r="AA171" s="67"/>
      <c r="AB171" s="473"/>
      <c r="AC171" s="478" t="s">
        <v>2711</v>
      </c>
      <c r="AD171" s="67"/>
    </row>
    <row r="172" spans="2:46">
      <c r="B172" s="64" t="s">
        <v>105</v>
      </c>
      <c r="C172" s="65" t="s">
        <v>262</v>
      </c>
      <c r="D172" s="66">
        <v>17.03</v>
      </c>
      <c r="E172" s="67">
        <v>44072</v>
      </c>
      <c r="F172" s="64">
        <f t="shared" si="235"/>
        <v>1</v>
      </c>
      <c r="G172" s="67">
        <v>44073</v>
      </c>
      <c r="H172" s="64">
        <f t="shared" si="236"/>
        <v>1</v>
      </c>
      <c r="I172" s="67">
        <v>44087</v>
      </c>
      <c r="J172" s="64">
        <f t="shared" si="237"/>
        <v>0</v>
      </c>
      <c r="K172" s="67">
        <v>44068</v>
      </c>
      <c r="L172" s="64">
        <f t="shared" si="238"/>
        <v>0</v>
      </c>
      <c r="M172" s="64">
        <f t="shared" si="239"/>
        <v>0</v>
      </c>
      <c r="N172" s="91">
        <f t="shared" si="243"/>
        <v>44088</v>
      </c>
      <c r="O172" s="64">
        <f t="shared" si="240"/>
        <v>1</v>
      </c>
      <c r="P172" s="64">
        <f t="shared" si="241"/>
        <v>0</v>
      </c>
      <c r="Q172" s="91" t="str">
        <f t="shared" si="232"/>
        <v>Selesai</v>
      </c>
      <c r="R172" s="64">
        <f t="shared" si="242"/>
        <v>0</v>
      </c>
      <c r="S172" s="67">
        <v>44076</v>
      </c>
      <c r="T172" s="67">
        <v>44096</v>
      </c>
      <c r="U172" s="64">
        <f t="shared" si="233"/>
        <v>1</v>
      </c>
      <c r="V172" s="66"/>
      <c r="W172" s="64"/>
      <c r="X172" s="93"/>
      <c r="Y172" s="94"/>
      <c r="Z172" s="91" t="str">
        <f t="shared" si="234"/>
        <v>100%</v>
      </c>
      <c r="AA172" s="67"/>
      <c r="AB172" s="473"/>
      <c r="AC172" s="478" t="s">
        <v>2711</v>
      </c>
      <c r="AD172" s="67"/>
      <c r="AE172" s="95"/>
      <c r="AF172" s="96"/>
      <c r="AG172" s="96"/>
      <c r="AH172" s="96"/>
      <c r="AI172" s="96"/>
      <c r="AJ172" s="96"/>
      <c r="AK172" s="96"/>
      <c r="AL172" s="96"/>
      <c r="AM172" s="96"/>
      <c r="AN172" s="96"/>
      <c r="AR172" s="96"/>
      <c r="AS172" s="96"/>
      <c r="AT172" s="96"/>
    </row>
    <row r="173" spans="2:46">
      <c r="B173" s="64" t="s">
        <v>105</v>
      </c>
      <c r="C173" s="65" t="s">
        <v>263</v>
      </c>
      <c r="D173" s="66">
        <v>7.7</v>
      </c>
      <c r="E173" s="67">
        <v>44070</v>
      </c>
      <c r="F173" s="64">
        <f t="shared" si="235"/>
        <v>1</v>
      </c>
      <c r="G173" s="67">
        <v>44072</v>
      </c>
      <c r="H173" s="64">
        <f t="shared" si="236"/>
        <v>1</v>
      </c>
      <c r="I173" s="67">
        <v>44087</v>
      </c>
      <c r="J173" s="64">
        <f t="shared" si="237"/>
        <v>0</v>
      </c>
      <c r="K173" s="67">
        <v>44074</v>
      </c>
      <c r="L173" s="64">
        <f t="shared" si="238"/>
        <v>0</v>
      </c>
      <c r="M173" s="64">
        <f t="shared" si="239"/>
        <v>0</v>
      </c>
      <c r="N173" s="91">
        <f t="shared" si="243"/>
        <v>44088</v>
      </c>
      <c r="O173" s="64">
        <f t="shared" si="240"/>
        <v>1</v>
      </c>
      <c r="P173" s="64">
        <f t="shared" si="241"/>
        <v>0</v>
      </c>
      <c r="Q173" s="91" t="str">
        <f t="shared" si="232"/>
        <v>Selesai</v>
      </c>
      <c r="R173" s="64">
        <f t="shared" si="242"/>
        <v>0</v>
      </c>
      <c r="S173" s="67">
        <v>44079</v>
      </c>
      <c r="T173" s="67">
        <v>44096</v>
      </c>
      <c r="U173" s="64">
        <f t="shared" si="233"/>
        <v>1</v>
      </c>
      <c r="V173" s="66"/>
      <c r="W173" s="64"/>
      <c r="X173" s="93"/>
      <c r="Y173" s="94"/>
      <c r="Z173" s="91" t="str">
        <f t="shared" si="234"/>
        <v>100%</v>
      </c>
      <c r="AA173" s="67"/>
      <c r="AB173" s="473"/>
      <c r="AC173" s="478" t="s">
        <v>2711</v>
      </c>
      <c r="AD173" s="67"/>
    </row>
    <row r="174" spans="2:46">
      <c r="B174" s="64" t="s">
        <v>107</v>
      </c>
      <c r="C174" s="65" t="s">
        <v>264</v>
      </c>
      <c r="D174" s="97">
        <v>5.86</v>
      </c>
      <c r="E174" s="67">
        <v>44075</v>
      </c>
      <c r="F174" s="64">
        <f t="shared" si="235"/>
        <v>1</v>
      </c>
      <c r="G174" s="67">
        <v>44076</v>
      </c>
      <c r="H174" s="64">
        <f t="shared" si="236"/>
        <v>1</v>
      </c>
      <c r="I174" s="67">
        <v>44084</v>
      </c>
      <c r="J174" s="64">
        <f t="shared" si="237"/>
        <v>0</v>
      </c>
      <c r="K174" s="67">
        <v>44081</v>
      </c>
      <c r="L174" s="64">
        <f t="shared" si="238"/>
        <v>0</v>
      </c>
      <c r="M174" s="64">
        <f t="shared" si="239"/>
        <v>0</v>
      </c>
      <c r="N174" s="91">
        <f t="shared" si="243"/>
        <v>44085</v>
      </c>
      <c r="O174" s="64">
        <f t="shared" si="240"/>
        <v>1</v>
      </c>
      <c r="P174" s="64">
        <f t="shared" si="241"/>
        <v>0</v>
      </c>
      <c r="Q174" s="91" t="str">
        <f t="shared" si="232"/>
        <v>Selesai</v>
      </c>
      <c r="R174" s="64">
        <f t="shared" si="242"/>
        <v>0</v>
      </c>
      <c r="S174" s="67">
        <v>44085</v>
      </c>
      <c r="T174" s="67">
        <v>44098</v>
      </c>
      <c r="U174" s="64">
        <f t="shared" si="233"/>
        <v>1</v>
      </c>
      <c r="V174" s="66"/>
      <c r="W174" s="64"/>
      <c r="X174" s="93"/>
      <c r="Y174" s="94"/>
      <c r="Z174" s="91" t="str">
        <f t="shared" si="234"/>
        <v>100%</v>
      </c>
      <c r="AA174" s="67"/>
      <c r="AB174" s="473"/>
      <c r="AC174" s="478" t="s">
        <v>2711</v>
      </c>
      <c r="AD174" s="67"/>
    </row>
    <row r="175" spans="2:46">
      <c r="B175" s="64" t="s">
        <v>107</v>
      </c>
      <c r="C175" s="65" t="s">
        <v>265</v>
      </c>
      <c r="D175" s="66">
        <v>4.3099999999999996</v>
      </c>
      <c r="E175" s="67">
        <v>44073</v>
      </c>
      <c r="F175" s="64">
        <f t="shared" si="235"/>
        <v>1</v>
      </c>
      <c r="G175" s="67">
        <v>44074</v>
      </c>
      <c r="H175" s="64">
        <f t="shared" si="236"/>
        <v>1</v>
      </c>
      <c r="I175" s="67">
        <v>44086</v>
      </c>
      <c r="J175" s="64">
        <f t="shared" si="237"/>
        <v>0</v>
      </c>
      <c r="K175" s="67">
        <v>44081</v>
      </c>
      <c r="L175" s="64">
        <f t="shared" si="238"/>
        <v>0</v>
      </c>
      <c r="M175" s="64">
        <f t="shared" si="239"/>
        <v>0</v>
      </c>
      <c r="N175" s="67">
        <f t="shared" si="243"/>
        <v>44087</v>
      </c>
      <c r="O175" s="64">
        <f t="shared" si="240"/>
        <v>1</v>
      </c>
      <c r="P175" s="64">
        <f t="shared" si="241"/>
        <v>0</v>
      </c>
      <c r="Q175" s="91" t="str">
        <f t="shared" si="232"/>
        <v>Selesai</v>
      </c>
      <c r="R175" s="64">
        <f t="shared" si="242"/>
        <v>0</v>
      </c>
      <c r="S175" s="67">
        <v>44088</v>
      </c>
      <c r="T175" s="67">
        <v>44099</v>
      </c>
      <c r="U175" s="64">
        <f t="shared" si="233"/>
        <v>1</v>
      </c>
      <c r="V175" s="66"/>
      <c r="W175" s="64"/>
      <c r="X175" s="93"/>
      <c r="Y175" s="94"/>
      <c r="Z175" s="91" t="str">
        <f t="shared" si="234"/>
        <v>100%</v>
      </c>
      <c r="AA175" s="67"/>
      <c r="AB175" s="473"/>
      <c r="AC175" s="478" t="s">
        <v>2711</v>
      </c>
      <c r="AD175" s="67"/>
    </row>
    <row r="176" spans="2:46">
      <c r="B176" s="64" t="s">
        <v>109</v>
      </c>
      <c r="C176" s="65" t="s">
        <v>266</v>
      </c>
      <c r="D176" s="66">
        <v>13.02</v>
      </c>
      <c r="E176" s="67">
        <v>44055</v>
      </c>
      <c r="F176" s="64">
        <f t="shared" ref="F176" si="244">IF(E176&gt;0,1,0)</f>
        <v>1</v>
      </c>
      <c r="G176" s="67">
        <v>44056</v>
      </c>
      <c r="H176" s="64">
        <f t="shared" ref="H176" si="245">IF(G176&gt;0,1,0)</f>
        <v>1</v>
      </c>
      <c r="I176" s="67">
        <v>44077</v>
      </c>
      <c r="J176" s="64">
        <f t="shared" si="237"/>
        <v>0</v>
      </c>
      <c r="K176" s="67">
        <v>44055</v>
      </c>
      <c r="L176" s="64">
        <f t="shared" si="238"/>
        <v>0</v>
      </c>
      <c r="M176" s="64">
        <f t="shared" si="239"/>
        <v>0</v>
      </c>
      <c r="N176" s="91">
        <f t="shared" si="243"/>
        <v>44078</v>
      </c>
      <c r="O176" s="64">
        <f t="shared" si="240"/>
        <v>1</v>
      </c>
      <c r="P176" s="64">
        <f t="shared" si="241"/>
        <v>0</v>
      </c>
      <c r="Q176" s="91" t="str">
        <f t="shared" si="232"/>
        <v>Selesai</v>
      </c>
      <c r="R176" s="64">
        <f t="shared" si="242"/>
        <v>0</v>
      </c>
      <c r="S176" s="67">
        <v>44069</v>
      </c>
      <c r="T176" s="67">
        <v>44102</v>
      </c>
      <c r="U176" s="64">
        <f t="shared" si="233"/>
        <v>1</v>
      </c>
      <c r="V176" s="66"/>
      <c r="W176" s="64"/>
      <c r="X176" s="93"/>
      <c r="Y176" s="94"/>
      <c r="Z176" s="91" t="str">
        <f t="shared" si="234"/>
        <v>100%</v>
      </c>
      <c r="AA176" s="67"/>
      <c r="AB176" s="473"/>
      <c r="AC176" s="478" t="s">
        <v>2711</v>
      </c>
      <c r="AD176" s="67"/>
    </row>
    <row r="177" spans="2:31">
      <c r="B177" s="64" t="s">
        <v>105</v>
      </c>
      <c r="C177" s="65" t="s">
        <v>267</v>
      </c>
      <c r="D177" s="66">
        <v>8.44</v>
      </c>
      <c r="E177" s="67">
        <v>44070</v>
      </c>
      <c r="F177" s="64"/>
      <c r="G177" s="67">
        <v>44071</v>
      </c>
      <c r="H177" s="64"/>
      <c r="I177" s="67">
        <v>44096</v>
      </c>
      <c r="J177" s="64">
        <f t="shared" si="237"/>
        <v>0</v>
      </c>
      <c r="K177" s="67">
        <v>44074</v>
      </c>
      <c r="L177" s="64">
        <f t="shared" si="238"/>
        <v>0</v>
      </c>
      <c r="M177" s="64">
        <f t="shared" si="239"/>
        <v>0</v>
      </c>
      <c r="N177" s="91">
        <f t="shared" si="243"/>
        <v>44097</v>
      </c>
      <c r="O177" s="64">
        <f t="shared" si="240"/>
        <v>1</v>
      </c>
      <c r="P177" s="64">
        <f t="shared" si="241"/>
        <v>0</v>
      </c>
      <c r="Q177" s="91" t="str">
        <f t="shared" si="232"/>
        <v>Selesai</v>
      </c>
      <c r="R177" s="64">
        <f t="shared" si="242"/>
        <v>0</v>
      </c>
      <c r="S177" s="67">
        <v>44091</v>
      </c>
      <c r="T177" s="67">
        <v>44103</v>
      </c>
      <c r="U177" s="64">
        <f t="shared" si="233"/>
        <v>1</v>
      </c>
      <c r="V177" s="66"/>
      <c r="W177" s="64"/>
      <c r="X177" s="93"/>
      <c r="Y177" s="94"/>
      <c r="Z177" s="91" t="str">
        <f t="shared" si="234"/>
        <v>100%</v>
      </c>
      <c r="AA177" s="67"/>
      <c r="AB177" s="473"/>
      <c r="AC177" s="478" t="s">
        <v>2711</v>
      </c>
      <c r="AD177" s="67"/>
    </row>
    <row r="178" spans="2:31">
      <c r="B178" s="64" t="s">
        <v>107</v>
      </c>
      <c r="C178" s="65" t="s">
        <v>268</v>
      </c>
      <c r="D178" s="66">
        <v>8.1</v>
      </c>
      <c r="E178" s="67">
        <v>44087</v>
      </c>
      <c r="F178" s="64">
        <f>IF(E178&gt;0,1,0)</f>
        <v>1</v>
      </c>
      <c r="G178" s="67">
        <v>44088</v>
      </c>
      <c r="H178" s="64">
        <f>IF(G178&gt;0,1,0)</f>
        <v>1</v>
      </c>
      <c r="I178" s="67">
        <v>44094</v>
      </c>
      <c r="J178" s="64">
        <f t="shared" si="237"/>
        <v>0</v>
      </c>
      <c r="K178" s="67">
        <v>44090</v>
      </c>
      <c r="L178" s="64">
        <f t="shared" si="238"/>
        <v>0</v>
      </c>
      <c r="M178" s="64">
        <f t="shared" si="239"/>
        <v>0</v>
      </c>
      <c r="N178" s="67">
        <f t="shared" si="243"/>
        <v>44095</v>
      </c>
      <c r="O178" s="64">
        <f t="shared" si="240"/>
        <v>1</v>
      </c>
      <c r="P178" s="64">
        <f t="shared" si="241"/>
        <v>0</v>
      </c>
      <c r="Q178" s="91" t="str">
        <f t="shared" si="232"/>
        <v>Selesai</v>
      </c>
      <c r="R178" s="64">
        <f t="shared" si="242"/>
        <v>0</v>
      </c>
      <c r="S178" s="67">
        <v>44091</v>
      </c>
      <c r="T178" s="67">
        <v>44104</v>
      </c>
      <c r="U178" s="64">
        <f t="shared" si="233"/>
        <v>1</v>
      </c>
      <c r="V178" s="66"/>
      <c r="W178" s="64"/>
      <c r="X178" s="93"/>
      <c r="Y178" s="94"/>
      <c r="Z178" s="91" t="str">
        <f t="shared" si="234"/>
        <v>100%</v>
      </c>
      <c r="AA178" s="67"/>
      <c r="AB178" s="473"/>
      <c r="AC178" s="478" t="s">
        <v>2711</v>
      </c>
      <c r="AD178" s="67"/>
    </row>
    <row r="179" spans="2:31">
      <c r="B179" s="64" t="s">
        <v>105</v>
      </c>
      <c r="C179" s="65" t="s">
        <v>269</v>
      </c>
      <c r="D179" s="66">
        <v>12.78</v>
      </c>
      <c r="E179" s="67">
        <v>44071</v>
      </c>
      <c r="F179" s="64"/>
      <c r="G179" s="67">
        <v>44072</v>
      </c>
      <c r="H179" s="64"/>
      <c r="I179" s="67">
        <v>44100</v>
      </c>
      <c r="J179" s="64">
        <f t="shared" si="237"/>
        <v>0</v>
      </c>
      <c r="K179" s="67">
        <v>44070</v>
      </c>
      <c r="L179" s="64">
        <f t="shared" si="238"/>
        <v>0</v>
      </c>
      <c r="M179" s="64">
        <f t="shared" si="239"/>
        <v>0</v>
      </c>
      <c r="N179" s="67">
        <f t="shared" si="243"/>
        <v>44101</v>
      </c>
      <c r="O179" s="64">
        <f t="shared" si="240"/>
        <v>1</v>
      </c>
      <c r="P179" s="64">
        <f t="shared" si="241"/>
        <v>0</v>
      </c>
      <c r="Q179" s="91" t="str">
        <f t="shared" si="232"/>
        <v>Selesai</v>
      </c>
      <c r="R179" s="64">
        <f t="shared" si="242"/>
        <v>0</v>
      </c>
      <c r="S179" s="67">
        <v>44090</v>
      </c>
      <c r="T179" s="67">
        <v>44105</v>
      </c>
      <c r="U179" s="64">
        <f t="shared" si="233"/>
        <v>1</v>
      </c>
      <c r="V179" s="66"/>
      <c r="W179" s="64"/>
      <c r="X179" s="93"/>
      <c r="Y179" s="94"/>
      <c r="Z179" s="91" t="str">
        <f t="shared" si="234"/>
        <v>100%</v>
      </c>
      <c r="AA179" s="67"/>
      <c r="AB179" s="473"/>
      <c r="AC179" s="478" t="s">
        <v>2711</v>
      </c>
      <c r="AD179" s="67"/>
    </row>
    <row r="180" spans="2:31">
      <c r="B180" s="64" t="s">
        <v>107</v>
      </c>
      <c r="C180" s="65" t="s">
        <v>270</v>
      </c>
      <c r="D180" s="66">
        <v>6.13</v>
      </c>
      <c r="E180" s="67">
        <v>44073</v>
      </c>
      <c r="F180" s="64">
        <f>IF(E180&gt;0,1,0)</f>
        <v>1</v>
      </c>
      <c r="G180" s="67">
        <v>44074</v>
      </c>
      <c r="H180" s="64">
        <f t="shared" ref="H180:H198" si="246">IF(G180&gt;0,1,0)</f>
        <v>1</v>
      </c>
      <c r="I180" s="67">
        <v>44086</v>
      </c>
      <c r="J180" s="64">
        <f t="shared" si="237"/>
        <v>0</v>
      </c>
      <c r="K180" s="67">
        <v>44081</v>
      </c>
      <c r="L180" s="64">
        <f t="shared" si="238"/>
        <v>0</v>
      </c>
      <c r="M180" s="64">
        <f t="shared" si="239"/>
        <v>0</v>
      </c>
      <c r="N180" s="67">
        <f t="shared" si="243"/>
        <v>44087</v>
      </c>
      <c r="O180" s="64">
        <f t="shared" si="240"/>
        <v>1</v>
      </c>
      <c r="P180" s="64">
        <f t="shared" si="241"/>
        <v>0</v>
      </c>
      <c r="Q180" s="91" t="str">
        <f t="shared" si="232"/>
        <v>Selesai</v>
      </c>
      <c r="R180" s="64">
        <f t="shared" si="242"/>
        <v>0</v>
      </c>
      <c r="S180" s="67">
        <v>44086</v>
      </c>
      <c r="T180" s="67">
        <v>44106</v>
      </c>
      <c r="U180" s="64">
        <f t="shared" si="233"/>
        <v>1</v>
      </c>
      <c r="V180" s="66"/>
      <c r="W180" s="64"/>
      <c r="X180" s="93"/>
      <c r="Y180" s="94"/>
      <c r="Z180" s="91" t="str">
        <f t="shared" si="234"/>
        <v>100%</v>
      </c>
      <c r="AA180" s="67"/>
      <c r="AB180" s="473"/>
      <c r="AC180" s="478" t="s">
        <v>2711</v>
      </c>
      <c r="AD180" s="67"/>
    </row>
    <row r="181" spans="2:31">
      <c r="B181" s="64" t="s">
        <v>107</v>
      </c>
      <c r="C181" s="65" t="s">
        <v>271</v>
      </c>
      <c r="D181" s="66">
        <v>2.0499999999999998</v>
      </c>
      <c r="E181" s="67">
        <v>44087</v>
      </c>
      <c r="F181" s="64">
        <f>IF(E181&gt;0,1,0)</f>
        <v>1</v>
      </c>
      <c r="G181" s="67">
        <v>44088</v>
      </c>
      <c r="H181" s="64">
        <f t="shared" si="246"/>
        <v>1</v>
      </c>
      <c r="I181" s="67">
        <v>44096</v>
      </c>
      <c r="J181" s="64">
        <f t="shared" si="237"/>
        <v>0</v>
      </c>
      <c r="K181" s="67">
        <v>44090</v>
      </c>
      <c r="L181" s="64">
        <f t="shared" si="238"/>
        <v>0</v>
      </c>
      <c r="M181" s="64">
        <f t="shared" si="239"/>
        <v>0</v>
      </c>
      <c r="N181" s="91">
        <f t="shared" si="243"/>
        <v>44097</v>
      </c>
      <c r="O181" s="64">
        <f t="shared" si="240"/>
        <v>1</v>
      </c>
      <c r="P181" s="64">
        <f t="shared" si="241"/>
        <v>0</v>
      </c>
      <c r="Q181" s="91" t="str">
        <f t="shared" si="232"/>
        <v>Selesai</v>
      </c>
      <c r="R181" s="64">
        <f t="shared" si="242"/>
        <v>0</v>
      </c>
      <c r="S181" s="67">
        <v>44099</v>
      </c>
      <c r="T181" s="67">
        <v>44108</v>
      </c>
      <c r="U181" s="64">
        <f t="shared" si="233"/>
        <v>1</v>
      </c>
      <c r="V181" s="66"/>
      <c r="W181" s="64"/>
      <c r="X181" s="93"/>
      <c r="Y181" s="94"/>
      <c r="Z181" s="91" t="str">
        <f t="shared" si="234"/>
        <v>100%</v>
      </c>
      <c r="AA181" s="67"/>
      <c r="AB181" s="473"/>
      <c r="AC181" s="478" t="s">
        <v>2711</v>
      </c>
      <c r="AD181" s="67"/>
    </row>
    <row r="182" spans="2:31">
      <c r="B182" s="64" t="s">
        <v>109</v>
      </c>
      <c r="C182" s="65" t="s">
        <v>151</v>
      </c>
      <c r="D182" s="66">
        <v>10.9</v>
      </c>
      <c r="E182" s="67">
        <v>44083</v>
      </c>
      <c r="F182" s="64">
        <f>IF(E182&gt;0,1,0)</f>
        <v>1</v>
      </c>
      <c r="G182" s="67">
        <v>44088</v>
      </c>
      <c r="H182" s="64">
        <f t="shared" si="246"/>
        <v>1</v>
      </c>
      <c r="I182" s="67">
        <v>44100</v>
      </c>
      <c r="J182" s="64">
        <f t="shared" si="237"/>
        <v>0</v>
      </c>
      <c r="K182" s="67">
        <v>44091</v>
      </c>
      <c r="L182" s="64">
        <f t="shared" si="238"/>
        <v>0</v>
      </c>
      <c r="M182" s="64">
        <f t="shared" si="239"/>
        <v>0</v>
      </c>
      <c r="N182" s="67">
        <f t="shared" si="243"/>
        <v>44101</v>
      </c>
      <c r="O182" s="64">
        <f t="shared" si="240"/>
        <v>1</v>
      </c>
      <c r="P182" s="64">
        <f t="shared" si="241"/>
        <v>0</v>
      </c>
      <c r="Q182" s="91" t="str">
        <f t="shared" si="232"/>
        <v>Selesai</v>
      </c>
      <c r="R182" s="64">
        <f t="shared" si="242"/>
        <v>0</v>
      </c>
      <c r="S182" s="67">
        <v>44094</v>
      </c>
      <c r="T182" s="67">
        <v>44109</v>
      </c>
      <c r="U182" s="64">
        <f t="shared" si="233"/>
        <v>1</v>
      </c>
      <c r="V182" s="66"/>
      <c r="W182" s="64"/>
      <c r="X182" s="93"/>
      <c r="Y182" s="94"/>
      <c r="Z182" s="91" t="str">
        <f t="shared" si="234"/>
        <v>100%</v>
      </c>
      <c r="AA182" s="67"/>
      <c r="AB182" s="473"/>
      <c r="AC182" s="478" t="s">
        <v>2711</v>
      </c>
      <c r="AD182" s="67"/>
    </row>
    <row r="183" spans="2:31">
      <c r="B183" s="64" t="s">
        <v>107</v>
      </c>
      <c r="C183" s="65" t="s">
        <v>272</v>
      </c>
      <c r="D183" s="66">
        <v>2.94</v>
      </c>
      <c r="E183" s="67">
        <v>44073</v>
      </c>
      <c r="F183" s="64">
        <v>1</v>
      </c>
      <c r="G183" s="67">
        <v>44074</v>
      </c>
      <c r="H183" s="64">
        <f t="shared" si="246"/>
        <v>1</v>
      </c>
      <c r="I183" s="67">
        <v>44083</v>
      </c>
      <c r="J183" s="64">
        <f t="shared" si="237"/>
        <v>0</v>
      </c>
      <c r="K183" s="67">
        <v>44063</v>
      </c>
      <c r="L183" s="64">
        <f t="shared" si="238"/>
        <v>0</v>
      </c>
      <c r="M183" s="64">
        <f t="shared" si="239"/>
        <v>0</v>
      </c>
      <c r="N183" s="91">
        <f t="shared" si="243"/>
        <v>44084</v>
      </c>
      <c r="O183" s="64">
        <f t="shared" si="240"/>
        <v>1</v>
      </c>
      <c r="P183" s="64">
        <f t="shared" si="241"/>
        <v>0</v>
      </c>
      <c r="Q183" s="91" t="str">
        <f t="shared" si="232"/>
        <v>Selesai</v>
      </c>
      <c r="R183" s="64">
        <f t="shared" si="242"/>
        <v>0</v>
      </c>
      <c r="S183" s="67">
        <v>44088</v>
      </c>
      <c r="T183" s="67">
        <v>44111</v>
      </c>
      <c r="U183" s="64">
        <f t="shared" si="233"/>
        <v>1</v>
      </c>
      <c r="V183" s="66"/>
      <c r="W183" s="64"/>
      <c r="X183" s="93"/>
      <c r="Y183" s="94"/>
      <c r="Z183" s="91" t="str">
        <f t="shared" si="234"/>
        <v>100%</v>
      </c>
      <c r="AA183" s="67"/>
      <c r="AB183" s="473"/>
      <c r="AC183" s="478" t="s">
        <v>2711</v>
      </c>
      <c r="AD183" s="67"/>
    </row>
    <row r="184" spans="2:31">
      <c r="B184" s="64" t="s">
        <v>105</v>
      </c>
      <c r="C184" s="65" t="s">
        <v>273</v>
      </c>
      <c r="D184" s="66">
        <v>4.9000000000000004</v>
      </c>
      <c r="E184" s="67">
        <v>44086</v>
      </c>
      <c r="F184" s="64">
        <f t="shared" ref="F184:F198" si="247">IF(E184&gt;0,1,0)</f>
        <v>1</v>
      </c>
      <c r="G184" s="67">
        <v>44087</v>
      </c>
      <c r="H184" s="64">
        <f t="shared" si="246"/>
        <v>1</v>
      </c>
      <c r="I184" s="67">
        <v>44105</v>
      </c>
      <c r="J184" s="64">
        <f t="shared" si="237"/>
        <v>0</v>
      </c>
      <c r="K184" s="67">
        <v>44096</v>
      </c>
      <c r="L184" s="64">
        <f t="shared" si="238"/>
        <v>0</v>
      </c>
      <c r="M184" s="64">
        <f t="shared" si="239"/>
        <v>0</v>
      </c>
      <c r="N184" s="67">
        <f t="shared" si="243"/>
        <v>44106</v>
      </c>
      <c r="O184" s="64">
        <f t="shared" si="240"/>
        <v>1</v>
      </c>
      <c r="P184" s="64">
        <f t="shared" si="241"/>
        <v>0</v>
      </c>
      <c r="Q184" s="91" t="str">
        <f t="shared" si="232"/>
        <v>Selesai</v>
      </c>
      <c r="R184" s="64">
        <f t="shared" si="242"/>
        <v>0</v>
      </c>
      <c r="S184" s="67">
        <v>44103</v>
      </c>
      <c r="T184" s="67">
        <v>44113</v>
      </c>
      <c r="U184" s="64">
        <f t="shared" si="233"/>
        <v>1</v>
      </c>
      <c r="V184" s="66"/>
      <c r="W184" s="64"/>
      <c r="X184" s="93"/>
      <c r="Y184" s="94"/>
      <c r="Z184" s="91" t="str">
        <f t="shared" si="234"/>
        <v>100%</v>
      </c>
      <c r="AA184" s="67"/>
      <c r="AB184" s="473"/>
      <c r="AC184" s="478" t="s">
        <v>2711</v>
      </c>
      <c r="AD184" s="67"/>
    </row>
    <row r="185" spans="2:31">
      <c r="B185" s="64" t="s">
        <v>109</v>
      </c>
      <c r="C185" s="65" t="s">
        <v>274</v>
      </c>
      <c r="D185" s="66">
        <v>14.25</v>
      </c>
      <c r="E185" s="67">
        <v>44057</v>
      </c>
      <c r="F185" s="64">
        <f t="shared" si="247"/>
        <v>1</v>
      </c>
      <c r="G185" s="67">
        <v>44062</v>
      </c>
      <c r="H185" s="64">
        <f t="shared" si="246"/>
        <v>1</v>
      </c>
      <c r="I185" s="67">
        <v>44094</v>
      </c>
      <c r="J185" s="64">
        <f t="shared" si="237"/>
        <v>0</v>
      </c>
      <c r="K185" s="67">
        <v>44055</v>
      </c>
      <c r="L185" s="64">
        <f t="shared" si="238"/>
        <v>0</v>
      </c>
      <c r="M185" s="64">
        <f t="shared" si="239"/>
        <v>0</v>
      </c>
      <c r="N185" s="67">
        <f t="shared" si="243"/>
        <v>44095</v>
      </c>
      <c r="O185" s="64">
        <f t="shared" si="240"/>
        <v>1</v>
      </c>
      <c r="P185" s="64">
        <f t="shared" si="241"/>
        <v>0</v>
      </c>
      <c r="Q185" s="91" t="str">
        <f t="shared" si="232"/>
        <v>Selesai</v>
      </c>
      <c r="R185" s="64">
        <f t="shared" si="242"/>
        <v>0</v>
      </c>
      <c r="S185" s="67">
        <v>44082</v>
      </c>
      <c r="T185" s="67">
        <v>44114</v>
      </c>
      <c r="U185" s="64">
        <f t="shared" si="233"/>
        <v>1</v>
      </c>
      <c r="V185" s="66"/>
      <c r="W185" s="64"/>
      <c r="X185" s="93"/>
      <c r="Y185" s="94"/>
      <c r="Z185" s="91" t="str">
        <f t="shared" si="234"/>
        <v>100%</v>
      </c>
      <c r="AA185" s="67"/>
      <c r="AB185" s="473"/>
      <c r="AC185" s="478" t="s">
        <v>2711</v>
      </c>
      <c r="AD185" s="67"/>
    </row>
    <row r="186" spans="2:31">
      <c r="B186" s="64" t="s">
        <v>107</v>
      </c>
      <c r="C186" s="65" t="s">
        <v>157</v>
      </c>
      <c r="D186" s="66">
        <v>7.15</v>
      </c>
      <c r="E186" s="67">
        <v>44075</v>
      </c>
      <c r="F186" s="64">
        <f t="shared" si="247"/>
        <v>1</v>
      </c>
      <c r="G186" s="67">
        <v>44076</v>
      </c>
      <c r="H186" s="64">
        <f t="shared" si="246"/>
        <v>1</v>
      </c>
      <c r="I186" s="67">
        <v>44098</v>
      </c>
      <c r="J186" s="64">
        <f t="shared" si="237"/>
        <v>0</v>
      </c>
      <c r="K186" s="67">
        <v>44098</v>
      </c>
      <c r="L186" s="64">
        <f t="shared" si="238"/>
        <v>0</v>
      </c>
      <c r="M186" s="64">
        <f t="shared" si="239"/>
        <v>0</v>
      </c>
      <c r="N186" s="91">
        <f t="shared" si="243"/>
        <v>44099</v>
      </c>
      <c r="O186" s="64">
        <f t="shared" si="240"/>
        <v>1</v>
      </c>
      <c r="P186" s="64">
        <f t="shared" si="241"/>
        <v>0</v>
      </c>
      <c r="Q186" s="91" t="str">
        <f t="shared" si="232"/>
        <v>Selesai</v>
      </c>
      <c r="R186" s="64">
        <f t="shared" si="242"/>
        <v>0</v>
      </c>
      <c r="S186" s="67">
        <v>44104</v>
      </c>
      <c r="T186" s="67">
        <v>44117</v>
      </c>
      <c r="U186" s="64">
        <f t="shared" si="233"/>
        <v>1</v>
      </c>
      <c r="V186" s="66"/>
      <c r="W186" s="64"/>
      <c r="X186" s="93"/>
      <c r="Y186" s="94" t="s">
        <v>275</v>
      </c>
      <c r="Z186" s="91" t="str">
        <f t="shared" si="234"/>
        <v>100%</v>
      </c>
      <c r="AA186" s="67"/>
      <c r="AB186" s="473"/>
      <c r="AC186" s="478" t="s">
        <v>2711</v>
      </c>
      <c r="AD186" s="67"/>
    </row>
    <row r="187" spans="2:31">
      <c r="B187" s="64" t="s">
        <v>107</v>
      </c>
      <c r="C187" s="65" t="s">
        <v>276</v>
      </c>
      <c r="D187" s="66">
        <v>9.98</v>
      </c>
      <c r="E187" s="67">
        <v>44098</v>
      </c>
      <c r="F187" s="64">
        <f t="shared" si="247"/>
        <v>1</v>
      </c>
      <c r="G187" s="67">
        <v>44099</v>
      </c>
      <c r="H187" s="64">
        <f t="shared" si="246"/>
        <v>1</v>
      </c>
      <c r="I187" s="67">
        <v>44110</v>
      </c>
      <c r="J187" s="64">
        <f t="shared" si="237"/>
        <v>0</v>
      </c>
      <c r="K187" s="67">
        <v>44098</v>
      </c>
      <c r="L187" s="64">
        <f t="shared" si="238"/>
        <v>0</v>
      </c>
      <c r="M187" s="64">
        <f t="shared" si="239"/>
        <v>0</v>
      </c>
      <c r="N187" s="67">
        <f t="shared" si="243"/>
        <v>44111</v>
      </c>
      <c r="O187" s="64">
        <f t="shared" si="240"/>
        <v>1</v>
      </c>
      <c r="P187" s="64">
        <f t="shared" si="241"/>
        <v>0</v>
      </c>
      <c r="Q187" s="91" t="str">
        <f t="shared" si="232"/>
        <v>Selesai</v>
      </c>
      <c r="R187" s="64">
        <f t="shared" si="242"/>
        <v>0</v>
      </c>
      <c r="S187" s="67">
        <v>44104</v>
      </c>
      <c r="T187" s="67">
        <v>44117</v>
      </c>
      <c r="U187" s="64">
        <f t="shared" si="233"/>
        <v>1</v>
      </c>
      <c r="V187" s="66"/>
      <c r="W187" s="64"/>
      <c r="X187" s="93"/>
      <c r="Y187" s="94"/>
      <c r="Z187" s="91" t="str">
        <f t="shared" si="234"/>
        <v>100%</v>
      </c>
      <c r="AA187" s="67"/>
      <c r="AB187" s="473"/>
      <c r="AC187" s="478" t="s">
        <v>2711</v>
      </c>
      <c r="AD187" s="67"/>
      <c r="AE187" s="98"/>
    </row>
    <row r="188" spans="2:31">
      <c r="B188" s="64" t="s">
        <v>113</v>
      </c>
      <c r="C188" s="65" t="s">
        <v>277</v>
      </c>
      <c r="D188" s="66">
        <v>7.86</v>
      </c>
      <c r="E188" s="67">
        <v>44084</v>
      </c>
      <c r="F188" s="64">
        <f t="shared" si="247"/>
        <v>1</v>
      </c>
      <c r="G188" s="67">
        <v>44086</v>
      </c>
      <c r="H188" s="64">
        <f t="shared" si="246"/>
        <v>1</v>
      </c>
      <c r="I188" s="67">
        <v>44100</v>
      </c>
      <c r="J188" s="64">
        <f t="shared" si="237"/>
        <v>0</v>
      </c>
      <c r="K188" s="67">
        <v>44097</v>
      </c>
      <c r="L188" s="64">
        <f t="shared" si="238"/>
        <v>0</v>
      </c>
      <c r="M188" s="64">
        <f t="shared" si="239"/>
        <v>0</v>
      </c>
      <c r="N188" s="67">
        <f t="shared" si="243"/>
        <v>44101</v>
      </c>
      <c r="O188" s="64">
        <f t="shared" si="240"/>
        <v>1</v>
      </c>
      <c r="P188" s="64">
        <f t="shared" si="241"/>
        <v>0</v>
      </c>
      <c r="Q188" s="91" t="str">
        <f t="shared" si="232"/>
        <v>Selesai</v>
      </c>
      <c r="R188" s="64">
        <f t="shared" si="242"/>
        <v>0</v>
      </c>
      <c r="S188" s="67">
        <v>44098</v>
      </c>
      <c r="T188" s="67">
        <v>44118</v>
      </c>
      <c r="U188" s="64">
        <f t="shared" si="233"/>
        <v>1</v>
      </c>
      <c r="V188" s="66"/>
      <c r="W188" s="64"/>
      <c r="X188" s="93"/>
      <c r="Y188" s="94"/>
      <c r="Z188" s="91" t="str">
        <f t="shared" si="234"/>
        <v>100%</v>
      </c>
      <c r="AA188" s="67"/>
      <c r="AB188" s="473"/>
      <c r="AC188" s="478" t="s">
        <v>2711</v>
      </c>
      <c r="AD188" s="67"/>
    </row>
    <row r="189" spans="2:31">
      <c r="B189" s="64" t="s">
        <v>105</v>
      </c>
      <c r="C189" s="65" t="s">
        <v>278</v>
      </c>
      <c r="D189" s="66">
        <v>6.78</v>
      </c>
      <c r="E189" s="67">
        <v>44089</v>
      </c>
      <c r="F189" s="64">
        <f t="shared" si="247"/>
        <v>1</v>
      </c>
      <c r="G189" s="67">
        <v>44090</v>
      </c>
      <c r="H189" s="64">
        <f t="shared" si="246"/>
        <v>1</v>
      </c>
      <c r="I189" s="67">
        <v>44105</v>
      </c>
      <c r="J189" s="64">
        <f t="shared" si="237"/>
        <v>0</v>
      </c>
      <c r="K189" s="67">
        <v>44096</v>
      </c>
      <c r="L189" s="64">
        <f t="shared" si="238"/>
        <v>0</v>
      </c>
      <c r="M189" s="64">
        <f t="shared" si="239"/>
        <v>0</v>
      </c>
      <c r="N189" s="67">
        <f t="shared" si="243"/>
        <v>44106</v>
      </c>
      <c r="O189" s="64">
        <f t="shared" si="240"/>
        <v>1</v>
      </c>
      <c r="P189" s="64">
        <f t="shared" si="241"/>
        <v>0</v>
      </c>
      <c r="Q189" s="91" t="str">
        <f t="shared" si="232"/>
        <v>Selesai</v>
      </c>
      <c r="R189" s="64">
        <f t="shared" si="242"/>
        <v>0</v>
      </c>
      <c r="S189" s="67">
        <v>44101</v>
      </c>
      <c r="T189" s="67">
        <v>44120</v>
      </c>
      <c r="U189" s="64">
        <f t="shared" si="233"/>
        <v>1</v>
      </c>
      <c r="V189" s="66"/>
      <c r="W189" s="64"/>
      <c r="X189" s="93"/>
      <c r="Y189" s="94"/>
      <c r="Z189" s="91" t="str">
        <f t="shared" si="234"/>
        <v>100%</v>
      </c>
      <c r="AA189" s="67"/>
      <c r="AB189" s="473"/>
      <c r="AC189" s="478" t="s">
        <v>2711</v>
      </c>
      <c r="AD189" s="67"/>
    </row>
    <row r="190" spans="2:31">
      <c r="B190" s="64" t="s">
        <v>105</v>
      </c>
      <c r="C190" s="65" t="s">
        <v>279</v>
      </c>
      <c r="D190" s="66">
        <v>4.7699999999999996</v>
      </c>
      <c r="E190" s="67">
        <v>44089</v>
      </c>
      <c r="F190" s="64">
        <f t="shared" si="247"/>
        <v>1</v>
      </c>
      <c r="G190" s="67">
        <v>44090</v>
      </c>
      <c r="H190" s="64">
        <f t="shared" si="246"/>
        <v>1</v>
      </c>
      <c r="I190" s="67">
        <v>44110</v>
      </c>
      <c r="J190" s="64">
        <f t="shared" si="237"/>
        <v>0</v>
      </c>
      <c r="K190" s="67">
        <v>44096</v>
      </c>
      <c r="L190" s="64">
        <f t="shared" si="238"/>
        <v>0</v>
      </c>
      <c r="M190" s="64">
        <f t="shared" si="239"/>
        <v>0</v>
      </c>
      <c r="N190" s="67">
        <f t="shared" si="243"/>
        <v>44111</v>
      </c>
      <c r="O190" s="64">
        <f t="shared" si="240"/>
        <v>1</v>
      </c>
      <c r="P190" s="64">
        <f t="shared" si="241"/>
        <v>0</v>
      </c>
      <c r="Q190" s="91" t="str">
        <f t="shared" si="232"/>
        <v>Selesai</v>
      </c>
      <c r="R190" s="64">
        <f t="shared" si="242"/>
        <v>0</v>
      </c>
      <c r="S190" s="67">
        <v>44104</v>
      </c>
      <c r="T190" s="67">
        <v>44120</v>
      </c>
      <c r="U190" s="64">
        <f t="shared" si="233"/>
        <v>1</v>
      </c>
      <c r="V190" s="66"/>
      <c r="W190" s="64"/>
      <c r="X190" s="93"/>
      <c r="Y190" s="94"/>
      <c r="Z190" s="91" t="str">
        <f t="shared" si="234"/>
        <v>100%</v>
      </c>
      <c r="AA190" s="67"/>
      <c r="AB190" s="473"/>
      <c r="AC190" s="478" t="s">
        <v>2711</v>
      </c>
      <c r="AD190" s="67"/>
    </row>
    <row r="191" spans="2:31">
      <c r="B191" s="64" t="s">
        <v>105</v>
      </c>
      <c r="C191" s="65" t="s">
        <v>280</v>
      </c>
      <c r="D191" s="66">
        <v>8.7799999999999994</v>
      </c>
      <c r="E191" s="67">
        <v>44083</v>
      </c>
      <c r="F191" s="64">
        <f t="shared" si="247"/>
        <v>1</v>
      </c>
      <c r="G191" s="67">
        <v>44086</v>
      </c>
      <c r="H191" s="64">
        <f t="shared" si="246"/>
        <v>1</v>
      </c>
      <c r="I191" s="67">
        <v>44103</v>
      </c>
      <c r="J191" s="64">
        <f t="shared" si="237"/>
        <v>0</v>
      </c>
      <c r="K191" s="67">
        <v>44096</v>
      </c>
      <c r="L191" s="64">
        <f t="shared" si="238"/>
        <v>0</v>
      </c>
      <c r="M191" s="64">
        <f t="shared" si="239"/>
        <v>0</v>
      </c>
      <c r="N191" s="67">
        <f t="shared" si="243"/>
        <v>44104</v>
      </c>
      <c r="O191" s="64">
        <f t="shared" si="240"/>
        <v>1</v>
      </c>
      <c r="P191" s="64">
        <f t="shared" si="241"/>
        <v>0</v>
      </c>
      <c r="Q191" s="91" t="str">
        <f t="shared" si="232"/>
        <v>Selesai</v>
      </c>
      <c r="R191" s="64">
        <f t="shared" si="242"/>
        <v>0</v>
      </c>
      <c r="S191" s="67">
        <v>44098</v>
      </c>
      <c r="T191" s="67">
        <v>44122</v>
      </c>
      <c r="U191" s="64">
        <f t="shared" si="233"/>
        <v>1</v>
      </c>
      <c r="V191" s="66"/>
      <c r="W191" s="64"/>
      <c r="X191" s="93"/>
      <c r="Y191" s="94"/>
      <c r="Z191" s="91" t="str">
        <f t="shared" si="234"/>
        <v>100%</v>
      </c>
      <c r="AA191" s="67"/>
      <c r="AB191" s="473"/>
      <c r="AC191" s="478" t="s">
        <v>2711</v>
      </c>
      <c r="AD191" s="67"/>
    </row>
    <row r="192" spans="2:31">
      <c r="B192" s="64" t="s">
        <v>105</v>
      </c>
      <c r="C192" s="65" t="s">
        <v>281</v>
      </c>
      <c r="D192" s="66">
        <v>8.3000000000000007</v>
      </c>
      <c r="E192" s="67">
        <v>44086</v>
      </c>
      <c r="F192" s="64">
        <f t="shared" si="247"/>
        <v>1</v>
      </c>
      <c r="G192" s="67">
        <v>44087</v>
      </c>
      <c r="H192" s="64">
        <f t="shared" si="246"/>
        <v>1</v>
      </c>
      <c r="I192" s="67">
        <v>44106</v>
      </c>
      <c r="J192" s="64">
        <f t="shared" si="237"/>
        <v>0</v>
      </c>
      <c r="K192" s="67">
        <v>44096</v>
      </c>
      <c r="L192" s="64">
        <f t="shared" si="238"/>
        <v>0</v>
      </c>
      <c r="M192" s="64">
        <f t="shared" si="239"/>
        <v>0</v>
      </c>
      <c r="N192" s="67">
        <f t="shared" si="243"/>
        <v>44107</v>
      </c>
      <c r="O192" s="64">
        <f t="shared" si="240"/>
        <v>1</v>
      </c>
      <c r="P192" s="64">
        <f t="shared" si="241"/>
        <v>0</v>
      </c>
      <c r="Q192" s="91" t="str">
        <f t="shared" si="232"/>
        <v>Selesai</v>
      </c>
      <c r="R192" s="64">
        <f t="shared" si="242"/>
        <v>0</v>
      </c>
      <c r="S192" s="67">
        <v>44105</v>
      </c>
      <c r="T192" s="67">
        <v>44123</v>
      </c>
      <c r="U192" s="64">
        <f t="shared" si="233"/>
        <v>1</v>
      </c>
      <c r="V192" s="66"/>
      <c r="W192" s="64"/>
      <c r="X192" s="93"/>
      <c r="Y192" s="94"/>
      <c r="Z192" s="91" t="str">
        <f t="shared" si="234"/>
        <v>100%</v>
      </c>
      <c r="AA192" s="67"/>
      <c r="AB192" s="473"/>
      <c r="AC192" s="478" t="s">
        <v>2711</v>
      </c>
      <c r="AD192" s="67"/>
    </row>
    <row r="193" spans="2:30">
      <c r="B193" s="64" t="s">
        <v>107</v>
      </c>
      <c r="C193" s="65" t="s">
        <v>282</v>
      </c>
      <c r="D193" s="66">
        <v>17.7</v>
      </c>
      <c r="E193" s="67">
        <v>44099</v>
      </c>
      <c r="F193" s="64">
        <f t="shared" si="247"/>
        <v>1</v>
      </c>
      <c r="G193" s="67">
        <v>44100</v>
      </c>
      <c r="H193" s="64">
        <f t="shared" si="246"/>
        <v>1</v>
      </c>
      <c r="I193" s="67">
        <v>44119</v>
      </c>
      <c r="J193" s="64">
        <f t="shared" si="237"/>
        <v>0</v>
      </c>
      <c r="K193" s="67">
        <v>44104</v>
      </c>
      <c r="L193" s="64">
        <f t="shared" si="238"/>
        <v>0</v>
      </c>
      <c r="M193" s="64">
        <f t="shared" si="239"/>
        <v>0</v>
      </c>
      <c r="N193" s="67">
        <f t="shared" si="243"/>
        <v>44120</v>
      </c>
      <c r="O193" s="64">
        <f t="shared" si="240"/>
        <v>1</v>
      </c>
      <c r="P193" s="64">
        <f t="shared" si="241"/>
        <v>0</v>
      </c>
      <c r="Q193" s="91" t="str">
        <f t="shared" si="232"/>
        <v>Selesai</v>
      </c>
      <c r="R193" s="64">
        <f t="shared" si="242"/>
        <v>0</v>
      </c>
      <c r="S193" s="67">
        <v>44111</v>
      </c>
      <c r="T193" s="67">
        <v>44124</v>
      </c>
      <c r="U193" s="64">
        <f t="shared" si="233"/>
        <v>1</v>
      </c>
      <c r="V193" s="66"/>
      <c r="W193" s="64"/>
      <c r="X193" s="93"/>
      <c r="Y193" s="94"/>
      <c r="Z193" s="91" t="str">
        <f t="shared" si="234"/>
        <v>100%</v>
      </c>
      <c r="AA193" s="67"/>
      <c r="AB193" s="473"/>
      <c r="AC193" s="478" t="s">
        <v>2711</v>
      </c>
      <c r="AD193" s="67"/>
    </row>
    <row r="194" spans="2:30">
      <c r="B194" s="64" t="s">
        <v>109</v>
      </c>
      <c r="C194" s="65" t="s">
        <v>160</v>
      </c>
      <c r="D194" s="66">
        <v>10.18</v>
      </c>
      <c r="E194" s="67">
        <v>44091</v>
      </c>
      <c r="F194" s="64">
        <f t="shared" si="247"/>
        <v>1</v>
      </c>
      <c r="G194" s="67">
        <v>44092</v>
      </c>
      <c r="H194" s="64">
        <f t="shared" si="246"/>
        <v>1</v>
      </c>
      <c r="I194" s="67">
        <v>44119</v>
      </c>
      <c r="J194" s="64">
        <f t="shared" si="237"/>
        <v>0</v>
      </c>
      <c r="K194" s="67">
        <v>44105</v>
      </c>
      <c r="L194" s="64">
        <f t="shared" si="238"/>
        <v>0</v>
      </c>
      <c r="M194" s="64">
        <f t="shared" si="239"/>
        <v>0</v>
      </c>
      <c r="N194" s="67">
        <f t="shared" si="243"/>
        <v>44120</v>
      </c>
      <c r="O194" s="64">
        <f t="shared" si="240"/>
        <v>1</v>
      </c>
      <c r="P194" s="64">
        <f t="shared" si="241"/>
        <v>0</v>
      </c>
      <c r="Q194" s="91" t="str">
        <f t="shared" si="232"/>
        <v>Selesai</v>
      </c>
      <c r="R194" s="64">
        <f t="shared" si="242"/>
        <v>0</v>
      </c>
      <c r="S194" s="67">
        <v>44112</v>
      </c>
      <c r="T194" s="67">
        <v>44124</v>
      </c>
      <c r="U194" s="64">
        <f t="shared" si="233"/>
        <v>1</v>
      </c>
      <c r="V194" s="66"/>
      <c r="W194" s="64"/>
      <c r="X194" s="93"/>
      <c r="Y194" s="94"/>
      <c r="Z194" s="91" t="str">
        <f t="shared" si="234"/>
        <v>100%</v>
      </c>
      <c r="AA194" s="67"/>
      <c r="AB194" s="473"/>
      <c r="AC194" s="478" t="s">
        <v>2711</v>
      </c>
      <c r="AD194" s="67"/>
    </row>
    <row r="195" spans="2:30">
      <c r="B195" s="64" t="s">
        <v>105</v>
      </c>
      <c r="C195" s="65" t="s">
        <v>283</v>
      </c>
      <c r="D195" s="66">
        <v>6.45</v>
      </c>
      <c r="E195" s="67">
        <v>44092</v>
      </c>
      <c r="F195" s="64">
        <f t="shared" si="247"/>
        <v>1</v>
      </c>
      <c r="G195" s="67">
        <v>44093</v>
      </c>
      <c r="H195" s="64">
        <f t="shared" si="246"/>
        <v>1</v>
      </c>
      <c r="I195" s="67">
        <v>44117</v>
      </c>
      <c r="J195" s="64">
        <f t="shared" si="237"/>
        <v>0</v>
      </c>
      <c r="K195" s="67">
        <v>44104</v>
      </c>
      <c r="L195" s="64">
        <f t="shared" si="238"/>
        <v>0</v>
      </c>
      <c r="M195" s="64">
        <f t="shared" si="239"/>
        <v>0</v>
      </c>
      <c r="N195" s="67">
        <f t="shared" ref="N195:N226" si="248">IF(AND(I195&gt;0,K195&gt;0),MAX(I195:K195)+1,"")</f>
        <v>44118</v>
      </c>
      <c r="O195" s="64">
        <f t="shared" si="240"/>
        <v>1</v>
      </c>
      <c r="P195" s="64">
        <f t="shared" si="241"/>
        <v>0</v>
      </c>
      <c r="Q195" s="91" t="str">
        <f t="shared" si="232"/>
        <v>Selesai</v>
      </c>
      <c r="R195" s="64">
        <f t="shared" si="242"/>
        <v>0</v>
      </c>
      <c r="S195" s="67">
        <v>44115</v>
      </c>
      <c r="T195" s="67">
        <v>44125</v>
      </c>
      <c r="U195" s="64">
        <f t="shared" si="233"/>
        <v>1</v>
      </c>
      <c r="V195" s="66"/>
      <c r="W195" s="64"/>
      <c r="X195" s="93"/>
      <c r="Y195" s="94"/>
      <c r="Z195" s="91" t="str">
        <f t="shared" si="234"/>
        <v>100%</v>
      </c>
      <c r="AA195" s="67"/>
      <c r="AB195" s="473"/>
      <c r="AC195" s="478" t="s">
        <v>2711</v>
      </c>
      <c r="AD195" s="67"/>
    </row>
    <row r="196" spans="2:30">
      <c r="B196" s="64" t="s">
        <v>109</v>
      </c>
      <c r="C196" s="65" t="s">
        <v>284</v>
      </c>
      <c r="D196" s="66">
        <v>11.25</v>
      </c>
      <c r="E196" s="67">
        <v>44091</v>
      </c>
      <c r="F196" s="64">
        <f t="shared" si="247"/>
        <v>1</v>
      </c>
      <c r="G196" s="67">
        <v>44092</v>
      </c>
      <c r="H196" s="64">
        <f t="shared" si="246"/>
        <v>1</v>
      </c>
      <c r="I196" s="67">
        <v>44110</v>
      </c>
      <c r="J196" s="64">
        <f t="shared" si="237"/>
        <v>0</v>
      </c>
      <c r="K196" s="67">
        <v>44091</v>
      </c>
      <c r="L196" s="64">
        <f t="shared" si="238"/>
        <v>0</v>
      </c>
      <c r="M196" s="64">
        <f t="shared" si="239"/>
        <v>0</v>
      </c>
      <c r="N196" s="67">
        <f t="shared" si="248"/>
        <v>44111</v>
      </c>
      <c r="O196" s="64">
        <f t="shared" si="240"/>
        <v>1</v>
      </c>
      <c r="P196" s="64">
        <f t="shared" si="241"/>
        <v>0</v>
      </c>
      <c r="Q196" s="91" t="str">
        <f t="shared" si="232"/>
        <v>Selesai</v>
      </c>
      <c r="R196" s="64">
        <f t="shared" si="242"/>
        <v>0</v>
      </c>
      <c r="S196" s="67">
        <v>44106</v>
      </c>
      <c r="T196" s="67">
        <v>44133</v>
      </c>
      <c r="U196" s="64">
        <f t="shared" si="233"/>
        <v>1</v>
      </c>
      <c r="V196" s="66"/>
      <c r="W196" s="64"/>
      <c r="X196" s="93"/>
      <c r="Y196" s="94"/>
      <c r="Z196" s="91" t="str">
        <f t="shared" si="234"/>
        <v>100%</v>
      </c>
      <c r="AA196" s="67"/>
      <c r="AB196" s="473"/>
      <c r="AC196" s="478" t="s">
        <v>2711</v>
      </c>
      <c r="AD196" s="67"/>
    </row>
    <row r="197" spans="2:30">
      <c r="B197" s="64" t="s">
        <v>105</v>
      </c>
      <c r="C197" s="65" t="s">
        <v>285</v>
      </c>
      <c r="D197" s="66">
        <v>11.96</v>
      </c>
      <c r="E197" s="67">
        <v>44103</v>
      </c>
      <c r="F197" s="64">
        <f t="shared" si="247"/>
        <v>1</v>
      </c>
      <c r="G197" s="67">
        <v>44104</v>
      </c>
      <c r="H197" s="64">
        <f t="shared" si="246"/>
        <v>1</v>
      </c>
      <c r="I197" s="67">
        <v>44125</v>
      </c>
      <c r="J197" s="64">
        <f t="shared" si="237"/>
        <v>0</v>
      </c>
      <c r="K197" s="67">
        <v>44111</v>
      </c>
      <c r="L197" s="64">
        <f t="shared" si="238"/>
        <v>0</v>
      </c>
      <c r="M197" s="64">
        <f t="shared" si="239"/>
        <v>0</v>
      </c>
      <c r="N197" s="67">
        <f t="shared" si="248"/>
        <v>44126</v>
      </c>
      <c r="O197" s="64">
        <f t="shared" si="240"/>
        <v>1</v>
      </c>
      <c r="P197" s="64">
        <f t="shared" si="241"/>
        <v>0</v>
      </c>
      <c r="Q197" s="91" t="str">
        <f t="shared" si="232"/>
        <v>Selesai</v>
      </c>
      <c r="R197" s="64">
        <f t="shared" si="242"/>
        <v>0</v>
      </c>
      <c r="S197" s="67">
        <v>44118</v>
      </c>
      <c r="T197" s="67">
        <v>44135</v>
      </c>
      <c r="U197" s="64">
        <f t="shared" si="233"/>
        <v>1</v>
      </c>
      <c r="V197" s="66"/>
      <c r="W197" s="64"/>
      <c r="X197" s="93"/>
      <c r="Y197" s="94"/>
      <c r="Z197" s="91" t="str">
        <f t="shared" si="234"/>
        <v>100%</v>
      </c>
      <c r="AA197" s="67"/>
      <c r="AB197" s="473"/>
      <c r="AC197" s="478" t="s">
        <v>2711</v>
      </c>
      <c r="AD197" s="67"/>
    </row>
    <row r="198" spans="2:30">
      <c r="B198" s="64" t="s">
        <v>105</v>
      </c>
      <c r="C198" s="65" t="s">
        <v>286</v>
      </c>
      <c r="D198" s="66">
        <v>8.33</v>
      </c>
      <c r="E198" s="67">
        <v>44103</v>
      </c>
      <c r="F198" s="64">
        <f t="shared" si="247"/>
        <v>1</v>
      </c>
      <c r="G198" s="67">
        <v>44104</v>
      </c>
      <c r="H198" s="64">
        <f t="shared" si="246"/>
        <v>1</v>
      </c>
      <c r="I198" s="67">
        <v>44129</v>
      </c>
      <c r="J198" s="64">
        <f t="shared" si="237"/>
        <v>0</v>
      </c>
      <c r="K198" s="67">
        <v>44111</v>
      </c>
      <c r="L198" s="64">
        <f t="shared" si="238"/>
        <v>0</v>
      </c>
      <c r="M198" s="64">
        <f t="shared" si="239"/>
        <v>0</v>
      </c>
      <c r="N198" s="67">
        <f t="shared" si="248"/>
        <v>44130</v>
      </c>
      <c r="O198" s="64">
        <f t="shared" si="240"/>
        <v>1</v>
      </c>
      <c r="P198" s="64">
        <f t="shared" si="241"/>
        <v>0</v>
      </c>
      <c r="Q198" s="91" t="str">
        <f t="shared" si="232"/>
        <v>Selesai</v>
      </c>
      <c r="R198" s="64">
        <f t="shared" si="242"/>
        <v>0</v>
      </c>
      <c r="S198" s="67">
        <v>44125</v>
      </c>
      <c r="T198" s="67">
        <v>44135</v>
      </c>
      <c r="U198" s="64">
        <f t="shared" si="233"/>
        <v>1</v>
      </c>
      <c r="V198" s="64"/>
      <c r="W198" s="64"/>
      <c r="X198" s="93"/>
      <c r="Y198" s="94"/>
      <c r="Z198" s="91" t="str">
        <f t="shared" si="234"/>
        <v>100%</v>
      </c>
      <c r="AA198" s="67"/>
      <c r="AB198" s="473"/>
      <c r="AC198" s="478" t="s">
        <v>2711</v>
      </c>
      <c r="AD198" s="67"/>
    </row>
    <row r="199" spans="2:30">
      <c r="B199" s="64" t="s">
        <v>105</v>
      </c>
      <c r="C199" s="65" t="s">
        <v>147</v>
      </c>
      <c r="D199" s="66">
        <v>9.1300000000000008</v>
      </c>
      <c r="E199" s="67">
        <v>44093</v>
      </c>
      <c r="F199" s="64"/>
      <c r="G199" s="67">
        <v>44097</v>
      </c>
      <c r="H199" s="64"/>
      <c r="I199" s="67">
        <v>44134</v>
      </c>
      <c r="J199" s="64">
        <f t="shared" si="237"/>
        <v>0</v>
      </c>
      <c r="K199" s="67">
        <v>44104</v>
      </c>
      <c r="L199" s="64">
        <f t="shared" si="238"/>
        <v>0</v>
      </c>
      <c r="M199" s="64">
        <f t="shared" si="239"/>
        <v>0</v>
      </c>
      <c r="N199" s="67">
        <f t="shared" si="248"/>
        <v>44135</v>
      </c>
      <c r="O199" s="64">
        <f t="shared" si="240"/>
        <v>1</v>
      </c>
      <c r="P199" s="64">
        <f t="shared" si="241"/>
        <v>0</v>
      </c>
      <c r="Q199" s="91" t="str">
        <f t="shared" si="232"/>
        <v>Selesai</v>
      </c>
      <c r="R199" s="64">
        <f t="shared" si="242"/>
        <v>0</v>
      </c>
      <c r="S199" s="67">
        <v>44130</v>
      </c>
      <c r="T199" s="67">
        <v>44135</v>
      </c>
      <c r="U199" s="64">
        <f t="shared" si="233"/>
        <v>1</v>
      </c>
      <c r="V199" s="64"/>
      <c r="W199" s="64"/>
      <c r="X199" s="93"/>
      <c r="Y199" s="94"/>
      <c r="Z199" s="91" t="str">
        <f t="shared" si="234"/>
        <v>100%</v>
      </c>
      <c r="AA199" s="67"/>
      <c r="AB199" s="473"/>
      <c r="AC199" s="478" t="s">
        <v>2711</v>
      </c>
      <c r="AD199" s="67"/>
    </row>
    <row r="200" spans="2:30">
      <c r="B200" s="64" t="s">
        <v>105</v>
      </c>
      <c r="C200" s="65" t="s">
        <v>287</v>
      </c>
      <c r="D200" s="66">
        <v>12.98</v>
      </c>
      <c r="E200" s="67">
        <v>44090</v>
      </c>
      <c r="F200" s="64">
        <f>IF(E200&gt;0,1,0)</f>
        <v>1</v>
      </c>
      <c r="G200" s="67">
        <v>44091</v>
      </c>
      <c r="H200" s="64">
        <f t="shared" ref="H200:H225" si="249">IF(G200&gt;0,1,0)</f>
        <v>1</v>
      </c>
      <c r="I200" s="67">
        <v>44123</v>
      </c>
      <c r="J200" s="64">
        <f t="shared" si="237"/>
        <v>0</v>
      </c>
      <c r="K200" s="67">
        <v>44096</v>
      </c>
      <c r="L200" s="64">
        <f t="shared" si="238"/>
        <v>0</v>
      </c>
      <c r="M200" s="64">
        <f t="shared" si="239"/>
        <v>0</v>
      </c>
      <c r="N200" s="67">
        <f t="shared" si="248"/>
        <v>44124</v>
      </c>
      <c r="O200" s="64">
        <f t="shared" si="240"/>
        <v>1</v>
      </c>
      <c r="P200" s="64">
        <f t="shared" si="241"/>
        <v>0</v>
      </c>
      <c r="Q200" s="91" t="str">
        <f t="shared" si="232"/>
        <v>Selesai</v>
      </c>
      <c r="R200" s="64">
        <f t="shared" si="242"/>
        <v>0</v>
      </c>
      <c r="S200" s="67">
        <v>44098</v>
      </c>
      <c r="T200" s="67">
        <v>44138</v>
      </c>
      <c r="U200" s="64">
        <f t="shared" si="233"/>
        <v>1</v>
      </c>
      <c r="V200" s="66"/>
      <c r="W200" s="64"/>
      <c r="X200" s="93"/>
      <c r="Y200" s="94"/>
      <c r="Z200" s="91" t="str">
        <f t="shared" si="234"/>
        <v>100%</v>
      </c>
      <c r="AA200" s="67"/>
      <c r="AB200" s="473"/>
      <c r="AC200" s="478" t="s">
        <v>2711</v>
      </c>
      <c r="AD200" s="67"/>
    </row>
    <row r="201" spans="2:30">
      <c r="B201" s="64" t="s">
        <v>107</v>
      </c>
      <c r="C201" s="65" t="s">
        <v>288</v>
      </c>
      <c r="D201" s="66">
        <v>6.13</v>
      </c>
      <c r="E201" s="67">
        <v>44114</v>
      </c>
      <c r="F201" s="64">
        <v>0</v>
      </c>
      <c r="G201" s="67">
        <v>44120</v>
      </c>
      <c r="H201" s="64">
        <f t="shared" si="249"/>
        <v>1</v>
      </c>
      <c r="I201" s="67">
        <v>44138</v>
      </c>
      <c r="J201" s="64">
        <f t="shared" si="237"/>
        <v>0</v>
      </c>
      <c r="K201" s="67">
        <v>44119</v>
      </c>
      <c r="L201" s="64">
        <f t="shared" si="238"/>
        <v>0</v>
      </c>
      <c r="M201" s="64">
        <f t="shared" si="239"/>
        <v>0</v>
      </c>
      <c r="N201" s="67">
        <f t="shared" si="248"/>
        <v>44139</v>
      </c>
      <c r="O201" s="64">
        <f t="shared" si="240"/>
        <v>1</v>
      </c>
      <c r="P201" s="64">
        <f t="shared" si="241"/>
        <v>0</v>
      </c>
      <c r="Q201" s="91" t="str">
        <f t="shared" ref="Q201:Q264" si="250">IF(T201&gt;0,"Selesai","Proses")</f>
        <v>Selesai</v>
      </c>
      <c r="R201" s="64">
        <f t="shared" si="242"/>
        <v>0</v>
      </c>
      <c r="S201" s="67">
        <v>44125</v>
      </c>
      <c r="T201" s="67">
        <v>44138</v>
      </c>
      <c r="U201" s="64">
        <f t="shared" ref="U201:U264" si="251">IF(T201&gt;0,1,0)</f>
        <v>1</v>
      </c>
      <c r="V201" s="64"/>
      <c r="W201" s="64"/>
      <c r="X201" s="93"/>
      <c r="Y201" s="94"/>
      <c r="Z201" s="91" t="str">
        <f t="shared" si="234"/>
        <v>100%</v>
      </c>
      <c r="AA201" s="67"/>
      <c r="AB201" s="473"/>
      <c r="AC201" s="478" t="s">
        <v>2711</v>
      </c>
      <c r="AD201" s="67"/>
    </row>
    <row r="202" spans="2:30">
      <c r="B202" s="64" t="s">
        <v>107</v>
      </c>
      <c r="C202" s="65" t="s">
        <v>289</v>
      </c>
      <c r="D202" s="66">
        <v>2.87</v>
      </c>
      <c r="E202" s="67">
        <v>44111</v>
      </c>
      <c r="F202" s="64">
        <f>IF(E202&gt;0,1,0)</f>
        <v>1</v>
      </c>
      <c r="G202" s="67">
        <v>44112</v>
      </c>
      <c r="H202" s="64">
        <f t="shared" si="249"/>
        <v>1</v>
      </c>
      <c r="I202" s="67">
        <v>44130</v>
      </c>
      <c r="J202" s="64">
        <f t="shared" si="237"/>
        <v>0</v>
      </c>
      <c r="K202" s="67">
        <v>44119</v>
      </c>
      <c r="L202" s="64">
        <f t="shared" si="238"/>
        <v>0</v>
      </c>
      <c r="M202" s="64">
        <f t="shared" si="239"/>
        <v>0</v>
      </c>
      <c r="N202" s="67">
        <f t="shared" si="248"/>
        <v>44131</v>
      </c>
      <c r="O202" s="64">
        <f t="shared" si="240"/>
        <v>1</v>
      </c>
      <c r="P202" s="64">
        <f t="shared" si="241"/>
        <v>0</v>
      </c>
      <c r="Q202" s="91" t="str">
        <f t="shared" si="250"/>
        <v>Selesai</v>
      </c>
      <c r="R202" s="64">
        <f t="shared" si="242"/>
        <v>0</v>
      </c>
      <c r="S202" s="67">
        <v>44121</v>
      </c>
      <c r="T202" s="67">
        <v>44141</v>
      </c>
      <c r="U202" s="64">
        <f t="shared" si="251"/>
        <v>1</v>
      </c>
      <c r="V202" s="66"/>
      <c r="W202" s="64"/>
      <c r="X202" s="93"/>
      <c r="Y202" s="94"/>
      <c r="Z202" s="91" t="str">
        <f t="shared" ref="Z202:Z265" si="252">IF(T202="","","100%")</f>
        <v>100%</v>
      </c>
      <c r="AA202" s="67"/>
      <c r="AB202" s="473"/>
      <c r="AC202" s="478" t="s">
        <v>2711</v>
      </c>
      <c r="AD202" s="67"/>
    </row>
    <row r="203" spans="2:30">
      <c r="B203" s="64" t="s">
        <v>113</v>
      </c>
      <c r="C203" s="65" t="s">
        <v>290</v>
      </c>
      <c r="D203" s="66">
        <v>9.6</v>
      </c>
      <c r="E203" s="67">
        <v>44101</v>
      </c>
      <c r="F203" s="64">
        <f>IF(E203&gt;0,1,0)</f>
        <v>1</v>
      </c>
      <c r="G203" s="67">
        <v>44102</v>
      </c>
      <c r="H203" s="64">
        <f t="shared" si="249"/>
        <v>1</v>
      </c>
      <c r="I203" s="67">
        <v>44128</v>
      </c>
      <c r="J203" s="64">
        <f t="shared" si="237"/>
        <v>0</v>
      </c>
      <c r="K203" s="67">
        <v>44111</v>
      </c>
      <c r="L203" s="64">
        <f t="shared" si="238"/>
        <v>0</v>
      </c>
      <c r="M203" s="64">
        <f t="shared" si="239"/>
        <v>0</v>
      </c>
      <c r="N203" s="67">
        <f t="shared" si="248"/>
        <v>44129</v>
      </c>
      <c r="O203" s="64">
        <f t="shared" si="240"/>
        <v>1</v>
      </c>
      <c r="P203" s="64">
        <f t="shared" si="241"/>
        <v>0</v>
      </c>
      <c r="Q203" s="91" t="str">
        <f t="shared" si="250"/>
        <v>Selesai</v>
      </c>
      <c r="R203" s="64">
        <f t="shared" si="242"/>
        <v>0</v>
      </c>
      <c r="S203" s="67">
        <v>44117</v>
      </c>
      <c r="T203" s="67">
        <v>44142</v>
      </c>
      <c r="U203" s="64">
        <f t="shared" si="251"/>
        <v>1</v>
      </c>
      <c r="V203" s="66"/>
      <c r="W203" s="64"/>
      <c r="X203" s="93"/>
      <c r="Y203" s="94"/>
      <c r="Z203" s="91" t="str">
        <f t="shared" si="252"/>
        <v>100%</v>
      </c>
      <c r="AA203" s="67"/>
      <c r="AB203" s="473"/>
      <c r="AC203" s="478" t="s">
        <v>2711</v>
      </c>
      <c r="AD203" s="67"/>
    </row>
    <row r="204" spans="2:30">
      <c r="B204" s="64" t="s">
        <v>107</v>
      </c>
      <c r="C204" s="65" t="s">
        <v>291</v>
      </c>
      <c r="D204" s="66">
        <v>7.12</v>
      </c>
      <c r="E204" s="67">
        <v>44111</v>
      </c>
      <c r="F204" s="64">
        <v>0</v>
      </c>
      <c r="G204" s="67">
        <v>44112</v>
      </c>
      <c r="H204" s="64">
        <f t="shared" si="249"/>
        <v>1</v>
      </c>
      <c r="I204" s="67">
        <v>44139</v>
      </c>
      <c r="J204" s="64">
        <f t="shared" si="237"/>
        <v>0</v>
      </c>
      <c r="K204" s="67">
        <v>44119</v>
      </c>
      <c r="L204" s="64">
        <f t="shared" si="238"/>
        <v>0</v>
      </c>
      <c r="M204" s="64">
        <f t="shared" si="239"/>
        <v>0</v>
      </c>
      <c r="N204" s="67">
        <f t="shared" si="248"/>
        <v>44140</v>
      </c>
      <c r="O204" s="64">
        <f t="shared" si="240"/>
        <v>1</v>
      </c>
      <c r="P204" s="64">
        <f t="shared" si="241"/>
        <v>0</v>
      </c>
      <c r="Q204" s="91" t="str">
        <f t="shared" si="250"/>
        <v>Selesai</v>
      </c>
      <c r="R204" s="64">
        <f t="shared" si="242"/>
        <v>0</v>
      </c>
      <c r="S204" s="67">
        <v>44122</v>
      </c>
      <c r="T204" s="67">
        <v>44142</v>
      </c>
      <c r="U204" s="64">
        <f t="shared" si="251"/>
        <v>1</v>
      </c>
      <c r="V204" s="66"/>
      <c r="W204" s="64"/>
      <c r="X204" s="93"/>
      <c r="Y204" s="94"/>
      <c r="Z204" s="91" t="str">
        <f t="shared" si="252"/>
        <v>100%</v>
      </c>
      <c r="AA204" s="67"/>
      <c r="AB204" s="473"/>
      <c r="AC204" s="478" t="s">
        <v>2711</v>
      </c>
      <c r="AD204" s="67"/>
    </row>
    <row r="205" spans="2:30">
      <c r="B205" s="64" t="s">
        <v>109</v>
      </c>
      <c r="C205" s="65" t="s">
        <v>292</v>
      </c>
      <c r="D205" s="66">
        <v>13.7</v>
      </c>
      <c r="E205" s="67">
        <v>44125</v>
      </c>
      <c r="F205" s="64">
        <f t="shared" ref="F205:F214" si="253">IF(E205&gt;0,1,0)</f>
        <v>1</v>
      </c>
      <c r="G205" s="67">
        <v>44135</v>
      </c>
      <c r="H205" s="64">
        <f t="shared" si="249"/>
        <v>1</v>
      </c>
      <c r="I205" s="67">
        <v>44140</v>
      </c>
      <c r="J205" s="64">
        <f t="shared" si="237"/>
        <v>0</v>
      </c>
      <c r="K205" s="67">
        <v>44133</v>
      </c>
      <c r="L205" s="64">
        <f t="shared" si="238"/>
        <v>0</v>
      </c>
      <c r="M205" s="64">
        <f t="shared" si="239"/>
        <v>0</v>
      </c>
      <c r="N205" s="67">
        <f t="shared" si="248"/>
        <v>44141</v>
      </c>
      <c r="O205" s="64">
        <f t="shared" si="240"/>
        <v>1</v>
      </c>
      <c r="P205" s="64">
        <f t="shared" si="241"/>
        <v>0</v>
      </c>
      <c r="Q205" s="91" t="str">
        <f t="shared" si="250"/>
        <v>Selesai</v>
      </c>
      <c r="R205" s="64">
        <f t="shared" si="242"/>
        <v>0</v>
      </c>
      <c r="S205" s="67">
        <v>44135</v>
      </c>
      <c r="T205" s="67">
        <v>44143</v>
      </c>
      <c r="U205" s="64">
        <f t="shared" si="251"/>
        <v>1</v>
      </c>
      <c r="V205" s="66"/>
      <c r="W205" s="64"/>
      <c r="X205" s="93"/>
      <c r="Y205" s="94"/>
      <c r="Z205" s="91" t="str">
        <f t="shared" si="252"/>
        <v>100%</v>
      </c>
      <c r="AA205" s="67"/>
      <c r="AB205" s="473"/>
      <c r="AC205" s="478" t="s">
        <v>2711</v>
      </c>
      <c r="AD205" s="67"/>
    </row>
    <row r="206" spans="2:30">
      <c r="B206" s="64" t="s">
        <v>113</v>
      </c>
      <c r="C206" s="65" t="s">
        <v>293</v>
      </c>
      <c r="D206" s="66">
        <v>15.96</v>
      </c>
      <c r="E206" s="67">
        <v>44101</v>
      </c>
      <c r="F206" s="64">
        <f t="shared" si="253"/>
        <v>1</v>
      </c>
      <c r="G206" s="67">
        <v>44102</v>
      </c>
      <c r="H206" s="64">
        <f t="shared" si="249"/>
        <v>1</v>
      </c>
      <c r="I206" s="67">
        <v>44130</v>
      </c>
      <c r="J206" s="64">
        <f t="shared" si="237"/>
        <v>0</v>
      </c>
      <c r="K206" s="67">
        <v>44111</v>
      </c>
      <c r="L206" s="64">
        <f t="shared" si="238"/>
        <v>0</v>
      </c>
      <c r="M206" s="64">
        <f t="shared" si="239"/>
        <v>0</v>
      </c>
      <c r="N206" s="67">
        <f t="shared" si="248"/>
        <v>44131</v>
      </c>
      <c r="O206" s="64">
        <f t="shared" si="240"/>
        <v>1</v>
      </c>
      <c r="P206" s="64">
        <f t="shared" si="241"/>
        <v>0</v>
      </c>
      <c r="Q206" s="91" t="str">
        <f t="shared" si="250"/>
        <v>Selesai</v>
      </c>
      <c r="R206" s="64">
        <f t="shared" si="242"/>
        <v>0</v>
      </c>
      <c r="S206" s="67">
        <v>44118</v>
      </c>
      <c r="T206" s="67">
        <v>44144</v>
      </c>
      <c r="U206" s="64">
        <f t="shared" si="251"/>
        <v>1</v>
      </c>
      <c r="V206" s="66"/>
      <c r="W206" s="64"/>
      <c r="X206" s="93"/>
      <c r="Y206" s="94"/>
      <c r="Z206" s="91" t="str">
        <f t="shared" si="252"/>
        <v>100%</v>
      </c>
      <c r="AA206" s="67"/>
      <c r="AB206" s="473"/>
      <c r="AC206" s="478" t="s">
        <v>2711</v>
      </c>
      <c r="AD206" s="67"/>
    </row>
    <row r="207" spans="2:30">
      <c r="B207" s="64" t="s">
        <v>113</v>
      </c>
      <c r="C207" s="65" t="s">
        <v>294</v>
      </c>
      <c r="D207" s="66">
        <v>6.93</v>
      </c>
      <c r="E207" s="67">
        <v>44121</v>
      </c>
      <c r="F207" s="64">
        <f t="shared" si="253"/>
        <v>1</v>
      </c>
      <c r="G207" s="67">
        <v>44122</v>
      </c>
      <c r="H207" s="64">
        <f t="shared" si="249"/>
        <v>1</v>
      </c>
      <c r="I207" s="67">
        <v>44140</v>
      </c>
      <c r="J207" s="64">
        <f t="shared" si="237"/>
        <v>0</v>
      </c>
      <c r="K207" s="67">
        <v>44131</v>
      </c>
      <c r="L207" s="64">
        <f t="shared" si="238"/>
        <v>0</v>
      </c>
      <c r="M207" s="64">
        <f t="shared" si="239"/>
        <v>0</v>
      </c>
      <c r="N207" s="67">
        <f t="shared" si="248"/>
        <v>44141</v>
      </c>
      <c r="O207" s="64">
        <f t="shared" si="240"/>
        <v>1</v>
      </c>
      <c r="P207" s="64">
        <f t="shared" si="241"/>
        <v>0</v>
      </c>
      <c r="Q207" s="91" t="str">
        <f t="shared" si="250"/>
        <v>Selesai</v>
      </c>
      <c r="R207" s="64">
        <f t="shared" si="242"/>
        <v>0</v>
      </c>
      <c r="S207" s="67">
        <v>44139</v>
      </c>
      <c r="T207" s="67">
        <v>44148</v>
      </c>
      <c r="U207" s="64">
        <f t="shared" si="251"/>
        <v>1</v>
      </c>
      <c r="V207" s="66"/>
      <c r="W207" s="64"/>
      <c r="X207" s="93"/>
      <c r="Y207" s="94"/>
      <c r="Z207" s="91" t="str">
        <f t="shared" si="252"/>
        <v>100%</v>
      </c>
      <c r="AA207" s="67"/>
      <c r="AB207" s="473"/>
      <c r="AC207" s="478" t="s">
        <v>2711</v>
      </c>
      <c r="AD207" s="67"/>
    </row>
    <row r="208" spans="2:30">
      <c r="B208" s="64" t="s">
        <v>109</v>
      </c>
      <c r="C208" s="65" t="s">
        <v>295</v>
      </c>
      <c r="D208" s="66">
        <v>13.58</v>
      </c>
      <c r="E208" s="67">
        <v>44119</v>
      </c>
      <c r="F208" s="64">
        <f t="shared" si="253"/>
        <v>1</v>
      </c>
      <c r="G208" s="67">
        <v>44121</v>
      </c>
      <c r="H208" s="64">
        <f t="shared" si="249"/>
        <v>1</v>
      </c>
      <c r="I208" s="67">
        <v>44149</v>
      </c>
      <c r="J208" s="64">
        <f t="shared" ref="J208:J271" si="254">IF(I208&gt;0,0,1)</f>
        <v>0</v>
      </c>
      <c r="K208" s="67">
        <v>44128</v>
      </c>
      <c r="L208" s="64">
        <f t="shared" ref="L208:L271" si="255">IF(K208&gt;0,0,1)</f>
        <v>0</v>
      </c>
      <c r="M208" s="64">
        <f t="shared" ref="M208:M271" si="256">IF(AND(J208&gt;0,L208&gt;0),1,0)</f>
        <v>0</v>
      </c>
      <c r="N208" s="67">
        <f t="shared" si="248"/>
        <v>44150</v>
      </c>
      <c r="O208" s="64">
        <f t="shared" ref="O208:O271" si="257">IF(N208&gt;0,1,0)</f>
        <v>1</v>
      </c>
      <c r="P208" s="64">
        <f t="shared" ref="P208:P271" si="258">IF(O208&gt;0,0,1)</f>
        <v>0</v>
      </c>
      <c r="Q208" s="91" t="str">
        <f t="shared" si="250"/>
        <v>Selesai</v>
      </c>
      <c r="R208" s="64">
        <f t="shared" ref="R208:R271" si="259">IF(Q208="proses",1,0)</f>
        <v>0</v>
      </c>
      <c r="S208" s="67">
        <v>44132</v>
      </c>
      <c r="T208" s="67">
        <v>44151</v>
      </c>
      <c r="U208" s="64">
        <f t="shared" si="251"/>
        <v>1</v>
      </c>
      <c r="V208" s="66"/>
      <c r="W208" s="64"/>
      <c r="X208" s="93"/>
      <c r="Y208" s="94"/>
      <c r="Z208" s="91" t="str">
        <f t="shared" si="252"/>
        <v>100%</v>
      </c>
      <c r="AA208" s="67"/>
      <c r="AB208" s="473"/>
      <c r="AC208" s="478" t="s">
        <v>2711</v>
      </c>
      <c r="AD208" s="67"/>
    </row>
    <row r="209" spans="2:30">
      <c r="B209" s="64" t="s">
        <v>113</v>
      </c>
      <c r="C209" s="65" t="s">
        <v>296</v>
      </c>
      <c r="D209" s="66">
        <v>8.8699999999999992</v>
      </c>
      <c r="E209" s="67">
        <v>44121</v>
      </c>
      <c r="F209" s="64">
        <f t="shared" si="253"/>
        <v>1</v>
      </c>
      <c r="G209" s="67">
        <v>44122</v>
      </c>
      <c r="H209" s="64">
        <f t="shared" si="249"/>
        <v>1</v>
      </c>
      <c r="I209" s="67">
        <v>44138</v>
      </c>
      <c r="J209" s="64">
        <f t="shared" si="254"/>
        <v>0</v>
      </c>
      <c r="K209" s="67">
        <v>44131</v>
      </c>
      <c r="L209" s="64">
        <f t="shared" si="255"/>
        <v>0</v>
      </c>
      <c r="M209" s="64">
        <f t="shared" si="256"/>
        <v>0</v>
      </c>
      <c r="N209" s="67">
        <f t="shared" si="248"/>
        <v>44139</v>
      </c>
      <c r="O209" s="64">
        <f t="shared" si="257"/>
        <v>1</v>
      </c>
      <c r="P209" s="64">
        <f t="shared" si="258"/>
        <v>0</v>
      </c>
      <c r="Q209" s="91" t="str">
        <f t="shared" si="250"/>
        <v>Selesai</v>
      </c>
      <c r="R209" s="64">
        <f t="shared" si="259"/>
        <v>0</v>
      </c>
      <c r="S209" s="67">
        <v>44137</v>
      </c>
      <c r="T209" s="67">
        <v>44151</v>
      </c>
      <c r="U209" s="64">
        <f t="shared" si="251"/>
        <v>1</v>
      </c>
      <c r="V209" s="66"/>
      <c r="W209" s="64"/>
      <c r="X209" s="93"/>
      <c r="Y209" s="94"/>
      <c r="Z209" s="91" t="str">
        <f t="shared" si="252"/>
        <v>100%</v>
      </c>
      <c r="AA209" s="67"/>
      <c r="AB209" s="473"/>
      <c r="AC209" s="478" t="s">
        <v>2711</v>
      </c>
      <c r="AD209" s="67"/>
    </row>
    <row r="210" spans="2:30">
      <c r="B210" s="64" t="s">
        <v>113</v>
      </c>
      <c r="C210" s="65" t="s">
        <v>297</v>
      </c>
      <c r="D210" s="66">
        <v>13.27</v>
      </c>
      <c r="E210" s="67">
        <v>44106</v>
      </c>
      <c r="F210" s="64">
        <f t="shared" si="253"/>
        <v>1</v>
      </c>
      <c r="G210" s="67">
        <v>44107</v>
      </c>
      <c r="H210" s="64">
        <f t="shared" si="249"/>
        <v>1</v>
      </c>
      <c r="I210" s="67">
        <v>44122</v>
      </c>
      <c r="J210" s="64">
        <f t="shared" si="254"/>
        <v>0</v>
      </c>
      <c r="K210" s="67">
        <v>44125</v>
      </c>
      <c r="L210" s="64">
        <f t="shared" si="255"/>
        <v>0</v>
      </c>
      <c r="M210" s="64">
        <f t="shared" si="256"/>
        <v>0</v>
      </c>
      <c r="N210" s="67">
        <f t="shared" si="248"/>
        <v>44126</v>
      </c>
      <c r="O210" s="64">
        <f t="shared" si="257"/>
        <v>1</v>
      </c>
      <c r="P210" s="64">
        <f t="shared" si="258"/>
        <v>0</v>
      </c>
      <c r="Q210" s="91" t="str">
        <f t="shared" si="250"/>
        <v>Selesai</v>
      </c>
      <c r="R210" s="64">
        <f t="shared" si="259"/>
        <v>0</v>
      </c>
      <c r="S210" s="67">
        <v>44128</v>
      </c>
      <c r="T210" s="67">
        <v>44153</v>
      </c>
      <c r="U210" s="64">
        <f t="shared" si="251"/>
        <v>1</v>
      </c>
      <c r="V210" s="66"/>
      <c r="W210" s="64"/>
      <c r="X210" s="93"/>
      <c r="Y210" s="94" t="s">
        <v>275</v>
      </c>
      <c r="Z210" s="91" t="str">
        <f t="shared" si="252"/>
        <v>100%</v>
      </c>
      <c r="AA210" s="67"/>
      <c r="AB210" s="473"/>
      <c r="AC210" s="478" t="s">
        <v>2711</v>
      </c>
      <c r="AD210" s="67"/>
    </row>
    <row r="211" spans="2:30">
      <c r="B211" s="64" t="s">
        <v>107</v>
      </c>
      <c r="C211" s="65" t="s">
        <v>298</v>
      </c>
      <c r="D211" s="66">
        <v>10.43</v>
      </c>
      <c r="E211" s="67">
        <v>44112</v>
      </c>
      <c r="F211" s="64">
        <f t="shared" si="253"/>
        <v>1</v>
      </c>
      <c r="G211" s="67">
        <v>44113</v>
      </c>
      <c r="H211" s="64">
        <f t="shared" si="249"/>
        <v>1</v>
      </c>
      <c r="I211" s="67">
        <v>44133</v>
      </c>
      <c r="J211" s="64">
        <f t="shared" si="254"/>
        <v>0</v>
      </c>
      <c r="K211" s="67">
        <v>44119</v>
      </c>
      <c r="L211" s="64">
        <f t="shared" si="255"/>
        <v>0</v>
      </c>
      <c r="M211" s="64">
        <f t="shared" si="256"/>
        <v>0</v>
      </c>
      <c r="N211" s="67">
        <f t="shared" si="248"/>
        <v>44134</v>
      </c>
      <c r="O211" s="64">
        <f t="shared" si="257"/>
        <v>1</v>
      </c>
      <c r="P211" s="64">
        <f t="shared" si="258"/>
        <v>0</v>
      </c>
      <c r="Q211" s="91" t="str">
        <f t="shared" si="250"/>
        <v>Selesai</v>
      </c>
      <c r="R211" s="64">
        <f t="shared" si="259"/>
        <v>0</v>
      </c>
      <c r="S211" s="67">
        <v>44124</v>
      </c>
      <c r="T211" s="67">
        <v>44153</v>
      </c>
      <c r="U211" s="64">
        <f t="shared" si="251"/>
        <v>1</v>
      </c>
      <c r="V211" s="66"/>
      <c r="W211" s="64"/>
      <c r="X211" s="93"/>
      <c r="Y211" s="94"/>
      <c r="Z211" s="91" t="str">
        <f t="shared" si="252"/>
        <v>100%</v>
      </c>
      <c r="AA211" s="67"/>
      <c r="AB211" s="473"/>
      <c r="AC211" s="478" t="s">
        <v>2711</v>
      </c>
      <c r="AD211" s="67"/>
    </row>
    <row r="212" spans="2:30">
      <c r="B212" s="64" t="s">
        <v>113</v>
      </c>
      <c r="C212" s="65" t="s">
        <v>299</v>
      </c>
      <c r="D212" s="66">
        <v>3.62</v>
      </c>
      <c r="E212" s="67">
        <v>44121</v>
      </c>
      <c r="F212" s="64">
        <f t="shared" si="253"/>
        <v>1</v>
      </c>
      <c r="G212" s="67">
        <v>44122</v>
      </c>
      <c r="H212" s="64">
        <f t="shared" si="249"/>
        <v>1</v>
      </c>
      <c r="I212" s="67">
        <v>44149</v>
      </c>
      <c r="J212" s="64">
        <f t="shared" si="254"/>
        <v>0</v>
      </c>
      <c r="K212" s="67">
        <v>44131</v>
      </c>
      <c r="L212" s="64">
        <f t="shared" si="255"/>
        <v>0</v>
      </c>
      <c r="M212" s="64">
        <f t="shared" si="256"/>
        <v>0</v>
      </c>
      <c r="N212" s="67">
        <f t="shared" si="248"/>
        <v>44150</v>
      </c>
      <c r="O212" s="64">
        <f t="shared" si="257"/>
        <v>1</v>
      </c>
      <c r="P212" s="64">
        <f t="shared" si="258"/>
        <v>0</v>
      </c>
      <c r="Q212" s="91" t="str">
        <f t="shared" si="250"/>
        <v>Selesai</v>
      </c>
      <c r="R212" s="64">
        <f t="shared" si="259"/>
        <v>0</v>
      </c>
      <c r="S212" s="67">
        <v>44144</v>
      </c>
      <c r="T212" s="67">
        <v>44153</v>
      </c>
      <c r="U212" s="64">
        <f t="shared" si="251"/>
        <v>1</v>
      </c>
      <c r="V212" s="66"/>
      <c r="W212" s="64"/>
      <c r="X212" s="93"/>
      <c r="Y212" s="94"/>
      <c r="Z212" s="91" t="str">
        <f t="shared" si="252"/>
        <v>100%</v>
      </c>
      <c r="AA212" s="67"/>
      <c r="AB212" s="473"/>
      <c r="AC212" s="478" t="s">
        <v>2711</v>
      </c>
      <c r="AD212" s="67"/>
    </row>
    <row r="213" spans="2:30">
      <c r="B213" s="64" t="s">
        <v>107</v>
      </c>
      <c r="C213" s="65" t="s">
        <v>300</v>
      </c>
      <c r="D213" s="66">
        <v>12.5</v>
      </c>
      <c r="E213" s="67">
        <v>44100</v>
      </c>
      <c r="F213" s="64">
        <f t="shared" si="253"/>
        <v>1</v>
      </c>
      <c r="G213" s="67">
        <v>44101</v>
      </c>
      <c r="H213" s="64">
        <f t="shared" si="249"/>
        <v>1</v>
      </c>
      <c r="I213" s="67">
        <v>44117</v>
      </c>
      <c r="J213" s="64">
        <f t="shared" si="254"/>
        <v>0</v>
      </c>
      <c r="K213" s="67">
        <v>44104</v>
      </c>
      <c r="L213" s="64">
        <f t="shared" si="255"/>
        <v>0</v>
      </c>
      <c r="M213" s="64">
        <f t="shared" si="256"/>
        <v>0</v>
      </c>
      <c r="N213" s="67">
        <f t="shared" si="248"/>
        <v>44118</v>
      </c>
      <c r="O213" s="64">
        <f t="shared" si="257"/>
        <v>1</v>
      </c>
      <c r="P213" s="64">
        <f t="shared" si="258"/>
        <v>0</v>
      </c>
      <c r="Q213" s="91" t="str">
        <f t="shared" si="250"/>
        <v>Selesai</v>
      </c>
      <c r="R213" s="64">
        <f t="shared" si="259"/>
        <v>0</v>
      </c>
      <c r="S213" s="67">
        <v>44116</v>
      </c>
      <c r="T213" s="67">
        <v>44154</v>
      </c>
      <c r="U213" s="64">
        <f t="shared" si="251"/>
        <v>1</v>
      </c>
      <c r="V213" s="66"/>
      <c r="W213" s="64"/>
      <c r="X213" s="93"/>
      <c r="Y213" s="94"/>
      <c r="Z213" s="91" t="str">
        <f t="shared" si="252"/>
        <v>100%</v>
      </c>
      <c r="AA213" s="67"/>
      <c r="AB213" s="473"/>
      <c r="AC213" s="478" t="s">
        <v>2711</v>
      </c>
      <c r="AD213" s="67"/>
    </row>
    <row r="214" spans="2:30">
      <c r="B214" s="64" t="s">
        <v>109</v>
      </c>
      <c r="C214" s="65" t="s">
        <v>301</v>
      </c>
      <c r="D214" s="66">
        <v>12.06</v>
      </c>
      <c r="E214" s="67">
        <v>44105</v>
      </c>
      <c r="F214" s="64">
        <f t="shared" si="253"/>
        <v>1</v>
      </c>
      <c r="G214" s="67">
        <v>44106</v>
      </c>
      <c r="H214" s="64">
        <f t="shared" si="249"/>
        <v>1</v>
      </c>
      <c r="I214" s="67">
        <v>44140</v>
      </c>
      <c r="J214" s="64">
        <f t="shared" si="254"/>
        <v>0</v>
      </c>
      <c r="K214" s="67">
        <v>44113</v>
      </c>
      <c r="L214" s="64">
        <f t="shared" si="255"/>
        <v>0</v>
      </c>
      <c r="M214" s="64">
        <f t="shared" si="256"/>
        <v>0</v>
      </c>
      <c r="N214" s="67">
        <f t="shared" si="248"/>
        <v>44141</v>
      </c>
      <c r="O214" s="64">
        <f t="shared" si="257"/>
        <v>1</v>
      </c>
      <c r="P214" s="64">
        <f t="shared" si="258"/>
        <v>0</v>
      </c>
      <c r="Q214" s="91" t="str">
        <f t="shared" si="250"/>
        <v>Selesai</v>
      </c>
      <c r="R214" s="64">
        <f t="shared" si="259"/>
        <v>0</v>
      </c>
      <c r="S214" s="67">
        <v>44133</v>
      </c>
      <c r="T214" s="67">
        <v>44158</v>
      </c>
      <c r="U214" s="64">
        <f t="shared" si="251"/>
        <v>1</v>
      </c>
      <c r="V214" s="66"/>
      <c r="W214" s="64"/>
      <c r="X214" s="93"/>
      <c r="Y214" s="94"/>
      <c r="Z214" s="91" t="str">
        <f t="shared" si="252"/>
        <v>100%</v>
      </c>
      <c r="AA214" s="67"/>
      <c r="AB214" s="473"/>
      <c r="AC214" s="478" t="s">
        <v>2711</v>
      </c>
      <c r="AD214" s="67"/>
    </row>
    <row r="215" spans="2:30">
      <c r="B215" s="64" t="s">
        <v>105</v>
      </c>
      <c r="C215" s="65" t="s">
        <v>153</v>
      </c>
      <c r="D215" s="66">
        <v>3.93</v>
      </c>
      <c r="E215" s="67">
        <v>44133</v>
      </c>
      <c r="F215" s="64">
        <v>0</v>
      </c>
      <c r="G215" s="67">
        <v>44134</v>
      </c>
      <c r="H215" s="64">
        <f t="shared" si="249"/>
        <v>1</v>
      </c>
      <c r="I215" s="67">
        <v>44152</v>
      </c>
      <c r="J215" s="64">
        <f t="shared" si="254"/>
        <v>0</v>
      </c>
      <c r="K215" s="67">
        <v>44142</v>
      </c>
      <c r="L215" s="64">
        <f t="shared" si="255"/>
        <v>0</v>
      </c>
      <c r="M215" s="64">
        <f t="shared" si="256"/>
        <v>0</v>
      </c>
      <c r="N215" s="67">
        <f t="shared" si="248"/>
        <v>44153</v>
      </c>
      <c r="O215" s="64">
        <f t="shared" si="257"/>
        <v>1</v>
      </c>
      <c r="P215" s="64">
        <f t="shared" si="258"/>
        <v>0</v>
      </c>
      <c r="Q215" s="91" t="str">
        <f t="shared" si="250"/>
        <v>Selesai</v>
      </c>
      <c r="R215" s="64">
        <f t="shared" si="259"/>
        <v>0</v>
      </c>
      <c r="S215" s="67">
        <v>44149</v>
      </c>
      <c r="T215" s="67">
        <v>44158</v>
      </c>
      <c r="U215" s="64">
        <f t="shared" si="251"/>
        <v>1</v>
      </c>
      <c r="V215" s="66"/>
      <c r="W215" s="64"/>
      <c r="X215" s="93"/>
      <c r="Y215" s="94"/>
      <c r="Z215" s="91" t="str">
        <f t="shared" si="252"/>
        <v>100%</v>
      </c>
      <c r="AA215" s="67"/>
      <c r="AB215" s="473"/>
      <c r="AC215" s="478" t="s">
        <v>2711</v>
      </c>
      <c r="AD215" s="67"/>
    </row>
    <row r="216" spans="2:30">
      <c r="B216" s="64" t="s">
        <v>107</v>
      </c>
      <c r="C216" s="65" t="s">
        <v>302</v>
      </c>
      <c r="D216" s="66">
        <v>7.87</v>
      </c>
      <c r="E216" s="67">
        <v>44126</v>
      </c>
      <c r="F216" s="64">
        <f>IF(E216&gt;0,1,0)</f>
        <v>1</v>
      </c>
      <c r="G216" s="67">
        <v>44134</v>
      </c>
      <c r="H216" s="64">
        <f t="shared" si="249"/>
        <v>1</v>
      </c>
      <c r="I216" s="67">
        <v>44158</v>
      </c>
      <c r="J216" s="64">
        <f t="shared" si="254"/>
        <v>0</v>
      </c>
      <c r="K216" s="67">
        <v>44141</v>
      </c>
      <c r="L216" s="64">
        <f t="shared" si="255"/>
        <v>0</v>
      </c>
      <c r="M216" s="64">
        <f t="shared" si="256"/>
        <v>0</v>
      </c>
      <c r="N216" s="67">
        <f t="shared" si="248"/>
        <v>44159</v>
      </c>
      <c r="O216" s="64">
        <f t="shared" si="257"/>
        <v>1</v>
      </c>
      <c r="P216" s="64">
        <f t="shared" si="258"/>
        <v>0</v>
      </c>
      <c r="Q216" s="91" t="str">
        <f t="shared" si="250"/>
        <v>Selesai</v>
      </c>
      <c r="R216" s="64">
        <f t="shared" si="259"/>
        <v>0</v>
      </c>
      <c r="S216" s="67">
        <v>44149</v>
      </c>
      <c r="T216" s="67">
        <v>44160</v>
      </c>
      <c r="U216" s="64">
        <f t="shared" si="251"/>
        <v>1</v>
      </c>
      <c r="V216" s="66"/>
      <c r="W216" s="64"/>
      <c r="X216" s="93"/>
      <c r="Y216" s="94"/>
      <c r="Z216" s="91" t="str">
        <f t="shared" si="252"/>
        <v>100%</v>
      </c>
      <c r="AA216" s="67"/>
      <c r="AB216" s="473"/>
      <c r="AC216" s="478" t="s">
        <v>2711</v>
      </c>
      <c r="AD216" s="67"/>
    </row>
    <row r="217" spans="2:30">
      <c r="B217" s="64" t="s">
        <v>105</v>
      </c>
      <c r="C217" s="65" t="s">
        <v>303</v>
      </c>
      <c r="D217" s="66">
        <v>4.91</v>
      </c>
      <c r="E217" s="67">
        <v>44105</v>
      </c>
      <c r="F217" s="64">
        <f>IF(E217&gt;0,1,0)</f>
        <v>1</v>
      </c>
      <c r="G217" s="67">
        <v>44106</v>
      </c>
      <c r="H217" s="64">
        <f t="shared" si="249"/>
        <v>1</v>
      </c>
      <c r="I217" s="67">
        <v>44150</v>
      </c>
      <c r="J217" s="64">
        <f t="shared" si="254"/>
        <v>0</v>
      </c>
      <c r="K217" s="67">
        <v>44112</v>
      </c>
      <c r="L217" s="64">
        <f t="shared" si="255"/>
        <v>0</v>
      </c>
      <c r="M217" s="64">
        <f t="shared" si="256"/>
        <v>0</v>
      </c>
      <c r="N217" s="67">
        <f t="shared" si="248"/>
        <v>44151</v>
      </c>
      <c r="O217" s="64">
        <f t="shared" si="257"/>
        <v>1</v>
      </c>
      <c r="P217" s="64">
        <f t="shared" si="258"/>
        <v>0</v>
      </c>
      <c r="Q217" s="91" t="str">
        <f t="shared" si="250"/>
        <v>Selesai</v>
      </c>
      <c r="R217" s="64">
        <f t="shared" si="259"/>
        <v>0</v>
      </c>
      <c r="S217" s="67">
        <v>44143</v>
      </c>
      <c r="T217" s="67">
        <v>44160</v>
      </c>
      <c r="U217" s="64">
        <f t="shared" si="251"/>
        <v>1</v>
      </c>
      <c r="V217" s="66"/>
      <c r="W217" s="64"/>
      <c r="X217" s="93"/>
      <c r="Y217" s="94"/>
      <c r="Z217" s="91" t="str">
        <f t="shared" si="252"/>
        <v>100%</v>
      </c>
      <c r="AA217" s="67"/>
      <c r="AB217" s="473"/>
      <c r="AC217" s="478" t="s">
        <v>2711</v>
      </c>
      <c r="AD217" s="67"/>
    </row>
    <row r="218" spans="2:30">
      <c r="B218" s="64" t="s">
        <v>105</v>
      </c>
      <c r="C218" s="65" t="s">
        <v>304</v>
      </c>
      <c r="D218" s="66">
        <v>6.53</v>
      </c>
      <c r="E218" s="67">
        <v>44116</v>
      </c>
      <c r="F218" s="64">
        <v>0</v>
      </c>
      <c r="G218" s="67">
        <v>44120</v>
      </c>
      <c r="H218" s="64">
        <f t="shared" si="249"/>
        <v>1</v>
      </c>
      <c r="I218" s="67">
        <v>44132</v>
      </c>
      <c r="J218" s="64">
        <f t="shared" si="254"/>
        <v>0</v>
      </c>
      <c r="K218" s="67">
        <v>44133</v>
      </c>
      <c r="L218" s="64">
        <f t="shared" si="255"/>
        <v>0</v>
      </c>
      <c r="M218" s="64">
        <f t="shared" si="256"/>
        <v>0</v>
      </c>
      <c r="N218" s="67">
        <f t="shared" si="248"/>
        <v>44134</v>
      </c>
      <c r="O218" s="64">
        <f t="shared" si="257"/>
        <v>1</v>
      </c>
      <c r="P218" s="64">
        <f t="shared" si="258"/>
        <v>0</v>
      </c>
      <c r="Q218" s="91" t="str">
        <f t="shared" si="250"/>
        <v>Selesai</v>
      </c>
      <c r="R218" s="64">
        <f t="shared" si="259"/>
        <v>0</v>
      </c>
      <c r="S218" s="67">
        <v>44148</v>
      </c>
      <c r="T218" s="67">
        <v>44161</v>
      </c>
      <c r="U218" s="64">
        <f t="shared" si="251"/>
        <v>1</v>
      </c>
      <c r="V218" s="66"/>
      <c r="W218" s="64"/>
      <c r="X218" s="93"/>
      <c r="Y218" s="94" t="s">
        <v>275</v>
      </c>
      <c r="Z218" s="91" t="str">
        <f t="shared" si="252"/>
        <v>100%</v>
      </c>
      <c r="AA218" s="67"/>
      <c r="AB218" s="473"/>
      <c r="AC218" s="478" t="s">
        <v>2711</v>
      </c>
      <c r="AD218" s="67"/>
    </row>
    <row r="219" spans="2:30">
      <c r="B219" s="64" t="s">
        <v>105</v>
      </c>
      <c r="C219" s="65" t="s">
        <v>156</v>
      </c>
      <c r="D219" s="66">
        <v>6.35</v>
      </c>
      <c r="E219" s="67">
        <v>44133</v>
      </c>
      <c r="F219" s="64">
        <v>0</v>
      </c>
      <c r="G219" s="67">
        <v>44134</v>
      </c>
      <c r="H219" s="64">
        <f t="shared" si="249"/>
        <v>1</v>
      </c>
      <c r="I219" s="67">
        <v>44158</v>
      </c>
      <c r="J219" s="64">
        <f t="shared" si="254"/>
        <v>0</v>
      </c>
      <c r="K219" s="67">
        <v>44142</v>
      </c>
      <c r="L219" s="64">
        <f t="shared" si="255"/>
        <v>0</v>
      </c>
      <c r="M219" s="64">
        <f t="shared" si="256"/>
        <v>0</v>
      </c>
      <c r="N219" s="67">
        <f t="shared" si="248"/>
        <v>44159</v>
      </c>
      <c r="O219" s="64">
        <f t="shared" si="257"/>
        <v>1</v>
      </c>
      <c r="P219" s="64">
        <f t="shared" si="258"/>
        <v>0</v>
      </c>
      <c r="Q219" s="91" t="str">
        <f t="shared" si="250"/>
        <v>Selesai</v>
      </c>
      <c r="R219" s="64">
        <f t="shared" si="259"/>
        <v>0</v>
      </c>
      <c r="S219" s="67">
        <v>44150</v>
      </c>
      <c r="T219" s="67">
        <v>44163</v>
      </c>
      <c r="U219" s="64">
        <f t="shared" si="251"/>
        <v>1</v>
      </c>
      <c r="V219" s="66"/>
      <c r="W219" s="64"/>
      <c r="X219" s="93"/>
      <c r="Y219" s="94"/>
      <c r="Z219" s="91" t="str">
        <f t="shared" si="252"/>
        <v>100%</v>
      </c>
      <c r="AA219" s="67"/>
      <c r="AB219" s="473"/>
      <c r="AC219" s="478" t="s">
        <v>2711</v>
      </c>
      <c r="AD219" s="67"/>
    </row>
    <row r="220" spans="2:30">
      <c r="B220" s="64" t="s">
        <v>109</v>
      </c>
      <c r="C220" s="65" t="s">
        <v>144</v>
      </c>
      <c r="D220" s="66">
        <v>6.27</v>
      </c>
      <c r="E220" s="67">
        <v>44117</v>
      </c>
      <c r="F220" s="64">
        <v>0</v>
      </c>
      <c r="G220" s="67">
        <v>44118</v>
      </c>
      <c r="H220" s="64">
        <f t="shared" si="249"/>
        <v>1</v>
      </c>
      <c r="I220" s="67">
        <v>44152</v>
      </c>
      <c r="J220" s="64">
        <f t="shared" si="254"/>
        <v>0</v>
      </c>
      <c r="K220" s="67">
        <v>44135</v>
      </c>
      <c r="L220" s="64">
        <f t="shared" si="255"/>
        <v>0</v>
      </c>
      <c r="M220" s="64">
        <f t="shared" si="256"/>
        <v>0</v>
      </c>
      <c r="N220" s="67">
        <f t="shared" si="248"/>
        <v>44153</v>
      </c>
      <c r="O220" s="64">
        <f t="shared" si="257"/>
        <v>1</v>
      </c>
      <c r="P220" s="64">
        <f t="shared" si="258"/>
        <v>0</v>
      </c>
      <c r="Q220" s="91" t="str">
        <f t="shared" si="250"/>
        <v>Selesai</v>
      </c>
      <c r="R220" s="64">
        <f t="shared" si="259"/>
        <v>0</v>
      </c>
      <c r="S220" s="67">
        <v>44141</v>
      </c>
      <c r="T220" s="67">
        <v>44166</v>
      </c>
      <c r="U220" s="64">
        <f t="shared" si="251"/>
        <v>1</v>
      </c>
      <c r="V220" s="66"/>
      <c r="W220" s="64"/>
      <c r="X220" s="93"/>
      <c r="Y220" s="94"/>
      <c r="Z220" s="91" t="str">
        <f t="shared" si="252"/>
        <v>100%</v>
      </c>
      <c r="AA220" s="67"/>
      <c r="AB220" s="473"/>
      <c r="AC220" s="478" t="s">
        <v>2711</v>
      </c>
      <c r="AD220" s="67"/>
    </row>
    <row r="221" spans="2:30">
      <c r="B221" s="64" t="s">
        <v>113</v>
      </c>
      <c r="C221" s="65" t="s">
        <v>305</v>
      </c>
      <c r="D221" s="66">
        <v>9.6199999999999992</v>
      </c>
      <c r="E221" s="67">
        <v>44141</v>
      </c>
      <c r="F221" s="64">
        <v>0</v>
      </c>
      <c r="G221" s="67">
        <v>44142</v>
      </c>
      <c r="H221" s="64">
        <f t="shared" si="249"/>
        <v>1</v>
      </c>
      <c r="I221" s="67">
        <v>44163</v>
      </c>
      <c r="J221" s="64">
        <f t="shared" si="254"/>
        <v>0</v>
      </c>
      <c r="K221" s="67">
        <v>44152</v>
      </c>
      <c r="L221" s="64">
        <f t="shared" si="255"/>
        <v>0</v>
      </c>
      <c r="M221" s="64">
        <f t="shared" si="256"/>
        <v>0</v>
      </c>
      <c r="N221" s="67">
        <f t="shared" si="248"/>
        <v>44164</v>
      </c>
      <c r="O221" s="64">
        <f t="shared" si="257"/>
        <v>1</v>
      </c>
      <c r="P221" s="64">
        <f t="shared" si="258"/>
        <v>0</v>
      </c>
      <c r="Q221" s="91" t="str">
        <f t="shared" si="250"/>
        <v>Selesai</v>
      </c>
      <c r="R221" s="64">
        <f t="shared" si="259"/>
        <v>0</v>
      </c>
      <c r="S221" s="67">
        <v>44153</v>
      </c>
      <c r="T221" s="67">
        <v>44167</v>
      </c>
      <c r="U221" s="64">
        <f t="shared" si="251"/>
        <v>1</v>
      </c>
      <c r="V221" s="66"/>
      <c r="W221" s="64"/>
      <c r="X221" s="93"/>
      <c r="Y221" s="94"/>
      <c r="Z221" s="91" t="str">
        <f t="shared" si="252"/>
        <v>100%</v>
      </c>
      <c r="AA221" s="67"/>
      <c r="AB221" s="473"/>
      <c r="AC221" s="478" t="s">
        <v>2711</v>
      </c>
      <c r="AD221" s="67"/>
    </row>
    <row r="222" spans="2:30">
      <c r="B222" s="64" t="s">
        <v>107</v>
      </c>
      <c r="C222" s="65" t="s">
        <v>306</v>
      </c>
      <c r="D222" s="66">
        <v>6.17</v>
      </c>
      <c r="E222" s="67">
        <v>44111</v>
      </c>
      <c r="F222" s="64">
        <f>IF(E222&gt;0,1,0)</f>
        <v>1</v>
      </c>
      <c r="G222" s="67">
        <v>44112</v>
      </c>
      <c r="H222" s="64">
        <f t="shared" si="249"/>
        <v>1</v>
      </c>
      <c r="I222" s="67">
        <v>44139</v>
      </c>
      <c r="J222" s="64">
        <f t="shared" si="254"/>
        <v>0</v>
      </c>
      <c r="K222" s="67">
        <v>44119</v>
      </c>
      <c r="L222" s="64">
        <f t="shared" si="255"/>
        <v>0</v>
      </c>
      <c r="M222" s="64">
        <f t="shared" si="256"/>
        <v>0</v>
      </c>
      <c r="N222" s="67">
        <f t="shared" si="248"/>
        <v>44140</v>
      </c>
      <c r="O222" s="64">
        <f t="shared" si="257"/>
        <v>1</v>
      </c>
      <c r="P222" s="64">
        <f t="shared" si="258"/>
        <v>0</v>
      </c>
      <c r="Q222" s="91" t="str">
        <f t="shared" si="250"/>
        <v>Selesai</v>
      </c>
      <c r="R222" s="64">
        <f t="shared" si="259"/>
        <v>0</v>
      </c>
      <c r="S222" s="67">
        <v>44153</v>
      </c>
      <c r="T222" s="67">
        <v>44175</v>
      </c>
      <c r="U222" s="64">
        <f t="shared" si="251"/>
        <v>1</v>
      </c>
      <c r="V222" s="66"/>
      <c r="W222" s="64"/>
      <c r="X222" s="93"/>
      <c r="Y222" s="94"/>
      <c r="Z222" s="91" t="str">
        <f t="shared" si="252"/>
        <v>100%</v>
      </c>
      <c r="AA222" s="67"/>
      <c r="AB222" s="473"/>
      <c r="AC222" s="478" t="s">
        <v>2711</v>
      </c>
      <c r="AD222" s="67"/>
    </row>
    <row r="223" spans="2:30">
      <c r="B223" s="64" t="s">
        <v>109</v>
      </c>
      <c r="C223" s="65" t="s">
        <v>142</v>
      </c>
      <c r="D223" s="66">
        <v>9.34</v>
      </c>
      <c r="E223" s="67">
        <v>44118</v>
      </c>
      <c r="F223" s="64">
        <f>IF(E223&gt;0,1,0)</f>
        <v>1</v>
      </c>
      <c r="G223" s="67">
        <v>44121</v>
      </c>
      <c r="H223" s="64">
        <f t="shared" si="249"/>
        <v>1</v>
      </c>
      <c r="I223" s="67">
        <v>44149</v>
      </c>
      <c r="J223" s="64">
        <f t="shared" si="254"/>
        <v>0</v>
      </c>
      <c r="K223" s="67">
        <v>44133</v>
      </c>
      <c r="L223" s="64">
        <f t="shared" si="255"/>
        <v>0</v>
      </c>
      <c r="M223" s="64">
        <f t="shared" si="256"/>
        <v>0</v>
      </c>
      <c r="N223" s="67">
        <f t="shared" si="248"/>
        <v>44150</v>
      </c>
      <c r="O223" s="64">
        <f t="shared" si="257"/>
        <v>1</v>
      </c>
      <c r="P223" s="64">
        <f t="shared" si="258"/>
        <v>0</v>
      </c>
      <c r="Q223" s="91" t="str">
        <f t="shared" si="250"/>
        <v>Selesai</v>
      </c>
      <c r="R223" s="64">
        <f t="shared" si="259"/>
        <v>0</v>
      </c>
      <c r="S223" s="67">
        <v>44151</v>
      </c>
      <c r="T223" s="67">
        <v>44176</v>
      </c>
      <c r="U223" s="64">
        <f t="shared" si="251"/>
        <v>1</v>
      </c>
      <c r="V223" s="66"/>
      <c r="W223" s="64"/>
      <c r="X223" s="93"/>
      <c r="Y223" s="94" t="s">
        <v>275</v>
      </c>
      <c r="Z223" s="91" t="str">
        <f t="shared" si="252"/>
        <v>100%</v>
      </c>
      <c r="AA223" s="67"/>
      <c r="AB223" s="473"/>
      <c r="AC223" s="478" t="s">
        <v>2711</v>
      </c>
      <c r="AD223" s="67"/>
    </row>
    <row r="224" spans="2:30">
      <c r="B224" s="64" t="s">
        <v>107</v>
      </c>
      <c r="C224" s="65" t="s">
        <v>307</v>
      </c>
      <c r="D224" s="66">
        <v>5.05</v>
      </c>
      <c r="E224" s="67">
        <v>44116</v>
      </c>
      <c r="F224" s="64">
        <f>IF(E224&gt;0,1,0)</f>
        <v>1</v>
      </c>
      <c r="G224" s="67">
        <v>44117</v>
      </c>
      <c r="H224" s="64">
        <f t="shared" si="249"/>
        <v>1</v>
      </c>
      <c r="I224" s="67">
        <v>44140</v>
      </c>
      <c r="J224" s="64">
        <f t="shared" si="254"/>
        <v>0</v>
      </c>
      <c r="K224" s="67">
        <v>44135</v>
      </c>
      <c r="L224" s="64">
        <f t="shared" si="255"/>
        <v>0</v>
      </c>
      <c r="M224" s="64">
        <f t="shared" si="256"/>
        <v>0</v>
      </c>
      <c r="N224" s="67">
        <f t="shared" si="248"/>
        <v>44141</v>
      </c>
      <c r="O224" s="64">
        <f t="shared" si="257"/>
        <v>1</v>
      </c>
      <c r="P224" s="64">
        <f t="shared" si="258"/>
        <v>0</v>
      </c>
      <c r="Q224" s="91" t="str">
        <f t="shared" si="250"/>
        <v>Selesai</v>
      </c>
      <c r="R224" s="64">
        <f t="shared" si="259"/>
        <v>0</v>
      </c>
      <c r="S224" s="67">
        <v>44151</v>
      </c>
      <c r="T224" s="67">
        <v>44177</v>
      </c>
      <c r="U224" s="64">
        <f t="shared" si="251"/>
        <v>1</v>
      </c>
      <c r="V224" s="66"/>
      <c r="W224" s="64"/>
      <c r="X224" s="93"/>
      <c r="Y224" s="94" t="s">
        <v>275</v>
      </c>
      <c r="Z224" s="91" t="str">
        <f t="shared" si="252"/>
        <v>100%</v>
      </c>
      <c r="AA224" s="67"/>
      <c r="AB224" s="473"/>
      <c r="AC224" s="478" t="s">
        <v>2711</v>
      </c>
      <c r="AD224" s="67"/>
    </row>
    <row r="225" spans="2:30">
      <c r="B225" s="64" t="s">
        <v>105</v>
      </c>
      <c r="C225" s="65" t="s">
        <v>130</v>
      </c>
      <c r="D225" s="66">
        <v>9.9499999999999993</v>
      </c>
      <c r="E225" s="67">
        <v>44116</v>
      </c>
      <c r="F225" s="64">
        <v>0</v>
      </c>
      <c r="G225" s="67">
        <v>44120</v>
      </c>
      <c r="H225" s="64">
        <f t="shared" si="249"/>
        <v>1</v>
      </c>
      <c r="I225" s="67">
        <v>44149</v>
      </c>
      <c r="J225" s="64">
        <f t="shared" si="254"/>
        <v>0</v>
      </c>
      <c r="K225" s="67">
        <v>44133</v>
      </c>
      <c r="L225" s="64">
        <f t="shared" si="255"/>
        <v>0</v>
      </c>
      <c r="M225" s="64">
        <f t="shared" si="256"/>
        <v>0</v>
      </c>
      <c r="N225" s="67">
        <f t="shared" si="248"/>
        <v>44150</v>
      </c>
      <c r="O225" s="64">
        <f t="shared" si="257"/>
        <v>1</v>
      </c>
      <c r="P225" s="64">
        <f t="shared" si="258"/>
        <v>0</v>
      </c>
      <c r="Q225" s="91" t="str">
        <f t="shared" si="250"/>
        <v>Selesai</v>
      </c>
      <c r="R225" s="64">
        <f t="shared" si="259"/>
        <v>0</v>
      </c>
      <c r="S225" s="67">
        <v>44147</v>
      </c>
      <c r="T225" s="67">
        <v>44181</v>
      </c>
      <c r="U225" s="64">
        <f t="shared" si="251"/>
        <v>1</v>
      </c>
      <c r="V225" s="66"/>
      <c r="W225" s="64"/>
      <c r="X225" s="93"/>
      <c r="Y225" s="94" t="s">
        <v>275</v>
      </c>
      <c r="Z225" s="91" t="str">
        <f t="shared" si="252"/>
        <v>100%</v>
      </c>
      <c r="AA225" s="67"/>
      <c r="AB225" s="473"/>
      <c r="AC225" s="478" t="s">
        <v>2711</v>
      </c>
      <c r="AD225" s="67"/>
    </row>
    <row r="226" spans="2:30">
      <c r="B226" s="64" t="s">
        <v>109</v>
      </c>
      <c r="C226" s="65" t="s">
        <v>127</v>
      </c>
      <c r="D226" s="66">
        <v>9.9</v>
      </c>
      <c r="E226" s="67">
        <v>44158</v>
      </c>
      <c r="F226" s="64">
        <f>IF(E226&gt;0,1,0)</f>
        <v>1</v>
      </c>
      <c r="G226" s="67">
        <v>44165</v>
      </c>
      <c r="H226" s="64">
        <v>0</v>
      </c>
      <c r="I226" s="67">
        <v>44170</v>
      </c>
      <c r="J226" s="64">
        <f t="shared" si="254"/>
        <v>0</v>
      </c>
      <c r="K226" s="67">
        <v>44166</v>
      </c>
      <c r="L226" s="64">
        <f t="shared" si="255"/>
        <v>0</v>
      </c>
      <c r="M226" s="64">
        <f t="shared" si="256"/>
        <v>0</v>
      </c>
      <c r="N226" s="67">
        <f t="shared" si="248"/>
        <v>44171</v>
      </c>
      <c r="O226" s="64">
        <f t="shared" si="257"/>
        <v>1</v>
      </c>
      <c r="P226" s="64">
        <f t="shared" si="258"/>
        <v>0</v>
      </c>
      <c r="Q226" s="91" t="str">
        <f t="shared" si="250"/>
        <v>Selesai</v>
      </c>
      <c r="R226" s="64">
        <f t="shared" si="259"/>
        <v>0</v>
      </c>
      <c r="S226" s="67">
        <v>44167</v>
      </c>
      <c r="T226" s="67">
        <v>44184</v>
      </c>
      <c r="U226" s="64">
        <f t="shared" si="251"/>
        <v>1</v>
      </c>
      <c r="V226" s="64"/>
      <c r="W226" s="64"/>
      <c r="X226" s="93"/>
      <c r="Y226" s="94"/>
      <c r="Z226" s="91" t="str">
        <f t="shared" si="252"/>
        <v>100%</v>
      </c>
      <c r="AA226" s="67"/>
      <c r="AB226" s="473"/>
      <c r="AC226" s="478" t="s">
        <v>2711</v>
      </c>
      <c r="AD226" s="67"/>
    </row>
    <row r="227" spans="2:30">
      <c r="B227" s="64" t="s">
        <v>113</v>
      </c>
      <c r="C227" s="65" t="s">
        <v>308</v>
      </c>
      <c r="D227" s="66">
        <v>6.28</v>
      </c>
      <c r="E227" s="67">
        <v>44126</v>
      </c>
      <c r="F227" s="64">
        <f>IF(E227&gt;0,1,0)</f>
        <v>1</v>
      </c>
      <c r="G227" s="67">
        <v>44135</v>
      </c>
      <c r="H227" s="64">
        <f>IF(G227&gt;0,1,0)</f>
        <v>1</v>
      </c>
      <c r="I227" s="67">
        <v>44163</v>
      </c>
      <c r="J227" s="64">
        <f t="shared" si="254"/>
        <v>0</v>
      </c>
      <c r="K227" s="67">
        <v>44152</v>
      </c>
      <c r="L227" s="64">
        <f t="shared" si="255"/>
        <v>0</v>
      </c>
      <c r="M227" s="64">
        <f t="shared" si="256"/>
        <v>0</v>
      </c>
      <c r="N227" s="67">
        <f t="shared" ref="N227:N242" si="260">IF(AND(I227&gt;0,K227&gt;0),MAX(I227:K227)+1,"")</f>
        <v>44164</v>
      </c>
      <c r="O227" s="64">
        <f t="shared" si="257"/>
        <v>1</v>
      </c>
      <c r="P227" s="64">
        <f t="shared" si="258"/>
        <v>0</v>
      </c>
      <c r="Q227" s="91" t="str">
        <f t="shared" si="250"/>
        <v>Selesai</v>
      </c>
      <c r="R227" s="64">
        <f t="shared" si="259"/>
        <v>0</v>
      </c>
      <c r="S227" s="67">
        <v>44155</v>
      </c>
      <c r="T227" s="67">
        <v>44188</v>
      </c>
      <c r="U227" s="64">
        <f t="shared" si="251"/>
        <v>1</v>
      </c>
      <c r="V227" s="66"/>
      <c r="W227" s="64"/>
      <c r="X227" s="93"/>
      <c r="Y227" s="94"/>
      <c r="Z227" s="91" t="str">
        <f t="shared" si="252"/>
        <v>100%</v>
      </c>
      <c r="AA227" s="67"/>
      <c r="AB227" s="473"/>
      <c r="AC227" s="478" t="s">
        <v>2711</v>
      </c>
      <c r="AD227" s="67"/>
    </row>
    <row r="228" spans="2:30">
      <c r="B228" s="64" t="s">
        <v>109</v>
      </c>
      <c r="C228" s="65" t="s">
        <v>309</v>
      </c>
      <c r="D228" s="66">
        <v>12.86</v>
      </c>
      <c r="E228" s="67">
        <v>44128</v>
      </c>
      <c r="F228" s="64">
        <v>0</v>
      </c>
      <c r="G228" s="67">
        <v>44135</v>
      </c>
      <c r="H228" s="64">
        <f>IF(G228&gt;0,1,0)</f>
        <v>1</v>
      </c>
      <c r="I228" s="67">
        <v>44155</v>
      </c>
      <c r="J228" s="64">
        <f t="shared" si="254"/>
        <v>0</v>
      </c>
      <c r="K228" s="67">
        <v>44161</v>
      </c>
      <c r="L228" s="64">
        <f t="shared" si="255"/>
        <v>0</v>
      </c>
      <c r="M228" s="64">
        <f t="shared" si="256"/>
        <v>0</v>
      </c>
      <c r="N228" s="67">
        <f t="shared" si="260"/>
        <v>44162</v>
      </c>
      <c r="O228" s="64">
        <f t="shared" si="257"/>
        <v>1</v>
      </c>
      <c r="P228" s="64">
        <f t="shared" si="258"/>
        <v>0</v>
      </c>
      <c r="Q228" s="91" t="str">
        <f t="shared" si="250"/>
        <v>Selesai</v>
      </c>
      <c r="R228" s="64">
        <f t="shared" si="259"/>
        <v>0</v>
      </c>
      <c r="S228" s="67">
        <v>44163</v>
      </c>
      <c r="T228" s="67">
        <v>44190</v>
      </c>
      <c r="U228" s="64">
        <f t="shared" si="251"/>
        <v>1</v>
      </c>
      <c r="V228" s="64"/>
      <c r="W228" s="64"/>
      <c r="X228" s="93"/>
      <c r="Y228" s="94"/>
      <c r="Z228" s="91" t="str">
        <f t="shared" si="252"/>
        <v>100%</v>
      </c>
      <c r="AA228" s="67"/>
      <c r="AB228" s="473"/>
      <c r="AC228" s="478" t="s">
        <v>2711</v>
      </c>
      <c r="AD228" s="67"/>
    </row>
    <row r="229" spans="2:30">
      <c r="B229" s="64" t="s">
        <v>105</v>
      </c>
      <c r="C229" s="65" t="s">
        <v>310</v>
      </c>
      <c r="D229" s="66">
        <v>3.42</v>
      </c>
      <c r="E229" s="67">
        <v>44158</v>
      </c>
      <c r="F229" s="64">
        <f>IF(E229&gt;0,1,0)</f>
        <v>1</v>
      </c>
      <c r="G229" s="67">
        <v>44161</v>
      </c>
      <c r="H229" s="64">
        <f>IF(G229&gt;0,1,0)</f>
        <v>1</v>
      </c>
      <c r="I229" s="67">
        <v>44165</v>
      </c>
      <c r="J229" s="64">
        <f t="shared" si="254"/>
        <v>0</v>
      </c>
      <c r="K229" s="67">
        <v>44161</v>
      </c>
      <c r="L229" s="64">
        <f t="shared" si="255"/>
        <v>0</v>
      </c>
      <c r="M229" s="64">
        <f t="shared" si="256"/>
        <v>0</v>
      </c>
      <c r="N229" s="67">
        <f t="shared" si="260"/>
        <v>44166</v>
      </c>
      <c r="O229" s="64">
        <f t="shared" si="257"/>
        <v>1</v>
      </c>
      <c r="P229" s="64">
        <f t="shared" si="258"/>
        <v>0</v>
      </c>
      <c r="Q229" s="91" t="str">
        <f t="shared" si="250"/>
        <v>Selesai</v>
      </c>
      <c r="R229" s="64">
        <f t="shared" si="259"/>
        <v>0</v>
      </c>
      <c r="S229" s="67">
        <v>44171</v>
      </c>
      <c r="T229" s="67">
        <v>44191</v>
      </c>
      <c r="U229" s="64">
        <f t="shared" si="251"/>
        <v>1</v>
      </c>
      <c r="V229" s="64"/>
      <c r="W229" s="64"/>
      <c r="X229" s="93"/>
      <c r="Y229" s="94"/>
      <c r="Z229" s="91" t="str">
        <f t="shared" si="252"/>
        <v>100%</v>
      </c>
      <c r="AA229" s="67"/>
      <c r="AB229" s="473"/>
      <c r="AC229" s="478" t="s">
        <v>2711</v>
      </c>
      <c r="AD229" s="67"/>
    </row>
    <row r="230" spans="2:30">
      <c r="B230" s="64" t="s">
        <v>105</v>
      </c>
      <c r="C230" s="65" t="s">
        <v>311</v>
      </c>
      <c r="D230" s="66">
        <v>5.15</v>
      </c>
      <c r="E230" s="67">
        <v>44159</v>
      </c>
      <c r="F230" s="64">
        <f>IF(E230&gt;0,1,0)</f>
        <v>1</v>
      </c>
      <c r="G230" s="67">
        <v>44165</v>
      </c>
      <c r="H230" s="64">
        <v>0</v>
      </c>
      <c r="I230" s="67">
        <v>44171</v>
      </c>
      <c r="J230" s="64">
        <f t="shared" si="254"/>
        <v>0</v>
      </c>
      <c r="K230" s="67">
        <v>44163</v>
      </c>
      <c r="L230" s="64">
        <f t="shared" si="255"/>
        <v>0</v>
      </c>
      <c r="M230" s="64">
        <f t="shared" si="256"/>
        <v>0</v>
      </c>
      <c r="N230" s="67">
        <f t="shared" si="260"/>
        <v>44172</v>
      </c>
      <c r="O230" s="64">
        <f t="shared" si="257"/>
        <v>1</v>
      </c>
      <c r="P230" s="64">
        <f t="shared" si="258"/>
        <v>0</v>
      </c>
      <c r="Q230" s="91" t="str">
        <f t="shared" si="250"/>
        <v>Selesai</v>
      </c>
      <c r="R230" s="64">
        <f t="shared" si="259"/>
        <v>0</v>
      </c>
      <c r="S230" s="67">
        <v>44175</v>
      </c>
      <c r="T230" s="67">
        <v>44191</v>
      </c>
      <c r="U230" s="64">
        <f t="shared" si="251"/>
        <v>1</v>
      </c>
      <c r="V230" s="64"/>
      <c r="W230" s="64"/>
      <c r="X230" s="93"/>
      <c r="Y230" s="94"/>
      <c r="Z230" s="91" t="str">
        <f t="shared" si="252"/>
        <v>100%</v>
      </c>
      <c r="AA230" s="67"/>
      <c r="AB230" s="473"/>
      <c r="AC230" s="478" t="s">
        <v>2711</v>
      </c>
      <c r="AD230" s="67"/>
    </row>
    <row r="231" spans="2:30">
      <c r="B231" s="64" t="s">
        <v>109</v>
      </c>
      <c r="C231" s="65" t="s">
        <v>312</v>
      </c>
      <c r="D231" s="66">
        <v>11.56</v>
      </c>
      <c r="E231" s="67">
        <v>44123</v>
      </c>
      <c r="F231" s="64">
        <f>IF(E231&gt;0,1,0)</f>
        <v>1</v>
      </c>
      <c r="G231" s="67">
        <v>44124</v>
      </c>
      <c r="H231" s="64">
        <f t="shared" ref="H231:H236" si="261">IF(G231&gt;0,1,0)</f>
        <v>1</v>
      </c>
      <c r="I231" s="67">
        <v>44152</v>
      </c>
      <c r="J231" s="64">
        <f t="shared" si="254"/>
        <v>0</v>
      </c>
      <c r="K231" s="67">
        <v>44133</v>
      </c>
      <c r="L231" s="64">
        <f t="shared" si="255"/>
        <v>0</v>
      </c>
      <c r="M231" s="64">
        <f t="shared" si="256"/>
        <v>0</v>
      </c>
      <c r="N231" s="67">
        <f t="shared" si="260"/>
        <v>44153</v>
      </c>
      <c r="O231" s="64">
        <f t="shared" si="257"/>
        <v>1</v>
      </c>
      <c r="P231" s="64">
        <f t="shared" si="258"/>
        <v>0</v>
      </c>
      <c r="Q231" s="91" t="str">
        <f t="shared" si="250"/>
        <v>Selesai</v>
      </c>
      <c r="R231" s="64">
        <f t="shared" si="259"/>
        <v>0</v>
      </c>
      <c r="S231" s="67">
        <v>44165</v>
      </c>
      <c r="T231" s="67">
        <v>44193</v>
      </c>
      <c r="U231" s="64">
        <f t="shared" si="251"/>
        <v>1</v>
      </c>
      <c r="V231" s="64"/>
      <c r="W231" s="64"/>
      <c r="X231" s="93"/>
      <c r="Y231" s="94"/>
      <c r="Z231" s="91" t="str">
        <f t="shared" si="252"/>
        <v>100%</v>
      </c>
      <c r="AA231" s="67"/>
      <c r="AB231" s="473"/>
      <c r="AC231" s="478" t="s">
        <v>2711</v>
      </c>
      <c r="AD231" s="67"/>
    </row>
    <row r="232" spans="2:30">
      <c r="B232" s="64" t="s">
        <v>113</v>
      </c>
      <c r="C232" s="65" t="s">
        <v>125</v>
      </c>
      <c r="D232" s="66">
        <v>6.03</v>
      </c>
      <c r="E232" s="67">
        <v>44157</v>
      </c>
      <c r="F232" s="64">
        <f>IF(E232&gt;0,1,0)</f>
        <v>1</v>
      </c>
      <c r="G232" s="67">
        <v>44171</v>
      </c>
      <c r="H232" s="64">
        <f t="shared" si="261"/>
        <v>1</v>
      </c>
      <c r="I232" s="67">
        <v>44169</v>
      </c>
      <c r="J232" s="64">
        <f t="shared" si="254"/>
        <v>0</v>
      </c>
      <c r="K232" s="67">
        <v>44162</v>
      </c>
      <c r="L232" s="64">
        <f t="shared" si="255"/>
        <v>0</v>
      </c>
      <c r="M232" s="64">
        <f t="shared" si="256"/>
        <v>0</v>
      </c>
      <c r="N232" s="67">
        <f t="shared" si="260"/>
        <v>44170</v>
      </c>
      <c r="O232" s="64">
        <f t="shared" si="257"/>
        <v>1</v>
      </c>
      <c r="P232" s="64">
        <f t="shared" si="258"/>
        <v>0</v>
      </c>
      <c r="Q232" s="91" t="str">
        <f t="shared" si="250"/>
        <v>Selesai</v>
      </c>
      <c r="R232" s="64">
        <f t="shared" si="259"/>
        <v>0</v>
      </c>
      <c r="S232" s="67">
        <v>44189</v>
      </c>
      <c r="T232" s="67">
        <v>44203</v>
      </c>
      <c r="U232" s="64">
        <f t="shared" si="251"/>
        <v>1</v>
      </c>
      <c r="V232" s="64"/>
      <c r="W232" s="64"/>
      <c r="X232" s="93"/>
      <c r="Y232" s="94"/>
      <c r="Z232" s="91" t="str">
        <f t="shared" si="252"/>
        <v>100%</v>
      </c>
      <c r="AA232" s="67"/>
      <c r="AB232" s="473"/>
      <c r="AC232" s="478" t="s">
        <v>2711</v>
      </c>
      <c r="AD232" s="67"/>
    </row>
    <row r="233" spans="2:30">
      <c r="B233" s="64" t="s">
        <v>113</v>
      </c>
      <c r="C233" s="65" t="s">
        <v>313</v>
      </c>
      <c r="D233" s="66">
        <v>17</v>
      </c>
      <c r="E233" s="67">
        <v>44134</v>
      </c>
      <c r="F233" s="64">
        <v>0</v>
      </c>
      <c r="G233" s="67">
        <v>44135</v>
      </c>
      <c r="H233" s="64">
        <f t="shared" si="261"/>
        <v>1</v>
      </c>
      <c r="I233" s="67">
        <v>44166</v>
      </c>
      <c r="J233" s="64">
        <f t="shared" si="254"/>
        <v>0</v>
      </c>
      <c r="K233" s="67">
        <v>44162</v>
      </c>
      <c r="L233" s="64">
        <f t="shared" si="255"/>
        <v>0</v>
      </c>
      <c r="M233" s="64">
        <f t="shared" si="256"/>
        <v>0</v>
      </c>
      <c r="N233" s="67">
        <f t="shared" si="260"/>
        <v>44167</v>
      </c>
      <c r="O233" s="64">
        <f t="shared" si="257"/>
        <v>1</v>
      </c>
      <c r="P233" s="64">
        <f t="shared" si="258"/>
        <v>0</v>
      </c>
      <c r="Q233" s="91" t="str">
        <f t="shared" si="250"/>
        <v>Selesai</v>
      </c>
      <c r="R233" s="64">
        <f t="shared" si="259"/>
        <v>0</v>
      </c>
      <c r="S233" s="67">
        <v>44173</v>
      </c>
      <c r="T233" s="67">
        <v>44207</v>
      </c>
      <c r="U233" s="64">
        <f t="shared" si="251"/>
        <v>1</v>
      </c>
      <c r="V233" s="64"/>
      <c r="W233" s="64"/>
      <c r="X233" s="93"/>
      <c r="Y233" s="94"/>
      <c r="Z233" s="91" t="str">
        <f t="shared" si="252"/>
        <v>100%</v>
      </c>
      <c r="AA233" s="67"/>
      <c r="AB233" s="473"/>
      <c r="AC233" s="478" t="s">
        <v>2711</v>
      </c>
      <c r="AD233" s="67"/>
    </row>
    <row r="234" spans="2:30">
      <c r="B234" s="64" t="s">
        <v>107</v>
      </c>
      <c r="C234" s="65" t="s">
        <v>120</v>
      </c>
      <c r="D234" s="66">
        <v>9.0399999999999991</v>
      </c>
      <c r="E234" s="67">
        <v>44142</v>
      </c>
      <c r="F234" s="64">
        <f>IF(E234&gt;0,1,0)</f>
        <v>1</v>
      </c>
      <c r="G234" s="67">
        <v>44143</v>
      </c>
      <c r="H234" s="64">
        <f t="shared" si="261"/>
        <v>1</v>
      </c>
      <c r="I234" s="67">
        <v>44173</v>
      </c>
      <c r="J234" s="64">
        <f t="shared" si="254"/>
        <v>0</v>
      </c>
      <c r="K234" s="67">
        <v>44156</v>
      </c>
      <c r="L234" s="64">
        <f t="shared" si="255"/>
        <v>0</v>
      </c>
      <c r="M234" s="64">
        <f t="shared" si="256"/>
        <v>0</v>
      </c>
      <c r="N234" s="67">
        <f t="shared" si="260"/>
        <v>44174</v>
      </c>
      <c r="O234" s="64">
        <f t="shared" si="257"/>
        <v>1</v>
      </c>
      <c r="P234" s="64">
        <f t="shared" si="258"/>
        <v>0</v>
      </c>
      <c r="Q234" s="91" t="str">
        <f t="shared" si="250"/>
        <v>Selesai</v>
      </c>
      <c r="R234" s="64">
        <f t="shared" si="259"/>
        <v>0</v>
      </c>
      <c r="S234" s="67">
        <v>44184</v>
      </c>
      <c r="T234" s="67">
        <v>44209</v>
      </c>
      <c r="U234" s="64">
        <f t="shared" si="251"/>
        <v>1</v>
      </c>
      <c r="V234" s="64"/>
      <c r="W234" s="64"/>
      <c r="X234" s="93"/>
      <c r="Y234" s="94"/>
      <c r="Z234" s="91" t="str">
        <f t="shared" si="252"/>
        <v>100%</v>
      </c>
      <c r="AA234" s="67"/>
      <c r="AB234" s="473"/>
      <c r="AC234" s="478" t="s">
        <v>2711</v>
      </c>
      <c r="AD234" s="67"/>
    </row>
    <row r="235" spans="2:30">
      <c r="B235" s="64" t="s">
        <v>113</v>
      </c>
      <c r="C235" s="65" t="s">
        <v>110</v>
      </c>
      <c r="D235" s="66">
        <v>9</v>
      </c>
      <c r="E235" s="67">
        <v>44143</v>
      </c>
      <c r="F235" s="64">
        <f>IF(E235&gt;0,1,0)</f>
        <v>1</v>
      </c>
      <c r="G235" s="67">
        <v>44144</v>
      </c>
      <c r="H235" s="64">
        <f t="shared" si="261"/>
        <v>1</v>
      </c>
      <c r="I235" s="67">
        <v>44177</v>
      </c>
      <c r="J235" s="64">
        <f t="shared" si="254"/>
        <v>0</v>
      </c>
      <c r="K235" s="67">
        <v>44152</v>
      </c>
      <c r="L235" s="64">
        <f t="shared" si="255"/>
        <v>0</v>
      </c>
      <c r="M235" s="64">
        <f t="shared" si="256"/>
        <v>0</v>
      </c>
      <c r="N235" s="67">
        <f t="shared" si="260"/>
        <v>44178</v>
      </c>
      <c r="O235" s="64">
        <f t="shared" si="257"/>
        <v>1</v>
      </c>
      <c r="P235" s="64">
        <f t="shared" si="258"/>
        <v>0</v>
      </c>
      <c r="Q235" s="91" t="str">
        <f t="shared" si="250"/>
        <v>Selesai</v>
      </c>
      <c r="R235" s="64">
        <f t="shared" si="259"/>
        <v>0</v>
      </c>
      <c r="S235" s="67">
        <v>44193</v>
      </c>
      <c r="T235" s="67">
        <v>44212</v>
      </c>
      <c r="U235" s="64">
        <f t="shared" si="251"/>
        <v>1</v>
      </c>
      <c r="V235" s="64"/>
      <c r="W235" s="64"/>
      <c r="X235" s="93"/>
      <c r="Y235" s="94"/>
      <c r="Z235" s="91" t="str">
        <f t="shared" si="252"/>
        <v>100%</v>
      </c>
      <c r="AA235" s="67"/>
      <c r="AB235" s="473"/>
      <c r="AC235" s="478" t="s">
        <v>2711</v>
      </c>
      <c r="AD235" s="67"/>
    </row>
    <row r="236" spans="2:30">
      <c r="B236" s="64" t="s">
        <v>107</v>
      </c>
      <c r="C236" s="65" t="s">
        <v>108</v>
      </c>
      <c r="D236" s="66">
        <v>10.45</v>
      </c>
      <c r="E236" s="67">
        <v>44130</v>
      </c>
      <c r="F236" s="64">
        <v>0</v>
      </c>
      <c r="G236" s="67">
        <v>44131</v>
      </c>
      <c r="H236" s="64">
        <f t="shared" si="261"/>
        <v>1</v>
      </c>
      <c r="I236" s="67">
        <v>44172</v>
      </c>
      <c r="J236" s="64">
        <f t="shared" si="254"/>
        <v>0</v>
      </c>
      <c r="K236" s="67">
        <v>44141</v>
      </c>
      <c r="L236" s="64">
        <f t="shared" si="255"/>
        <v>0</v>
      </c>
      <c r="M236" s="64">
        <f t="shared" si="256"/>
        <v>0</v>
      </c>
      <c r="N236" s="67">
        <f t="shared" si="260"/>
        <v>44173</v>
      </c>
      <c r="O236" s="64">
        <f t="shared" si="257"/>
        <v>1</v>
      </c>
      <c r="P236" s="64">
        <f t="shared" si="258"/>
        <v>0</v>
      </c>
      <c r="Q236" s="91" t="str">
        <f t="shared" si="250"/>
        <v>Selesai</v>
      </c>
      <c r="R236" s="64">
        <f t="shared" si="259"/>
        <v>0</v>
      </c>
      <c r="S236" s="67">
        <v>44176</v>
      </c>
      <c r="T236" s="67">
        <v>44212</v>
      </c>
      <c r="U236" s="64">
        <f t="shared" si="251"/>
        <v>1</v>
      </c>
      <c r="V236" s="64"/>
      <c r="W236" s="64"/>
      <c r="X236" s="93"/>
      <c r="Y236" s="94"/>
      <c r="Z236" s="91" t="str">
        <f t="shared" si="252"/>
        <v>100%</v>
      </c>
      <c r="AA236" s="67"/>
      <c r="AB236" s="473"/>
      <c r="AC236" s="478" t="s">
        <v>2711</v>
      </c>
      <c r="AD236" s="67"/>
    </row>
    <row r="237" spans="2:30">
      <c r="B237" s="64" t="s">
        <v>105</v>
      </c>
      <c r="C237" s="65" t="s">
        <v>158</v>
      </c>
      <c r="D237" s="66">
        <v>14.84</v>
      </c>
      <c r="E237" s="67">
        <v>44160</v>
      </c>
      <c r="F237" s="64">
        <v>0</v>
      </c>
      <c r="G237" s="67">
        <v>44165</v>
      </c>
      <c r="H237" s="64">
        <v>0</v>
      </c>
      <c r="I237" s="67">
        <v>44186</v>
      </c>
      <c r="J237" s="64">
        <f t="shared" si="254"/>
        <v>0</v>
      </c>
      <c r="K237" s="67">
        <v>44163</v>
      </c>
      <c r="L237" s="64">
        <f t="shared" si="255"/>
        <v>0</v>
      </c>
      <c r="M237" s="64">
        <f t="shared" si="256"/>
        <v>0</v>
      </c>
      <c r="N237" s="67">
        <f t="shared" si="260"/>
        <v>44187</v>
      </c>
      <c r="O237" s="64">
        <f t="shared" si="257"/>
        <v>1</v>
      </c>
      <c r="P237" s="64">
        <f t="shared" si="258"/>
        <v>0</v>
      </c>
      <c r="Q237" s="91" t="str">
        <f t="shared" si="250"/>
        <v>Selesai</v>
      </c>
      <c r="R237" s="64">
        <f t="shared" si="259"/>
        <v>0</v>
      </c>
      <c r="S237" s="67">
        <v>44176</v>
      </c>
      <c r="T237" s="67">
        <v>44217</v>
      </c>
      <c r="U237" s="64">
        <f t="shared" si="251"/>
        <v>1</v>
      </c>
      <c r="V237" s="64"/>
      <c r="W237" s="64"/>
      <c r="X237" s="93"/>
      <c r="Y237" s="94"/>
      <c r="Z237" s="91" t="str">
        <f t="shared" si="252"/>
        <v>100%</v>
      </c>
      <c r="AA237" s="67"/>
      <c r="AB237" s="473"/>
      <c r="AC237" s="478" t="s">
        <v>2711</v>
      </c>
      <c r="AD237" s="67"/>
    </row>
    <row r="238" spans="2:30">
      <c r="B238" s="64" t="s">
        <v>105</v>
      </c>
      <c r="C238" s="65" t="s">
        <v>314</v>
      </c>
      <c r="D238" s="66">
        <v>8.92</v>
      </c>
      <c r="E238" s="67">
        <v>44122</v>
      </c>
      <c r="F238" s="64">
        <v>0</v>
      </c>
      <c r="G238" s="67">
        <v>44123</v>
      </c>
      <c r="H238" s="64">
        <f>IF(G238&gt;0,1,0)</f>
        <v>1</v>
      </c>
      <c r="I238" s="67">
        <v>44147</v>
      </c>
      <c r="J238" s="64">
        <f t="shared" si="254"/>
        <v>0</v>
      </c>
      <c r="K238" s="67">
        <v>44133</v>
      </c>
      <c r="L238" s="64">
        <f t="shared" si="255"/>
        <v>0</v>
      </c>
      <c r="M238" s="64">
        <f t="shared" si="256"/>
        <v>0</v>
      </c>
      <c r="N238" s="67">
        <f t="shared" si="260"/>
        <v>44148</v>
      </c>
      <c r="O238" s="64">
        <f t="shared" si="257"/>
        <v>1</v>
      </c>
      <c r="P238" s="64">
        <f t="shared" si="258"/>
        <v>0</v>
      </c>
      <c r="Q238" s="91" t="str">
        <f t="shared" si="250"/>
        <v>Selesai</v>
      </c>
      <c r="R238" s="64">
        <f t="shared" si="259"/>
        <v>0</v>
      </c>
      <c r="S238" s="67">
        <v>44161</v>
      </c>
      <c r="T238" s="67">
        <v>44219</v>
      </c>
      <c r="U238" s="64">
        <f t="shared" si="251"/>
        <v>1</v>
      </c>
      <c r="V238" s="64"/>
      <c r="W238" s="64"/>
      <c r="X238" s="93"/>
      <c r="Y238" s="94" t="s">
        <v>275</v>
      </c>
      <c r="Z238" s="91" t="str">
        <f t="shared" si="252"/>
        <v>100%</v>
      </c>
      <c r="AA238" s="67"/>
      <c r="AB238" s="473"/>
      <c r="AC238" s="478" t="s">
        <v>2711</v>
      </c>
      <c r="AD238" s="67"/>
    </row>
    <row r="239" spans="2:30">
      <c r="B239" s="64" t="s">
        <v>105</v>
      </c>
      <c r="C239" s="65" t="s">
        <v>315</v>
      </c>
      <c r="D239" s="66">
        <v>11.34</v>
      </c>
      <c r="E239" s="67">
        <v>44194</v>
      </c>
      <c r="F239" s="64">
        <f>IF(E239&gt;0,1,0)</f>
        <v>1</v>
      </c>
      <c r="G239" s="67">
        <v>44195</v>
      </c>
      <c r="H239" s="64">
        <f>IF(G239&gt;0,1,0)</f>
        <v>1</v>
      </c>
      <c r="I239" s="67">
        <v>44206</v>
      </c>
      <c r="J239" s="64">
        <f t="shared" si="254"/>
        <v>0</v>
      </c>
      <c r="K239" s="67">
        <v>44172</v>
      </c>
      <c r="L239" s="64">
        <f t="shared" si="255"/>
        <v>0</v>
      </c>
      <c r="M239" s="64">
        <f t="shared" si="256"/>
        <v>0</v>
      </c>
      <c r="N239" s="67">
        <f t="shared" si="260"/>
        <v>44207</v>
      </c>
      <c r="O239" s="64">
        <f t="shared" si="257"/>
        <v>1</v>
      </c>
      <c r="P239" s="64">
        <f t="shared" si="258"/>
        <v>0</v>
      </c>
      <c r="Q239" s="91" t="str">
        <f t="shared" si="250"/>
        <v>Selesai</v>
      </c>
      <c r="R239" s="64">
        <f t="shared" si="259"/>
        <v>0</v>
      </c>
      <c r="S239" s="67">
        <v>44207</v>
      </c>
      <c r="T239" s="67">
        <v>44219</v>
      </c>
      <c r="U239" s="64">
        <f t="shared" si="251"/>
        <v>1</v>
      </c>
      <c r="V239" s="64"/>
      <c r="W239" s="64"/>
      <c r="X239" s="93"/>
      <c r="Y239" s="94"/>
      <c r="Z239" s="91" t="str">
        <f t="shared" si="252"/>
        <v>100%</v>
      </c>
      <c r="AA239" s="67"/>
      <c r="AB239" s="473"/>
      <c r="AC239" s="478" t="s">
        <v>2711</v>
      </c>
      <c r="AD239" s="67"/>
    </row>
    <row r="240" spans="2:30">
      <c r="B240" s="64" t="s">
        <v>113</v>
      </c>
      <c r="C240" s="65" t="s">
        <v>126</v>
      </c>
      <c r="D240" s="66">
        <v>6.39</v>
      </c>
      <c r="E240" s="67">
        <v>44163</v>
      </c>
      <c r="F240" s="64">
        <f>IF(E240&gt;0,1,0)</f>
        <v>1</v>
      </c>
      <c r="G240" s="67">
        <v>44164</v>
      </c>
      <c r="H240" s="64">
        <f>IF(G240&gt;0,1,0)</f>
        <v>1</v>
      </c>
      <c r="I240" s="67">
        <v>44177</v>
      </c>
      <c r="J240" s="64">
        <f t="shared" si="254"/>
        <v>0</v>
      </c>
      <c r="K240" s="67">
        <v>44173</v>
      </c>
      <c r="L240" s="64">
        <f t="shared" si="255"/>
        <v>0</v>
      </c>
      <c r="M240" s="64">
        <f t="shared" si="256"/>
        <v>0</v>
      </c>
      <c r="N240" s="67">
        <f t="shared" si="260"/>
        <v>44178</v>
      </c>
      <c r="O240" s="64">
        <f t="shared" si="257"/>
        <v>1</v>
      </c>
      <c r="P240" s="64">
        <f t="shared" si="258"/>
        <v>0</v>
      </c>
      <c r="Q240" s="91" t="str">
        <f t="shared" si="250"/>
        <v>Selesai</v>
      </c>
      <c r="R240" s="64">
        <f t="shared" si="259"/>
        <v>0</v>
      </c>
      <c r="S240" s="67">
        <v>44207</v>
      </c>
      <c r="T240" s="67">
        <v>44222</v>
      </c>
      <c r="U240" s="64">
        <f t="shared" si="251"/>
        <v>1</v>
      </c>
      <c r="V240" s="64"/>
      <c r="W240" s="64"/>
      <c r="X240" s="93"/>
      <c r="Y240" s="94"/>
      <c r="Z240" s="91" t="str">
        <f t="shared" si="252"/>
        <v>100%</v>
      </c>
      <c r="AA240" s="67"/>
      <c r="AB240" s="473"/>
      <c r="AC240" s="478" t="s">
        <v>2711</v>
      </c>
      <c r="AD240" s="67"/>
    </row>
    <row r="241" spans="2:30">
      <c r="B241" s="64" t="s">
        <v>105</v>
      </c>
      <c r="C241" s="65" t="s">
        <v>316</v>
      </c>
      <c r="D241" s="66">
        <v>10.92</v>
      </c>
      <c r="E241" s="67">
        <v>44161</v>
      </c>
      <c r="F241" s="64">
        <v>0</v>
      </c>
      <c r="G241" s="67">
        <v>44165</v>
      </c>
      <c r="H241" s="64">
        <v>0</v>
      </c>
      <c r="I241" s="67">
        <v>44193</v>
      </c>
      <c r="J241" s="64">
        <f t="shared" si="254"/>
        <v>0</v>
      </c>
      <c r="K241" s="67">
        <v>44172</v>
      </c>
      <c r="L241" s="64">
        <f t="shared" si="255"/>
        <v>0</v>
      </c>
      <c r="M241" s="64">
        <f t="shared" si="256"/>
        <v>0</v>
      </c>
      <c r="N241" s="67">
        <f t="shared" si="260"/>
        <v>44194</v>
      </c>
      <c r="O241" s="64">
        <f t="shared" si="257"/>
        <v>1</v>
      </c>
      <c r="P241" s="64">
        <f t="shared" si="258"/>
        <v>0</v>
      </c>
      <c r="Q241" s="91" t="str">
        <f t="shared" si="250"/>
        <v>Selesai</v>
      </c>
      <c r="R241" s="64">
        <f t="shared" si="259"/>
        <v>0</v>
      </c>
      <c r="S241" s="67">
        <v>44201</v>
      </c>
      <c r="T241" s="67">
        <v>44222</v>
      </c>
      <c r="U241" s="64">
        <f t="shared" si="251"/>
        <v>1</v>
      </c>
      <c r="V241" s="64"/>
      <c r="W241" s="64"/>
      <c r="X241" s="93"/>
      <c r="Y241" s="94"/>
      <c r="Z241" s="91" t="str">
        <f t="shared" si="252"/>
        <v>100%</v>
      </c>
      <c r="AA241" s="67"/>
      <c r="AB241" s="473"/>
      <c r="AC241" s="478" t="s">
        <v>2711</v>
      </c>
      <c r="AD241" s="67"/>
    </row>
    <row r="242" spans="2:30">
      <c r="B242" s="64" t="s">
        <v>113</v>
      </c>
      <c r="C242" s="65" t="s">
        <v>317</v>
      </c>
      <c r="D242" s="66">
        <v>5.84</v>
      </c>
      <c r="E242" s="67">
        <v>44162</v>
      </c>
      <c r="F242" s="64">
        <v>0</v>
      </c>
      <c r="G242" s="67">
        <v>44163</v>
      </c>
      <c r="H242" s="64">
        <v>0</v>
      </c>
      <c r="I242" s="67">
        <v>44188</v>
      </c>
      <c r="J242" s="64">
        <f t="shared" si="254"/>
        <v>0</v>
      </c>
      <c r="K242" s="67">
        <v>44173</v>
      </c>
      <c r="L242" s="64">
        <f t="shared" si="255"/>
        <v>0</v>
      </c>
      <c r="M242" s="64">
        <f t="shared" si="256"/>
        <v>0</v>
      </c>
      <c r="N242" s="67">
        <f t="shared" si="260"/>
        <v>44189</v>
      </c>
      <c r="O242" s="64">
        <f t="shared" si="257"/>
        <v>1</v>
      </c>
      <c r="P242" s="64">
        <f t="shared" si="258"/>
        <v>0</v>
      </c>
      <c r="Q242" s="91" t="str">
        <f t="shared" si="250"/>
        <v>Selesai</v>
      </c>
      <c r="R242" s="64">
        <f t="shared" si="259"/>
        <v>0</v>
      </c>
      <c r="S242" s="67">
        <v>44212</v>
      </c>
      <c r="T242" s="67">
        <v>44227</v>
      </c>
      <c r="U242" s="64">
        <f t="shared" si="251"/>
        <v>1</v>
      </c>
      <c r="V242" s="64"/>
      <c r="W242" s="64"/>
      <c r="X242" s="93"/>
      <c r="Y242" s="94"/>
      <c r="Z242" s="91" t="str">
        <f t="shared" si="252"/>
        <v>100%</v>
      </c>
      <c r="AA242" s="67"/>
      <c r="AB242" s="473"/>
      <c r="AC242" s="478" t="s">
        <v>2711</v>
      </c>
      <c r="AD242" s="67"/>
    </row>
    <row r="243" spans="2:30">
      <c r="B243" s="64" t="s">
        <v>113</v>
      </c>
      <c r="C243" s="65" t="s">
        <v>318</v>
      </c>
      <c r="D243" s="66">
        <v>11.17</v>
      </c>
      <c r="E243" s="67">
        <v>44173</v>
      </c>
      <c r="F243" s="64">
        <v>0</v>
      </c>
      <c r="G243" s="67">
        <v>44175</v>
      </c>
      <c r="H243" s="64">
        <v>0</v>
      </c>
      <c r="I243" s="67">
        <v>44201</v>
      </c>
      <c r="J243" s="64">
        <f t="shared" si="254"/>
        <v>0</v>
      </c>
      <c r="K243" s="67">
        <v>44183</v>
      </c>
      <c r="L243" s="64">
        <f t="shared" si="255"/>
        <v>0</v>
      </c>
      <c r="M243" s="64">
        <f t="shared" si="256"/>
        <v>0</v>
      </c>
      <c r="N243" s="67">
        <v>44189</v>
      </c>
      <c r="O243" s="64">
        <f t="shared" si="257"/>
        <v>1</v>
      </c>
      <c r="P243" s="64">
        <f t="shared" si="258"/>
        <v>0</v>
      </c>
      <c r="Q243" s="91" t="str">
        <f t="shared" si="250"/>
        <v>Selesai</v>
      </c>
      <c r="R243" s="64">
        <f t="shared" si="259"/>
        <v>0</v>
      </c>
      <c r="S243" s="67">
        <v>44216</v>
      </c>
      <c r="T243" s="67">
        <v>44229</v>
      </c>
      <c r="U243" s="64">
        <f t="shared" si="251"/>
        <v>1</v>
      </c>
      <c r="V243" s="64"/>
      <c r="W243" s="64"/>
      <c r="X243" s="93"/>
      <c r="Y243" s="94"/>
      <c r="Z243" s="91" t="str">
        <f t="shared" si="252"/>
        <v>100%</v>
      </c>
      <c r="AA243" s="67"/>
      <c r="AB243" s="473"/>
      <c r="AC243" s="478" t="s">
        <v>2711</v>
      </c>
      <c r="AD243" s="67"/>
    </row>
    <row r="244" spans="2:30">
      <c r="B244" s="64" t="s">
        <v>107</v>
      </c>
      <c r="C244" s="65" t="s">
        <v>154</v>
      </c>
      <c r="D244" s="66">
        <v>3.3</v>
      </c>
      <c r="E244" s="67">
        <v>44166</v>
      </c>
      <c r="F244" s="64">
        <v>0</v>
      </c>
      <c r="G244" s="67">
        <v>44167</v>
      </c>
      <c r="H244" s="64">
        <v>0</v>
      </c>
      <c r="I244" s="67">
        <v>44208</v>
      </c>
      <c r="J244" s="64">
        <f t="shared" si="254"/>
        <v>0</v>
      </c>
      <c r="K244" s="67">
        <v>44172</v>
      </c>
      <c r="L244" s="64">
        <f t="shared" si="255"/>
        <v>0</v>
      </c>
      <c r="M244" s="64">
        <f t="shared" si="256"/>
        <v>0</v>
      </c>
      <c r="N244" s="67">
        <f>IF(AND(I244&gt;0,K244&gt;0),MAX(I244:K244)+1,"")</f>
        <v>44209</v>
      </c>
      <c r="O244" s="64">
        <f t="shared" si="257"/>
        <v>1</v>
      </c>
      <c r="P244" s="64">
        <f t="shared" si="258"/>
        <v>0</v>
      </c>
      <c r="Q244" s="91" t="str">
        <f t="shared" si="250"/>
        <v>Selesai</v>
      </c>
      <c r="R244" s="64">
        <f t="shared" si="259"/>
        <v>0</v>
      </c>
      <c r="S244" s="67">
        <v>44209</v>
      </c>
      <c r="T244" s="67">
        <v>44231</v>
      </c>
      <c r="U244" s="64">
        <f t="shared" si="251"/>
        <v>1</v>
      </c>
      <c r="V244" s="64"/>
      <c r="W244" s="64"/>
      <c r="X244" s="93"/>
      <c r="Y244" s="94"/>
      <c r="Z244" s="91" t="str">
        <f t="shared" si="252"/>
        <v>100%</v>
      </c>
      <c r="AA244" s="67"/>
      <c r="AB244" s="473"/>
      <c r="AC244" s="478" t="s">
        <v>2711</v>
      </c>
      <c r="AD244" s="67"/>
    </row>
    <row r="245" spans="2:30">
      <c r="B245" s="64" t="s">
        <v>105</v>
      </c>
      <c r="C245" s="65" t="s">
        <v>136</v>
      </c>
      <c r="D245" s="66">
        <v>10.52</v>
      </c>
      <c r="E245" s="67">
        <v>44157</v>
      </c>
      <c r="F245" s="64">
        <f>IF(E245&gt;0,1,0)</f>
        <v>1</v>
      </c>
      <c r="G245" s="67">
        <v>44161</v>
      </c>
      <c r="H245" s="64">
        <f>IF(G245&gt;0,1,0)</f>
        <v>1</v>
      </c>
      <c r="I245" s="67">
        <v>44185</v>
      </c>
      <c r="J245" s="64">
        <f t="shared" si="254"/>
        <v>0</v>
      </c>
      <c r="K245" s="67">
        <v>44166</v>
      </c>
      <c r="L245" s="64">
        <f t="shared" si="255"/>
        <v>0</v>
      </c>
      <c r="M245" s="64">
        <f t="shared" si="256"/>
        <v>0</v>
      </c>
      <c r="N245" s="67">
        <f>IF(AND(I245&gt;0,K245&gt;0),MAX(I245:K245)+1,"")</f>
        <v>44186</v>
      </c>
      <c r="O245" s="64">
        <f t="shared" si="257"/>
        <v>1</v>
      </c>
      <c r="P245" s="64">
        <f t="shared" si="258"/>
        <v>0</v>
      </c>
      <c r="Q245" s="91" t="str">
        <f t="shared" si="250"/>
        <v>Selesai</v>
      </c>
      <c r="R245" s="64">
        <f t="shared" si="259"/>
        <v>0</v>
      </c>
      <c r="S245" s="67">
        <v>44176</v>
      </c>
      <c r="T245" s="67">
        <v>44235</v>
      </c>
      <c r="U245" s="64">
        <f t="shared" si="251"/>
        <v>1</v>
      </c>
      <c r="V245" s="64"/>
      <c r="W245" s="64"/>
      <c r="X245" s="93"/>
      <c r="Y245" s="94"/>
      <c r="Z245" s="91" t="str">
        <f t="shared" si="252"/>
        <v>100%</v>
      </c>
      <c r="AA245" s="67"/>
      <c r="AB245" s="473"/>
      <c r="AC245" s="478" t="s">
        <v>2711</v>
      </c>
      <c r="AD245" s="67"/>
    </row>
    <row r="246" spans="2:30">
      <c r="B246" s="64" t="s">
        <v>107</v>
      </c>
      <c r="C246" s="65" t="s">
        <v>319</v>
      </c>
      <c r="D246" s="66">
        <v>13.58</v>
      </c>
      <c r="E246" s="67">
        <v>44140</v>
      </c>
      <c r="F246" s="64">
        <f>IF(E246&gt;0,1,0)</f>
        <v>1</v>
      </c>
      <c r="G246" s="67">
        <v>44141</v>
      </c>
      <c r="H246" s="64">
        <f>IF(G246&gt;0,1,0)</f>
        <v>1</v>
      </c>
      <c r="I246" s="67">
        <v>44166</v>
      </c>
      <c r="J246" s="64">
        <f t="shared" si="254"/>
        <v>0</v>
      </c>
      <c r="K246" s="67">
        <v>44164</v>
      </c>
      <c r="L246" s="64">
        <f t="shared" si="255"/>
        <v>0</v>
      </c>
      <c r="M246" s="64">
        <f t="shared" si="256"/>
        <v>0</v>
      </c>
      <c r="N246" s="67">
        <f>IF(AND(I246&gt;0,K246&gt;0),MAX(I246:K246)+1,"")</f>
        <v>44167</v>
      </c>
      <c r="O246" s="64">
        <f t="shared" si="257"/>
        <v>1</v>
      </c>
      <c r="P246" s="64">
        <f t="shared" si="258"/>
        <v>0</v>
      </c>
      <c r="Q246" s="91" t="str">
        <f t="shared" si="250"/>
        <v>Selesai</v>
      </c>
      <c r="R246" s="64">
        <f t="shared" si="259"/>
        <v>0</v>
      </c>
      <c r="S246" s="67">
        <v>44209</v>
      </c>
      <c r="T246" s="67">
        <v>44236</v>
      </c>
      <c r="U246" s="64">
        <f t="shared" si="251"/>
        <v>1</v>
      </c>
      <c r="V246" s="64"/>
      <c r="W246" s="64"/>
      <c r="X246" s="93"/>
      <c r="Y246" s="94"/>
      <c r="Z246" s="91" t="str">
        <f t="shared" si="252"/>
        <v>100%</v>
      </c>
      <c r="AA246" s="67"/>
      <c r="AB246" s="473"/>
      <c r="AC246" s="478" t="s">
        <v>2711</v>
      </c>
      <c r="AD246" s="67"/>
    </row>
    <row r="247" spans="2:30">
      <c r="B247" s="64" t="s">
        <v>113</v>
      </c>
      <c r="C247" s="65" t="s">
        <v>320</v>
      </c>
      <c r="D247" s="66">
        <v>9.0299999999999994</v>
      </c>
      <c r="E247" s="67">
        <v>44162</v>
      </c>
      <c r="F247" s="64">
        <v>0</v>
      </c>
      <c r="G247" s="67">
        <v>44163</v>
      </c>
      <c r="H247" s="64">
        <v>0</v>
      </c>
      <c r="I247" s="67">
        <v>44188</v>
      </c>
      <c r="J247" s="64">
        <f t="shared" si="254"/>
        <v>0</v>
      </c>
      <c r="K247" s="67">
        <v>44173</v>
      </c>
      <c r="L247" s="64">
        <f t="shared" si="255"/>
        <v>0</v>
      </c>
      <c r="M247" s="64">
        <f t="shared" si="256"/>
        <v>0</v>
      </c>
      <c r="N247" s="67">
        <f>IF(AND(I247&gt;0,K247&gt;0),MAX(I247:K247)+1,"")</f>
        <v>44189</v>
      </c>
      <c r="O247" s="64">
        <f t="shared" si="257"/>
        <v>1</v>
      </c>
      <c r="P247" s="64">
        <f t="shared" si="258"/>
        <v>0</v>
      </c>
      <c r="Q247" s="91" t="str">
        <f t="shared" si="250"/>
        <v>Selesai</v>
      </c>
      <c r="R247" s="64">
        <f t="shared" si="259"/>
        <v>0</v>
      </c>
      <c r="S247" s="67">
        <v>44216</v>
      </c>
      <c r="T247" s="67">
        <v>44237</v>
      </c>
      <c r="U247" s="64">
        <f t="shared" si="251"/>
        <v>1</v>
      </c>
      <c r="V247" s="64"/>
      <c r="W247" s="64"/>
      <c r="X247" s="93"/>
      <c r="Y247" s="94"/>
      <c r="Z247" s="91" t="str">
        <f t="shared" si="252"/>
        <v>100%</v>
      </c>
      <c r="AA247" s="67"/>
      <c r="AB247" s="473"/>
      <c r="AC247" s="478" t="s">
        <v>2711</v>
      </c>
      <c r="AD247" s="67"/>
    </row>
    <row r="248" spans="2:30">
      <c r="B248" s="64" t="s">
        <v>107</v>
      </c>
      <c r="C248" s="65" t="s">
        <v>321</v>
      </c>
      <c r="D248" s="66">
        <v>12.53</v>
      </c>
      <c r="E248" s="67">
        <v>44142</v>
      </c>
      <c r="F248" s="64">
        <f>IF(E248&gt;0,1,0)</f>
        <v>1</v>
      </c>
      <c r="G248" s="67">
        <v>44143</v>
      </c>
      <c r="H248" s="64">
        <f>IF(G248&gt;0,1,0)</f>
        <v>1</v>
      </c>
      <c r="I248" s="67">
        <v>44186</v>
      </c>
      <c r="J248" s="64">
        <f t="shared" si="254"/>
        <v>0</v>
      </c>
      <c r="K248" s="67">
        <v>44156</v>
      </c>
      <c r="L248" s="64">
        <f t="shared" si="255"/>
        <v>0</v>
      </c>
      <c r="M248" s="64">
        <f t="shared" si="256"/>
        <v>0</v>
      </c>
      <c r="N248" s="67">
        <f>IF(AND(I248&gt;0,K248&gt;0),MAX(I248:K248)+1,"")</f>
        <v>44187</v>
      </c>
      <c r="O248" s="64">
        <f t="shared" si="257"/>
        <v>1</v>
      </c>
      <c r="P248" s="64">
        <f t="shared" si="258"/>
        <v>0</v>
      </c>
      <c r="Q248" s="91" t="str">
        <f t="shared" si="250"/>
        <v>Selesai</v>
      </c>
      <c r="R248" s="64">
        <f t="shared" si="259"/>
        <v>0</v>
      </c>
      <c r="S248" s="67">
        <v>44200</v>
      </c>
      <c r="T248" s="67">
        <v>44237</v>
      </c>
      <c r="U248" s="64">
        <f t="shared" si="251"/>
        <v>1</v>
      </c>
      <c r="V248" s="64"/>
      <c r="W248" s="64"/>
      <c r="X248" s="93"/>
      <c r="Y248" s="94"/>
      <c r="Z248" s="91" t="str">
        <f t="shared" si="252"/>
        <v>100%</v>
      </c>
      <c r="AA248" s="67"/>
      <c r="AB248" s="473"/>
      <c r="AC248" s="478" t="s">
        <v>2711</v>
      </c>
      <c r="AD248" s="67"/>
    </row>
    <row r="249" spans="2:30">
      <c r="B249" s="64" t="s">
        <v>113</v>
      </c>
      <c r="C249" s="65" t="s">
        <v>322</v>
      </c>
      <c r="D249" s="66">
        <v>5.58</v>
      </c>
      <c r="E249" s="67">
        <v>44161</v>
      </c>
      <c r="F249" s="64">
        <v>0</v>
      </c>
      <c r="G249" s="67">
        <v>44162</v>
      </c>
      <c r="H249" s="64">
        <v>0</v>
      </c>
      <c r="I249" s="67">
        <v>44172</v>
      </c>
      <c r="J249" s="64">
        <f t="shared" si="254"/>
        <v>0</v>
      </c>
      <c r="K249" s="67">
        <v>44173</v>
      </c>
      <c r="L249" s="64">
        <f t="shared" si="255"/>
        <v>0</v>
      </c>
      <c r="M249" s="64">
        <f t="shared" si="256"/>
        <v>0</v>
      </c>
      <c r="N249" s="67">
        <v>44189</v>
      </c>
      <c r="O249" s="64">
        <f t="shared" si="257"/>
        <v>1</v>
      </c>
      <c r="P249" s="64">
        <f t="shared" si="258"/>
        <v>0</v>
      </c>
      <c r="Q249" s="91" t="str">
        <f t="shared" si="250"/>
        <v>Selesai</v>
      </c>
      <c r="R249" s="64">
        <f t="shared" si="259"/>
        <v>0</v>
      </c>
      <c r="S249" s="67">
        <v>44212</v>
      </c>
      <c r="T249" s="67">
        <v>44237</v>
      </c>
      <c r="U249" s="64">
        <f t="shared" si="251"/>
        <v>1</v>
      </c>
      <c r="V249" s="64"/>
      <c r="W249" s="64"/>
      <c r="X249" s="93"/>
      <c r="Y249" s="94"/>
      <c r="Z249" s="91" t="str">
        <f t="shared" si="252"/>
        <v>100%</v>
      </c>
      <c r="AA249" s="67"/>
      <c r="AB249" s="473"/>
      <c r="AC249" s="478" t="s">
        <v>2711</v>
      </c>
      <c r="AD249" s="67"/>
    </row>
    <row r="250" spans="2:30">
      <c r="B250" s="64" t="s">
        <v>105</v>
      </c>
      <c r="C250" s="65" t="s">
        <v>323</v>
      </c>
      <c r="D250" s="66">
        <v>6.14</v>
      </c>
      <c r="E250" s="67">
        <v>44208</v>
      </c>
      <c r="F250" s="64">
        <f>IF(E250&gt;0,1,0)</f>
        <v>1</v>
      </c>
      <c r="G250" s="67">
        <v>44211</v>
      </c>
      <c r="H250" s="64">
        <f>IF(G250&gt;0,1,0)</f>
        <v>1</v>
      </c>
      <c r="I250" s="67">
        <v>44218</v>
      </c>
      <c r="J250" s="64">
        <f t="shared" si="254"/>
        <v>0</v>
      </c>
      <c r="K250" s="67">
        <v>44211</v>
      </c>
      <c r="L250" s="64">
        <f t="shared" si="255"/>
        <v>0</v>
      </c>
      <c r="M250" s="64">
        <f t="shared" si="256"/>
        <v>0</v>
      </c>
      <c r="N250" s="67">
        <f t="shared" ref="N250:N255" si="262">IF(AND(I250&gt;0,K250&gt;0),MAX(I250:K250)+1,"")</f>
        <v>44219</v>
      </c>
      <c r="O250" s="64">
        <f t="shared" si="257"/>
        <v>1</v>
      </c>
      <c r="P250" s="64">
        <f t="shared" si="258"/>
        <v>0</v>
      </c>
      <c r="Q250" s="91" t="str">
        <f t="shared" si="250"/>
        <v>Selesai</v>
      </c>
      <c r="R250" s="64">
        <f t="shared" si="259"/>
        <v>0</v>
      </c>
      <c r="S250" s="67">
        <v>44218</v>
      </c>
      <c r="T250" s="67">
        <v>44237</v>
      </c>
      <c r="U250" s="64">
        <f t="shared" si="251"/>
        <v>1</v>
      </c>
      <c r="V250" s="64"/>
      <c r="W250" s="64"/>
      <c r="X250" s="93"/>
      <c r="Y250" s="94"/>
      <c r="Z250" s="91" t="str">
        <f t="shared" si="252"/>
        <v>100%</v>
      </c>
      <c r="AA250" s="67"/>
      <c r="AB250" s="473"/>
      <c r="AC250" s="478" t="s">
        <v>2711</v>
      </c>
      <c r="AD250" s="67"/>
    </row>
    <row r="251" spans="2:30">
      <c r="B251" s="64" t="s">
        <v>113</v>
      </c>
      <c r="C251" s="65" t="s">
        <v>134</v>
      </c>
      <c r="D251" s="66">
        <v>4.09</v>
      </c>
      <c r="E251" s="67">
        <v>44163</v>
      </c>
      <c r="F251" s="64">
        <f>IF(E251&gt;0,1,0)</f>
        <v>1</v>
      </c>
      <c r="G251" s="67">
        <v>44164</v>
      </c>
      <c r="H251" s="64">
        <f>IF(G251&gt;0,1,0)</f>
        <v>1</v>
      </c>
      <c r="I251" s="67">
        <v>44172</v>
      </c>
      <c r="J251" s="64">
        <f t="shared" si="254"/>
        <v>0</v>
      </c>
      <c r="K251" s="67">
        <v>44173</v>
      </c>
      <c r="L251" s="64">
        <f t="shared" si="255"/>
        <v>0</v>
      </c>
      <c r="M251" s="64">
        <f t="shared" si="256"/>
        <v>0</v>
      </c>
      <c r="N251" s="67">
        <f t="shared" si="262"/>
        <v>44174</v>
      </c>
      <c r="O251" s="64">
        <f t="shared" si="257"/>
        <v>1</v>
      </c>
      <c r="P251" s="64">
        <f t="shared" si="258"/>
        <v>0</v>
      </c>
      <c r="Q251" s="91" t="str">
        <f t="shared" si="250"/>
        <v>Selesai</v>
      </c>
      <c r="R251" s="64">
        <f t="shared" si="259"/>
        <v>0</v>
      </c>
      <c r="S251" s="67">
        <v>44195</v>
      </c>
      <c r="T251" s="67">
        <v>44238</v>
      </c>
      <c r="U251" s="64">
        <f t="shared" si="251"/>
        <v>1</v>
      </c>
      <c r="V251" s="64"/>
      <c r="W251" s="64"/>
      <c r="X251" s="93"/>
      <c r="Y251" s="94"/>
      <c r="Z251" s="91" t="str">
        <f t="shared" si="252"/>
        <v>100%</v>
      </c>
      <c r="AA251" s="67"/>
      <c r="AB251" s="473"/>
      <c r="AC251" s="478" t="s">
        <v>2711</v>
      </c>
      <c r="AD251" s="67"/>
    </row>
    <row r="252" spans="2:30">
      <c r="B252" s="64" t="s">
        <v>105</v>
      </c>
      <c r="C252" s="65" t="s">
        <v>324</v>
      </c>
      <c r="D252" s="66">
        <v>10.16</v>
      </c>
      <c r="E252" s="67">
        <v>44208</v>
      </c>
      <c r="F252" s="64">
        <v>0</v>
      </c>
      <c r="G252" s="67">
        <v>44211</v>
      </c>
      <c r="H252" s="64">
        <v>0</v>
      </c>
      <c r="I252" s="67">
        <v>44229</v>
      </c>
      <c r="J252" s="64">
        <f t="shared" si="254"/>
        <v>0</v>
      </c>
      <c r="K252" s="67">
        <v>44211</v>
      </c>
      <c r="L252" s="64">
        <f t="shared" si="255"/>
        <v>0</v>
      </c>
      <c r="M252" s="64">
        <f t="shared" si="256"/>
        <v>0</v>
      </c>
      <c r="N252" s="67">
        <f t="shared" si="262"/>
        <v>44230</v>
      </c>
      <c r="O252" s="64">
        <f t="shared" si="257"/>
        <v>1</v>
      </c>
      <c r="P252" s="64">
        <f t="shared" si="258"/>
        <v>0</v>
      </c>
      <c r="Q252" s="91" t="str">
        <f t="shared" si="250"/>
        <v>Selesai</v>
      </c>
      <c r="R252" s="64">
        <f t="shared" si="259"/>
        <v>0</v>
      </c>
      <c r="S252" s="67">
        <v>44222</v>
      </c>
      <c r="T252" s="67">
        <v>44238</v>
      </c>
      <c r="U252" s="64">
        <f t="shared" si="251"/>
        <v>1</v>
      </c>
      <c r="V252" s="64"/>
      <c r="W252" s="64"/>
      <c r="X252" s="93"/>
      <c r="Y252" s="94"/>
      <c r="Z252" s="91" t="str">
        <f t="shared" si="252"/>
        <v>100%</v>
      </c>
      <c r="AA252" s="67"/>
      <c r="AB252" s="473"/>
      <c r="AC252" s="478" t="s">
        <v>2711</v>
      </c>
      <c r="AD252" s="67"/>
    </row>
    <row r="253" spans="2:30">
      <c r="B253" s="64" t="s">
        <v>107</v>
      </c>
      <c r="C253" s="65" t="s">
        <v>325</v>
      </c>
      <c r="D253" s="66">
        <v>5.86</v>
      </c>
      <c r="E253" s="67">
        <v>44173</v>
      </c>
      <c r="F253" s="64">
        <v>0</v>
      </c>
      <c r="G253" s="67">
        <v>44175</v>
      </c>
      <c r="H253" s="64">
        <v>0</v>
      </c>
      <c r="I253" s="67">
        <v>44223</v>
      </c>
      <c r="J253" s="64">
        <f t="shared" si="254"/>
        <v>0</v>
      </c>
      <c r="K253" s="67">
        <v>44210</v>
      </c>
      <c r="L253" s="64">
        <f t="shared" si="255"/>
        <v>0</v>
      </c>
      <c r="M253" s="64">
        <f t="shared" si="256"/>
        <v>0</v>
      </c>
      <c r="N253" s="67">
        <f t="shared" si="262"/>
        <v>44224</v>
      </c>
      <c r="O253" s="64">
        <f t="shared" si="257"/>
        <v>1</v>
      </c>
      <c r="P253" s="64">
        <f t="shared" si="258"/>
        <v>0</v>
      </c>
      <c r="Q253" s="91" t="str">
        <f t="shared" si="250"/>
        <v>Selesai</v>
      </c>
      <c r="R253" s="64">
        <f t="shared" si="259"/>
        <v>0</v>
      </c>
      <c r="S253" s="67">
        <v>44227</v>
      </c>
      <c r="T253" s="67">
        <v>44240</v>
      </c>
      <c r="U253" s="64">
        <f t="shared" si="251"/>
        <v>1</v>
      </c>
      <c r="V253" s="64"/>
      <c r="W253" s="64"/>
      <c r="X253" s="93"/>
      <c r="Y253" s="94"/>
      <c r="Z253" s="91" t="str">
        <f t="shared" si="252"/>
        <v>100%</v>
      </c>
      <c r="AA253" s="67"/>
      <c r="AB253" s="473"/>
      <c r="AC253" s="478" t="s">
        <v>2711</v>
      </c>
      <c r="AD253" s="67"/>
    </row>
    <row r="254" spans="2:30">
      <c r="B254" s="64" t="s">
        <v>107</v>
      </c>
      <c r="C254" s="65" t="s">
        <v>326</v>
      </c>
      <c r="D254" s="66">
        <v>5.46</v>
      </c>
      <c r="E254" s="67">
        <v>44172</v>
      </c>
      <c r="F254" s="64">
        <v>0</v>
      </c>
      <c r="G254" s="67">
        <v>44173</v>
      </c>
      <c r="H254" s="64">
        <v>0</v>
      </c>
      <c r="I254" s="67">
        <v>44213</v>
      </c>
      <c r="J254" s="64">
        <f t="shared" si="254"/>
        <v>0</v>
      </c>
      <c r="K254" s="67">
        <v>44179</v>
      </c>
      <c r="L254" s="64">
        <f t="shared" si="255"/>
        <v>0</v>
      </c>
      <c r="M254" s="64">
        <f t="shared" si="256"/>
        <v>0</v>
      </c>
      <c r="N254" s="67">
        <f t="shared" si="262"/>
        <v>44214</v>
      </c>
      <c r="O254" s="64">
        <f t="shared" si="257"/>
        <v>1</v>
      </c>
      <c r="P254" s="64">
        <f t="shared" si="258"/>
        <v>0</v>
      </c>
      <c r="Q254" s="91" t="str">
        <f t="shared" si="250"/>
        <v>Selesai</v>
      </c>
      <c r="R254" s="64">
        <f t="shared" si="259"/>
        <v>0</v>
      </c>
      <c r="S254" s="67">
        <v>44222</v>
      </c>
      <c r="T254" s="67">
        <v>44242</v>
      </c>
      <c r="U254" s="64">
        <f t="shared" si="251"/>
        <v>1</v>
      </c>
      <c r="V254" s="64"/>
      <c r="W254" s="64"/>
      <c r="X254" s="93"/>
      <c r="Y254" s="94"/>
      <c r="Z254" s="91" t="str">
        <f t="shared" si="252"/>
        <v>100%</v>
      </c>
      <c r="AA254" s="67"/>
      <c r="AB254" s="473"/>
      <c r="AC254" s="478" t="s">
        <v>2711</v>
      </c>
      <c r="AD254" s="67"/>
    </row>
    <row r="255" spans="2:30">
      <c r="B255" s="64" t="s">
        <v>107</v>
      </c>
      <c r="C255" s="65" t="s">
        <v>327</v>
      </c>
      <c r="D255" s="66">
        <v>6.66</v>
      </c>
      <c r="E255" s="67">
        <v>44172</v>
      </c>
      <c r="F255" s="64">
        <v>0</v>
      </c>
      <c r="G255" s="67">
        <v>44173</v>
      </c>
      <c r="H255" s="64">
        <v>0</v>
      </c>
      <c r="I255" s="67">
        <v>44213</v>
      </c>
      <c r="J255" s="64">
        <f t="shared" si="254"/>
        <v>0</v>
      </c>
      <c r="K255" s="67">
        <v>44179</v>
      </c>
      <c r="L255" s="64">
        <f t="shared" si="255"/>
        <v>0</v>
      </c>
      <c r="M255" s="64">
        <f t="shared" si="256"/>
        <v>0</v>
      </c>
      <c r="N255" s="67">
        <f t="shared" si="262"/>
        <v>44214</v>
      </c>
      <c r="O255" s="64">
        <f t="shared" si="257"/>
        <v>1</v>
      </c>
      <c r="P255" s="64">
        <f t="shared" si="258"/>
        <v>0</v>
      </c>
      <c r="Q255" s="91" t="str">
        <f t="shared" si="250"/>
        <v>Selesai</v>
      </c>
      <c r="R255" s="64">
        <f t="shared" si="259"/>
        <v>0</v>
      </c>
      <c r="S255" s="67">
        <v>44222</v>
      </c>
      <c r="T255" s="67">
        <v>44243</v>
      </c>
      <c r="U255" s="64">
        <f t="shared" si="251"/>
        <v>1</v>
      </c>
      <c r="V255" s="64"/>
      <c r="W255" s="64"/>
      <c r="X255" s="93"/>
      <c r="Y255" s="94"/>
      <c r="Z255" s="91" t="str">
        <f t="shared" si="252"/>
        <v>100%</v>
      </c>
      <c r="AA255" s="67"/>
      <c r="AB255" s="473"/>
      <c r="AC255" s="478" t="s">
        <v>2711</v>
      </c>
      <c r="AD255" s="67"/>
    </row>
    <row r="256" spans="2:30">
      <c r="B256" s="64" t="s">
        <v>107</v>
      </c>
      <c r="C256" s="65" t="s">
        <v>155</v>
      </c>
      <c r="D256" s="66">
        <v>9.9600000000000009</v>
      </c>
      <c r="E256" s="67">
        <v>44151</v>
      </c>
      <c r="F256" s="64">
        <v>1</v>
      </c>
      <c r="G256" s="67">
        <v>44167</v>
      </c>
      <c r="H256" s="64">
        <v>0</v>
      </c>
      <c r="I256" s="67">
        <v>44210</v>
      </c>
      <c r="J256" s="64">
        <f t="shared" si="254"/>
        <v>0</v>
      </c>
      <c r="K256" s="67">
        <v>44172</v>
      </c>
      <c r="L256" s="64">
        <f t="shared" si="255"/>
        <v>0</v>
      </c>
      <c r="M256" s="64">
        <f t="shared" si="256"/>
        <v>0</v>
      </c>
      <c r="N256" s="67">
        <v>44211</v>
      </c>
      <c r="O256" s="64">
        <f t="shared" si="257"/>
        <v>1</v>
      </c>
      <c r="P256" s="64">
        <f t="shared" si="258"/>
        <v>0</v>
      </c>
      <c r="Q256" s="91" t="str">
        <f t="shared" si="250"/>
        <v>Selesai</v>
      </c>
      <c r="R256" s="64">
        <f t="shared" si="259"/>
        <v>0</v>
      </c>
      <c r="S256" s="67">
        <v>44211</v>
      </c>
      <c r="T256" s="67">
        <v>44243</v>
      </c>
      <c r="U256" s="64">
        <f t="shared" si="251"/>
        <v>1</v>
      </c>
      <c r="V256" s="64"/>
      <c r="W256" s="64"/>
      <c r="X256" s="93"/>
      <c r="Y256" s="94"/>
      <c r="Z256" s="91" t="str">
        <f t="shared" si="252"/>
        <v>100%</v>
      </c>
      <c r="AA256" s="67"/>
      <c r="AB256" s="473"/>
      <c r="AC256" s="478" t="s">
        <v>2711</v>
      </c>
      <c r="AD256" s="67"/>
    </row>
    <row r="257" spans="2:30">
      <c r="B257" s="64" t="s">
        <v>107</v>
      </c>
      <c r="C257" s="65" t="s">
        <v>328</v>
      </c>
      <c r="D257" s="66">
        <v>8.7899999999999991</v>
      </c>
      <c r="E257" s="67">
        <v>44217</v>
      </c>
      <c r="F257" s="64">
        <v>0</v>
      </c>
      <c r="G257" s="67">
        <v>44218</v>
      </c>
      <c r="H257" s="64">
        <v>0</v>
      </c>
      <c r="I257" s="67">
        <v>44232</v>
      </c>
      <c r="J257" s="64">
        <f t="shared" si="254"/>
        <v>0</v>
      </c>
      <c r="K257" s="67">
        <v>44221</v>
      </c>
      <c r="L257" s="64">
        <f t="shared" si="255"/>
        <v>0</v>
      </c>
      <c r="M257" s="64">
        <f t="shared" si="256"/>
        <v>0</v>
      </c>
      <c r="N257" s="67">
        <f t="shared" ref="N257:N288" si="263">IF(AND(I257&gt;0,K257&gt;0),MAX(I257:K257)+1,"")</f>
        <v>44233</v>
      </c>
      <c r="O257" s="64">
        <f t="shared" si="257"/>
        <v>1</v>
      </c>
      <c r="P257" s="64">
        <f t="shared" si="258"/>
        <v>0</v>
      </c>
      <c r="Q257" s="91" t="str">
        <f t="shared" si="250"/>
        <v>Selesai</v>
      </c>
      <c r="R257" s="64">
        <f t="shared" si="259"/>
        <v>0</v>
      </c>
      <c r="S257" s="67">
        <v>44234</v>
      </c>
      <c r="T257" s="67">
        <v>44243</v>
      </c>
      <c r="U257" s="64">
        <f t="shared" si="251"/>
        <v>1</v>
      </c>
      <c r="V257" s="64"/>
      <c r="W257" s="64"/>
      <c r="X257" s="93"/>
      <c r="Y257" s="94"/>
      <c r="Z257" s="91" t="str">
        <f t="shared" si="252"/>
        <v>100%</v>
      </c>
      <c r="AA257" s="67"/>
      <c r="AB257" s="473"/>
      <c r="AC257" s="478" t="s">
        <v>2711</v>
      </c>
      <c r="AD257" s="67"/>
    </row>
    <row r="258" spans="2:30">
      <c r="B258" s="64" t="s">
        <v>107</v>
      </c>
      <c r="C258" s="65" t="s">
        <v>329</v>
      </c>
      <c r="D258" s="66">
        <v>6.68</v>
      </c>
      <c r="E258" s="67">
        <v>44175</v>
      </c>
      <c r="F258" s="64">
        <f>IF(E258&gt;0,1,0)</f>
        <v>1</v>
      </c>
      <c r="G258" s="67">
        <v>44176</v>
      </c>
      <c r="H258" s="64">
        <v>0</v>
      </c>
      <c r="I258" s="67">
        <v>44216</v>
      </c>
      <c r="J258" s="64">
        <f t="shared" si="254"/>
        <v>0</v>
      </c>
      <c r="K258" s="67">
        <v>44189</v>
      </c>
      <c r="L258" s="64">
        <f t="shared" si="255"/>
        <v>0</v>
      </c>
      <c r="M258" s="64">
        <f t="shared" si="256"/>
        <v>0</v>
      </c>
      <c r="N258" s="67">
        <f t="shared" si="263"/>
        <v>44217</v>
      </c>
      <c r="O258" s="64">
        <f t="shared" si="257"/>
        <v>1</v>
      </c>
      <c r="P258" s="64">
        <f t="shared" si="258"/>
        <v>0</v>
      </c>
      <c r="Q258" s="91" t="str">
        <f t="shared" si="250"/>
        <v>Selesai</v>
      </c>
      <c r="R258" s="64">
        <f t="shared" si="259"/>
        <v>0</v>
      </c>
      <c r="S258" s="67">
        <v>44218</v>
      </c>
      <c r="T258" s="67">
        <v>44243</v>
      </c>
      <c r="U258" s="64">
        <f t="shared" si="251"/>
        <v>1</v>
      </c>
      <c r="V258" s="64"/>
      <c r="W258" s="64"/>
      <c r="X258" s="93"/>
      <c r="Y258" s="94"/>
      <c r="Z258" s="91" t="str">
        <f t="shared" si="252"/>
        <v>100%</v>
      </c>
      <c r="AA258" s="67"/>
      <c r="AB258" s="473"/>
      <c r="AC258" s="478" t="s">
        <v>2711</v>
      </c>
      <c r="AD258" s="67"/>
    </row>
    <row r="259" spans="2:30">
      <c r="B259" s="64" t="s">
        <v>109</v>
      </c>
      <c r="C259" s="65" t="s">
        <v>330</v>
      </c>
      <c r="D259" s="66">
        <v>4.53</v>
      </c>
      <c r="E259" s="67">
        <v>44176</v>
      </c>
      <c r="F259" s="64">
        <v>0</v>
      </c>
      <c r="G259" s="67">
        <v>44177</v>
      </c>
      <c r="H259" s="64">
        <v>0</v>
      </c>
      <c r="I259" s="67">
        <v>44181</v>
      </c>
      <c r="J259" s="64">
        <f t="shared" si="254"/>
        <v>0</v>
      </c>
      <c r="K259" s="67">
        <v>44235</v>
      </c>
      <c r="L259" s="64">
        <f t="shared" si="255"/>
        <v>0</v>
      </c>
      <c r="M259" s="64">
        <f t="shared" si="256"/>
        <v>0</v>
      </c>
      <c r="N259" s="67">
        <f t="shared" si="263"/>
        <v>44236</v>
      </c>
      <c r="O259" s="64">
        <f t="shared" si="257"/>
        <v>1</v>
      </c>
      <c r="P259" s="64">
        <f t="shared" si="258"/>
        <v>0</v>
      </c>
      <c r="Q259" s="91" t="str">
        <f t="shared" si="250"/>
        <v>Selesai</v>
      </c>
      <c r="R259" s="64">
        <f t="shared" si="259"/>
        <v>0</v>
      </c>
      <c r="S259" s="67">
        <v>44235</v>
      </c>
      <c r="T259" s="67">
        <v>44245</v>
      </c>
      <c r="U259" s="64">
        <f t="shared" si="251"/>
        <v>1</v>
      </c>
      <c r="V259" s="64"/>
      <c r="W259" s="64"/>
      <c r="X259" s="93"/>
      <c r="Y259" s="94"/>
      <c r="Z259" s="91" t="str">
        <f t="shared" si="252"/>
        <v>100%</v>
      </c>
      <c r="AA259" s="67"/>
      <c r="AB259" s="473"/>
      <c r="AC259" s="478" t="s">
        <v>2711</v>
      </c>
      <c r="AD259" s="67"/>
    </row>
    <row r="260" spans="2:30">
      <c r="B260" s="64" t="s">
        <v>105</v>
      </c>
      <c r="C260" s="65" t="s">
        <v>331</v>
      </c>
      <c r="D260" s="66">
        <v>13.66</v>
      </c>
      <c r="E260" s="67">
        <v>44211</v>
      </c>
      <c r="F260" s="64">
        <v>0</v>
      </c>
      <c r="G260" s="67">
        <v>44216</v>
      </c>
      <c r="H260" s="64">
        <v>0</v>
      </c>
      <c r="I260" s="67">
        <v>44232</v>
      </c>
      <c r="J260" s="64">
        <f t="shared" si="254"/>
        <v>0</v>
      </c>
      <c r="K260" s="67">
        <v>44211</v>
      </c>
      <c r="L260" s="64">
        <f t="shared" si="255"/>
        <v>0</v>
      </c>
      <c r="M260" s="64">
        <f t="shared" si="256"/>
        <v>0</v>
      </c>
      <c r="N260" s="67">
        <f t="shared" si="263"/>
        <v>44233</v>
      </c>
      <c r="O260" s="64">
        <f t="shared" si="257"/>
        <v>1</v>
      </c>
      <c r="P260" s="64">
        <f t="shared" si="258"/>
        <v>0</v>
      </c>
      <c r="Q260" s="91" t="str">
        <f t="shared" si="250"/>
        <v>Selesai</v>
      </c>
      <c r="R260" s="64">
        <f t="shared" si="259"/>
        <v>0</v>
      </c>
      <c r="S260" s="67">
        <v>44225</v>
      </c>
      <c r="T260" s="67">
        <v>44245</v>
      </c>
      <c r="U260" s="64">
        <f t="shared" si="251"/>
        <v>1</v>
      </c>
      <c r="V260" s="64"/>
      <c r="W260" s="64"/>
      <c r="X260" s="93"/>
      <c r="Y260" s="94"/>
      <c r="Z260" s="91" t="str">
        <f t="shared" si="252"/>
        <v>100%</v>
      </c>
      <c r="AA260" s="67"/>
      <c r="AB260" s="473"/>
      <c r="AC260" s="478" t="s">
        <v>2711</v>
      </c>
      <c r="AD260" s="67"/>
    </row>
    <row r="261" spans="2:30">
      <c r="B261" s="64" t="s">
        <v>107</v>
      </c>
      <c r="C261" s="65" t="s">
        <v>332</v>
      </c>
      <c r="D261" s="66">
        <v>6.15</v>
      </c>
      <c r="E261" s="67">
        <v>44167</v>
      </c>
      <c r="F261" s="64">
        <v>0</v>
      </c>
      <c r="G261" s="67">
        <v>44172</v>
      </c>
      <c r="H261" s="64">
        <v>0</v>
      </c>
      <c r="I261" s="67">
        <v>44216</v>
      </c>
      <c r="J261" s="64">
        <f t="shared" si="254"/>
        <v>0</v>
      </c>
      <c r="K261" s="67">
        <v>44217</v>
      </c>
      <c r="L261" s="64">
        <f t="shared" si="255"/>
        <v>0</v>
      </c>
      <c r="M261" s="64">
        <f t="shared" si="256"/>
        <v>0</v>
      </c>
      <c r="N261" s="67">
        <f t="shared" si="263"/>
        <v>44218</v>
      </c>
      <c r="O261" s="64">
        <f t="shared" si="257"/>
        <v>1</v>
      </c>
      <c r="P261" s="64">
        <f t="shared" si="258"/>
        <v>0</v>
      </c>
      <c r="Q261" s="91" t="str">
        <f t="shared" si="250"/>
        <v>Selesai</v>
      </c>
      <c r="R261" s="64">
        <f t="shared" si="259"/>
        <v>0</v>
      </c>
      <c r="S261" s="67">
        <v>44238</v>
      </c>
      <c r="T261" s="67">
        <v>44251</v>
      </c>
      <c r="U261" s="64">
        <f t="shared" si="251"/>
        <v>1</v>
      </c>
      <c r="V261" s="64"/>
      <c r="W261" s="64"/>
      <c r="X261" s="93"/>
      <c r="Y261" s="94"/>
      <c r="Z261" s="91" t="str">
        <f t="shared" si="252"/>
        <v>100%</v>
      </c>
      <c r="AA261" s="67"/>
      <c r="AB261" s="473"/>
      <c r="AC261" s="478" t="s">
        <v>2711</v>
      </c>
      <c r="AD261" s="67"/>
    </row>
    <row r="262" spans="2:30">
      <c r="B262" s="64" t="s">
        <v>107</v>
      </c>
      <c r="C262" s="65" t="s">
        <v>333</v>
      </c>
      <c r="D262" s="66">
        <v>6.33</v>
      </c>
      <c r="E262" s="67">
        <v>44167</v>
      </c>
      <c r="F262" s="64">
        <v>0</v>
      </c>
      <c r="G262" s="67">
        <v>44172</v>
      </c>
      <c r="H262" s="64">
        <v>0</v>
      </c>
      <c r="I262" s="67">
        <v>44216</v>
      </c>
      <c r="J262" s="64">
        <f t="shared" si="254"/>
        <v>0</v>
      </c>
      <c r="K262" s="67">
        <v>44217</v>
      </c>
      <c r="L262" s="64">
        <f t="shared" si="255"/>
        <v>0</v>
      </c>
      <c r="M262" s="64">
        <f t="shared" si="256"/>
        <v>0</v>
      </c>
      <c r="N262" s="67">
        <f t="shared" si="263"/>
        <v>44218</v>
      </c>
      <c r="O262" s="64">
        <f t="shared" si="257"/>
        <v>1</v>
      </c>
      <c r="P262" s="64">
        <f t="shared" si="258"/>
        <v>0</v>
      </c>
      <c r="Q262" s="91" t="str">
        <f t="shared" si="250"/>
        <v>Selesai</v>
      </c>
      <c r="R262" s="64">
        <f t="shared" si="259"/>
        <v>0</v>
      </c>
      <c r="S262" s="67">
        <v>44236</v>
      </c>
      <c r="T262" s="67">
        <v>44251</v>
      </c>
      <c r="U262" s="64">
        <f t="shared" si="251"/>
        <v>1</v>
      </c>
      <c r="V262" s="64"/>
      <c r="W262" s="64"/>
      <c r="X262" s="93"/>
      <c r="Y262" s="94"/>
      <c r="Z262" s="91" t="str">
        <f t="shared" si="252"/>
        <v>100%</v>
      </c>
      <c r="AA262" s="67"/>
      <c r="AB262" s="473"/>
      <c r="AC262" s="478" t="s">
        <v>2711</v>
      </c>
      <c r="AD262" s="67"/>
    </row>
    <row r="263" spans="2:30">
      <c r="B263" s="64" t="s">
        <v>113</v>
      </c>
      <c r="C263" s="65" t="s">
        <v>334</v>
      </c>
      <c r="D263" s="66">
        <v>8.2799999999999994</v>
      </c>
      <c r="E263" s="67">
        <v>44228</v>
      </c>
      <c r="F263" s="64">
        <v>0</v>
      </c>
      <c r="G263" s="67">
        <v>44228</v>
      </c>
      <c r="H263" s="64">
        <v>0</v>
      </c>
      <c r="I263" s="67">
        <v>44237</v>
      </c>
      <c r="J263" s="64">
        <f t="shared" si="254"/>
        <v>0</v>
      </c>
      <c r="K263" s="67">
        <v>44231</v>
      </c>
      <c r="L263" s="64">
        <f t="shared" si="255"/>
        <v>0</v>
      </c>
      <c r="M263" s="64">
        <f t="shared" si="256"/>
        <v>0</v>
      </c>
      <c r="N263" s="67">
        <f t="shared" si="263"/>
        <v>44238</v>
      </c>
      <c r="O263" s="64">
        <f t="shared" si="257"/>
        <v>1</v>
      </c>
      <c r="P263" s="64">
        <f t="shared" si="258"/>
        <v>0</v>
      </c>
      <c r="Q263" s="91" t="str">
        <f t="shared" si="250"/>
        <v>Selesai</v>
      </c>
      <c r="R263" s="64">
        <f t="shared" si="259"/>
        <v>0</v>
      </c>
      <c r="S263" s="67">
        <v>44240</v>
      </c>
      <c r="T263" s="67">
        <v>44251</v>
      </c>
      <c r="U263" s="64">
        <f t="shared" si="251"/>
        <v>1</v>
      </c>
      <c r="V263" s="64"/>
      <c r="W263" s="64"/>
      <c r="X263" s="93"/>
      <c r="Y263" s="94"/>
      <c r="Z263" s="91" t="str">
        <f t="shared" si="252"/>
        <v>100%</v>
      </c>
      <c r="AA263" s="67"/>
      <c r="AB263" s="473"/>
      <c r="AC263" s="478" t="s">
        <v>2711</v>
      </c>
      <c r="AD263" s="67"/>
    </row>
    <row r="264" spans="2:30">
      <c r="B264" s="64" t="s">
        <v>109</v>
      </c>
      <c r="C264" s="65" t="s">
        <v>335</v>
      </c>
      <c r="D264" s="66">
        <v>5.48</v>
      </c>
      <c r="E264" s="67">
        <v>44216</v>
      </c>
      <c r="F264" s="64">
        <f>IF(E264&gt;0,1,0)</f>
        <v>1</v>
      </c>
      <c r="G264" s="67">
        <v>44217</v>
      </c>
      <c r="H264" s="64">
        <v>0</v>
      </c>
      <c r="I264" s="67">
        <v>44229</v>
      </c>
      <c r="J264" s="64">
        <f t="shared" si="254"/>
        <v>0</v>
      </c>
      <c r="K264" s="67">
        <v>44221</v>
      </c>
      <c r="L264" s="64">
        <f t="shared" si="255"/>
        <v>0</v>
      </c>
      <c r="M264" s="64">
        <f t="shared" si="256"/>
        <v>0</v>
      </c>
      <c r="N264" s="67">
        <f t="shared" si="263"/>
        <v>44230</v>
      </c>
      <c r="O264" s="64">
        <f t="shared" si="257"/>
        <v>1</v>
      </c>
      <c r="P264" s="64">
        <f t="shared" si="258"/>
        <v>0</v>
      </c>
      <c r="Q264" s="91" t="str">
        <f t="shared" si="250"/>
        <v>Selesai</v>
      </c>
      <c r="R264" s="64">
        <f t="shared" si="259"/>
        <v>0</v>
      </c>
      <c r="S264" s="67">
        <v>44235</v>
      </c>
      <c r="T264" s="67">
        <v>44251</v>
      </c>
      <c r="U264" s="64">
        <f t="shared" si="251"/>
        <v>1</v>
      </c>
      <c r="V264" s="64"/>
      <c r="W264" s="64"/>
      <c r="X264" s="93"/>
      <c r="Y264" s="94"/>
      <c r="Z264" s="91" t="str">
        <f t="shared" si="252"/>
        <v>100%</v>
      </c>
      <c r="AA264" s="67"/>
      <c r="AB264" s="473"/>
      <c r="AC264" s="478" t="s">
        <v>2711</v>
      </c>
      <c r="AD264" s="67"/>
    </row>
    <row r="265" spans="2:30">
      <c r="B265" s="64" t="s">
        <v>105</v>
      </c>
      <c r="C265" s="65" t="s">
        <v>336</v>
      </c>
      <c r="D265" s="66">
        <v>3.64</v>
      </c>
      <c r="E265" s="67">
        <v>44216</v>
      </c>
      <c r="F265" s="64">
        <v>0</v>
      </c>
      <c r="G265" s="67">
        <v>44216</v>
      </c>
      <c r="H265" s="64">
        <v>0</v>
      </c>
      <c r="I265" s="67">
        <v>44235</v>
      </c>
      <c r="J265" s="64">
        <f t="shared" si="254"/>
        <v>0</v>
      </c>
      <c r="K265" s="67">
        <v>44226</v>
      </c>
      <c r="L265" s="64">
        <f t="shared" si="255"/>
        <v>0</v>
      </c>
      <c r="M265" s="64">
        <f t="shared" si="256"/>
        <v>0</v>
      </c>
      <c r="N265" s="67">
        <f t="shared" si="263"/>
        <v>44236</v>
      </c>
      <c r="O265" s="64">
        <f t="shared" si="257"/>
        <v>1</v>
      </c>
      <c r="P265" s="64">
        <f t="shared" si="258"/>
        <v>0</v>
      </c>
      <c r="Q265" s="91" t="str">
        <f t="shared" ref="Q265:Q328" si="264">IF(T265&gt;0,"Selesai","Proses")</f>
        <v>Selesai</v>
      </c>
      <c r="R265" s="64">
        <f t="shared" si="259"/>
        <v>0</v>
      </c>
      <c r="S265" s="67">
        <v>44231</v>
      </c>
      <c r="T265" s="67">
        <v>44259</v>
      </c>
      <c r="U265" s="64">
        <f t="shared" ref="U265:U328" si="265">IF(T265&gt;0,1,0)</f>
        <v>1</v>
      </c>
      <c r="V265" s="64"/>
      <c r="W265" s="64"/>
      <c r="X265" s="93"/>
      <c r="Y265" s="94"/>
      <c r="Z265" s="91" t="str">
        <f t="shared" si="252"/>
        <v>100%</v>
      </c>
      <c r="AA265" s="67"/>
      <c r="AB265" s="473"/>
      <c r="AC265" s="478" t="s">
        <v>2711</v>
      </c>
      <c r="AD265" s="67"/>
    </row>
    <row r="266" spans="2:30">
      <c r="B266" s="64" t="s">
        <v>109</v>
      </c>
      <c r="C266" s="65" t="s">
        <v>337</v>
      </c>
      <c r="D266" s="66">
        <v>9.17</v>
      </c>
      <c r="E266" s="67">
        <v>44233</v>
      </c>
      <c r="F266" s="64">
        <v>0</v>
      </c>
      <c r="G266" s="67">
        <v>44235</v>
      </c>
      <c r="H266" s="64">
        <v>0</v>
      </c>
      <c r="I266" s="67">
        <v>44249</v>
      </c>
      <c r="J266" s="64">
        <f t="shared" si="254"/>
        <v>0</v>
      </c>
      <c r="K266" s="67">
        <v>44248</v>
      </c>
      <c r="L266" s="64">
        <f t="shared" si="255"/>
        <v>0</v>
      </c>
      <c r="M266" s="64">
        <f t="shared" si="256"/>
        <v>0</v>
      </c>
      <c r="N266" s="67">
        <f t="shared" si="263"/>
        <v>44250</v>
      </c>
      <c r="O266" s="64">
        <f t="shared" si="257"/>
        <v>1</v>
      </c>
      <c r="P266" s="64">
        <f t="shared" si="258"/>
        <v>0</v>
      </c>
      <c r="Q266" s="91" t="str">
        <f t="shared" si="264"/>
        <v>Selesai</v>
      </c>
      <c r="R266" s="64">
        <f t="shared" si="259"/>
        <v>0</v>
      </c>
      <c r="S266" s="67">
        <v>44250</v>
      </c>
      <c r="T266" s="67">
        <v>44259</v>
      </c>
      <c r="U266" s="64">
        <f t="shared" si="265"/>
        <v>1</v>
      </c>
      <c r="V266" s="64"/>
      <c r="W266" s="64"/>
      <c r="X266" s="93"/>
      <c r="Y266" s="94"/>
      <c r="Z266" s="91" t="str">
        <f t="shared" ref="Z266:Z329" si="266">IF(T266="","","100%")</f>
        <v>100%</v>
      </c>
      <c r="AA266" s="67"/>
      <c r="AB266" s="473"/>
      <c r="AC266" s="478" t="s">
        <v>2711</v>
      </c>
      <c r="AD266" s="67"/>
    </row>
    <row r="267" spans="2:30">
      <c r="B267" s="64" t="s">
        <v>109</v>
      </c>
      <c r="C267" s="65" t="s">
        <v>338</v>
      </c>
      <c r="D267" s="66">
        <v>7.96</v>
      </c>
      <c r="E267" s="67">
        <v>44176</v>
      </c>
      <c r="F267" s="64">
        <v>0</v>
      </c>
      <c r="G267" s="67">
        <v>44177</v>
      </c>
      <c r="H267" s="64">
        <v>0</v>
      </c>
      <c r="I267" s="67">
        <v>44189</v>
      </c>
      <c r="J267" s="64">
        <f t="shared" si="254"/>
        <v>0</v>
      </c>
      <c r="K267" s="67">
        <v>44235</v>
      </c>
      <c r="L267" s="64">
        <f t="shared" si="255"/>
        <v>0</v>
      </c>
      <c r="M267" s="64">
        <f t="shared" si="256"/>
        <v>0</v>
      </c>
      <c r="N267" s="67">
        <f t="shared" si="263"/>
        <v>44236</v>
      </c>
      <c r="O267" s="64">
        <f t="shared" si="257"/>
        <v>1</v>
      </c>
      <c r="P267" s="64">
        <f t="shared" si="258"/>
        <v>0</v>
      </c>
      <c r="Q267" s="91" t="str">
        <f t="shared" si="264"/>
        <v>Selesai</v>
      </c>
      <c r="R267" s="64">
        <f t="shared" si="259"/>
        <v>0</v>
      </c>
      <c r="S267" s="67">
        <v>44239</v>
      </c>
      <c r="T267" s="67">
        <v>44262</v>
      </c>
      <c r="U267" s="64">
        <f t="shared" si="265"/>
        <v>1</v>
      </c>
      <c r="V267" s="64"/>
      <c r="W267" s="64"/>
      <c r="X267" s="93"/>
      <c r="Y267" s="94"/>
      <c r="Z267" s="91" t="str">
        <f t="shared" si="266"/>
        <v>100%</v>
      </c>
      <c r="AA267" s="67"/>
      <c r="AB267" s="473"/>
      <c r="AC267" s="478" t="s">
        <v>2711</v>
      </c>
      <c r="AD267" s="67"/>
    </row>
    <row r="268" spans="2:30">
      <c r="B268" s="64" t="s">
        <v>109</v>
      </c>
      <c r="C268" s="65" t="s">
        <v>339</v>
      </c>
      <c r="D268" s="66">
        <v>7.68</v>
      </c>
      <c r="E268" s="67">
        <v>44237</v>
      </c>
      <c r="F268" s="64">
        <v>0</v>
      </c>
      <c r="G268" s="67">
        <v>44248</v>
      </c>
      <c r="H268" s="64">
        <v>0</v>
      </c>
      <c r="I268" s="67">
        <v>44257</v>
      </c>
      <c r="J268" s="64">
        <f t="shared" si="254"/>
        <v>0</v>
      </c>
      <c r="K268" s="67">
        <v>44251</v>
      </c>
      <c r="L268" s="64">
        <f t="shared" si="255"/>
        <v>0</v>
      </c>
      <c r="M268" s="64">
        <f t="shared" si="256"/>
        <v>0</v>
      </c>
      <c r="N268" s="67">
        <f t="shared" si="263"/>
        <v>44258</v>
      </c>
      <c r="O268" s="64">
        <f t="shared" si="257"/>
        <v>1</v>
      </c>
      <c r="P268" s="64">
        <f t="shared" si="258"/>
        <v>0</v>
      </c>
      <c r="Q268" s="91" t="str">
        <f t="shared" si="264"/>
        <v>Selesai</v>
      </c>
      <c r="R268" s="64">
        <f t="shared" si="259"/>
        <v>0</v>
      </c>
      <c r="S268" s="67">
        <v>44252</v>
      </c>
      <c r="T268" s="67">
        <v>44265</v>
      </c>
      <c r="U268" s="64">
        <f t="shared" si="265"/>
        <v>1</v>
      </c>
      <c r="V268" s="64"/>
      <c r="W268" s="64"/>
      <c r="X268" s="93"/>
      <c r="Y268" s="94"/>
      <c r="Z268" s="91" t="str">
        <f t="shared" si="266"/>
        <v>100%</v>
      </c>
      <c r="AA268" s="67"/>
      <c r="AB268" s="473"/>
      <c r="AC268" s="478" t="s">
        <v>2711</v>
      </c>
      <c r="AD268" s="67"/>
    </row>
    <row r="269" spans="2:30">
      <c r="B269" s="64" t="s">
        <v>107</v>
      </c>
      <c r="C269" s="65" t="s">
        <v>340</v>
      </c>
      <c r="D269" s="66">
        <v>8.2799999999999994</v>
      </c>
      <c r="E269" s="67">
        <v>44247</v>
      </c>
      <c r="F269" s="64">
        <v>0</v>
      </c>
      <c r="G269" s="67">
        <v>44248</v>
      </c>
      <c r="H269" s="64">
        <v>0</v>
      </c>
      <c r="I269" s="67">
        <v>44252</v>
      </c>
      <c r="J269" s="64">
        <f t="shared" si="254"/>
        <v>0</v>
      </c>
      <c r="K269" s="67">
        <v>44250</v>
      </c>
      <c r="L269" s="64">
        <f t="shared" si="255"/>
        <v>0</v>
      </c>
      <c r="M269" s="64">
        <f t="shared" si="256"/>
        <v>0</v>
      </c>
      <c r="N269" s="67">
        <f t="shared" si="263"/>
        <v>44253</v>
      </c>
      <c r="O269" s="64">
        <f t="shared" si="257"/>
        <v>1</v>
      </c>
      <c r="P269" s="64">
        <f t="shared" si="258"/>
        <v>0</v>
      </c>
      <c r="Q269" s="91" t="str">
        <f t="shared" si="264"/>
        <v>Selesai</v>
      </c>
      <c r="R269" s="64">
        <f t="shared" si="259"/>
        <v>0</v>
      </c>
      <c r="S269" s="67">
        <v>44251</v>
      </c>
      <c r="T269" s="67">
        <v>44267</v>
      </c>
      <c r="U269" s="64">
        <f t="shared" si="265"/>
        <v>1</v>
      </c>
      <c r="V269" s="64"/>
      <c r="W269" s="64"/>
      <c r="X269" s="93"/>
      <c r="Y269" s="94"/>
      <c r="Z269" s="91" t="str">
        <f t="shared" si="266"/>
        <v>100%</v>
      </c>
      <c r="AA269" s="67"/>
      <c r="AB269" s="473"/>
      <c r="AC269" s="478" t="s">
        <v>2711</v>
      </c>
      <c r="AD269" s="67"/>
    </row>
    <row r="270" spans="2:30">
      <c r="B270" s="64" t="s">
        <v>107</v>
      </c>
      <c r="C270" s="65" t="s">
        <v>341</v>
      </c>
      <c r="D270" s="66">
        <v>9.86</v>
      </c>
      <c r="E270" s="67">
        <v>44248</v>
      </c>
      <c r="F270" s="64">
        <v>0</v>
      </c>
      <c r="G270" s="67">
        <v>44249</v>
      </c>
      <c r="H270" s="64">
        <v>0</v>
      </c>
      <c r="I270" s="67">
        <v>44266</v>
      </c>
      <c r="J270" s="64">
        <f t="shared" si="254"/>
        <v>0</v>
      </c>
      <c r="K270" s="67">
        <v>44250</v>
      </c>
      <c r="L270" s="64">
        <f t="shared" si="255"/>
        <v>0</v>
      </c>
      <c r="M270" s="64">
        <f t="shared" si="256"/>
        <v>0</v>
      </c>
      <c r="N270" s="67">
        <f t="shared" si="263"/>
        <v>44267</v>
      </c>
      <c r="O270" s="64">
        <f t="shared" si="257"/>
        <v>1</v>
      </c>
      <c r="P270" s="64">
        <f t="shared" si="258"/>
        <v>0</v>
      </c>
      <c r="Q270" s="91" t="str">
        <f t="shared" si="264"/>
        <v>Selesai</v>
      </c>
      <c r="R270" s="64">
        <f t="shared" si="259"/>
        <v>0</v>
      </c>
      <c r="S270" s="67">
        <v>44254</v>
      </c>
      <c r="T270" s="67">
        <v>44273</v>
      </c>
      <c r="U270" s="64">
        <f t="shared" si="265"/>
        <v>1</v>
      </c>
      <c r="V270" s="64"/>
      <c r="W270" s="64"/>
      <c r="X270" s="93"/>
      <c r="Y270" s="94"/>
      <c r="Z270" s="91" t="str">
        <f t="shared" si="266"/>
        <v>100%</v>
      </c>
      <c r="AA270" s="67"/>
      <c r="AB270" s="473"/>
      <c r="AC270" s="478" t="s">
        <v>2711</v>
      </c>
      <c r="AD270" s="67"/>
    </row>
    <row r="271" spans="2:30">
      <c r="B271" s="64" t="s">
        <v>105</v>
      </c>
      <c r="C271" s="65" t="s">
        <v>139</v>
      </c>
      <c r="D271" s="66">
        <v>12.26</v>
      </c>
      <c r="E271" s="67">
        <v>44216</v>
      </c>
      <c r="F271" s="64">
        <v>0</v>
      </c>
      <c r="G271" s="67">
        <v>44217</v>
      </c>
      <c r="H271" s="64">
        <v>0</v>
      </c>
      <c r="I271" s="67">
        <v>44245</v>
      </c>
      <c r="J271" s="64">
        <f t="shared" si="254"/>
        <v>0</v>
      </c>
      <c r="K271" s="67">
        <v>44226</v>
      </c>
      <c r="L271" s="64">
        <f t="shared" si="255"/>
        <v>0</v>
      </c>
      <c r="M271" s="64">
        <f t="shared" si="256"/>
        <v>0</v>
      </c>
      <c r="N271" s="67">
        <f t="shared" si="263"/>
        <v>44246</v>
      </c>
      <c r="O271" s="64">
        <f t="shared" si="257"/>
        <v>1</v>
      </c>
      <c r="P271" s="64">
        <f t="shared" si="258"/>
        <v>0</v>
      </c>
      <c r="Q271" s="91" t="str">
        <f t="shared" si="264"/>
        <v>Selesai</v>
      </c>
      <c r="R271" s="64">
        <f t="shared" si="259"/>
        <v>0</v>
      </c>
      <c r="S271" s="67">
        <v>44233</v>
      </c>
      <c r="T271" s="67">
        <v>44273</v>
      </c>
      <c r="U271" s="64">
        <f t="shared" si="265"/>
        <v>1</v>
      </c>
      <c r="V271" s="64"/>
      <c r="W271" s="64"/>
      <c r="X271" s="93"/>
      <c r="Y271" s="94"/>
      <c r="Z271" s="91" t="str">
        <f t="shared" si="266"/>
        <v>100%</v>
      </c>
      <c r="AA271" s="67"/>
      <c r="AB271" s="473"/>
      <c r="AC271" s="478" t="s">
        <v>2711</v>
      </c>
      <c r="AD271" s="67"/>
    </row>
    <row r="272" spans="2:30">
      <c r="B272" s="64" t="s">
        <v>113</v>
      </c>
      <c r="C272" s="65" t="s">
        <v>342</v>
      </c>
      <c r="D272" s="66">
        <v>5.22</v>
      </c>
      <c r="E272" s="67">
        <v>44254</v>
      </c>
      <c r="F272" s="64">
        <v>0</v>
      </c>
      <c r="G272" s="67">
        <v>44255</v>
      </c>
      <c r="H272" s="64">
        <v>0</v>
      </c>
      <c r="I272" s="67">
        <v>44264</v>
      </c>
      <c r="J272" s="64">
        <f t="shared" ref="J272:J335" si="267">IF(I272&gt;0,0,1)</f>
        <v>0</v>
      </c>
      <c r="K272" s="67">
        <v>44258</v>
      </c>
      <c r="L272" s="64">
        <f t="shared" ref="L272:L335" si="268">IF(K272&gt;0,0,1)</f>
        <v>0</v>
      </c>
      <c r="M272" s="64">
        <f t="shared" ref="M272:M335" si="269">IF(AND(J272&gt;0,L272&gt;0),1,0)</f>
        <v>0</v>
      </c>
      <c r="N272" s="67">
        <f t="shared" si="263"/>
        <v>44265</v>
      </c>
      <c r="O272" s="64">
        <f t="shared" ref="O272:O335" si="270">IF(N272&gt;0,1,0)</f>
        <v>1</v>
      </c>
      <c r="P272" s="64">
        <f t="shared" ref="P272:P335" si="271">IF(O272&gt;0,0,1)</f>
        <v>0</v>
      </c>
      <c r="Q272" s="91" t="str">
        <f t="shared" si="264"/>
        <v>Selesai</v>
      </c>
      <c r="R272" s="64">
        <f t="shared" ref="R272:R335" si="272">IF(Q272="proses",1,0)</f>
        <v>0</v>
      </c>
      <c r="S272" s="67">
        <v>44261</v>
      </c>
      <c r="T272" s="67">
        <v>44273</v>
      </c>
      <c r="U272" s="64">
        <f t="shared" si="265"/>
        <v>1</v>
      </c>
      <c r="V272" s="64"/>
      <c r="W272" s="64"/>
      <c r="X272" s="93"/>
      <c r="Y272" s="94"/>
      <c r="Z272" s="91" t="str">
        <f t="shared" si="266"/>
        <v>100%</v>
      </c>
      <c r="AA272" s="67"/>
      <c r="AB272" s="473"/>
      <c r="AC272" s="478" t="s">
        <v>2711</v>
      </c>
      <c r="AD272" s="67"/>
    </row>
    <row r="273" spans="2:30">
      <c r="B273" s="64" t="s">
        <v>113</v>
      </c>
      <c r="C273" s="65" t="s">
        <v>343</v>
      </c>
      <c r="D273" s="66">
        <v>7.72</v>
      </c>
      <c r="E273" s="67">
        <v>44254</v>
      </c>
      <c r="F273" s="64">
        <v>0</v>
      </c>
      <c r="G273" s="67">
        <v>44255</v>
      </c>
      <c r="H273" s="64">
        <v>0</v>
      </c>
      <c r="I273" s="67">
        <v>44268</v>
      </c>
      <c r="J273" s="64">
        <f t="shared" si="267"/>
        <v>0</v>
      </c>
      <c r="K273" s="67">
        <v>44258</v>
      </c>
      <c r="L273" s="64">
        <f t="shared" si="268"/>
        <v>0</v>
      </c>
      <c r="M273" s="64">
        <f t="shared" si="269"/>
        <v>0</v>
      </c>
      <c r="N273" s="67">
        <f t="shared" si="263"/>
        <v>44269</v>
      </c>
      <c r="O273" s="64">
        <f t="shared" si="270"/>
        <v>1</v>
      </c>
      <c r="P273" s="64">
        <f t="shared" si="271"/>
        <v>0</v>
      </c>
      <c r="Q273" s="91" t="str">
        <f t="shared" si="264"/>
        <v>Selesai</v>
      </c>
      <c r="R273" s="64">
        <f t="shared" si="272"/>
        <v>0</v>
      </c>
      <c r="S273" s="67">
        <v>44263</v>
      </c>
      <c r="T273" s="67">
        <v>44273</v>
      </c>
      <c r="U273" s="64">
        <f t="shared" si="265"/>
        <v>1</v>
      </c>
      <c r="V273" s="64"/>
      <c r="W273" s="64"/>
      <c r="X273" s="93"/>
      <c r="Y273" s="94"/>
      <c r="Z273" s="91" t="str">
        <f t="shared" si="266"/>
        <v>100%</v>
      </c>
      <c r="AA273" s="67"/>
      <c r="AB273" s="473"/>
      <c r="AC273" s="478" t="s">
        <v>2711</v>
      </c>
      <c r="AD273" s="67"/>
    </row>
    <row r="274" spans="2:30">
      <c r="B274" s="64" t="s">
        <v>113</v>
      </c>
      <c r="C274" s="65" t="s">
        <v>344</v>
      </c>
      <c r="D274" s="66">
        <v>7.22</v>
      </c>
      <c r="E274" s="67">
        <v>44253</v>
      </c>
      <c r="F274" s="64">
        <v>0</v>
      </c>
      <c r="G274" s="67">
        <v>44255</v>
      </c>
      <c r="H274" s="64">
        <v>0</v>
      </c>
      <c r="I274" s="67">
        <v>44268</v>
      </c>
      <c r="J274" s="64">
        <f t="shared" si="267"/>
        <v>0</v>
      </c>
      <c r="K274" s="67">
        <v>44258</v>
      </c>
      <c r="L274" s="64">
        <f t="shared" si="268"/>
        <v>0</v>
      </c>
      <c r="M274" s="64">
        <f t="shared" si="269"/>
        <v>0</v>
      </c>
      <c r="N274" s="67">
        <f t="shared" si="263"/>
        <v>44269</v>
      </c>
      <c r="O274" s="64">
        <f t="shared" si="270"/>
        <v>1</v>
      </c>
      <c r="P274" s="64">
        <f t="shared" si="271"/>
        <v>0</v>
      </c>
      <c r="Q274" s="91" t="str">
        <f t="shared" si="264"/>
        <v>Selesai</v>
      </c>
      <c r="R274" s="64">
        <f t="shared" si="272"/>
        <v>0</v>
      </c>
      <c r="S274" s="67">
        <v>44264</v>
      </c>
      <c r="T274" s="67">
        <v>44273</v>
      </c>
      <c r="U274" s="64">
        <f t="shared" si="265"/>
        <v>1</v>
      </c>
      <c r="V274" s="64"/>
      <c r="W274" s="64"/>
      <c r="X274" s="93"/>
      <c r="Y274" s="94"/>
      <c r="Z274" s="91" t="str">
        <f t="shared" si="266"/>
        <v>100%</v>
      </c>
      <c r="AA274" s="67"/>
      <c r="AB274" s="473"/>
      <c r="AC274" s="478" t="s">
        <v>2711</v>
      </c>
      <c r="AD274" s="67"/>
    </row>
    <row r="275" spans="2:30">
      <c r="B275" s="64" t="s">
        <v>109</v>
      </c>
      <c r="C275" s="65" t="s">
        <v>345</v>
      </c>
      <c r="D275" s="66">
        <v>7.75</v>
      </c>
      <c r="E275" s="67">
        <v>44239</v>
      </c>
      <c r="F275" s="64">
        <v>0</v>
      </c>
      <c r="G275" s="67">
        <v>44248</v>
      </c>
      <c r="H275" s="64">
        <v>0</v>
      </c>
      <c r="I275" s="67">
        <v>44260</v>
      </c>
      <c r="J275" s="64">
        <f t="shared" si="267"/>
        <v>0</v>
      </c>
      <c r="K275" s="67">
        <v>44251</v>
      </c>
      <c r="L275" s="64">
        <f t="shared" si="268"/>
        <v>0</v>
      </c>
      <c r="M275" s="64">
        <f t="shared" si="269"/>
        <v>0</v>
      </c>
      <c r="N275" s="67">
        <f t="shared" si="263"/>
        <v>44261</v>
      </c>
      <c r="O275" s="64">
        <f t="shared" si="270"/>
        <v>1</v>
      </c>
      <c r="P275" s="64">
        <f t="shared" si="271"/>
        <v>0</v>
      </c>
      <c r="Q275" s="91" t="str">
        <f t="shared" si="264"/>
        <v>Selesai</v>
      </c>
      <c r="R275" s="64">
        <f t="shared" si="272"/>
        <v>0</v>
      </c>
      <c r="S275" s="67">
        <v>44256</v>
      </c>
      <c r="T275" s="67">
        <v>44274</v>
      </c>
      <c r="U275" s="64">
        <f t="shared" si="265"/>
        <v>1</v>
      </c>
      <c r="V275" s="64"/>
      <c r="W275" s="64"/>
      <c r="X275" s="93"/>
      <c r="Y275" s="94"/>
      <c r="Z275" s="91" t="str">
        <f t="shared" si="266"/>
        <v>100%</v>
      </c>
      <c r="AA275" s="67"/>
      <c r="AB275" s="473"/>
      <c r="AC275" s="478" t="s">
        <v>2711</v>
      </c>
      <c r="AD275" s="67"/>
    </row>
    <row r="276" spans="2:30">
      <c r="B276" s="64" t="s">
        <v>105</v>
      </c>
      <c r="C276" s="65" t="s">
        <v>346</v>
      </c>
      <c r="D276" s="66">
        <v>5.62</v>
      </c>
      <c r="E276" s="67">
        <v>44249</v>
      </c>
      <c r="F276" s="64">
        <f>IF(E276&gt;0,1,0)</f>
        <v>1</v>
      </c>
      <c r="G276" s="67">
        <v>44250</v>
      </c>
      <c r="H276" s="64">
        <v>0</v>
      </c>
      <c r="I276" s="67">
        <v>44260</v>
      </c>
      <c r="J276" s="64">
        <f t="shared" si="267"/>
        <v>0</v>
      </c>
      <c r="K276" s="67">
        <v>44256</v>
      </c>
      <c r="L276" s="64">
        <f t="shared" si="268"/>
        <v>0</v>
      </c>
      <c r="M276" s="64">
        <f t="shared" si="269"/>
        <v>0</v>
      </c>
      <c r="N276" s="67">
        <f t="shared" si="263"/>
        <v>44261</v>
      </c>
      <c r="O276" s="64">
        <f t="shared" si="270"/>
        <v>1</v>
      </c>
      <c r="P276" s="64">
        <f t="shared" si="271"/>
        <v>0</v>
      </c>
      <c r="Q276" s="91" t="str">
        <f t="shared" si="264"/>
        <v>Selesai</v>
      </c>
      <c r="R276" s="64">
        <f t="shared" si="272"/>
        <v>0</v>
      </c>
      <c r="S276" s="67">
        <v>44258</v>
      </c>
      <c r="T276" s="67">
        <v>44278</v>
      </c>
      <c r="U276" s="64">
        <f t="shared" si="265"/>
        <v>1</v>
      </c>
      <c r="V276" s="64"/>
      <c r="W276" s="64"/>
      <c r="X276" s="93"/>
      <c r="Y276" s="94"/>
      <c r="Z276" s="91" t="str">
        <f t="shared" si="266"/>
        <v>100%</v>
      </c>
      <c r="AA276" s="67"/>
      <c r="AB276" s="473"/>
      <c r="AC276" s="478" t="s">
        <v>2711</v>
      </c>
      <c r="AD276" s="67"/>
    </row>
    <row r="277" spans="2:30">
      <c r="B277" s="64" t="s">
        <v>107</v>
      </c>
      <c r="C277" s="65" t="s">
        <v>347</v>
      </c>
      <c r="D277" s="66">
        <v>5.74</v>
      </c>
      <c r="E277" s="67">
        <v>44252</v>
      </c>
      <c r="F277" s="64">
        <v>0</v>
      </c>
      <c r="G277" s="67">
        <v>44253</v>
      </c>
      <c r="H277" s="64">
        <v>0</v>
      </c>
      <c r="I277" s="99">
        <v>44270</v>
      </c>
      <c r="J277" s="64">
        <f t="shared" si="267"/>
        <v>0</v>
      </c>
      <c r="K277" s="67">
        <v>44265</v>
      </c>
      <c r="L277" s="64">
        <f t="shared" si="268"/>
        <v>0</v>
      </c>
      <c r="M277" s="64">
        <f t="shared" si="269"/>
        <v>0</v>
      </c>
      <c r="N277" s="67">
        <f t="shared" si="263"/>
        <v>44271</v>
      </c>
      <c r="O277" s="64">
        <f t="shared" si="270"/>
        <v>1</v>
      </c>
      <c r="P277" s="64">
        <f t="shared" si="271"/>
        <v>0</v>
      </c>
      <c r="Q277" s="91" t="str">
        <f t="shared" si="264"/>
        <v>Selesai</v>
      </c>
      <c r="R277" s="64">
        <f t="shared" si="272"/>
        <v>0</v>
      </c>
      <c r="S277" s="67">
        <v>44267</v>
      </c>
      <c r="T277" s="67">
        <v>44280</v>
      </c>
      <c r="U277" s="64">
        <f t="shared" si="265"/>
        <v>1</v>
      </c>
      <c r="V277" s="64"/>
      <c r="W277" s="64"/>
      <c r="X277" s="93"/>
      <c r="Y277" s="94"/>
      <c r="Z277" s="91" t="str">
        <f t="shared" si="266"/>
        <v>100%</v>
      </c>
      <c r="AA277" s="67"/>
      <c r="AB277" s="473"/>
      <c r="AC277" s="478" t="s">
        <v>2711</v>
      </c>
      <c r="AD277" s="67"/>
    </row>
    <row r="278" spans="2:30">
      <c r="B278" s="64" t="s">
        <v>109</v>
      </c>
      <c r="C278" s="65" t="s">
        <v>143</v>
      </c>
      <c r="D278" s="66">
        <v>6.48</v>
      </c>
      <c r="E278" s="67">
        <v>44252</v>
      </c>
      <c r="F278" s="64">
        <v>0</v>
      </c>
      <c r="G278" s="67">
        <v>44252</v>
      </c>
      <c r="H278" s="64">
        <v>0</v>
      </c>
      <c r="I278" s="67">
        <v>44270</v>
      </c>
      <c r="J278" s="64">
        <f t="shared" si="267"/>
        <v>0</v>
      </c>
      <c r="K278" s="67">
        <v>44259</v>
      </c>
      <c r="L278" s="64">
        <f t="shared" si="268"/>
        <v>0</v>
      </c>
      <c r="M278" s="64">
        <f t="shared" si="269"/>
        <v>0</v>
      </c>
      <c r="N278" s="67">
        <f t="shared" si="263"/>
        <v>44271</v>
      </c>
      <c r="O278" s="64">
        <f t="shared" si="270"/>
        <v>1</v>
      </c>
      <c r="P278" s="64">
        <f t="shared" si="271"/>
        <v>0</v>
      </c>
      <c r="Q278" s="91" t="str">
        <f t="shared" si="264"/>
        <v>Selesai</v>
      </c>
      <c r="R278" s="64">
        <f t="shared" si="272"/>
        <v>0</v>
      </c>
      <c r="S278" s="67">
        <v>44266</v>
      </c>
      <c r="T278" s="67">
        <v>44280</v>
      </c>
      <c r="U278" s="64">
        <f t="shared" si="265"/>
        <v>1</v>
      </c>
      <c r="V278" s="64"/>
      <c r="W278" s="64"/>
      <c r="X278" s="93"/>
      <c r="Y278" s="94"/>
      <c r="Z278" s="91" t="str">
        <f t="shared" si="266"/>
        <v>100%</v>
      </c>
      <c r="AA278" s="67"/>
      <c r="AB278" s="473"/>
      <c r="AC278" s="478" t="s">
        <v>2711</v>
      </c>
      <c r="AD278" s="67"/>
    </row>
    <row r="279" spans="2:30">
      <c r="B279" s="64" t="s">
        <v>107</v>
      </c>
      <c r="C279" s="65" t="s">
        <v>348</v>
      </c>
      <c r="D279" s="66">
        <v>7.28</v>
      </c>
      <c r="E279" s="67">
        <v>44250</v>
      </c>
      <c r="F279" s="64">
        <v>0</v>
      </c>
      <c r="G279" s="67">
        <v>44263</v>
      </c>
      <c r="H279" s="64">
        <v>0</v>
      </c>
      <c r="I279" s="99">
        <v>44275</v>
      </c>
      <c r="J279" s="64">
        <f t="shared" si="267"/>
        <v>0</v>
      </c>
      <c r="K279" s="67">
        <v>44265</v>
      </c>
      <c r="L279" s="64">
        <f t="shared" si="268"/>
        <v>0</v>
      </c>
      <c r="M279" s="64">
        <f t="shared" si="269"/>
        <v>0</v>
      </c>
      <c r="N279" s="67">
        <f t="shared" si="263"/>
        <v>44276</v>
      </c>
      <c r="O279" s="64">
        <f t="shared" si="270"/>
        <v>1</v>
      </c>
      <c r="P279" s="64">
        <f t="shared" si="271"/>
        <v>0</v>
      </c>
      <c r="Q279" s="91" t="str">
        <f t="shared" si="264"/>
        <v>Selesai</v>
      </c>
      <c r="R279" s="64">
        <f t="shared" si="272"/>
        <v>0</v>
      </c>
      <c r="S279" s="67">
        <v>44273</v>
      </c>
      <c r="T279" s="67">
        <v>44284</v>
      </c>
      <c r="U279" s="64">
        <f t="shared" si="265"/>
        <v>1</v>
      </c>
      <c r="V279" s="64"/>
      <c r="W279" s="64"/>
      <c r="X279" s="93"/>
      <c r="Y279" s="94"/>
      <c r="Z279" s="91" t="str">
        <f t="shared" si="266"/>
        <v>100%</v>
      </c>
      <c r="AA279" s="67"/>
      <c r="AB279" s="473"/>
      <c r="AC279" s="478" t="s">
        <v>2711</v>
      </c>
      <c r="AD279" s="67"/>
    </row>
    <row r="280" spans="2:30">
      <c r="B280" s="64" t="s">
        <v>105</v>
      </c>
      <c r="C280" s="65" t="s">
        <v>349</v>
      </c>
      <c r="D280" s="66">
        <v>5.79</v>
      </c>
      <c r="E280" s="67">
        <v>44257</v>
      </c>
      <c r="F280" s="64">
        <v>0</v>
      </c>
      <c r="G280" s="67">
        <v>44263</v>
      </c>
      <c r="H280" s="64">
        <v>0</v>
      </c>
      <c r="I280" s="67">
        <v>44270</v>
      </c>
      <c r="J280" s="64">
        <f t="shared" si="267"/>
        <v>0</v>
      </c>
      <c r="K280" s="67">
        <v>44265</v>
      </c>
      <c r="L280" s="64">
        <f t="shared" si="268"/>
        <v>0</v>
      </c>
      <c r="M280" s="64">
        <f t="shared" si="269"/>
        <v>0</v>
      </c>
      <c r="N280" s="67">
        <f t="shared" si="263"/>
        <v>44271</v>
      </c>
      <c r="O280" s="64">
        <f t="shared" si="270"/>
        <v>1</v>
      </c>
      <c r="P280" s="64">
        <f t="shared" si="271"/>
        <v>0</v>
      </c>
      <c r="Q280" s="91" t="str">
        <f t="shared" si="264"/>
        <v>Selesai</v>
      </c>
      <c r="R280" s="64">
        <f t="shared" si="272"/>
        <v>0</v>
      </c>
      <c r="S280" s="67">
        <v>44272</v>
      </c>
      <c r="T280" s="67">
        <v>44286</v>
      </c>
      <c r="U280" s="64">
        <f t="shared" si="265"/>
        <v>1</v>
      </c>
      <c r="V280" s="64"/>
      <c r="W280" s="64"/>
      <c r="X280" s="93"/>
      <c r="Y280" s="94"/>
      <c r="Z280" s="91" t="str">
        <f t="shared" si="266"/>
        <v>100%</v>
      </c>
      <c r="AA280" s="67"/>
      <c r="AB280" s="473"/>
      <c r="AC280" s="478" t="s">
        <v>2711</v>
      </c>
      <c r="AD280" s="67"/>
    </row>
    <row r="281" spans="2:30">
      <c r="B281" s="64" t="s">
        <v>109</v>
      </c>
      <c r="C281" s="65" t="s">
        <v>350</v>
      </c>
      <c r="D281" s="66">
        <v>9.25</v>
      </c>
      <c r="E281" s="67">
        <v>44264</v>
      </c>
      <c r="F281" s="64">
        <v>0</v>
      </c>
      <c r="G281" s="67">
        <v>44265</v>
      </c>
      <c r="H281" s="64">
        <v>0</v>
      </c>
      <c r="I281" s="99">
        <v>44280</v>
      </c>
      <c r="J281" s="64">
        <f t="shared" si="267"/>
        <v>0</v>
      </c>
      <c r="K281" s="67">
        <v>44271</v>
      </c>
      <c r="L281" s="64">
        <f t="shared" si="268"/>
        <v>0</v>
      </c>
      <c r="M281" s="64">
        <f t="shared" si="269"/>
        <v>0</v>
      </c>
      <c r="N281" s="67">
        <f t="shared" si="263"/>
        <v>44281</v>
      </c>
      <c r="O281" s="64">
        <f t="shared" si="270"/>
        <v>1</v>
      </c>
      <c r="P281" s="64">
        <f t="shared" si="271"/>
        <v>0</v>
      </c>
      <c r="Q281" s="91" t="str">
        <f t="shared" si="264"/>
        <v>Selesai</v>
      </c>
      <c r="R281" s="64">
        <f t="shared" si="272"/>
        <v>0</v>
      </c>
      <c r="S281" s="67">
        <v>44274</v>
      </c>
      <c r="T281" s="67">
        <v>44286</v>
      </c>
      <c r="U281" s="64">
        <f t="shared" si="265"/>
        <v>1</v>
      </c>
      <c r="V281" s="64"/>
      <c r="W281" s="64"/>
      <c r="X281" s="93"/>
      <c r="Y281" s="94"/>
      <c r="Z281" s="91" t="str">
        <f t="shared" si="266"/>
        <v>100%</v>
      </c>
      <c r="AA281" s="67"/>
      <c r="AB281" s="473"/>
      <c r="AC281" s="478" t="s">
        <v>2711</v>
      </c>
      <c r="AD281" s="67"/>
    </row>
    <row r="282" spans="2:30">
      <c r="B282" s="64" t="s">
        <v>105</v>
      </c>
      <c r="C282" s="65" t="s">
        <v>351</v>
      </c>
      <c r="D282" s="66">
        <v>13.68</v>
      </c>
      <c r="E282" s="67">
        <v>44257</v>
      </c>
      <c r="F282" s="64">
        <v>0</v>
      </c>
      <c r="G282" s="67">
        <v>44263</v>
      </c>
      <c r="H282" s="64">
        <v>0</v>
      </c>
      <c r="I282" s="99">
        <v>44280</v>
      </c>
      <c r="J282" s="64">
        <f t="shared" si="267"/>
        <v>0</v>
      </c>
      <c r="K282" s="67">
        <v>44265</v>
      </c>
      <c r="L282" s="64">
        <f t="shared" si="268"/>
        <v>0</v>
      </c>
      <c r="M282" s="64">
        <f t="shared" si="269"/>
        <v>0</v>
      </c>
      <c r="N282" s="67">
        <f t="shared" si="263"/>
        <v>44281</v>
      </c>
      <c r="O282" s="64">
        <f t="shared" si="270"/>
        <v>1</v>
      </c>
      <c r="P282" s="64">
        <f t="shared" si="271"/>
        <v>0</v>
      </c>
      <c r="Q282" s="91" t="str">
        <f t="shared" si="264"/>
        <v>Selesai</v>
      </c>
      <c r="R282" s="64">
        <f t="shared" si="272"/>
        <v>0</v>
      </c>
      <c r="S282" s="67">
        <v>44276</v>
      </c>
      <c r="T282" s="67">
        <v>44286</v>
      </c>
      <c r="U282" s="64">
        <f t="shared" si="265"/>
        <v>1</v>
      </c>
      <c r="V282" s="64"/>
      <c r="W282" s="64"/>
      <c r="X282" s="93"/>
      <c r="Y282" s="94"/>
      <c r="Z282" s="91" t="str">
        <f t="shared" si="266"/>
        <v>100%</v>
      </c>
      <c r="AA282" s="67"/>
      <c r="AB282" s="473"/>
      <c r="AC282" s="478" t="s">
        <v>2711</v>
      </c>
      <c r="AD282" s="67"/>
    </row>
    <row r="283" spans="2:30">
      <c r="B283" s="64" t="s">
        <v>107</v>
      </c>
      <c r="C283" s="65" t="s">
        <v>352</v>
      </c>
      <c r="D283" s="66">
        <v>7.47</v>
      </c>
      <c r="E283" s="67">
        <v>44252</v>
      </c>
      <c r="F283" s="64">
        <v>0</v>
      </c>
      <c r="G283" s="67">
        <v>44253</v>
      </c>
      <c r="H283" s="64">
        <v>0</v>
      </c>
      <c r="I283" s="67">
        <v>44273</v>
      </c>
      <c r="J283" s="64">
        <f t="shared" si="267"/>
        <v>0</v>
      </c>
      <c r="K283" s="67">
        <v>44265</v>
      </c>
      <c r="L283" s="64">
        <f t="shared" si="268"/>
        <v>0</v>
      </c>
      <c r="M283" s="64">
        <f t="shared" si="269"/>
        <v>0</v>
      </c>
      <c r="N283" s="67">
        <f t="shared" si="263"/>
        <v>44274</v>
      </c>
      <c r="O283" s="64">
        <f t="shared" si="270"/>
        <v>1</v>
      </c>
      <c r="P283" s="64">
        <f t="shared" si="271"/>
        <v>0</v>
      </c>
      <c r="Q283" s="91" t="str">
        <f t="shared" si="264"/>
        <v>Selesai</v>
      </c>
      <c r="R283" s="64">
        <f t="shared" si="272"/>
        <v>0</v>
      </c>
      <c r="S283" s="67">
        <v>44270</v>
      </c>
      <c r="T283" s="67">
        <v>44293</v>
      </c>
      <c r="U283" s="64">
        <f t="shared" si="265"/>
        <v>1</v>
      </c>
      <c r="V283" s="64"/>
      <c r="W283" s="64"/>
      <c r="X283" s="93"/>
      <c r="Y283" s="94"/>
      <c r="Z283" s="91" t="str">
        <f t="shared" si="266"/>
        <v>100%</v>
      </c>
      <c r="AA283" s="67"/>
      <c r="AB283" s="473"/>
      <c r="AC283" s="478" t="s">
        <v>2711</v>
      </c>
      <c r="AD283" s="67"/>
    </row>
    <row r="284" spans="2:30">
      <c r="B284" s="64" t="s">
        <v>109</v>
      </c>
      <c r="C284" s="65" t="s">
        <v>353</v>
      </c>
      <c r="D284" s="66">
        <v>4.9000000000000004</v>
      </c>
      <c r="E284" s="67">
        <v>44272</v>
      </c>
      <c r="F284" s="64">
        <v>0</v>
      </c>
      <c r="G284" s="67">
        <v>44273</v>
      </c>
      <c r="H284" s="64">
        <v>0</v>
      </c>
      <c r="I284" s="67">
        <v>44289</v>
      </c>
      <c r="J284" s="64">
        <f t="shared" si="267"/>
        <v>0</v>
      </c>
      <c r="K284" s="67">
        <v>44284</v>
      </c>
      <c r="L284" s="64">
        <f t="shared" si="268"/>
        <v>0</v>
      </c>
      <c r="M284" s="64">
        <f t="shared" si="269"/>
        <v>0</v>
      </c>
      <c r="N284" s="67">
        <f t="shared" si="263"/>
        <v>44290</v>
      </c>
      <c r="O284" s="64">
        <f t="shared" si="270"/>
        <v>1</v>
      </c>
      <c r="P284" s="64">
        <f t="shared" si="271"/>
        <v>0</v>
      </c>
      <c r="Q284" s="91" t="str">
        <f t="shared" si="264"/>
        <v>Selesai</v>
      </c>
      <c r="R284" s="64">
        <f t="shared" si="272"/>
        <v>0</v>
      </c>
      <c r="S284" s="67">
        <v>44285</v>
      </c>
      <c r="T284" s="67">
        <v>44293</v>
      </c>
      <c r="U284" s="64">
        <f t="shared" si="265"/>
        <v>1</v>
      </c>
      <c r="V284" s="64"/>
      <c r="W284" s="64"/>
      <c r="X284" s="93"/>
      <c r="Y284" s="94"/>
      <c r="Z284" s="91" t="str">
        <f t="shared" si="266"/>
        <v>100%</v>
      </c>
      <c r="AA284" s="67"/>
      <c r="AB284" s="473"/>
      <c r="AC284" s="478" t="s">
        <v>2711</v>
      </c>
      <c r="AD284" s="67"/>
    </row>
    <row r="285" spans="2:30">
      <c r="B285" s="64" t="s">
        <v>113</v>
      </c>
      <c r="C285" s="65" t="s">
        <v>354</v>
      </c>
      <c r="D285" s="66">
        <v>12.94</v>
      </c>
      <c r="E285" s="67">
        <v>44273</v>
      </c>
      <c r="F285" s="64">
        <f>IF(E285&gt;0,1,0)</f>
        <v>1</v>
      </c>
      <c r="G285" s="67">
        <v>44274</v>
      </c>
      <c r="H285" s="64">
        <v>0</v>
      </c>
      <c r="I285" s="67">
        <v>44283</v>
      </c>
      <c r="J285" s="64">
        <f t="shared" si="267"/>
        <v>0</v>
      </c>
      <c r="K285" s="67">
        <v>44277</v>
      </c>
      <c r="L285" s="64">
        <f t="shared" si="268"/>
        <v>0</v>
      </c>
      <c r="M285" s="64">
        <f t="shared" si="269"/>
        <v>0</v>
      </c>
      <c r="N285" s="67">
        <f t="shared" si="263"/>
        <v>44284</v>
      </c>
      <c r="O285" s="64">
        <f t="shared" si="270"/>
        <v>1</v>
      </c>
      <c r="P285" s="64">
        <f t="shared" si="271"/>
        <v>0</v>
      </c>
      <c r="Q285" s="91" t="str">
        <f t="shared" si="264"/>
        <v>Selesai</v>
      </c>
      <c r="R285" s="64">
        <f t="shared" si="272"/>
        <v>0</v>
      </c>
      <c r="S285" s="67">
        <v>44279</v>
      </c>
      <c r="T285" s="67">
        <v>44294</v>
      </c>
      <c r="U285" s="64">
        <f t="shared" si="265"/>
        <v>1</v>
      </c>
      <c r="V285" s="64"/>
      <c r="W285" s="64"/>
      <c r="X285" s="93"/>
      <c r="Y285" s="94"/>
      <c r="Z285" s="91" t="str">
        <f t="shared" si="266"/>
        <v>100%</v>
      </c>
      <c r="AA285" s="67"/>
      <c r="AB285" s="473"/>
      <c r="AC285" s="478" t="s">
        <v>2711</v>
      </c>
      <c r="AD285" s="67"/>
    </row>
    <row r="286" spans="2:30">
      <c r="B286" s="64" t="s">
        <v>113</v>
      </c>
      <c r="C286" s="65" t="s">
        <v>355</v>
      </c>
      <c r="D286" s="66">
        <v>8.4499999999999993</v>
      </c>
      <c r="E286" s="67">
        <v>44274</v>
      </c>
      <c r="F286" s="64">
        <v>0</v>
      </c>
      <c r="G286" s="67">
        <v>44275</v>
      </c>
      <c r="H286" s="64">
        <v>0</v>
      </c>
      <c r="I286" s="67">
        <v>44295</v>
      </c>
      <c r="J286" s="64">
        <f t="shared" si="267"/>
        <v>0</v>
      </c>
      <c r="K286" s="67">
        <v>44277</v>
      </c>
      <c r="L286" s="64">
        <f t="shared" si="268"/>
        <v>0</v>
      </c>
      <c r="M286" s="64">
        <f t="shared" si="269"/>
        <v>0</v>
      </c>
      <c r="N286" s="67">
        <f t="shared" si="263"/>
        <v>44296</v>
      </c>
      <c r="O286" s="64">
        <f t="shared" si="270"/>
        <v>1</v>
      </c>
      <c r="P286" s="64">
        <f t="shared" si="271"/>
        <v>0</v>
      </c>
      <c r="Q286" s="91" t="str">
        <f t="shared" si="264"/>
        <v>Selesai</v>
      </c>
      <c r="R286" s="64">
        <f t="shared" si="272"/>
        <v>0</v>
      </c>
      <c r="S286" s="67">
        <v>44280</v>
      </c>
      <c r="T286" s="67">
        <v>44296</v>
      </c>
      <c r="U286" s="64">
        <f t="shared" si="265"/>
        <v>1</v>
      </c>
      <c r="V286" s="64"/>
      <c r="W286" s="64"/>
      <c r="X286" s="93"/>
      <c r="Y286" s="94"/>
      <c r="Z286" s="91" t="str">
        <f t="shared" si="266"/>
        <v>100%</v>
      </c>
      <c r="AA286" s="67"/>
      <c r="AB286" s="473"/>
      <c r="AC286" s="478" t="s">
        <v>2711</v>
      </c>
      <c r="AD286" s="67"/>
    </row>
    <row r="287" spans="2:30">
      <c r="B287" s="64" t="s">
        <v>113</v>
      </c>
      <c r="C287" s="65" t="s">
        <v>356</v>
      </c>
      <c r="D287" s="66">
        <v>5.38</v>
      </c>
      <c r="E287" s="67">
        <v>44275</v>
      </c>
      <c r="F287" s="64">
        <v>0</v>
      </c>
      <c r="G287" s="67">
        <v>44282</v>
      </c>
      <c r="H287" s="64">
        <v>0</v>
      </c>
      <c r="I287" s="67">
        <v>44295</v>
      </c>
      <c r="J287" s="64">
        <f t="shared" si="267"/>
        <v>0</v>
      </c>
      <c r="K287" s="67">
        <v>44284</v>
      </c>
      <c r="L287" s="64">
        <f t="shared" si="268"/>
        <v>0</v>
      </c>
      <c r="M287" s="64">
        <f t="shared" si="269"/>
        <v>0</v>
      </c>
      <c r="N287" s="67">
        <f t="shared" si="263"/>
        <v>44296</v>
      </c>
      <c r="O287" s="64">
        <f t="shared" si="270"/>
        <v>1</v>
      </c>
      <c r="P287" s="64">
        <f t="shared" si="271"/>
        <v>0</v>
      </c>
      <c r="Q287" s="91" t="str">
        <f t="shared" si="264"/>
        <v>Selesai</v>
      </c>
      <c r="R287" s="64">
        <f t="shared" si="272"/>
        <v>0</v>
      </c>
      <c r="S287" s="67">
        <v>44285</v>
      </c>
      <c r="T287" s="67">
        <v>44301</v>
      </c>
      <c r="U287" s="64">
        <f t="shared" si="265"/>
        <v>1</v>
      </c>
      <c r="V287" s="64"/>
      <c r="W287" s="64"/>
      <c r="X287" s="93"/>
      <c r="Y287" s="94"/>
      <c r="Z287" s="91" t="str">
        <f t="shared" si="266"/>
        <v>100%</v>
      </c>
      <c r="AA287" s="67"/>
      <c r="AB287" s="473"/>
      <c r="AC287" s="478" t="s">
        <v>2711</v>
      </c>
      <c r="AD287" s="67"/>
    </row>
    <row r="288" spans="2:30">
      <c r="B288" s="64" t="s">
        <v>105</v>
      </c>
      <c r="C288" s="65" t="s">
        <v>357</v>
      </c>
      <c r="D288" s="66">
        <v>11.63</v>
      </c>
      <c r="E288" s="67">
        <v>44283</v>
      </c>
      <c r="F288" s="64">
        <v>0</v>
      </c>
      <c r="G288" s="67">
        <v>44284</v>
      </c>
      <c r="H288" s="64">
        <v>0</v>
      </c>
      <c r="I288" s="67">
        <v>44298</v>
      </c>
      <c r="J288" s="64">
        <f t="shared" si="267"/>
        <v>0</v>
      </c>
      <c r="K288" s="67">
        <v>44288</v>
      </c>
      <c r="L288" s="64">
        <f t="shared" si="268"/>
        <v>0</v>
      </c>
      <c r="M288" s="64">
        <f t="shared" si="269"/>
        <v>0</v>
      </c>
      <c r="N288" s="67">
        <f t="shared" si="263"/>
        <v>44299</v>
      </c>
      <c r="O288" s="64">
        <f t="shared" si="270"/>
        <v>1</v>
      </c>
      <c r="P288" s="64">
        <f t="shared" si="271"/>
        <v>0</v>
      </c>
      <c r="Q288" s="91" t="str">
        <f t="shared" si="264"/>
        <v>Selesai</v>
      </c>
      <c r="R288" s="64">
        <f t="shared" si="272"/>
        <v>0</v>
      </c>
      <c r="S288" s="67">
        <v>44291</v>
      </c>
      <c r="T288" s="67">
        <v>44305</v>
      </c>
      <c r="U288" s="64">
        <f t="shared" si="265"/>
        <v>1</v>
      </c>
      <c r="V288" s="64"/>
      <c r="W288" s="64"/>
      <c r="X288" s="93"/>
      <c r="Y288" s="94"/>
      <c r="Z288" s="91" t="str">
        <f t="shared" si="266"/>
        <v>100%</v>
      </c>
      <c r="AA288" s="67"/>
      <c r="AB288" s="473"/>
      <c r="AC288" s="478" t="s">
        <v>2711</v>
      </c>
      <c r="AD288" s="67"/>
    </row>
    <row r="289" spans="2:30">
      <c r="B289" s="64" t="s">
        <v>105</v>
      </c>
      <c r="C289" s="65" t="s">
        <v>358</v>
      </c>
      <c r="D289" s="66">
        <v>3.41</v>
      </c>
      <c r="E289" s="67">
        <v>44283</v>
      </c>
      <c r="F289" s="64">
        <v>0</v>
      </c>
      <c r="G289" s="67">
        <v>44285</v>
      </c>
      <c r="H289" s="64">
        <v>0</v>
      </c>
      <c r="I289" s="67">
        <v>44301</v>
      </c>
      <c r="J289" s="64">
        <f t="shared" si="267"/>
        <v>0</v>
      </c>
      <c r="K289" s="67">
        <v>44288</v>
      </c>
      <c r="L289" s="64">
        <f t="shared" si="268"/>
        <v>0</v>
      </c>
      <c r="M289" s="64">
        <f t="shared" si="269"/>
        <v>0</v>
      </c>
      <c r="N289" s="67">
        <f t="shared" ref="N289:N320" si="273">IF(AND(I289&gt;0,K289&gt;0),MAX(I289:K289)+1,"")</f>
        <v>44302</v>
      </c>
      <c r="O289" s="64">
        <f t="shared" si="270"/>
        <v>1</v>
      </c>
      <c r="P289" s="64">
        <f t="shared" si="271"/>
        <v>0</v>
      </c>
      <c r="Q289" s="91" t="str">
        <f t="shared" si="264"/>
        <v>Selesai</v>
      </c>
      <c r="R289" s="64">
        <f t="shared" si="272"/>
        <v>0</v>
      </c>
      <c r="S289" s="67">
        <v>44295</v>
      </c>
      <c r="T289" s="67">
        <v>44308</v>
      </c>
      <c r="U289" s="64">
        <f t="shared" si="265"/>
        <v>1</v>
      </c>
      <c r="V289" s="64"/>
      <c r="W289" s="64"/>
      <c r="X289" s="93"/>
      <c r="Y289" s="94"/>
      <c r="Z289" s="91" t="str">
        <f t="shared" si="266"/>
        <v>100%</v>
      </c>
      <c r="AA289" s="67"/>
      <c r="AB289" s="473"/>
      <c r="AC289" s="478" t="s">
        <v>2711</v>
      </c>
      <c r="AD289" s="67"/>
    </row>
    <row r="290" spans="2:30">
      <c r="B290" s="64" t="s">
        <v>109</v>
      </c>
      <c r="C290" s="65" t="s">
        <v>359</v>
      </c>
      <c r="D290" s="66">
        <v>10</v>
      </c>
      <c r="E290" s="67">
        <v>44287</v>
      </c>
      <c r="F290" s="64">
        <v>0</v>
      </c>
      <c r="G290" s="67">
        <v>44288</v>
      </c>
      <c r="H290" s="64">
        <v>0</v>
      </c>
      <c r="I290" s="67">
        <v>44301</v>
      </c>
      <c r="J290" s="64">
        <f t="shared" si="267"/>
        <v>0</v>
      </c>
      <c r="K290" s="67">
        <v>44294</v>
      </c>
      <c r="L290" s="64">
        <f t="shared" si="268"/>
        <v>0</v>
      </c>
      <c r="M290" s="64">
        <f t="shared" si="269"/>
        <v>0</v>
      </c>
      <c r="N290" s="67">
        <f t="shared" si="273"/>
        <v>44302</v>
      </c>
      <c r="O290" s="64">
        <f t="shared" si="270"/>
        <v>1</v>
      </c>
      <c r="P290" s="64">
        <f t="shared" si="271"/>
        <v>0</v>
      </c>
      <c r="Q290" s="91" t="str">
        <f t="shared" si="264"/>
        <v>Selesai</v>
      </c>
      <c r="R290" s="64">
        <f t="shared" si="272"/>
        <v>0</v>
      </c>
      <c r="S290" s="67">
        <v>44295</v>
      </c>
      <c r="T290" s="67">
        <v>44308</v>
      </c>
      <c r="U290" s="64">
        <f t="shared" si="265"/>
        <v>1</v>
      </c>
      <c r="V290" s="64"/>
      <c r="W290" s="64"/>
      <c r="X290" s="93"/>
      <c r="Y290" s="94"/>
      <c r="Z290" s="91" t="str">
        <f t="shared" si="266"/>
        <v>100%</v>
      </c>
      <c r="AA290" s="67"/>
      <c r="AB290" s="473"/>
      <c r="AC290" s="478" t="s">
        <v>2711</v>
      </c>
      <c r="AD290" s="67"/>
    </row>
    <row r="291" spans="2:30">
      <c r="B291" s="64" t="s">
        <v>113</v>
      </c>
      <c r="C291" s="65" t="s">
        <v>360</v>
      </c>
      <c r="D291" s="66">
        <v>10.66</v>
      </c>
      <c r="E291" s="67">
        <v>44285</v>
      </c>
      <c r="F291" s="64">
        <v>0</v>
      </c>
      <c r="G291" s="67">
        <v>44294</v>
      </c>
      <c r="H291" s="64">
        <v>0</v>
      </c>
      <c r="I291" s="67">
        <v>44306</v>
      </c>
      <c r="J291" s="64">
        <f t="shared" si="267"/>
        <v>0</v>
      </c>
      <c r="K291" s="67">
        <v>44293</v>
      </c>
      <c r="L291" s="64">
        <f t="shared" si="268"/>
        <v>0</v>
      </c>
      <c r="M291" s="64">
        <f t="shared" si="269"/>
        <v>0</v>
      </c>
      <c r="N291" s="67">
        <f t="shared" si="273"/>
        <v>44307</v>
      </c>
      <c r="O291" s="64">
        <f t="shared" si="270"/>
        <v>1</v>
      </c>
      <c r="P291" s="64">
        <f t="shared" si="271"/>
        <v>0</v>
      </c>
      <c r="Q291" s="91" t="str">
        <f t="shared" si="264"/>
        <v>Selesai</v>
      </c>
      <c r="R291" s="64">
        <f t="shared" si="272"/>
        <v>0</v>
      </c>
      <c r="S291" s="67">
        <v>44300</v>
      </c>
      <c r="T291" s="67">
        <v>44310</v>
      </c>
      <c r="U291" s="64">
        <f t="shared" si="265"/>
        <v>1</v>
      </c>
      <c r="V291" s="64"/>
      <c r="W291" s="64"/>
      <c r="X291" s="93"/>
      <c r="Y291" s="94"/>
      <c r="Z291" s="91" t="str">
        <f t="shared" si="266"/>
        <v>100%</v>
      </c>
      <c r="AA291" s="67"/>
      <c r="AB291" s="473"/>
      <c r="AC291" s="478" t="s">
        <v>2711</v>
      </c>
      <c r="AD291" s="67"/>
    </row>
    <row r="292" spans="2:30">
      <c r="B292" s="64" t="s">
        <v>113</v>
      </c>
      <c r="C292" s="65" t="s">
        <v>361</v>
      </c>
      <c r="D292" s="66">
        <v>6.68</v>
      </c>
      <c r="E292" s="67">
        <v>44284</v>
      </c>
      <c r="F292" s="64">
        <v>0</v>
      </c>
      <c r="G292" s="67">
        <v>44288</v>
      </c>
      <c r="H292" s="64">
        <v>0</v>
      </c>
      <c r="I292" s="67">
        <v>44301</v>
      </c>
      <c r="J292" s="64">
        <f t="shared" si="267"/>
        <v>0</v>
      </c>
      <c r="K292" s="67">
        <v>44293</v>
      </c>
      <c r="L292" s="64">
        <f t="shared" si="268"/>
        <v>0</v>
      </c>
      <c r="M292" s="64">
        <f t="shared" si="269"/>
        <v>0</v>
      </c>
      <c r="N292" s="67">
        <f t="shared" si="273"/>
        <v>44302</v>
      </c>
      <c r="O292" s="64">
        <f t="shared" si="270"/>
        <v>1</v>
      </c>
      <c r="P292" s="64">
        <f t="shared" si="271"/>
        <v>0</v>
      </c>
      <c r="Q292" s="91" t="str">
        <f t="shared" si="264"/>
        <v>Selesai</v>
      </c>
      <c r="R292" s="64">
        <f t="shared" si="272"/>
        <v>0</v>
      </c>
      <c r="S292" s="67">
        <v>44294</v>
      </c>
      <c r="T292" s="67">
        <v>44313</v>
      </c>
      <c r="U292" s="64">
        <f t="shared" si="265"/>
        <v>1</v>
      </c>
      <c r="V292" s="64"/>
      <c r="W292" s="64"/>
      <c r="X292" s="93"/>
      <c r="Y292" s="94"/>
      <c r="Z292" s="91" t="str">
        <f t="shared" si="266"/>
        <v>100%</v>
      </c>
      <c r="AA292" s="67"/>
      <c r="AB292" s="473"/>
      <c r="AC292" s="478" t="s">
        <v>2711</v>
      </c>
      <c r="AD292" s="67"/>
    </row>
    <row r="293" spans="2:30">
      <c r="B293" s="64" t="s">
        <v>109</v>
      </c>
      <c r="C293" s="65" t="s">
        <v>362</v>
      </c>
      <c r="D293" s="66">
        <v>5.7</v>
      </c>
      <c r="E293" s="67">
        <v>44283</v>
      </c>
      <c r="F293" s="64">
        <v>0</v>
      </c>
      <c r="G293" s="67">
        <v>44284</v>
      </c>
      <c r="H293" s="64">
        <v>0</v>
      </c>
      <c r="I293" s="67">
        <v>44294</v>
      </c>
      <c r="J293" s="64">
        <f t="shared" si="267"/>
        <v>0</v>
      </c>
      <c r="K293" s="67">
        <v>44294</v>
      </c>
      <c r="L293" s="64">
        <f t="shared" si="268"/>
        <v>0</v>
      </c>
      <c r="M293" s="64">
        <f t="shared" si="269"/>
        <v>0</v>
      </c>
      <c r="N293" s="67">
        <f t="shared" si="273"/>
        <v>44295</v>
      </c>
      <c r="O293" s="64">
        <f t="shared" si="270"/>
        <v>1</v>
      </c>
      <c r="P293" s="64">
        <f t="shared" si="271"/>
        <v>0</v>
      </c>
      <c r="Q293" s="91" t="str">
        <f t="shared" si="264"/>
        <v>Selesai</v>
      </c>
      <c r="R293" s="64">
        <f t="shared" si="272"/>
        <v>0</v>
      </c>
      <c r="S293" s="67">
        <v>44298</v>
      </c>
      <c r="T293" s="67">
        <v>44316</v>
      </c>
      <c r="U293" s="64">
        <f t="shared" si="265"/>
        <v>1</v>
      </c>
      <c r="V293" s="64"/>
      <c r="W293" s="64"/>
      <c r="X293" s="93"/>
      <c r="Y293" s="94"/>
      <c r="Z293" s="91" t="str">
        <f t="shared" si="266"/>
        <v>100%</v>
      </c>
      <c r="AA293" s="67"/>
      <c r="AB293" s="473"/>
      <c r="AC293" s="478" t="s">
        <v>2711</v>
      </c>
      <c r="AD293" s="67"/>
    </row>
    <row r="294" spans="2:30">
      <c r="B294" s="64" t="s">
        <v>113</v>
      </c>
      <c r="C294" s="65" t="s">
        <v>363</v>
      </c>
      <c r="D294" s="66">
        <v>7.66</v>
      </c>
      <c r="E294" s="67">
        <v>44285</v>
      </c>
      <c r="F294" s="64">
        <v>0</v>
      </c>
      <c r="G294" s="67">
        <v>44293</v>
      </c>
      <c r="H294" s="64">
        <v>0</v>
      </c>
      <c r="I294" s="67">
        <v>44303</v>
      </c>
      <c r="J294" s="64">
        <f t="shared" si="267"/>
        <v>0</v>
      </c>
      <c r="K294" s="67">
        <v>44293</v>
      </c>
      <c r="L294" s="64">
        <f t="shared" si="268"/>
        <v>0</v>
      </c>
      <c r="M294" s="64">
        <f t="shared" si="269"/>
        <v>0</v>
      </c>
      <c r="N294" s="67">
        <f t="shared" si="273"/>
        <v>44304</v>
      </c>
      <c r="O294" s="64">
        <f t="shared" si="270"/>
        <v>1</v>
      </c>
      <c r="P294" s="64">
        <f t="shared" si="271"/>
        <v>0</v>
      </c>
      <c r="Q294" s="91" t="str">
        <f t="shared" si="264"/>
        <v>Selesai</v>
      </c>
      <c r="R294" s="64">
        <f t="shared" si="272"/>
        <v>0</v>
      </c>
      <c r="S294" s="67">
        <v>44296</v>
      </c>
      <c r="T294" s="67">
        <v>44316</v>
      </c>
      <c r="U294" s="64">
        <f t="shared" si="265"/>
        <v>1</v>
      </c>
      <c r="V294" s="64"/>
      <c r="W294" s="64"/>
      <c r="X294" s="93"/>
      <c r="Y294" s="94"/>
      <c r="Z294" s="91" t="str">
        <f t="shared" si="266"/>
        <v>100%</v>
      </c>
      <c r="AA294" s="67"/>
      <c r="AB294" s="473"/>
      <c r="AC294" s="478" t="s">
        <v>2711</v>
      </c>
      <c r="AD294" s="67"/>
    </row>
    <row r="295" spans="2:30">
      <c r="B295" s="64" t="s">
        <v>113</v>
      </c>
      <c r="C295" s="65" t="s">
        <v>364</v>
      </c>
      <c r="D295" s="66">
        <v>9.5500000000000007</v>
      </c>
      <c r="E295" s="67">
        <v>44300</v>
      </c>
      <c r="F295" s="64">
        <f>IF(E295&gt;0,1,0)</f>
        <v>1</v>
      </c>
      <c r="G295" s="67">
        <v>44301</v>
      </c>
      <c r="H295" s="64">
        <v>0</v>
      </c>
      <c r="I295" s="67">
        <v>44306</v>
      </c>
      <c r="J295" s="64">
        <f t="shared" si="267"/>
        <v>0</v>
      </c>
      <c r="K295" s="67">
        <v>44301</v>
      </c>
      <c r="L295" s="64">
        <f t="shared" si="268"/>
        <v>0</v>
      </c>
      <c r="M295" s="64">
        <f t="shared" si="269"/>
        <v>0</v>
      </c>
      <c r="N295" s="67">
        <f t="shared" si="273"/>
        <v>44307</v>
      </c>
      <c r="O295" s="64">
        <f t="shared" si="270"/>
        <v>1</v>
      </c>
      <c r="P295" s="64">
        <f t="shared" si="271"/>
        <v>0</v>
      </c>
      <c r="Q295" s="91" t="str">
        <f t="shared" si="264"/>
        <v>Selesai</v>
      </c>
      <c r="R295" s="64">
        <f t="shared" si="272"/>
        <v>0</v>
      </c>
      <c r="S295" s="67">
        <v>44302</v>
      </c>
      <c r="T295" s="67">
        <v>44322</v>
      </c>
      <c r="U295" s="64">
        <f t="shared" si="265"/>
        <v>1</v>
      </c>
      <c r="V295" s="64"/>
      <c r="W295" s="64"/>
      <c r="X295" s="93"/>
      <c r="Y295" s="94"/>
      <c r="Z295" s="91" t="str">
        <f t="shared" si="266"/>
        <v>100%</v>
      </c>
      <c r="AA295" s="67"/>
      <c r="AB295" s="473"/>
      <c r="AC295" s="478" t="s">
        <v>2711</v>
      </c>
      <c r="AD295" s="67"/>
    </row>
    <row r="296" spans="2:30">
      <c r="B296" s="64" t="s">
        <v>113</v>
      </c>
      <c r="C296" s="65" t="s">
        <v>365</v>
      </c>
      <c r="D296" s="66">
        <v>13.6</v>
      </c>
      <c r="E296" s="67">
        <v>44305</v>
      </c>
      <c r="F296" s="64">
        <v>0</v>
      </c>
      <c r="G296" s="67">
        <v>44306</v>
      </c>
      <c r="H296" s="64">
        <v>0</v>
      </c>
      <c r="I296" s="67">
        <v>44315</v>
      </c>
      <c r="J296" s="64">
        <f t="shared" si="267"/>
        <v>0</v>
      </c>
      <c r="K296" s="67">
        <v>44308</v>
      </c>
      <c r="L296" s="64">
        <f t="shared" si="268"/>
        <v>0</v>
      </c>
      <c r="M296" s="64">
        <f t="shared" si="269"/>
        <v>0</v>
      </c>
      <c r="N296" s="67">
        <f t="shared" si="273"/>
        <v>44316</v>
      </c>
      <c r="O296" s="64">
        <f t="shared" si="270"/>
        <v>1</v>
      </c>
      <c r="P296" s="64">
        <f t="shared" si="271"/>
        <v>0</v>
      </c>
      <c r="Q296" s="91" t="str">
        <f t="shared" si="264"/>
        <v>Selesai</v>
      </c>
      <c r="R296" s="64">
        <f t="shared" si="272"/>
        <v>0</v>
      </c>
      <c r="S296" s="67">
        <v>44309</v>
      </c>
      <c r="T296" s="67">
        <v>44323</v>
      </c>
      <c r="U296" s="64">
        <f t="shared" si="265"/>
        <v>1</v>
      </c>
      <c r="V296" s="64"/>
      <c r="W296" s="64"/>
      <c r="X296" s="93"/>
      <c r="Y296" s="94"/>
      <c r="Z296" s="91" t="str">
        <f t="shared" si="266"/>
        <v>100%</v>
      </c>
      <c r="AA296" s="67"/>
      <c r="AB296" s="473"/>
      <c r="AC296" s="478" t="s">
        <v>2711</v>
      </c>
      <c r="AD296" s="67"/>
    </row>
    <row r="297" spans="2:30">
      <c r="B297" s="64" t="s">
        <v>109</v>
      </c>
      <c r="C297" s="65" t="s">
        <v>366</v>
      </c>
      <c r="D297" s="66">
        <v>5.88</v>
      </c>
      <c r="E297" s="67">
        <v>44293</v>
      </c>
      <c r="F297" s="64">
        <v>0</v>
      </c>
      <c r="G297" s="67">
        <v>44294</v>
      </c>
      <c r="H297" s="64">
        <v>0</v>
      </c>
      <c r="I297" s="67">
        <v>44306</v>
      </c>
      <c r="J297" s="64">
        <f t="shared" si="267"/>
        <v>0</v>
      </c>
      <c r="K297" s="67">
        <v>44299</v>
      </c>
      <c r="L297" s="64">
        <f t="shared" si="268"/>
        <v>0</v>
      </c>
      <c r="M297" s="64">
        <f t="shared" si="269"/>
        <v>0</v>
      </c>
      <c r="N297" s="67">
        <f t="shared" si="273"/>
        <v>44307</v>
      </c>
      <c r="O297" s="64">
        <f t="shared" si="270"/>
        <v>1</v>
      </c>
      <c r="P297" s="64">
        <f t="shared" si="271"/>
        <v>0</v>
      </c>
      <c r="Q297" s="91" t="str">
        <f t="shared" si="264"/>
        <v>Selesai</v>
      </c>
      <c r="R297" s="64">
        <f t="shared" si="272"/>
        <v>0</v>
      </c>
      <c r="S297" s="67">
        <v>44300</v>
      </c>
      <c r="T297" s="67">
        <v>44324</v>
      </c>
      <c r="U297" s="64">
        <f t="shared" si="265"/>
        <v>1</v>
      </c>
      <c r="V297" s="64"/>
      <c r="W297" s="64"/>
      <c r="X297" s="93"/>
      <c r="Y297" s="94"/>
      <c r="Z297" s="91" t="str">
        <f t="shared" si="266"/>
        <v>100%</v>
      </c>
      <c r="AA297" s="67"/>
      <c r="AB297" s="473"/>
      <c r="AC297" s="478" t="s">
        <v>2711</v>
      </c>
      <c r="AD297" s="67"/>
    </row>
    <row r="298" spans="2:30">
      <c r="B298" s="64" t="s">
        <v>107</v>
      </c>
      <c r="C298" s="65" t="s">
        <v>367</v>
      </c>
      <c r="D298" s="66">
        <v>5.41</v>
      </c>
      <c r="E298" s="67">
        <v>44294</v>
      </c>
      <c r="F298" s="64">
        <v>0</v>
      </c>
      <c r="G298" s="67">
        <v>44295</v>
      </c>
      <c r="H298" s="64">
        <v>0</v>
      </c>
      <c r="I298" s="67">
        <v>44311</v>
      </c>
      <c r="J298" s="64">
        <f t="shared" si="267"/>
        <v>0</v>
      </c>
      <c r="K298" s="67">
        <v>44299</v>
      </c>
      <c r="L298" s="64">
        <f t="shared" si="268"/>
        <v>0</v>
      </c>
      <c r="M298" s="64">
        <f t="shared" si="269"/>
        <v>0</v>
      </c>
      <c r="N298" s="67">
        <f t="shared" si="273"/>
        <v>44312</v>
      </c>
      <c r="O298" s="64">
        <f t="shared" si="270"/>
        <v>1</v>
      </c>
      <c r="P298" s="64">
        <f t="shared" si="271"/>
        <v>0</v>
      </c>
      <c r="Q298" s="91" t="str">
        <f t="shared" si="264"/>
        <v>Selesai</v>
      </c>
      <c r="R298" s="64">
        <f t="shared" si="272"/>
        <v>0</v>
      </c>
      <c r="S298" s="67">
        <v>44306</v>
      </c>
      <c r="T298" s="67">
        <v>44347</v>
      </c>
      <c r="U298" s="64">
        <f t="shared" si="265"/>
        <v>1</v>
      </c>
      <c r="V298" s="64"/>
      <c r="W298" s="64"/>
      <c r="X298" s="93"/>
      <c r="Y298" s="94"/>
      <c r="Z298" s="91" t="str">
        <f t="shared" si="266"/>
        <v>100%</v>
      </c>
      <c r="AA298" s="67"/>
      <c r="AB298" s="473"/>
      <c r="AC298" s="478" t="s">
        <v>2711</v>
      </c>
      <c r="AD298" s="67"/>
    </row>
    <row r="299" spans="2:30">
      <c r="B299" s="64" t="s">
        <v>113</v>
      </c>
      <c r="C299" s="65" t="s">
        <v>368</v>
      </c>
      <c r="D299" s="66">
        <v>6.78</v>
      </c>
      <c r="E299" s="67">
        <v>44295</v>
      </c>
      <c r="F299" s="64">
        <f>IF(E299&gt;0,1,0)</f>
        <v>1</v>
      </c>
      <c r="G299" s="67">
        <v>44299</v>
      </c>
      <c r="H299" s="64">
        <v>0</v>
      </c>
      <c r="I299" s="67">
        <v>44311</v>
      </c>
      <c r="J299" s="64">
        <f t="shared" si="267"/>
        <v>0</v>
      </c>
      <c r="K299" s="67">
        <v>44301</v>
      </c>
      <c r="L299" s="64">
        <f t="shared" si="268"/>
        <v>0</v>
      </c>
      <c r="M299" s="64">
        <f t="shared" si="269"/>
        <v>0</v>
      </c>
      <c r="N299" s="67">
        <f t="shared" si="273"/>
        <v>44312</v>
      </c>
      <c r="O299" s="64">
        <f t="shared" si="270"/>
        <v>1</v>
      </c>
      <c r="P299" s="64">
        <f t="shared" si="271"/>
        <v>0</v>
      </c>
      <c r="Q299" s="91" t="str">
        <f t="shared" si="264"/>
        <v>Selesai</v>
      </c>
      <c r="R299" s="64">
        <f t="shared" si="272"/>
        <v>0</v>
      </c>
      <c r="S299" s="67">
        <v>44304</v>
      </c>
      <c r="T299" s="67">
        <v>44347</v>
      </c>
      <c r="U299" s="64">
        <f t="shared" si="265"/>
        <v>1</v>
      </c>
      <c r="V299" s="64"/>
      <c r="W299" s="64"/>
      <c r="X299" s="93"/>
      <c r="Y299" s="94"/>
      <c r="Z299" s="91" t="str">
        <f t="shared" si="266"/>
        <v>100%</v>
      </c>
      <c r="AA299" s="67"/>
      <c r="AB299" s="473"/>
      <c r="AC299" s="478" t="s">
        <v>2711</v>
      </c>
      <c r="AD299" s="67"/>
    </row>
    <row r="300" spans="2:30">
      <c r="B300" s="64" t="s">
        <v>113</v>
      </c>
      <c r="C300" s="65" t="s">
        <v>369</v>
      </c>
      <c r="D300" s="66">
        <v>16.75</v>
      </c>
      <c r="E300" s="67">
        <v>44306</v>
      </c>
      <c r="F300" s="64">
        <v>0</v>
      </c>
      <c r="G300" s="67">
        <v>44307</v>
      </c>
      <c r="H300" s="64">
        <v>0</v>
      </c>
      <c r="I300" s="67">
        <v>44314</v>
      </c>
      <c r="J300" s="64">
        <f t="shared" si="267"/>
        <v>0</v>
      </c>
      <c r="K300" s="67">
        <v>44308</v>
      </c>
      <c r="L300" s="64">
        <f t="shared" si="268"/>
        <v>0</v>
      </c>
      <c r="M300" s="64">
        <f t="shared" si="269"/>
        <v>0</v>
      </c>
      <c r="N300" s="67">
        <f t="shared" si="273"/>
        <v>44315</v>
      </c>
      <c r="O300" s="64">
        <f t="shared" si="270"/>
        <v>1</v>
      </c>
      <c r="P300" s="64">
        <f t="shared" si="271"/>
        <v>0</v>
      </c>
      <c r="Q300" s="91" t="str">
        <f t="shared" si="264"/>
        <v>Selesai</v>
      </c>
      <c r="R300" s="64">
        <f t="shared" si="272"/>
        <v>0</v>
      </c>
      <c r="S300" s="67">
        <v>44309</v>
      </c>
      <c r="T300" s="67">
        <v>44347</v>
      </c>
      <c r="U300" s="64">
        <f t="shared" si="265"/>
        <v>1</v>
      </c>
      <c r="V300" s="64"/>
      <c r="W300" s="64"/>
      <c r="X300" s="93"/>
      <c r="Y300" s="94"/>
      <c r="Z300" s="91" t="str">
        <f t="shared" si="266"/>
        <v>100%</v>
      </c>
      <c r="AA300" s="67"/>
      <c r="AB300" s="473"/>
      <c r="AC300" s="478" t="s">
        <v>2711</v>
      </c>
      <c r="AD300" s="67"/>
    </row>
    <row r="301" spans="2:30">
      <c r="B301" s="64" t="s">
        <v>109</v>
      </c>
      <c r="C301" s="65" t="s">
        <v>370</v>
      </c>
      <c r="D301" s="66">
        <v>2.0299999999999998</v>
      </c>
      <c r="E301" s="67">
        <v>44315</v>
      </c>
      <c r="F301" s="64">
        <v>0</v>
      </c>
      <c r="G301" s="67">
        <v>44317</v>
      </c>
      <c r="H301" s="64">
        <v>0</v>
      </c>
      <c r="I301" s="99">
        <v>44333</v>
      </c>
      <c r="J301" s="64">
        <f t="shared" si="267"/>
        <v>0</v>
      </c>
      <c r="K301" s="67">
        <v>44323</v>
      </c>
      <c r="L301" s="64">
        <f t="shared" si="268"/>
        <v>0</v>
      </c>
      <c r="M301" s="64">
        <f t="shared" si="269"/>
        <v>0</v>
      </c>
      <c r="N301" s="67">
        <f t="shared" si="273"/>
        <v>44334</v>
      </c>
      <c r="O301" s="64">
        <f t="shared" si="270"/>
        <v>1</v>
      </c>
      <c r="P301" s="64">
        <f t="shared" si="271"/>
        <v>0</v>
      </c>
      <c r="Q301" s="91" t="str">
        <f t="shared" si="264"/>
        <v>Selesai</v>
      </c>
      <c r="R301" s="64">
        <f t="shared" si="272"/>
        <v>0</v>
      </c>
      <c r="S301" s="67">
        <f>VLOOKUP(C301,[7]Real!$B$7:$X$59,22,0)</f>
        <v>44325</v>
      </c>
      <c r="T301" s="67">
        <v>44350</v>
      </c>
      <c r="U301" s="64">
        <f t="shared" si="265"/>
        <v>1</v>
      </c>
      <c r="V301" s="64"/>
      <c r="W301" s="64"/>
      <c r="X301" s="93"/>
      <c r="Y301" s="94"/>
      <c r="Z301" s="91" t="str">
        <f t="shared" si="266"/>
        <v>100%</v>
      </c>
      <c r="AA301" s="67"/>
      <c r="AB301" s="473"/>
      <c r="AC301" s="478" t="s">
        <v>2711</v>
      </c>
      <c r="AD301" s="67"/>
    </row>
    <row r="302" spans="2:30">
      <c r="B302" s="64" t="s">
        <v>109</v>
      </c>
      <c r="C302" s="65" t="s">
        <v>371</v>
      </c>
      <c r="D302" s="66">
        <v>7.06</v>
      </c>
      <c r="E302" s="67">
        <v>44310</v>
      </c>
      <c r="F302" s="64">
        <v>0</v>
      </c>
      <c r="G302" s="67">
        <v>44312</v>
      </c>
      <c r="H302" s="64">
        <v>0</v>
      </c>
      <c r="I302" s="99">
        <v>44346</v>
      </c>
      <c r="J302" s="64">
        <f t="shared" si="267"/>
        <v>0</v>
      </c>
      <c r="K302" s="67">
        <v>44322</v>
      </c>
      <c r="L302" s="64">
        <f t="shared" si="268"/>
        <v>0</v>
      </c>
      <c r="M302" s="64">
        <f t="shared" si="269"/>
        <v>0</v>
      </c>
      <c r="N302" s="67">
        <f t="shared" si="273"/>
        <v>44347</v>
      </c>
      <c r="O302" s="64">
        <f t="shared" si="270"/>
        <v>1</v>
      </c>
      <c r="P302" s="64">
        <f t="shared" si="271"/>
        <v>0</v>
      </c>
      <c r="Q302" s="91" t="str">
        <f t="shared" si="264"/>
        <v>Selesai</v>
      </c>
      <c r="R302" s="64">
        <f t="shared" si="272"/>
        <v>0</v>
      </c>
      <c r="S302" s="67">
        <f>VLOOKUP(C302,[7]Real!$B$7:$X$59,22,0)</f>
        <v>44335</v>
      </c>
      <c r="T302" s="67">
        <v>44350</v>
      </c>
      <c r="U302" s="64">
        <f t="shared" si="265"/>
        <v>1</v>
      </c>
      <c r="V302" s="64"/>
      <c r="W302" s="64"/>
      <c r="X302" s="93"/>
      <c r="Y302" s="94"/>
      <c r="Z302" s="91" t="str">
        <f t="shared" si="266"/>
        <v>100%</v>
      </c>
      <c r="AA302" s="67"/>
      <c r="AB302" s="473"/>
      <c r="AC302" s="478" t="s">
        <v>2711</v>
      </c>
      <c r="AD302" s="67"/>
    </row>
    <row r="303" spans="2:30">
      <c r="B303" s="64" t="s">
        <v>109</v>
      </c>
      <c r="C303" s="65" t="s">
        <v>372</v>
      </c>
      <c r="D303" s="66">
        <v>6.05</v>
      </c>
      <c r="E303" s="67">
        <v>44306</v>
      </c>
      <c r="F303" s="64">
        <v>0</v>
      </c>
      <c r="G303" s="67">
        <v>44307</v>
      </c>
      <c r="H303" s="64">
        <v>0</v>
      </c>
      <c r="I303" s="99">
        <v>44317</v>
      </c>
      <c r="J303" s="64">
        <f t="shared" si="267"/>
        <v>0</v>
      </c>
      <c r="K303" s="67">
        <v>44310</v>
      </c>
      <c r="L303" s="64">
        <f t="shared" si="268"/>
        <v>0</v>
      </c>
      <c r="M303" s="64">
        <f t="shared" si="269"/>
        <v>0</v>
      </c>
      <c r="N303" s="67">
        <f t="shared" si="273"/>
        <v>44318</v>
      </c>
      <c r="O303" s="64">
        <f t="shared" si="270"/>
        <v>1</v>
      </c>
      <c r="P303" s="64">
        <f t="shared" si="271"/>
        <v>0</v>
      </c>
      <c r="Q303" s="91" t="str">
        <f t="shared" si="264"/>
        <v>Selesai</v>
      </c>
      <c r="R303" s="64">
        <f t="shared" si="272"/>
        <v>0</v>
      </c>
      <c r="S303" s="67">
        <f>VLOOKUP(C303,[7]Real!$B$7:$X$59,22,0)</f>
        <v>44313</v>
      </c>
      <c r="T303" s="67">
        <v>44350</v>
      </c>
      <c r="U303" s="64">
        <f t="shared" si="265"/>
        <v>1</v>
      </c>
      <c r="V303" s="64"/>
      <c r="W303" s="64"/>
      <c r="X303" s="93"/>
      <c r="Y303" s="94"/>
      <c r="Z303" s="91" t="str">
        <f t="shared" si="266"/>
        <v>100%</v>
      </c>
      <c r="AA303" s="67"/>
      <c r="AB303" s="473"/>
      <c r="AC303" s="478" t="s">
        <v>2711</v>
      </c>
      <c r="AD303" s="67"/>
    </row>
    <row r="304" spans="2:30">
      <c r="B304" s="64" t="s">
        <v>109</v>
      </c>
      <c r="C304" s="65" t="s">
        <v>373</v>
      </c>
      <c r="D304" s="66">
        <v>10.5</v>
      </c>
      <c r="E304" s="67">
        <v>44307</v>
      </c>
      <c r="F304" s="64">
        <v>0</v>
      </c>
      <c r="G304" s="67">
        <v>44308</v>
      </c>
      <c r="H304" s="64">
        <v>0</v>
      </c>
      <c r="I304" s="99">
        <v>44316</v>
      </c>
      <c r="J304" s="64">
        <f t="shared" si="267"/>
        <v>0</v>
      </c>
      <c r="K304" s="67">
        <v>44309</v>
      </c>
      <c r="L304" s="64">
        <f t="shared" si="268"/>
        <v>0</v>
      </c>
      <c r="M304" s="64">
        <f t="shared" si="269"/>
        <v>0</v>
      </c>
      <c r="N304" s="67">
        <f t="shared" si="273"/>
        <v>44317</v>
      </c>
      <c r="O304" s="64">
        <f t="shared" si="270"/>
        <v>1</v>
      </c>
      <c r="P304" s="64">
        <f t="shared" si="271"/>
        <v>0</v>
      </c>
      <c r="Q304" s="91" t="str">
        <f t="shared" si="264"/>
        <v>Selesai</v>
      </c>
      <c r="R304" s="64">
        <f t="shared" si="272"/>
        <v>0</v>
      </c>
      <c r="S304" s="67">
        <f>VLOOKUP(C304,[7]Real!$B$7:$X$59,22,0)</f>
        <v>44311</v>
      </c>
      <c r="T304" s="67">
        <v>44353</v>
      </c>
      <c r="U304" s="64">
        <f t="shared" si="265"/>
        <v>1</v>
      </c>
      <c r="V304" s="64"/>
      <c r="W304" s="64"/>
      <c r="X304" s="93"/>
      <c r="Y304" s="94"/>
      <c r="Z304" s="91" t="str">
        <f t="shared" si="266"/>
        <v>100%</v>
      </c>
      <c r="AA304" s="67"/>
      <c r="AB304" s="473"/>
      <c r="AC304" s="478" t="s">
        <v>2711</v>
      </c>
      <c r="AD304" s="67"/>
    </row>
    <row r="305" spans="2:30">
      <c r="B305" s="64" t="s">
        <v>107</v>
      </c>
      <c r="C305" s="65" t="s">
        <v>374</v>
      </c>
      <c r="D305" s="66">
        <v>6.94</v>
      </c>
      <c r="E305" s="67">
        <v>44309</v>
      </c>
      <c r="F305" s="64">
        <v>0</v>
      </c>
      <c r="G305" s="67">
        <v>44310</v>
      </c>
      <c r="H305" s="64">
        <v>0</v>
      </c>
      <c r="I305" s="99">
        <v>44352</v>
      </c>
      <c r="J305" s="64">
        <f t="shared" si="267"/>
        <v>0</v>
      </c>
      <c r="K305" s="67">
        <v>44317</v>
      </c>
      <c r="L305" s="64">
        <f t="shared" si="268"/>
        <v>0</v>
      </c>
      <c r="M305" s="64">
        <f t="shared" si="269"/>
        <v>0</v>
      </c>
      <c r="N305" s="67">
        <f t="shared" si="273"/>
        <v>44353</v>
      </c>
      <c r="O305" s="64">
        <f t="shared" si="270"/>
        <v>1</v>
      </c>
      <c r="P305" s="64">
        <f t="shared" si="271"/>
        <v>0</v>
      </c>
      <c r="Q305" s="91" t="str">
        <f t="shared" si="264"/>
        <v>Selesai</v>
      </c>
      <c r="R305" s="64">
        <f t="shared" si="272"/>
        <v>0</v>
      </c>
      <c r="S305" s="67">
        <f>VLOOKUP(C305,[7]Real!$B$7:$X$59,22,0)</f>
        <v>44338</v>
      </c>
      <c r="T305" s="67">
        <v>44353</v>
      </c>
      <c r="U305" s="64">
        <f t="shared" si="265"/>
        <v>1</v>
      </c>
      <c r="V305" s="64"/>
      <c r="W305" s="64"/>
      <c r="X305" s="93"/>
      <c r="Y305" s="94"/>
      <c r="Z305" s="91" t="str">
        <f t="shared" si="266"/>
        <v>100%</v>
      </c>
      <c r="AA305" s="67"/>
      <c r="AB305" s="473"/>
      <c r="AC305" s="478" t="s">
        <v>2711</v>
      </c>
      <c r="AD305" s="67"/>
    </row>
    <row r="306" spans="2:30">
      <c r="B306" s="64" t="s">
        <v>113</v>
      </c>
      <c r="C306" s="65" t="s">
        <v>375</v>
      </c>
      <c r="D306" s="66">
        <v>16.440000000000001</v>
      </c>
      <c r="E306" s="67">
        <v>44284</v>
      </c>
      <c r="F306" s="64">
        <v>0</v>
      </c>
      <c r="G306" s="67">
        <v>44293</v>
      </c>
      <c r="H306" s="64">
        <v>0</v>
      </c>
      <c r="I306" s="99">
        <v>44312</v>
      </c>
      <c r="J306" s="64">
        <f t="shared" si="267"/>
        <v>0</v>
      </c>
      <c r="K306" s="67">
        <v>44295</v>
      </c>
      <c r="L306" s="64">
        <f t="shared" si="268"/>
        <v>0</v>
      </c>
      <c r="M306" s="64">
        <f t="shared" si="269"/>
        <v>0</v>
      </c>
      <c r="N306" s="67">
        <f t="shared" si="273"/>
        <v>44313</v>
      </c>
      <c r="O306" s="64">
        <f t="shared" si="270"/>
        <v>1</v>
      </c>
      <c r="P306" s="64">
        <f t="shared" si="271"/>
        <v>0</v>
      </c>
      <c r="Q306" s="91" t="str">
        <f t="shared" si="264"/>
        <v>Selesai</v>
      </c>
      <c r="R306" s="64">
        <f t="shared" si="272"/>
        <v>0</v>
      </c>
      <c r="S306" s="67">
        <f>VLOOKUP(C306,[7]Real!$B$7:$X$59,22,0)</f>
        <v>44307</v>
      </c>
      <c r="T306" s="67">
        <v>44356</v>
      </c>
      <c r="U306" s="64">
        <f t="shared" si="265"/>
        <v>1</v>
      </c>
      <c r="V306" s="64"/>
      <c r="W306" s="64"/>
      <c r="X306" s="93"/>
      <c r="Y306" s="94"/>
      <c r="Z306" s="91" t="str">
        <f t="shared" si="266"/>
        <v>100%</v>
      </c>
      <c r="AA306" s="67"/>
      <c r="AB306" s="473"/>
      <c r="AC306" s="478" t="s">
        <v>2711</v>
      </c>
      <c r="AD306" s="67"/>
    </row>
    <row r="307" spans="2:30">
      <c r="B307" s="64" t="s">
        <v>109</v>
      </c>
      <c r="C307" s="65" t="s">
        <v>376</v>
      </c>
      <c r="D307" s="66">
        <v>2.5</v>
      </c>
      <c r="E307" s="67">
        <v>44315</v>
      </c>
      <c r="F307" s="64">
        <v>0</v>
      </c>
      <c r="G307" s="67">
        <v>44317</v>
      </c>
      <c r="H307" s="64">
        <v>0</v>
      </c>
      <c r="I307" s="99">
        <v>44341</v>
      </c>
      <c r="J307" s="64">
        <f t="shared" si="267"/>
        <v>0</v>
      </c>
      <c r="K307" s="67">
        <v>44323</v>
      </c>
      <c r="L307" s="64">
        <f t="shared" si="268"/>
        <v>0</v>
      </c>
      <c r="M307" s="64">
        <f t="shared" si="269"/>
        <v>0</v>
      </c>
      <c r="N307" s="67">
        <f t="shared" si="273"/>
        <v>44342</v>
      </c>
      <c r="O307" s="64">
        <f t="shared" si="270"/>
        <v>1</v>
      </c>
      <c r="P307" s="64">
        <f t="shared" si="271"/>
        <v>0</v>
      </c>
      <c r="Q307" s="91" t="str">
        <f t="shared" si="264"/>
        <v>Selesai</v>
      </c>
      <c r="R307" s="64">
        <f t="shared" si="272"/>
        <v>0</v>
      </c>
      <c r="S307" s="67">
        <f>VLOOKUP(C307,[7]Real!$B$7:$X$59,22,0)</f>
        <v>44333</v>
      </c>
      <c r="T307" s="67">
        <v>44356</v>
      </c>
      <c r="U307" s="64">
        <f t="shared" si="265"/>
        <v>1</v>
      </c>
      <c r="V307" s="64"/>
      <c r="W307" s="64"/>
      <c r="X307" s="93"/>
      <c r="Y307" s="94"/>
      <c r="Z307" s="91" t="str">
        <f t="shared" si="266"/>
        <v>100%</v>
      </c>
      <c r="AA307" s="67"/>
      <c r="AB307" s="473"/>
      <c r="AC307" s="478" t="s">
        <v>2711</v>
      </c>
      <c r="AD307" s="67"/>
    </row>
    <row r="308" spans="2:30">
      <c r="B308" s="64" t="s">
        <v>109</v>
      </c>
      <c r="C308" s="65" t="s">
        <v>377</v>
      </c>
      <c r="D308" s="66">
        <v>0.89</v>
      </c>
      <c r="E308" s="67">
        <v>44307</v>
      </c>
      <c r="F308" s="64">
        <v>0</v>
      </c>
      <c r="G308" s="67">
        <v>44308</v>
      </c>
      <c r="H308" s="64">
        <v>0</v>
      </c>
      <c r="I308" s="99">
        <v>44316</v>
      </c>
      <c r="J308" s="64">
        <f t="shared" si="267"/>
        <v>0</v>
      </c>
      <c r="K308" s="67">
        <v>44309</v>
      </c>
      <c r="L308" s="64">
        <f t="shared" si="268"/>
        <v>0</v>
      </c>
      <c r="M308" s="64">
        <f t="shared" si="269"/>
        <v>0</v>
      </c>
      <c r="N308" s="67">
        <f t="shared" si="273"/>
        <v>44317</v>
      </c>
      <c r="O308" s="64">
        <f t="shared" si="270"/>
        <v>1</v>
      </c>
      <c r="P308" s="64">
        <f t="shared" si="271"/>
        <v>0</v>
      </c>
      <c r="Q308" s="91" t="str">
        <f t="shared" si="264"/>
        <v>Selesai</v>
      </c>
      <c r="R308" s="64">
        <f t="shared" si="272"/>
        <v>0</v>
      </c>
      <c r="S308" s="67">
        <f>VLOOKUP(C308,[7]Real!$B$7:$X$59,22,0)</f>
        <v>44345</v>
      </c>
      <c r="T308" s="67">
        <v>44356</v>
      </c>
      <c r="U308" s="64">
        <f t="shared" si="265"/>
        <v>1</v>
      </c>
      <c r="V308" s="64"/>
      <c r="W308" s="64"/>
      <c r="X308" s="93"/>
      <c r="Y308" s="94"/>
      <c r="Z308" s="91" t="str">
        <f t="shared" si="266"/>
        <v>100%</v>
      </c>
      <c r="AA308" s="67"/>
      <c r="AB308" s="473"/>
      <c r="AC308" s="478" t="s">
        <v>2711</v>
      </c>
      <c r="AD308" s="67"/>
    </row>
    <row r="309" spans="2:30">
      <c r="B309" s="64" t="s">
        <v>105</v>
      </c>
      <c r="C309" s="65" t="s">
        <v>378</v>
      </c>
      <c r="D309" s="66">
        <v>10.88</v>
      </c>
      <c r="E309" s="67">
        <v>44312</v>
      </c>
      <c r="F309" s="64">
        <v>0</v>
      </c>
      <c r="G309" s="67">
        <v>44312</v>
      </c>
      <c r="H309" s="64">
        <v>0</v>
      </c>
      <c r="I309" s="99">
        <v>44324</v>
      </c>
      <c r="J309" s="64">
        <f t="shared" si="267"/>
        <v>0</v>
      </c>
      <c r="K309" s="67">
        <v>44317</v>
      </c>
      <c r="L309" s="64">
        <f t="shared" si="268"/>
        <v>0</v>
      </c>
      <c r="M309" s="64">
        <f t="shared" si="269"/>
        <v>0</v>
      </c>
      <c r="N309" s="67">
        <f t="shared" si="273"/>
        <v>44325</v>
      </c>
      <c r="O309" s="64">
        <f t="shared" si="270"/>
        <v>1</v>
      </c>
      <c r="P309" s="64">
        <f t="shared" si="271"/>
        <v>0</v>
      </c>
      <c r="Q309" s="91" t="str">
        <f t="shared" si="264"/>
        <v>Selesai</v>
      </c>
      <c r="R309" s="64">
        <f t="shared" si="272"/>
        <v>0</v>
      </c>
      <c r="S309" s="67">
        <f>VLOOKUP(C309,[7]Real!$B$7:$X$59,22,0)</f>
        <v>44319</v>
      </c>
      <c r="T309" s="67">
        <v>44357</v>
      </c>
      <c r="U309" s="64">
        <f t="shared" si="265"/>
        <v>1</v>
      </c>
      <c r="V309" s="64"/>
      <c r="W309" s="64"/>
      <c r="X309" s="93"/>
      <c r="Y309" s="94"/>
      <c r="Z309" s="91" t="str">
        <f t="shared" si="266"/>
        <v>100%</v>
      </c>
      <c r="AA309" s="67"/>
      <c r="AB309" s="473"/>
      <c r="AC309" s="478" t="s">
        <v>2711</v>
      </c>
      <c r="AD309" s="67"/>
    </row>
    <row r="310" spans="2:30">
      <c r="B310" s="64" t="s">
        <v>109</v>
      </c>
      <c r="C310" s="65" t="s">
        <v>379</v>
      </c>
      <c r="D310" s="66">
        <v>6.56</v>
      </c>
      <c r="E310" s="67">
        <v>44321</v>
      </c>
      <c r="F310" s="64">
        <v>0</v>
      </c>
      <c r="G310" s="67">
        <v>44322</v>
      </c>
      <c r="H310" s="64">
        <v>0</v>
      </c>
      <c r="I310" s="67">
        <v>44367</v>
      </c>
      <c r="J310" s="64">
        <f t="shared" si="267"/>
        <v>0</v>
      </c>
      <c r="K310" s="67">
        <v>44344</v>
      </c>
      <c r="L310" s="64">
        <f t="shared" si="268"/>
        <v>0</v>
      </c>
      <c r="M310" s="64">
        <f t="shared" si="269"/>
        <v>0</v>
      </c>
      <c r="N310" s="67">
        <f t="shared" si="273"/>
        <v>44368</v>
      </c>
      <c r="O310" s="64">
        <f t="shared" si="270"/>
        <v>1</v>
      </c>
      <c r="P310" s="64">
        <f t="shared" si="271"/>
        <v>0</v>
      </c>
      <c r="Q310" s="91" t="str">
        <f t="shared" si="264"/>
        <v>Selesai</v>
      </c>
      <c r="R310" s="64">
        <f t="shared" si="272"/>
        <v>0</v>
      </c>
      <c r="S310" s="67">
        <f>VLOOKUP(C310,[7]Real!$B$7:$X$59,22,0)</f>
        <v>44349</v>
      </c>
      <c r="T310" s="67">
        <v>44357</v>
      </c>
      <c r="U310" s="64">
        <f t="shared" si="265"/>
        <v>1</v>
      </c>
      <c r="V310" s="64"/>
      <c r="W310" s="64"/>
      <c r="X310" s="93"/>
      <c r="Y310" s="94"/>
      <c r="Z310" s="91" t="str">
        <f t="shared" si="266"/>
        <v>100%</v>
      </c>
      <c r="AA310" s="67"/>
      <c r="AB310" s="473"/>
      <c r="AC310" s="478" t="s">
        <v>2711</v>
      </c>
      <c r="AD310" s="67"/>
    </row>
    <row r="311" spans="2:30">
      <c r="B311" s="64" t="s">
        <v>109</v>
      </c>
      <c r="C311" s="65" t="s">
        <v>380</v>
      </c>
      <c r="D311" s="66">
        <v>8.2799999999999994</v>
      </c>
      <c r="E311" s="67">
        <v>44322</v>
      </c>
      <c r="F311" s="64">
        <f>IF(E311&gt;0,1,0)</f>
        <v>1</v>
      </c>
      <c r="G311" s="67">
        <v>44324</v>
      </c>
      <c r="H311" s="64">
        <v>0</v>
      </c>
      <c r="I311" s="67">
        <v>44367</v>
      </c>
      <c r="J311" s="64">
        <f t="shared" si="267"/>
        <v>0</v>
      </c>
      <c r="K311" s="67">
        <v>44344</v>
      </c>
      <c r="L311" s="64">
        <f t="shared" si="268"/>
        <v>0</v>
      </c>
      <c r="M311" s="64">
        <f t="shared" si="269"/>
        <v>0</v>
      </c>
      <c r="N311" s="67">
        <f t="shared" si="273"/>
        <v>44368</v>
      </c>
      <c r="O311" s="64">
        <f t="shared" si="270"/>
        <v>1</v>
      </c>
      <c r="P311" s="64">
        <f t="shared" si="271"/>
        <v>0</v>
      </c>
      <c r="Q311" s="91" t="str">
        <f t="shared" si="264"/>
        <v>Selesai</v>
      </c>
      <c r="R311" s="64">
        <f t="shared" si="272"/>
        <v>0</v>
      </c>
      <c r="S311" s="67">
        <f>VLOOKUP(C311,[7]Real!$B$7:$X$59,22,0)</f>
        <v>44357</v>
      </c>
      <c r="T311" s="67">
        <v>44357</v>
      </c>
      <c r="U311" s="64">
        <f t="shared" si="265"/>
        <v>1</v>
      </c>
      <c r="V311" s="64"/>
      <c r="W311" s="64"/>
      <c r="X311" s="93"/>
      <c r="Y311" s="94"/>
      <c r="Z311" s="91" t="str">
        <f t="shared" si="266"/>
        <v>100%</v>
      </c>
      <c r="AA311" s="67"/>
      <c r="AB311" s="473"/>
      <c r="AC311" s="478" t="s">
        <v>2711</v>
      </c>
      <c r="AD311" s="67"/>
    </row>
    <row r="312" spans="2:30">
      <c r="B312" s="64" t="s">
        <v>105</v>
      </c>
      <c r="C312" s="65" t="s">
        <v>381</v>
      </c>
      <c r="D312" s="66">
        <v>8.18</v>
      </c>
      <c r="E312" s="67">
        <v>44312</v>
      </c>
      <c r="F312" s="64">
        <v>0</v>
      </c>
      <c r="G312" s="67">
        <v>44312</v>
      </c>
      <c r="H312" s="64">
        <v>0</v>
      </c>
      <c r="I312" s="99">
        <v>44341</v>
      </c>
      <c r="J312" s="64">
        <f t="shared" si="267"/>
        <v>0</v>
      </c>
      <c r="K312" s="67">
        <v>44317</v>
      </c>
      <c r="L312" s="64">
        <f t="shared" si="268"/>
        <v>0</v>
      </c>
      <c r="M312" s="64">
        <f t="shared" si="269"/>
        <v>0</v>
      </c>
      <c r="N312" s="67">
        <f t="shared" si="273"/>
        <v>44342</v>
      </c>
      <c r="O312" s="64">
        <f t="shared" si="270"/>
        <v>1</v>
      </c>
      <c r="P312" s="64">
        <f t="shared" si="271"/>
        <v>0</v>
      </c>
      <c r="Q312" s="91" t="str">
        <f t="shared" si="264"/>
        <v>Selesai</v>
      </c>
      <c r="R312" s="64">
        <f t="shared" si="272"/>
        <v>0</v>
      </c>
      <c r="S312" s="67">
        <f>VLOOKUP(C312,[7]Real!$B$7:$X$59,22,0)</f>
        <v>44335</v>
      </c>
      <c r="T312" s="67">
        <v>44358</v>
      </c>
      <c r="U312" s="64">
        <f t="shared" si="265"/>
        <v>1</v>
      </c>
      <c r="V312" s="64"/>
      <c r="W312" s="64"/>
      <c r="X312" s="93"/>
      <c r="Y312" s="94"/>
      <c r="Z312" s="91" t="str">
        <f t="shared" si="266"/>
        <v>100%</v>
      </c>
      <c r="AA312" s="67"/>
      <c r="AB312" s="473"/>
      <c r="AC312" s="478" t="s">
        <v>2711</v>
      </c>
      <c r="AD312" s="67"/>
    </row>
    <row r="313" spans="2:30">
      <c r="B313" s="64" t="s">
        <v>113</v>
      </c>
      <c r="C313" s="65" t="s">
        <v>382</v>
      </c>
      <c r="D313" s="66">
        <v>10.48</v>
      </c>
      <c r="E313" s="67">
        <v>44313</v>
      </c>
      <c r="F313" s="64">
        <v>0</v>
      </c>
      <c r="G313" s="67">
        <v>44314</v>
      </c>
      <c r="H313" s="64">
        <v>0</v>
      </c>
      <c r="I313" s="99">
        <v>44324</v>
      </c>
      <c r="J313" s="64">
        <f t="shared" si="267"/>
        <v>0</v>
      </c>
      <c r="K313" s="67">
        <v>44317</v>
      </c>
      <c r="L313" s="64">
        <f t="shared" si="268"/>
        <v>0</v>
      </c>
      <c r="M313" s="64">
        <f t="shared" si="269"/>
        <v>0</v>
      </c>
      <c r="N313" s="67">
        <f t="shared" si="273"/>
        <v>44325</v>
      </c>
      <c r="O313" s="64">
        <f t="shared" si="270"/>
        <v>1</v>
      </c>
      <c r="P313" s="64">
        <f t="shared" si="271"/>
        <v>0</v>
      </c>
      <c r="Q313" s="91" t="str">
        <f t="shared" si="264"/>
        <v>Selesai</v>
      </c>
      <c r="R313" s="64">
        <f t="shared" si="272"/>
        <v>0</v>
      </c>
      <c r="S313" s="67">
        <f>VLOOKUP(C313,[7]Real!$B$7:$X$59,22,0)</f>
        <v>44318</v>
      </c>
      <c r="T313" s="67">
        <v>44361</v>
      </c>
      <c r="U313" s="64">
        <f t="shared" si="265"/>
        <v>1</v>
      </c>
      <c r="V313" s="64"/>
      <c r="W313" s="64"/>
      <c r="X313" s="93"/>
      <c r="Y313" s="94"/>
      <c r="Z313" s="91" t="str">
        <f t="shared" si="266"/>
        <v>100%</v>
      </c>
      <c r="AA313" s="67"/>
      <c r="AB313" s="473"/>
      <c r="AC313" s="478" t="s">
        <v>2711</v>
      </c>
      <c r="AD313" s="67"/>
    </row>
    <row r="314" spans="2:30">
      <c r="B314" s="64" t="s">
        <v>113</v>
      </c>
      <c r="C314" s="65" t="s">
        <v>383</v>
      </c>
      <c r="D314" s="66">
        <v>5.25</v>
      </c>
      <c r="E314" s="67">
        <v>44308</v>
      </c>
      <c r="F314" s="64">
        <v>0</v>
      </c>
      <c r="G314" s="67">
        <v>44309</v>
      </c>
      <c r="H314" s="64">
        <v>0</v>
      </c>
      <c r="I314" s="99">
        <v>44341</v>
      </c>
      <c r="J314" s="64">
        <f t="shared" si="267"/>
        <v>0</v>
      </c>
      <c r="K314" s="67">
        <v>44317</v>
      </c>
      <c r="L314" s="64">
        <f t="shared" si="268"/>
        <v>0</v>
      </c>
      <c r="M314" s="64">
        <f t="shared" si="269"/>
        <v>0</v>
      </c>
      <c r="N314" s="67">
        <f t="shared" si="273"/>
        <v>44342</v>
      </c>
      <c r="O314" s="64">
        <f t="shared" si="270"/>
        <v>1</v>
      </c>
      <c r="P314" s="64">
        <f t="shared" si="271"/>
        <v>0</v>
      </c>
      <c r="Q314" s="91" t="str">
        <f t="shared" si="264"/>
        <v>Selesai</v>
      </c>
      <c r="R314" s="64">
        <f t="shared" si="272"/>
        <v>0</v>
      </c>
      <c r="S314" s="67">
        <f>VLOOKUP(C314,[7]Real!$B$7:$X$59,22,0)</f>
        <v>44335</v>
      </c>
      <c r="T314" s="67">
        <v>44361</v>
      </c>
      <c r="U314" s="64">
        <f t="shared" si="265"/>
        <v>1</v>
      </c>
      <c r="V314" s="64"/>
      <c r="W314" s="64"/>
      <c r="X314" s="93"/>
      <c r="Y314" s="94"/>
      <c r="Z314" s="91" t="str">
        <f t="shared" si="266"/>
        <v>100%</v>
      </c>
      <c r="AA314" s="67"/>
      <c r="AB314" s="473"/>
      <c r="AC314" s="478" t="s">
        <v>2711</v>
      </c>
      <c r="AD314" s="67"/>
    </row>
    <row r="315" spans="2:30">
      <c r="B315" s="64" t="s">
        <v>109</v>
      </c>
      <c r="C315" s="65" t="s">
        <v>384</v>
      </c>
      <c r="D315" s="66">
        <v>6.21</v>
      </c>
      <c r="E315" s="67">
        <v>44314</v>
      </c>
      <c r="F315" s="64">
        <v>0</v>
      </c>
      <c r="G315" s="67">
        <v>44315</v>
      </c>
      <c r="H315" s="64">
        <v>0</v>
      </c>
      <c r="I315" s="99">
        <v>44352</v>
      </c>
      <c r="J315" s="64">
        <f t="shared" si="267"/>
        <v>0</v>
      </c>
      <c r="K315" s="67">
        <v>44338</v>
      </c>
      <c r="L315" s="64">
        <f t="shared" si="268"/>
        <v>0</v>
      </c>
      <c r="M315" s="64">
        <f t="shared" si="269"/>
        <v>0</v>
      </c>
      <c r="N315" s="67">
        <f t="shared" si="273"/>
        <v>44353</v>
      </c>
      <c r="O315" s="64">
        <f t="shared" si="270"/>
        <v>1</v>
      </c>
      <c r="P315" s="64">
        <f t="shared" si="271"/>
        <v>0</v>
      </c>
      <c r="Q315" s="91" t="str">
        <f t="shared" si="264"/>
        <v>Selesai</v>
      </c>
      <c r="R315" s="64">
        <f t="shared" si="272"/>
        <v>0</v>
      </c>
      <c r="S315" s="67">
        <f>VLOOKUP(C315,[7]Real!$B$7:$X$59,22,0)</f>
        <v>44343</v>
      </c>
      <c r="T315" s="67">
        <v>44365</v>
      </c>
      <c r="U315" s="64">
        <f t="shared" si="265"/>
        <v>1</v>
      </c>
      <c r="V315" s="64"/>
      <c r="W315" s="64"/>
      <c r="X315" s="93"/>
      <c r="Y315" s="94"/>
      <c r="Z315" s="91" t="str">
        <f t="shared" si="266"/>
        <v>100%</v>
      </c>
      <c r="AA315" s="67"/>
      <c r="AB315" s="473"/>
      <c r="AC315" s="478" t="s">
        <v>2711</v>
      </c>
      <c r="AD315" s="67"/>
    </row>
    <row r="316" spans="2:30">
      <c r="B316" s="64" t="s">
        <v>109</v>
      </c>
      <c r="C316" s="65" t="s">
        <v>385</v>
      </c>
      <c r="D316" s="66">
        <v>8.39</v>
      </c>
      <c r="E316" s="67">
        <v>44314</v>
      </c>
      <c r="F316" s="64">
        <v>0</v>
      </c>
      <c r="G316" s="67">
        <v>44315</v>
      </c>
      <c r="H316" s="64">
        <v>0</v>
      </c>
      <c r="I316" s="99">
        <v>44348</v>
      </c>
      <c r="J316" s="64">
        <f t="shared" si="267"/>
        <v>0</v>
      </c>
      <c r="K316" s="67">
        <v>44333</v>
      </c>
      <c r="L316" s="64">
        <f t="shared" si="268"/>
        <v>0</v>
      </c>
      <c r="M316" s="64">
        <f t="shared" si="269"/>
        <v>0</v>
      </c>
      <c r="N316" s="67">
        <f t="shared" si="273"/>
        <v>44349</v>
      </c>
      <c r="O316" s="64">
        <f t="shared" si="270"/>
        <v>1</v>
      </c>
      <c r="P316" s="64">
        <f t="shared" si="271"/>
        <v>0</v>
      </c>
      <c r="Q316" s="91" t="str">
        <f t="shared" si="264"/>
        <v>Selesai</v>
      </c>
      <c r="R316" s="64">
        <f t="shared" si="272"/>
        <v>0</v>
      </c>
      <c r="S316" s="67">
        <f>VLOOKUP(C316,[7]Real!$B$7:$X$59,22,0)</f>
        <v>44341</v>
      </c>
      <c r="T316" s="67">
        <v>44365</v>
      </c>
      <c r="U316" s="64">
        <f t="shared" si="265"/>
        <v>1</v>
      </c>
      <c r="V316" s="64"/>
      <c r="W316" s="64"/>
      <c r="X316" s="93"/>
      <c r="Y316" s="94"/>
      <c r="Z316" s="91" t="str">
        <f t="shared" si="266"/>
        <v>100%</v>
      </c>
      <c r="AA316" s="67"/>
      <c r="AB316" s="473"/>
      <c r="AC316" s="478" t="s">
        <v>2711</v>
      </c>
      <c r="AD316" s="67"/>
    </row>
    <row r="317" spans="2:30">
      <c r="B317" s="64" t="s">
        <v>107</v>
      </c>
      <c r="C317" s="65" t="s">
        <v>386</v>
      </c>
      <c r="D317" s="66">
        <v>10.3</v>
      </c>
      <c r="E317" s="67">
        <v>44309</v>
      </c>
      <c r="F317" s="64">
        <v>0</v>
      </c>
      <c r="G317" s="67">
        <v>44310</v>
      </c>
      <c r="H317" s="64">
        <v>0</v>
      </c>
      <c r="I317" s="99">
        <v>44357</v>
      </c>
      <c r="J317" s="64">
        <f t="shared" si="267"/>
        <v>0</v>
      </c>
      <c r="K317" s="67">
        <v>44317</v>
      </c>
      <c r="L317" s="64">
        <f t="shared" si="268"/>
        <v>0</v>
      </c>
      <c r="M317" s="64">
        <f t="shared" si="269"/>
        <v>0</v>
      </c>
      <c r="N317" s="67">
        <f t="shared" si="273"/>
        <v>44358</v>
      </c>
      <c r="O317" s="64">
        <f t="shared" si="270"/>
        <v>1</v>
      </c>
      <c r="P317" s="64">
        <f t="shared" si="271"/>
        <v>0</v>
      </c>
      <c r="Q317" s="91" t="str">
        <f t="shared" si="264"/>
        <v>Selesai</v>
      </c>
      <c r="R317" s="64">
        <f t="shared" si="272"/>
        <v>0</v>
      </c>
      <c r="S317" s="67">
        <f>VLOOKUP(C317,[7]Real!$B$7:$X$59,22,0)</f>
        <v>44347</v>
      </c>
      <c r="T317" s="67">
        <v>44365</v>
      </c>
      <c r="U317" s="64">
        <f t="shared" si="265"/>
        <v>1</v>
      </c>
      <c r="V317" s="64"/>
      <c r="W317" s="64"/>
      <c r="X317" s="93"/>
      <c r="Y317" s="94"/>
      <c r="Z317" s="91" t="str">
        <f t="shared" si="266"/>
        <v>100%</v>
      </c>
      <c r="AA317" s="67"/>
      <c r="AB317" s="473"/>
      <c r="AC317" s="478" t="s">
        <v>2711</v>
      </c>
      <c r="AD317" s="67"/>
    </row>
    <row r="318" spans="2:30">
      <c r="B318" s="64" t="s">
        <v>107</v>
      </c>
      <c r="C318" s="65" t="s">
        <v>387</v>
      </c>
      <c r="D318" s="66">
        <v>3.34</v>
      </c>
      <c r="E318" s="67">
        <v>44334</v>
      </c>
      <c r="F318" s="64">
        <v>0</v>
      </c>
      <c r="G318" s="67">
        <v>44335</v>
      </c>
      <c r="H318" s="64">
        <v>0</v>
      </c>
      <c r="I318" s="99">
        <v>44357</v>
      </c>
      <c r="J318" s="64">
        <f t="shared" si="267"/>
        <v>0</v>
      </c>
      <c r="K318" s="67">
        <v>44338</v>
      </c>
      <c r="L318" s="64">
        <f t="shared" si="268"/>
        <v>0</v>
      </c>
      <c r="M318" s="64">
        <f t="shared" si="269"/>
        <v>0</v>
      </c>
      <c r="N318" s="67">
        <f t="shared" si="273"/>
        <v>44358</v>
      </c>
      <c r="O318" s="64">
        <f t="shared" si="270"/>
        <v>1</v>
      </c>
      <c r="P318" s="64">
        <f t="shared" si="271"/>
        <v>0</v>
      </c>
      <c r="Q318" s="91" t="str">
        <f t="shared" si="264"/>
        <v>Selesai</v>
      </c>
      <c r="R318" s="64">
        <f t="shared" si="272"/>
        <v>0</v>
      </c>
      <c r="S318" s="67">
        <f>VLOOKUP(C318,[7]Real!$B$7:$X$59,22,0)</f>
        <v>44347</v>
      </c>
      <c r="T318" s="67">
        <v>44365</v>
      </c>
      <c r="U318" s="64">
        <f t="shared" si="265"/>
        <v>1</v>
      </c>
      <c r="V318" s="64"/>
      <c r="W318" s="64"/>
      <c r="X318" s="93"/>
      <c r="Y318" s="94"/>
      <c r="Z318" s="91" t="str">
        <f t="shared" si="266"/>
        <v>100%</v>
      </c>
      <c r="AA318" s="67"/>
      <c r="AB318" s="473"/>
      <c r="AC318" s="478" t="s">
        <v>2711</v>
      </c>
      <c r="AD318" s="67"/>
    </row>
    <row r="319" spans="2:30">
      <c r="B319" s="64" t="s">
        <v>105</v>
      </c>
      <c r="C319" s="65" t="s">
        <v>388</v>
      </c>
      <c r="D319" s="66">
        <v>10.62</v>
      </c>
      <c r="E319" s="67">
        <v>44296</v>
      </c>
      <c r="F319" s="64">
        <v>0</v>
      </c>
      <c r="G319" s="67">
        <v>44308</v>
      </c>
      <c r="H319" s="64">
        <v>0</v>
      </c>
      <c r="I319" s="99">
        <v>44362</v>
      </c>
      <c r="J319" s="64">
        <f t="shared" si="267"/>
        <v>0</v>
      </c>
      <c r="K319" s="67">
        <v>44319</v>
      </c>
      <c r="L319" s="64">
        <f t="shared" si="268"/>
        <v>0</v>
      </c>
      <c r="M319" s="64">
        <f t="shared" si="269"/>
        <v>0</v>
      </c>
      <c r="N319" s="67">
        <f t="shared" si="273"/>
        <v>44363</v>
      </c>
      <c r="O319" s="64">
        <f t="shared" si="270"/>
        <v>1</v>
      </c>
      <c r="P319" s="64">
        <f t="shared" si="271"/>
        <v>0</v>
      </c>
      <c r="Q319" s="91" t="str">
        <f t="shared" si="264"/>
        <v>Selesai</v>
      </c>
      <c r="R319" s="64">
        <f t="shared" si="272"/>
        <v>0</v>
      </c>
      <c r="S319" s="67">
        <f>VLOOKUP(C319,[7]Real!$B$7:$X$59,22,0)</f>
        <v>44339</v>
      </c>
      <c r="T319" s="67">
        <v>44366</v>
      </c>
      <c r="U319" s="64">
        <f t="shared" si="265"/>
        <v>1</v>
      </c>
      <c r="V319" s="64"/>
      <c r="W319" s="64"/>
      <c r="X319" s="93"/>
      <c r="Y319" s="94"/>
      <c r="Z319" s="91" t="str">
        <f t="shared" si="266"/>
        <v>100%</v>
      </c>
      <c r="AA319" s="67"/>
      <c r="AB319" s="473"/>
      <c r="AC319" s="478" t="s">
        <v>2711</v>
      </c>
      <c r="AD319" s="67"/>
    </row>
    <row r="320" spans="2:30">
      <c r="B320" s="64" t="s">
        <v>107</v>
      </c>
      <c r="C320" s="65" t="s">
        <v>389</v>
      </c>
      <c r="D320" s="66">
        <v>4.9000000000000004</v>
      </c>
      <c r="E320" s="67">
        <v>44334</v>
      </c>
      <c r="F320" s="64">
        <v>0</v>
      </c>
      <c r="G320" s="67">
        <v>44335</v>
      </c>
      <c r="H320" s="64">
        <v>0</v>
      </c>
      <c r="I320" s="99">
        <v>44352</v>
      </c>
      <c r="J320" s="64">
        <f t="shared" si="267"/>
        <v>0</v>
      </c>
      <c r="K320" s="67">
        <v>44338</v>
      </c>
      <c r="L320" s="64">
        <f t="shared" si="268"/>
        <v>0</v>
      </c>
      <c r="M320" s="64">
        <f t="shared" si="269"/>
        <v>0</v>
      </c>
      <c r="N320" s="67">
        <f t="shared" si="273"/>
        <v>44353</v>
      </c>
      <c r="O320" s="64">
        <f t="shared" si="270"/>
        <v>1</v>
      </c>
      <c r="P320" s="64">
        <f t="shared" si="271"/>
        <v>0</v>
      </c>
      <c r="Q320" s="91" t="str">
        <f t="shared" si="264"/>
        <v>Selesai</v>
      </c>
      <c r="R320" s="64">
        <f t="shared" si="272"/>
        <v>0</v>
      </c>
      <c r="S320" s="67">
        <f>VLOOKUP(C320,[7]Real!$B$7:$X$59,22,0)</f>
        <v>44343</v>
      </c>
      <c r="T320" s="67">
        <v>44366</v>
      </c>
      <c r="U320" s="64">
        <f t="shared" si="265"/>
        <v>1</v>
      </c>
      <c r="V320" s="64"/>
      <c r="W320" s="64"/>
      <c r="X320" s="93"/>
      <c r="Y320" s="94"/>
      <c r="Z320" s="91" t="str">
        <f t="shared" si="266"/>
        <v>100%</v>
      </c>
      <c r="AA320" s="67"/>
      <c r="AB320" s="473"/>
      <c r="AC320" s="478" t="s">
        <v>2711</v>
      </c>
      <c r="AD320" s="67"/>
    </row>
    <row r="321" spans="2:30">
      <c r="B321" s="64" t="s">
        <v>109</v>
      </c>
      <c r="C321" s="65" t="s">
        <v>390</v>
      </c>
      <c r="D321" s="66">
        <v>1.92</v>
      </c>
      <c r="E321" s="67">
        <v>44314</v>
      </c>
      <c r="F321" s="64">
        <v>0</v>
      </c>
      <c r="G321" s="67">
        <v>44315</v>
      </c>
      <c r="H321" s="64">
        <v>0</v>
      </c>
      <c r="I321" s="99">
        <v>44348</v>
      </c>
      <c r="J321" s="64">
        <f t="shared" si="267"/>
        <v>0</v>
      </c>
      <c r="K321" s="67">
        <v>44333</v>
      </c>
      <c r="L321" s="64">
        <f t="shared" si="268"/>
        <v>0</v>
      </c>
      <c r="M321" s="64">
        <f t="shared" si="269"/>
        <v>0</v>
      </c>
      <c r="N321" s="67">
        <f t="shared" ref="N321:N352" si="274">IF(AND(I321&gt;0,K321&gt;0),MAX(I321:K321)+1,"")</f>
        <v>44349</v>
      </c>
      <c r="O321" s="64">
        <f t="shared" si="270"/>
        <v>1</v>
      </c>
      <c r="P321" s="64">
        <f t="shared" si="271"/>
        <v>0</v>
      </c>
      <c r="Q321" s="91" t="str">
        <f t="shared" si="264"/>
        <v>Selesai</v>
      </c>
      <c r="R321" s="64">
        <f t="shared" si="272"/>
        <v>0</v>
      </c>
      <c r="S321" s="67">
        <f>VLOOKUP(C321,[7]Real!$B$7:$X$59,22,0)</f>
        <v>44340</v>
      </c>
      <c r="T321" s="67">
        <v>44372</v>
      </c>
      <c r="U321" s="64">
        <f t="shared" si="265"/>
        <v>1</v>
      </c>
      <c r="V321" s="64"/>
      <c r="W321" s="64"/>
      <c r="X321" s="93"/>
      <c r="Y321" s="94"/>
      <c r="Z321" s="91" t="str">
        <f t="shared" si="266"/>
        <v>100%</v>
      </c>
      <c r="AA321" s="67"/>
      <c r="AB321" s="473"/>
      <c r="AC321" s="478" t="s">
        <v>2711</v>
      </c>
      <c r="AD321" s="67"/>
    </row>
    <row r="322" spans="2:30">
      <c r="B322" s="64" t="s">
        <v>109</v>
      </c>
      <c r="C322" s="65" t="s">
        <v>391</v>
      </c>
      <c r="D322" s="66">
        <v>13.48</v>
      </c>
      <c r="E322" s="67">
        <v>44310</v>
      </c>
      <c r="F322" s="64">
        <f>IF(E322&gt;0,1,0)</f>
        <v>1</v>
      </c>
      <c r="G322" s="67">
        <v>44312</v>
      </c>
      <c r="H322" s="64">
        <v>0</v>
      </c>
      <c r="I322" s="99">
        <v>44352</v>
      </c>
      <c r="J322" s="64">
        <f t="shared" si="267"/>
        <v>0</v>
      </c>
      <c r="K322" s="67">
        <v>44322</v>
      </c>
      <c r="L322" s="64">
        <f t="shared" si="268"/>
        <v>0</v>
      </c>
      <c r="M322" s="64">
        <f t="shared" si="269"/>
        <v>0</v>
      </c>
      <c r="N322" s="67">
        <f t="shared" si="274"/>
        <v>44353</v>
      </c>
      <c r="O322" s="64">
        <f t="shared" si="270"/>
        <v>1</v>
      </c>
      <c r="P322" s="64">
        <f t="shared" si="271"/>
        <v>0</v>
      </c>
      <c r="Q322" s="91" t="str">
        <f t="shared" si="264"/>
        <v>Selesai</v>
      </c>
      <c r="R322" s="64">
        <f t="shared" si="272"/>
        <v>0</v>
      </c>
      <c r="S322" s="67">
        <f>VLOOKUP(C322,[7]Real!$B$7:$X$59,22,0)</f>
        <v>44337</v>
      </c>
      <c r="T322" s="67">
        <v>44372</v>
      </c>
      <c r="U322" s="64">
        <f t="shared" si="265"/>
        <v>1</v>
      </c>
      <c r="V322" s="64"/>
      <c r="W322" s="64"/>
      <c r="X322" s="93"/>
      <c r="Y322" s="94"/>
      <c r="Z322" s="91" t="str">
        <f t="shared" si="266"/>
        <v>100%</v>
      </c>
      <c r="AA322" s="67"/>
      <c r="AB322" s="473"/>
      <c r="AC322" s="478" t="s">
        <v>2711</v>
      </c>
      <c r="AD322" s="67"/>
    </row>
    <row r="323" spans="2:30">
      <c r="B323" s="64" t="s">
        <v>105</v>
      </c>
      <c r="C323" s="65" t="s">
        <v>392</v>
      </c>
      <c r="D323" s="66">
        <v>12.38</v>
      </c>
      <c r="E323" s="67">
        <v>44295</v>
      </c>
      <c r="F323" s="64">
        <f>IF(E323&gt;0,1,0)</f>
        <v>1</v>
      </c>
      <c r="G323" s="67">
        <v>44296</v>
      </c>
      <c r="H323" s="64">
        <v>0</v>
      </c>
      <c r="I323" s="99">
        <v>44314</v>
      </c>
      <c r="J323" s="64">
        <f t="shared" si="267"/>
        <v>0</v>
      </c>
      <c r="K323" s="67">
        <v>44305</v>
      </c>
      <c r="L323" s="64">
        <f t="shared" si="268"/>
        <v>0</v>
      </c>
      <c r="M323" s="64">
        <f t="shared" si="269"/>
        <v>0</v>
      </c>
      <c r="N323" s="67">
        <f t="shared" si="274"/>
        <v>44315</v>
      </c>
      <c r="O323" s="64">
        <f t="shared" si="270"/>
        <v>1</v>
      </c>
      <c r="P323" s="64">
        <f t="shared" si="271"/>
        <v>0</v>
      </c>
      <c r="Q323" s="91" t="str">
        <f t="shared" si="264"/>
        <v>Selesai</v>
      </c>
      <c r="R323" s="64">
        <f t="shared" si="272"/>
        <v>0</v>
      </c>
      <c r="S323" s="67">
        <f>VLOOKUP(C323,[7]Real!$B$7:$X$59,22,0)</f>
        <v>44307</v>
      </c>
      <c r="T323" s="67">
        <v>44372</v>
      </c>
      <c r="U323" s="64">
        <f t="shared" si="265"/>
        <v>1</v>
      </c>
      <c r="V323" s="64"/>
      <c r="W323" s="64"/>
      <c r="X323" s="93"/>
      <c r="Y323" s="94"/>
      <c r="Z323" s="91" t="str">
        <f t="shared" si="266"/>
        <v>100%</v>
      </c>
      <c r="AA323" s="67"/>
      <c r="AB323" s="473"/>
      <c r="AC323" s="478" t="s">
        <v>2711</v>
      </c>
      <c r="AD323" s="67"/>
    </row>
    <row r="324" spans="2:30">
      <c r="B324" s="64" t="s">
        <v>109</v>
      </c>
      <c r="C324" s="65" t="s">
        <v>393</v>
      </c>
      <c r="D324" s="66">
        <v>6.09</v>
      </c>
      <c r="E324" s="67">
        <v>44314</v>
      </c>
      <c r="F324" s="64">
        <v>0</v>
      </c>
      <c r="G324" s="67">
        <v>44315</v>
      </c>
      <c r="H324" s="64">
        <v>0</v>
      </c>
      <c r="I324" s="99">
        <v>44357</v>
      </c>
      <c r="J324" s="64">
        <f t="shared" si="267"/>
        <v>0</v>
      </c>
      <c r="K324" s="67">
        <v>44333</v>
      </c>
      <c r="L324" s="64">
        <f t="shared" si="268"/>
        <v>0</v>
      </c>
      <c r="M324" s="64">
        <f t="shared" si="269"/>
        <v>0</v>
      </c>
      <c r="N324" s="67">
        <f t="shared" si="274"/>
        <v>44358</v>
      </c>
      <c r="O324" s="64">
        <f t="shared" si="270"/>
        <v>1</v>
      </c>
      <c r="P324" s="64">
        <f t="shared" si="271"/>
        <v>0</v>
      </c>
      <c r="Q324" s="91" t="str">
        <f t="shared" si="264"/>
        <v>Selesai</v>
      </c>
      <c r="R324" s="64">
        <f t="shared" si="272"/>
        <v>0</v>
      </c>
      <c r="S324" s="67">
        <f>VLOOKUP(C324,[7]Real!$B$7:$X$59,22,0)</f>
        <v>44344</v>
      </c>
      <c r="T324" s="67">
        <v>44376</v>
      </c>
      <c r="U324" s="64">
        <f t="shared" si="265"/>
        <v>1</v>
      </c>
      <c r="V324" s="64"/>
      <c r="W324" s="64"/>
      <c r="X324" s="93"/>
      <c r="Y324" s="94"/>
      <c r="Z324" s="91" t="str">
        <f t="shared" si="266"/>
        <v>100%</v>
      </c>
      <c r="AA324" s="67"/>
      <c r="AB324" s="473"/>
      <c r="AC324" s="478" t="s">
        <v>2711</v>
      </c>
      <c r="AD324" s="67"/>
    </row>
    <row r="325" spans="2:30">
      <c r="B325" s="64" t="s">
        <v>113</v>
      </c>
      <c r="C325" s="65" t="s">
        <v>394</v>
      </c>
      <c r="D325" s="66">
        <v>0.72</v>
      </c>
      <c r="E325" s="67">
        <v>44305</v>
      </c>
      <c r="F325" s="64">
        <v>0</v>
      </c>
      <c r="G325" s="67">
        <v>44305</v>
      </c>
      <c r="H325" s="64">
        <v>0</v>
      </c>
      <c r="I325" s="67">
        <v>44356</v>
      </c>
      <c r="J325" s="64">
        <f t="shared" si="267"/>
        <v>0</v>
      </c>
      <c r="K325" s="67">
        <v>44309</v>
      </c>
      <c r="L325" s="64">
        <f t="shared" si="268"/>
        <v>0</v>
      </c>
      <c r="M325" s="64">
        <f t="shared" si="269"/>
        <v>0</v>
      </c>
      <c r="N325" s="67">
        <f t="shared" si="274"/>
        <v>44357</v>
      </c>
      <c r="O325" s="64">
        <f t="shared" si="270"/>
        <v>1</v>
      </c>
      <c r="P325" s="64">
        <f t="shared" si="271"/>
        <v>0</v>
      </c>
      <c r="Q325" s="91" t="str">
        <f t="shared" si="264"/>
        <v>Selesai</v>
      </c>
      <c r="R325" s="64">
        <f t="shared" si="272"/>
        <v>0</v>
      </c>
      <c r="S325" s="67">
        <f>VLOOKUP(C325,[7]Real!$B$7:$X$59,22,0)</f>
        <v>44372</v>
      </c>
      <c r="T325" s="67">
        <v>44376</v>
      </c>
      <c r="U325" s="64">
        <f t="shared" si="265"/>
        <v>1</v>
      </c>
      <c r="V325" s="64"/>
      <c r="W325" s="64"/>
      <c r="X325" s="93"/>
      <c r="Y325" s="94"/>
      <c r="Z325" s="91" t="str">
        <f t="shared" si="266"/>
        <v>100%</v>
      </c>
      <c r="AA325" s="67"/>
      <c r="AB325" s="473"/>
      <c r="AC325" s="478" t="s">
        <v>2711</v>
      </c>
      <c r="AD325" s="67"/>
    </row>
    <row r="326" spans="2:30">
      <c r="B326" s="64" t="s">
        <v>109</v>
      </c>
      <c r="C326" s="65" t="s">
        <v>395</v>
      </c>
      <c r="D326" s="66">
        <v>6.32</v>
      </c>
      <c r="E326" s="67">
        <v>44336</v>
      </c>
      <c r="F326" s="64">
        <v>0</v>
      </c>
      <c r="G326" s="67">
        <v>44337</v>
      </c>
      <c r="H326" s="64">
        <v>0</v>
      </c>
      <c r="I326" s="99">
        <v>44382</v>
      </c>
      <c r="J326" s="64">
        <f t="shared" si="267"/>
        <v>0</v>
      </c>
      <c r="K326" s="67">
        <v>44355</v>
      </c>
      <c r="L326" s="64">
        <f t="shared" si="268"/>
        <v>0</v>
      </c>
      <c r="M326" s="64">
        <f t="shared" si="269"/>
        <v>0</v>
      </c>
      <c r="N326" s="67">
        <f t="shared" si="274"/>
        <v>44383</v>
      </c>
      <c r="O326" s="64">
        <f t="shared" si="270"/>
        <v>1</v>
      </c>
      <c r="P326" s="64">
        <f t="shared" si="271"/>
        <v>0</v>
      </c>
      <c r="Q326" s="91" t="str">
        <f t="shared" si="264"/>
        <v>Selesai</v>
      </c>
      <c r="R326" s="64">
        <f t="shared" si="272"/>
        <v>0</v>
      </c>
      <c r="S326" s="67">
        <f>VLOOKUP(C326,[7]Real!$B$7:$X$59,22,0)</f>
        <v>44369</v>
      </c>
      <c r="T326" s="67">
        <v>44376</v>
      </c>
      <c r="U326" s="64">
        <f t="shared" si="265"/>
        <v>1</v>
      </c>
      <c r="V326" s="64"/>
      <c r="W326" s="64"/>
      <c r="X326" s="93"/>
      <c r="Y326" s="94"/>
      <c r="Z326" s="91" t="str">
        <f t="shared" si="266"/>
        <v>100%</v>
      </c>
      <c r="AA326" s="67"/>
      <c r="AB326" s="473"/>
      <c r="AC326" s="478" t="s">
        <v>2711</v>
      </c>
      <c r="AD326" s="67"/>
    </row>
    <row r="327" spans="2:30">
      <c r="B327" s="64" t="s">
        <v>109</v>
      </c>
      <c r="C327" s="65" t="s">
        <v>396</v>
      </c>
      <c r="D327" s="66">
        <v>8.1300000000000008</v>
      </c>
      <c r="E327" s="67">
        <v>44344</v>
      </c>
      <c r="F327" s="64">
        <v>0</v>
      </c>
      <c r="G327" s="67">
        <v>44345</v>
      </c>
      <c r="H327" s="64">
        <v>0</v>
      </c>
      <c r="I327" s="99">
        <v>44363</v>
      </c>
      <c r="J327" s="64">
        <f t="shared" si="267"/>
        <v>0</v>
      </c>
      <c r="K327" s="67">
        <v>44355</v>
      </c>
      <c r="L327" s="64">
        <f t="shared" si="268"/>
        <v>0</v>
      </c>
      <c r="M327" s="64">
        <f t="shared" si="269"/>
        <v>0</v>
      </c>
      <c r="N327" s="67">
        <f t="shared" si="274"/>
        <v>44364</v>
      </c>
      <c r="O327" s="64">
        <f t="shared" si="270"/>
        <v>1</v>
      </c>
      <c r="P327" s="64">
        <f t="shared" si="271"/>
        <v>0</v>
      </c>
      <c r="Q327" s="91" t="str">
        <f t="shared" si="264"/>
        <v>Selesai</v>
      </c>
      <c r="R327" s="64">
        <f t="shared" si="272"/>
        <v>0</v>
      </c>
      <c r="S327" s="67">
        <f>VLOOKUP(C327,[7]Real!$B$7:$X$59,22,0)</f>
        <v>44358</v>
      </c>
      <c r="T327" s="67">
        <v>44377</v>
      </c>
      <c r="U327" s="64">
        <f t="shared" si="265"/>
        <v>1</v>
      </c>
      <c r="V327" s="64"/>
      <c r="W327" s="64"/>
      <c r="X327" s="93"/>
      <c r="Y327" s="94"/>
      <c r="Z327" s="91" t="str">
        <f t="shared" si="266"/>
        <v>100%</v>
      </c>
      <c r="AA327" s="67"/>
      <c r="AB327" s="473"/>
      <c r="AC327" s="478" t="s">
        <v>2711</v>
      </c>
      <c r="AD327" s="67"/>
    </row>
    <row r="328" spans="2:30">
      <c r="B328" s="64" t="s">
        <v>109</v>
      </c>
      <c r="C328" s="65" t="s">
        <v>397</v>
      </c>
      <c r="D328" s="66">
        <v>11.91</v>
      </c>
      <c r="E328" s="67">
        <v>44319</v>
      </c>
      <c r="F328" s="64">
        <v>0</v>
      </c>
      <c r="G328" s="67">
        <v>44320</v>
      </c>
      <c r="H328" s="64">
        <v>0</v>
      </c>
      <c r="I328" s="99">
        <v>44365</v>
      </c>
      <c r="J328" s="64">
        <f t="shared" si="267"/>
        <v>0</v>
      </c>
      <c r="K328" s="67">
        <v>44340</v>
      </c>
      <c r="L328" s="64">
        <f t="shared" si="268"/>
        <v>0</v>
      </c>
      <c r="M328" s="64">
        <f t="shared" si="269"/>
        <v>0</v>
      </c>
      <c r="N328" s="67">
        <f t="shared" si="274"/>
        <v>44366</v>
      </c>
      <c r="O328" s="64">
        <f t="shared" si="270"/>
        <v>1</v>
      </c>
      <c r="P328" s="64">
        <f t="shared" si="271"/>
        <v>0</v>
      </c>
      <c r="Q328" s="91" t="str">
        <f t="shared" si="264"/>
        <v>Selesai</v>
      </c>
      <c r="R328" s="64">
        <f t="shared" si="272"/>
        <v>0</v>
      </c>
      <c r="S328" s="67">
        <f>VLOOKUP(C328,[7]Real!$B$7:$X$59,22,0)</f>
        <v>44345</v>
      </c>
      <c r="T328" s="67">
        <v>44377</v>
      </c>
      <c r="U328" s="64">
        <f t="shared" si="265"/>
        <v>1</v>
      </c>
      <c r="V328" s="64"/>
      <c r="W328" s="64"/>
      <c r="X328" s="93"/>
      <c r="Y328" s="94"/>
      <c r="Z328" s="91" t="str">
        <f t="shared" si="266"/>
        <v>100%</v>
      </c>
      <c r="AA328" s="67"/>
      <c r="AB328" s="473"/>
      <c r="AC328" s="478" t="s">
        <v>2711</v>
      </c>
      <c r="AD328" s="67"/>
    </row>
    <row r="329" spans="2:30">
      <c r="B329" s="64" t="s">
        <v>105</v>
      </c>
      <c r="C329" s="65" t="s">
        <v>398</v>
      </c>
      <c r="D329" s="66">
        <v>8.2799999999999994</v>
      </c>
      <c r="E329" s="67">
        <v>44315</v>
      </c>
      <c r="F329" s="64">
        <v>0</v>
      </c>
      <c r="G329" s="67">
        <v>44316</v>
      </c>
      <c r="H329" s="64">
        <v>0</v>
      </c>
      <c r="I329" s="99">
        <v>44362</v>
      </c>
      <c r="J329" s="64">
        <f t="shared" si="267"/>
        <v>0</v>
      </c>
      <c r="K329" s="67">
        <v>44333</v>
      </c>
      <c r="L329" s="64">
        <f t="shared" si="268"/>
        <v>0</v>
      </c>
      <c r="M329" s="64">
        <f t="shared" si="269"/>
        <v>0</v>
      </c>
      <c r="N329" s="67">
        <f t="shared" si="274"/>
        <v>44363</v>
      </c>
      <c r="O329" s="64">
        <f t="shared" si="270"/>
        <v>1</v>
      </c>
      <c r="P329" s="64">
        <f t="shared" si="271"/>
        <v>0</v>
      </c>
      <c r="Q329" s="91" t="str">
        <f t="shared" ref="Q329:Q392" si="275">IF(T329&gt;0,"Selesai","Proses")</f>
        <v>Selesai</v>
      </c>
      <c r="R329" s="64">
        <f t="shared" si="272"/>
        <v>0</v>
      </c>
      <c r="S329" s="67">
        <f>VLOOKUP(C329,[7]Real!$B$7:$X$59,22,0)</f>
        <v>44352</v>
      </c>
      <c r="T329" s="67">
        <v>44377</v>
      </c>
      <c r="U329" s="64">
        <f t="shared" ref="U329:U392" si="276">IF(T329&gt;0,1,0)</f>
        <v>1</v>
      </c>
      <c r="V329" s="64"/>
      <c r="W329" s="64"/>
      <c r="X329" s="93"/>
      <c r="Y329" s="94"/>
      <c r="Z329" s="91" t="str">
        <f t="shared" si="266"/>
        <v>100%</v>
      </c>
      <c r="AA329" s="67"/>
      <c r="AB329" s="473"/>
      <c r="AC329" s="478" t="s">
        <v>2711</v>
      </c>
      <c r="AD329" s="67"/>
    </row>
    <row r="330" spans="2:30">
      <c r="B330" s="64" t="s">
        <v>109</v>
      </c>
      <c r="C330" s="65" t="s">
        <v>399</v>
      </c>
      <c r="D330" s="66">
        <v>7.7</v>
      </c>
      <c r="E330" s="67">
        <v>44339</v>
      </c>
      <c r="F330" s="64">
        <v>0</v>
      </c>
      <c r="G330" s="67">
        <v>44340</v>
      </c>
      <c r="H330" s="64">
        <v>0</v>
      </c>
      <c r="I330" s="67">
        <v>44367</v>
      </c>
      <c r="J330" s="64">
        <f t="shared" si="267"/>
        <v>0</v>
      </c>
      <c r="K330" s="67">
        <v>44355</v>
      </c>
      <c r="L330" s="64">
        <f t="shared" si="268"/>
        <v>0</v>
      </c>
      <c r="M330" s="64">
        <f t="shared" si="269"/>
        <v>0</v>
      </c>
      <c r="N330" s="67">
        <f t="shared" si="274"/>
        <v>44368</v>
      </c>
      <c r="O330" s="64">
        <f t="shared" si="270"/>
        <v>1</v>
      </c>
      <c r="P330" s="64">
        <f t="shared" si="271"/>
        <v>0</v>
      </c>
      <c r="Q330" s="91" t="str">
        <f t="shared" si="275"/>
        <v>Selesai</v>
      </c>
      <c r="R330" s="64">
        <f t="shared" si="272"/>
        <v>0</v>
      </c>
      <c r="S330" s="67">
        <v>44358</v>
      </c>
      <c r="T330" s="67">
        <v>44378</v>
      </c>
      <c r="U330" s="64">
        <f t="shared" si="276"/>
        <v>1</v>
      </c>
      <c r="V330" s="64"/>
      <c r="W330" s="64"/>
      <c r="X330" s="93"/>
      <c r="Y330" s="94"/>
      <c r="Z330" s="91" t="str">
        <f t="shared" ref="Z330:Z393" si="277">IF(T330="","","100%")</f>
        <v>100%</v>
      </c>
      <c r="AA330" s="67"/>
      <c r="AB330" s="473"/>
      <c r="AC330" s="478" t="s">
        <v>2711</v>
      </c>
      <c r="AD330" s="67"/>
    </row>
    <row r="331" spans="2:30">
      <c r="B331" s="64" t="s">
        <v>109</v>
      </c>
      <c r="C331" s="65" t="s">
        <v>400</v>
      </c>
      <c r="D331" s="66">
        <v>8.18</v>
      </c>
      <c r="E331" s="67">
        <v>44355</v>
      </c>
      <c r="F331" s="64">
        <v>0</v>
      </c>
      <c r="G331" s="67">
        <v>44359</v>
      </c>
      <c r="H331" s="64">
        <v>0</v>
      </c>
      <c r="I331" s="67">
        <v>44369</v>
      </c>
      <c r="J331" s="64">
        <f t="shared" si="267"/>
        <v>0</v>
      </c>
      <c r="K331" s="67">
        <v>44371</v>
      </c>
      <c r="L331" s="64">
        <f t="shared" si="268"/>
        <v>0</v>
      </c>
      <c r="M331" s="64">
        <f t="shared" si="269"/>
        <v>0</v>
      </c>
      <c r="N331" s="67">
        <f t="shared" si="274"/>
        <v>44372</v>
      </c>
      <c r="O331" s="64">
        <f t="shared" si="270"/>
        <v>1</v>
      </c>
      <c r="P331" s="64">
        <f t="shared" si="271"/>
        <v>0</v>
      </c>
      <c r="Q331" s="91" t="str">
        <f t="shared" si="275"/>
        <v>Selesai</v>
      </c>
      <c r="R331" s="64">
        <f t="shared" si="272"/>
        <v>0</v>
      </c>
      <c r="S331" s="67">
        <v>44372</v>
      </c>
      <c r="T331" s="67">
        <v>44378</v>
      </c>
      <c r="U331" s="64">
        <f t="shared" si="276"/>
        <v>1</v>
      </c>
      <c r="V331" s="64"/>
      <c r="W331" s="64"/>
      <c r="X331" s="93"/>
      <c r="Y331" s="94"/>
      <c r="Z331" s="91" t="str">
        <f t="shared" si="277"/>
        <v>100%</v>
      </c>
      <c r="AA331" s="67"/>
      <c r="AB331" s="473"/>
      <c r="AC331" s="478" t="s">
        <v>2711</v>
      </c>
      <c r="AD331" s="67"/>
    </row>
    <row r="332" spans="2:30">
      <c r="B332" s="64" t="s">
        <v>113</v>
      </c>
      <c r="C332" s="65" t="s">
        <v>401</v>
      </c>
      <c r="D332" s="66">
        <v>5.7</v>
      </c>
      <c r="E332" s="67">
        <v>44305</v>
      </c>
      <c r="F332" s="64">
        <v>0</v>
      </c>
      <c r="G332" s="67">
        <v>44305</v>
      </c>
      <c r="H332" s="64">
        <v>0</v>
      </c>
      <c r="I332" s="67">
        <v>44356</v>
      </c>
      <c r="J332" s="64">
        <f t="shared" si="267"/>
        <v>0</v>
      </c>
      <c r="K332" s="67">
        <v>44309</v>
      </c>
      <c r="L332" s="64">
        <f t="shared" si="268"/>
        <v>0</v>
      </c>
      <c r="M332" s="64">
        <f t="shared" si="269"/>
        <v>0</v>
      </c>
      <c r="N332" s="67">
        <f t="shared" si="274"/>
        <v>44357</v>
      </c>
      <c r="O332" s="64">
        <f t="shared" si="270"/>
        <v>1</v>
      </c>
      <c r="P332" s="64">
        <f t="shared" si="271"/>
        <v>0</v>
      </c>
      <c r="Q332" s="91" t="str">
        <f t="shared" si="275"/>
        <v>Selesai</v>
      </c>
      <c r="R332" s="64">
        <f t="shared" si="272"/>
        <v>0</v>
      </c>
      <c r="S332" s="67">
        <f>VLOOKUP(C332,[7]Real!$B$7:$X$59,22,0)</f>
        <v>44362</v>
      </c>
      <c r="T332" s="67">
        <v>44381</v>
      </c>
      <c r="U332" s="64">
        <f t="shared" si="276"/>
        <v>1</v>
      </c>
      <c r="V332" s="64"/>
      <c r="W332" s="64"/>
      <c r="X332" s="93"/>
      <c r="Y332" s="94"/>
      <c r="Z332" s="91" t="str">
        <f t="shared" si="277"/>
        <v>100%</v>
      </c>
      <c r="AA332" s="67"/>
      <c r="AB332" s="473"/>
      <c r="AC332" s="478" t="s">
        <v>2711</v>
      </c>
      <c r="AD332" s="67"/>
    </row>
    <row r="333" spans="2:30">
      <c r="B333" s="64" t="s">
        <v>109</v>
      </c>
      <c r="C333" s="65" t="s">
        <v>402</v>
      </c>
      <c r="D333" s="66">
        <v>6.5</v>
      </c>
      <c r="E333" s="67">
        <v>44307</v>
      </c>
      <c r="F333" s="64">
        <v>0</v>
      </c>
      <c r="G333" s="67">
        <v>44308</v>
      </c>
      <c r="H333" s="64">
        <v>0</v>
      </c>
      <c r="I333" s="67">
        <v>44344</v>
      </c>
      <c r="J333" s="64">
        <f t="shared" si="267"/>
        <v>0</v>
      </c>
      <c r="K333" s="67">
        <v>44308</v>
      </c>
      <c r="L333" s="64">
        <f t="shared" si="268"/>
        <v>0</v>
      </c>
      <c r="M333" s="64">
        <f t="shared" si="269"/>
        <v>0</v>
      </c>
      <c r="N333" s="67">
        <f t="shared" si="274"/>
        <v>44345</v>
      </c>
      <c r="O333" s="64">
        <f t="shared" si="270"/>
        <v>1</v>
      </c>
      <c r="P333" s="64">
        <f t="shared" si="271"/>
        <v>0</v>
      </c>
      <c r="Q333" s="91" t="str">
        <f t="shared" si="275"/>
        <v>Selesai</v>
      </c>
      <c r="R333" s="64">
        <f t="shared" si="272"/>
        <v>0</v>
      </c>
      <c r="S333" s="67">
        <v>44370</v>
      </c>
      <c r="T333" s="67">
        <v>44384</v>
      </c>
      <c r="U333" s="64">
        <f t="shared" si="276"/>
        <v>1</v>
      </c>
      <c r="V333" s="64"/>
      <c r="W333" s="64"/>
      <c r="X333" s="93"/>
      <c r="Y333" s="94"/>
      <c r="Z333" s="91" t="str">
        <f t="shared" si="277"/>
        <v>100%</v>
      </c>
      <c r="AA333" s="67"/>
      <c r="AB333" s="473"/>
      <c r="AC333" s="478" t="s">
        <v>2711</v>
      </c>
      <c r="AD333" s="67"/>
    </row>
    <row r="334" spans="2:30">
      <c r="B334" s="64" t="s">
        <v>109</v>
      </c>
      <c r="C334" s="65" t="s">
        <v>403</v>
      </c>
      <c r="D334" s="66">
        <v>5.5</v>
      </c>
      <c r="E334" s="67">
        <v>44355</v>
      </c>
      <c r="F334" s="64">
        <v>0</v>
      </c>
      <c r="G334" s="67">
        <v>44359</v>
      </c>
      <c r="H334" s="64">
        <v>0</v>
      </c>
      <c r="I334" s="100">
        <v>44370</v>
      </c>
      <c r="J334" s="64">
        <f t="shared" si="267"/>
        <v>0</v>
      </c>
      <c r="K334" s="67">
        <v>44368</v>
      </c>
      <c r="L334" s="64">
        <f t="shared" si="268"/>
        <v>0</v>
      </c>
      <c r="M334" s="64">
        <f t="shared" si="269"/>
        <v>0</v>
      </c>
      <c r="N334" s="67">
        <f t="shared" si="274"/>
        <v>44371</v>
      </c>
      <c r="O334" s="64">
        <f t="shared" si="270"/>
        <v>1</v>
      </c>
      <c r="P334" s="64">
        <f t="shared" si="271"/>
        <v>0</v>
      </c>
      <c r="Q334" s="91" t="str">
        <f t="shared" si="275"/>
        <v>Selesai</v>
      </c>
      <c r="R334" s="64">
        <f t="shared" si="272"/>
        <v>0</v>
      </c>
      <c r="S334" s="67">
        <v>44371</v>
      </c>
      <c r="T334" s="67">
        <v>44384</v>
      </c>
      <c r="U334" s="64">
        <f t="shared" si="276"/>
        <v>1</v>
      </c>
      <c r="V334" s="64"/>
      <c r="W334" s="64"/>
      <c r="X334" s="93"/>
      <c r="Y334" s="94"/>
      <c r="Z334" s="91" t="str">
        <f t="shared" si="277"/>
        <v>100%</v>
      </c>
      <c r="AA334" s="67"/>
      <c r="AB334" s="473"/>
      <c r="AC334" s="478" t="s">
        <v>2711</v>
      </c>
      <c r="AD334" s="67"/>
    </row>
    <row r="335" spans="2:30">
      <c r="B335" s="64" t="s">
        <v>109</v>
      </c>
      <c r="C335" s="65" t="s">
        <v>404</v>
      </c>
      <c r="D335" s="66">
        <v>12.16</v>
      </c>
      <c r="E335" s="67">
        <v>44301</v>
      </c>
      <c r="F335" s="64">
        <v>0</v>
      </c>
      <c r="G335" s="67">
        <v>44307</v>
      </c>
      <c r="H335" s="64">
        <v>0</v>
      </c>
      <c r="I335" s="67">
        <v>44337</v>
      </c>
      <c r="J335" s="64">
        <f t="shared" si="267"/>
        <v>0</v>
      </c>
      <c r="K335" s="67">
        <v>44308</v>
      </c>
      <c r="L335" s="64">
        <f t="shared" si="268"/>
        <v>0</v>
      </c>
      <c r="M335" s="64">
        <f t="shared" si="269"/>
        <v>0</v>
      </c>
      <c r="N335" s="67">
        <f t="shared" si="274"/>
        <v>44338</v>
      </c>
      <c r="O335" s="64">
        <f t="shared" si="270"/>
        <v>1</v>
      </c>
      <c r="P335" s="64">
        <f t="shared" si="271"/>
        <v>0</v>
      </c>
      <c r="Q335" s="91" t="str">
        <f t="shared" si="275"/>
        <v>Selesai</v>
      </c>
      <c r="R335" s="64">
        <f t="shared" si="272"/>
        <v>0</v>
      </c>
      <c r="S335" s="67">
        <v>44347</v>
      </c>
      <c r="T335" s="67">
        <v>44384</v>
      </c>
      <c r="U335" s="64">
        <f t="shared" si="276"/>
        <v>1</v>
      </c>
      <c r="V335" s="64"/>
      <c r="W335" s="64"/>
      <c r="X335" s="93"/>
      <c r="Y335" s="94"/>
      <c r="Z335" s="91" t="str">
        <f t="shared" si="277"/>
        <v>100%</v>
      </c>
      <c r="AA335" s="67"/>
      <c r="AB335" s="473"/>
      <c r="AC335" s="478" t="s">
        <v>2711</v>
      </c>
      <c r="AD335" s="67"/>
    </row>
    <row r="336" spans="2:30">
      <c r="B336" s="64" t="s">
        <v>113</v>
      </c>
      <c r="C336" s="65" t="s">
        <v>405</v>
      </c>
      <c r="D336" s="66">
        <v>10.31</v>
      </c>
      <c r="E336" s="67">
        <v>44358</v>
      </c>
      <c r="F336" s="64">
        <v>0</v>
      </c>
      <c r="G336" s="67">
        <v>44360</v>
      </c>
      <c r="H336" s="64">
        <v>0</v>
      </c>
      <c r="I336" s="67">
        <v>44367</v>
      </c>
      <c r="J336" s="64">
        <f t="shared" ref="J336:J399" si="278">IF(I336&gt;0,0,1)</f>
        <v>0</v>
      </c>
      <c r="K336" s="67">
        <v>44362</v>
      </c>
      <c r="L336" s="64">
        <f t="shared" ref="L336:L399" si="279">IF(K336&gt;0,0,1)</f>
        <v>0</v>
      </c>
      <c r="M336" s="64">
        <f t="shared" ref="M336:M399" si="280">IF(AND(J336&gt;0,L336&gt;0),1,0)</f>
        <v>0</v>
      </c>
      <c r="N336" s="67">
        <f t="shared" si="274"/>
        <v>44368</v>
      </c>
      <c r="O336" s="64">
        <f t="shared" ref="O336:O399" si="281">IF(N336&gt;0,1,0)</f>
        <v>1</v>
      </c>
      <c r="P336" s="64">
        <f t="shared" ref="P336:P399" si="282">IF(O336&gt;0,0,1)</f>
        <v>0</v>
      </c>
      <c r="Q336" s="91" t="str">
        <f t="shared" si="275"/>
        <v>Selesai</v>
      </c>
      <c r="R336" s="64">
        <f t="shared" ref="R336:R399" si="283">IF(Q336="proses",1,0)</f>
        <v>0</v>
      </c>
      <c r="S336" s="67">
        <v>44364</v>
      </c>
      <c r="T336" s="67">
        <v>44384</v>
      </c>
      <c r="U336" s="64">
        <f t="shared" si="276"/>
        <v>1</v>
      </c>
      <c r="V336" s="64"/>
      <c r="W336" s="64"/>
      <c r="X336" s="93"/>
      <c r="Y336" s="94"/>
      <c r="Z336" s="91" t="str">
        <f t="shared" si="277"/>
        <v>100%</v>
      </c>
      <c r="AA336" s="67"/>
      <c r="AB336" s="473"/>
      <c r="AC336" s="478" t="s">
        <v>2711</v>
      </c>
      <c r="AD336" s="67"/>
    </row>
    <row r="337" spans="2:30">
      <c r="B337" s="64" t="s">
        <v>109</v>
      </c>
      <c r="C337" s="65" t="s">
        <v>406</v>
      </c>
      <c r="D337" s="66">
        <v>10.52</v>
      </c>
      <c r="E337" s="67">
        <v>44315</v>
      </c>
      <c r="F337" s="64">
        <v>0</v>
      </c>
      <c r="G337" s="67">
        <v>44316</v>
      </c>
      <c r="H337" s="64">
        <v>0</v>
      </c>
      <c r="I337" s="67">
        <v>44367</v>
      </c>
      <c r="J337" s="64">
        <f t="shared" si="278"/>
        <v>0</v>
      </c>
      <c r="K337" s="67">
        <v>44333</v>
      </c>
      <c r="L337" s="64">
        <f t="shared" si="279"/>
        <v>0</v>
      </c>
      <c r="M337" s="64">
        <f t="shared" si="280"/>
        <v>0</v>
      </c>
      <c r="N337" s="67">
        <f t="shared" si="274"/>
        <v>44368</v>
      </c>
      <c r="O337" s="64">
        <f t="shared" si="281"/>
        <v>1</v>
      </c>
      <c r="P337" s="64">
        <f t="shared" si="282"/>
        <v>0</v>
      </c>
      <c r="Q337" s="91" t="str">
        <f t="shared" si="275"/>
        <v>Selesai</v>
      </c>
      <c r="R337" s="64">
        <f t="shared" si="283"/>
        <v>0</v>
      </c>
      <c r="S337" s="67">
        <v>44362</v>
      </c>
      <c r="T337" s="67">
        <v>44385</v>
      </c>
      <c r="U337" s="64">
        <f t="shared" si="276"/>
        <v>1</v>
      </c>
      <c r="V337" s="64"/>
      <c r="W337" s="64"/>
      <c r="X337" s="93"/>
      <c r="Y337" s="94"/>
      <c r="Z337" s="91" t="str">
        <f t="shared" si="277"/>
        <v>100%</v>
      </c>
      <c r="AA337" s="67"/>
      <c r="AB337" s="473"/>
      <c r="AC337" s="478" t="s">
        <v>2711</v>
      </c>
      <c r="AD337" s="67"/>
    </row>
    <row r="338" spans="2:30">
      <c r="B338" s="64" t="s">
        <v>109</v>
      </c>
      <c r="C338" s="65" t="s">
        <v>407</v>
      </c>
      <c r="D338" s="66">
        <v>6.02</v>
      </c>
      <c r="E338" s="67">
        <v>44335</v>
      </c>
      <c r="F338" s="64">
        <v>0</v>
      </c>
      <c r="G338" s="67">
        <v>44336</v>
      </c>
      <c r="H338" s="64">
        <v>0</v>
      </c>
      <c r="I338" s="67">
        <v>44377</v>
      </c>
      <c r="J338" s="64">
        <f t="shared" si="278"/>
        <v>0</v>
      </c>
      <c r="K338" s="67">
        <v>44344</v>
      </c>
      <c r="L338" s="64">
        <f t="shared" si="279"/>
        <v>0</v>
      </c>
      <c r="M338" s="64">
        <f t="shared" si="280"/>
        <v>0</v>
      </c>
      <c r="N338" s="67">
        <f t="shared" si="274"/>
        <v>44378</v>
      </c>
      <c r="O338" s="64">
        <f t="shared" si="281"/>
        <v>1</v>
      </c>
      <c r="P338" s="64">
        <f t="shared" si="282"/>
        <v>0</v>
      </c>
      <c r="Q338" s="91" t="str">
        <f t="shared" si="275"/>
        <v>Selesai</v>
      </c>
      <c r="R338" s="64">
        <f t="shared" si="283"/>
        <v>0</v>
      </c>
      <c r="S338" s="67">
        <v>44365</v>
      </c>
      <c r="T338" s="67">
        <v>44385</v>
      </c>
      <c r="U338" s="64">
        <f t="shared" si="276"/>
        <v>1</v>
      </c>
      <c r="V338" s="64"/>
      <c r="W338" s="64"/>
      <c r="X338" s="93"/>
      <c r="Y338" s="94"/>
      <c r="Z338" s="91" t="str">
        <f t="shared" si="277"/>
        <v>100%</v>
      </c>
      <c r="AA338" s="67"/>
      <c r="AB338" s="473"/>
      <c r="AC338" s="478" t="s">
        <v>2711</v>
      </c>
      <c r="AD338" s="67"/>
    </row>
    <row r="339" spans="2:30">
      <c r="B339" s="64" t="s">
        <v>107</v>
      </c>
      <c r="C339" s="65" t="s">
        <v>408</v>
      </c>
      <c r="D339" s="66">
        <v>9.75</v>
      </c>
      <c r="E339" s="67">
        <v>44345</v>
      </c>
      <c r="F339" s="64">
        <v>0</v>
      </c>
      <c r="G339" s="67">
        <v>44350</v>
      </c>
      <c r="H339" s="64">
        <v>0</v>
      </c>
      <c r="I339" s="67">
        <v>44367</v>
      </c>
      <c r="J339" s="64">
        <f t="shared" si="278"/>
        <v>0</v>
      </c>
      <c r="K339" s="67">
        <v>44358</v>
      </c>
      <c r="L339" s="64">
        <f t="shared" si="279"/>
        <v>0</v>
      </c>
      <c r="M339" s="64">
        <f t="shared" si="280"/>
        <v>0</v>
      </c>
      <c r="N339" s="67">
        <f t="shared" si="274"/>
        <v>44368</v>
      </c>
      <c r="O339" s="64">
        <f t="shared" si="281"/>
        <v>1</v>
      </c>
      <c r="P339" s="64">
        <f t="shared" si="282"/>
        <v>0</v>
      </c>
      <c r="Q339" s="91" t="str">
        <f t="shared" si="275"/>
        <v>Selesai</v>
      </c>
      <c r="R339" s="64">
        <f t="shared" si="283"/>
        <v>0</v>
      </c>
      <c r="S339" s="67">
        <v>44374</v>
      </c>
      <c r="T339" s="67">
        <v>44388</v>
      </c>
      <c r="U339" s="64">
        <f t="shared" si="276"/>
        <v>1</v>
      </c>
      <c r="V339" s="64"/>
      <c r="W339" s="64"/>
      <c r="X339" s="93"/>
      <c r="Y339" s="94"/>
      <c r="Z339" s="91" t="str">
        <f t="shared" si="277"/>
        <v>100%</v>
      </c>
      <c r="AA339" s="67"/>
      <c r="AB339" s="473"/>
      <c r="AC339" s="478" t="s">
        <v>2711</v>
      </c>
      <c r="AD339" s="67"/>
    </row>
    <row r="340" spans="2:30">
      <c r="B340" s="64" t="s">
        <v>109</v>
      </c>
      <c r="C340" s="65" t="s">
        <v>409</v>
      </c>
      <c r="D340" s="66">
        <v>8.83</v>
      </c>
      <c r="E340" s="67">
        <v>44335</v>
      </c>
      <c r="F340" s="64">
        <v>0</v>
      </c>
      <c r="G340" s="67">
        <v>44336</v>
      </c>
      <c r="H340" s="64">
        <v>0</v>
      </c>
      <c r="I340" s="67">
        <v>44377</v>
      </c>
      <c r="J340" s="64">
        <f t="shared" si="278"/>
        <v>0</v>
      </c>
      <c r="K340" s="67">
        <v>44344</v>
      </c>
      <c r="L340" s="64">
        <f t="shared" si="279"/>
        <v>0</v>
      </c>
      <c r="M340" s="64">
        <f t="shared" si="280"/>
        <v>0</v>
      </c>
      <c r="N340" s="67">
        <f t="shared" si="274"/>
        <v>44378</v>
      </c>
      <c r="O340" s="64">
        <f t="shared" si="281"/>
        <v>1</v>
      </c>
      <c r="P340" s="64">
        <f t="shared" si="282"/>
        <v>0</v>
      </c>
      <c r="Q340" s="91" t="str">
        <f t="shared" si="275"/>
        <v>Selesai</v>
      </c>
      <c r="R340" s="64">
        <f t="shared" si="283"/>
        <v>0</v>
      </c>
      <c r="S340" s="67">
        <v>44365</v>
      </c>
      <c r="T340" s="67">
        <v>44388</v>
      </c>
      <c r="U340" s="64">
        <f t="shared" si="276"/>
        <v>1</v>
      </c>
      <c r="V340" s="64"/>
      <c r="W340" s="64"/>
      <c r="X340" s="93"/>
      <c r="Y340" s="94"/>
      <c r="Z340" s="91" t="str">
        <f t="shared" si="277"/>
        <v>100%</v>
      </c>
      <c r="AA340" s="67"/>
      <c r="AB340" s="473"/>
      <c r="AC340" s="478" t="s">
        <v>2711</v>
      </c>
      <c r="AD340" s="67"/>
    </row>
    <row r="341" spans="2:30">
      <c r="B341" s="64" t="s">
        <v>109</v>
      </c>
      <c r="C341" s="65" t="s">
        <v>410</v>
      </c>
      <c r="D341" s="66">
        <v>3.9</v>
      </c>
      <c r="E341" s="67">
        <v>44355</v>
      </c>
      <c r="F341" s="64">
        <v>0</v>
      </c>
      <c r="G341" s="67">
        <v>44371</v>
      </c>
      <c r="H341" s="64">
        <v>0</v>
      </c>
      <c r="I341" s="67">
        <v>44380</v>
      </c>
      <c r="J341" s="64">
        <f t="shared" si="278"/>
        <v>0</v>
      </c>
      <c r="K341" s="67">
        <v>44375</v>
      </c>
      <c r="L341" s="64">
        <f t="shared" si="279"/>
        <v>0</v>
      </c>
      <c r="M341" s="64">
        <f t="shared" si="280"/>
        <v>0</v>
      </c>
      <c r="N341" s="67">
        <f t="shared" si="274"/>
        <v>44381</v>
      </c>
      <c r="O341" s="64">
        <f t="shared" si="281"/>
        <v>1</v>
      </c>
      <c r="P341" s="64">
        <f t="shared" si="282"/>
        <v>0</v>
      </c>
      <c r="Q341" s="91" t="str">
        <f t="shared" si="275"/>
        <v>Selesai</v>
      </c>
      <c r="R341" s="64">
        <f t="shared" si="283"/>
        <v>0</v>
      </c>
      <c r="S341" s="67">
        <v>44379</v>
      </c>
      <c r="T341" s="67">
        <v>44390</v>
      </c>
      <c r="U341" s="64">
        <f t="shared" si="276"/>
        <v>1</v>
      </c>
      <c r="V341" s="64"/>
      <c r="W341" s="64"/>
      <c r="X341" s="93"/>
      <c r="Y341" s="94"/>
      <c r="Z341" s="91" t="str">
        <f t="shared" si="277"/>
        <v>100%</v>
      </c>
      <c r="AA341" s="67"/>
      <c r="AB341" s="473"/>
      <c r="AC341" s="478" t="s">
        <v>2711</v>
      </c>
      <c r="AD341" s="67"/>
    </row>
    <row r="342" spans="2:30">
      <c r="B342" s="64" t="s">
        <v>105</v>
      </c>
      <c r="C342" s="65" t="s">
        <v>411</v>
      </c>
      <c r="D342" s="66">
        <v>9.51</v>
      </c>
      <c r="E342" s="67">
        <v>44337</v>
      </c>
      <c r="F342" s="64">
        <v>0</v>
      </c>
      <c r="G342" s="67">
        <v>44338</v>
      </c>
      <c r="H342" s="64">
        <v>0</v>
      </c>
      <c r="I342" s="67">
        <v>44377</v>
      </c>
      <c r="J342" s="64">
        <f t="shared" si="278"/>
        <v>0</v>
      </c>
      <c r="K342" s="67">
        <v>44347</v>
      </c>
      <c r="L342" s="64">
        <f t="shared" si="279"/>
        <v>0</v>
      </c>
      <c r="M342" s="64">
        <f t="shared" si="280"/>
        <v>0</v>
      </c>
      <c r="N342" s="67">
        <f t="shared" si="274"/>
        <v>44378</v>
      </c>
      <c r="O342" s="64">
        <f t="shared" si="281"/>
        <v>1</v>
      </c>
      <c r="P342" s="64">
        <f t="shared" si="282"/>
        <v>0</v>
      </c>
      <c r="Q342" s="91" t="str">
        <f t="shared" si="275"/>
        <v>Selesai</v>
      </c>
      <c r="R342" s="64">
        <f t="shared" si="283"/>
        <v>0</v>
      </c>
      <c r="S342" s="67">
        <v>44368</v>
      </c>
      <c r="T342" s="67">
        <v>44390</v>
      </c>
      <c r="U342" s="64">
        <f t="shared" si="276"/>
        <v>1</v>
      </c>
      <c r="V342" s="64"/>
      <c r="W342" s="64"/>
      <c r="X342" s="93"/>
      <c r="Y342" s="94"/>
      <c r="Z342" s="91" t="str">
        <f t="shared" si="277"/>
        <v>100%</v>
      </c>
      <c r="AA342" s="67"/>
      <c r="AB342" s="473"/>
      <c r="AC342" s="478" t="s">
        <v>2711</v>
      </c>
      <c r="AD342" s="67"/>
    </row>
    <row r="343" spans="2:30">
      <c r="B343" s="64" t="s">
        <v>105</v>
      </c>
      <c r="C343" s="65" t="s">
        <v>412</v>
      </c>
      <c r="D343" s="66">
        <v>6.3</v>
      </c>
      <c r="E343" s="67">
        <v>44362</v>
      </c>
      <c r="F343" s="64">
        <v>0</v>
      </c>
      <c r="G343" s="67">
        <v>44363</v>
      </c>
      <c r="H343" s="64">
        <v>0</v>
      </c>
      <c r="I343" s="67">
        <v>44385</v>
      </c>
      <c r="J343" s="64">
        <f t="shared" si="278"/>
        <v>0</v>
      </c>
      <c r="K343" s="67">
        <v>44372</v>
      </c>
      <c r="L343" s="64">
        <f t="shared" si="279"/>
        <v>0</v>
      </c>
      <c r="M343" s="64">
        <f t="shared" si="280"/>
        <v>0</v>
      </c>
      <c r="N343" s="67">
        <f t="shared" si="274"/>
        <v>44386</v>
      </c>
      <c r="O343" s="64">
        <f t="shared" si="281"/>
        <v>1</v>
      </c>
      <c r="P343" s="64">
        <f t="shared" si="282"/>
        <v>0</v>
      </c>
      <c r="Q343" s="91" t="str">
        <f t="shared" si="275"/>
        <v>Selesai</v>
      </c>
      <c r="R343" s="64">
        <f t="shared" si="283"/>
        <v>0</v>
      </c>
      <c r="S343" s="67">
        <v>44374</v>
      </c>
      <c r="T343" s="67">
        <v>44390</v>
      </c>
      <c r="U343" s="64">
        <f t="shared" si="276"/>
        <v>1</v>
      </c>
      <c r="V343" s="64"/>
      <c r="W343" s="64"/>
      <c r="X343" s="93"/>
      <c r="Y343" s="94"/>
      <c r="Z343" s="91" t="str">
        <f t="shared" si="277"/>
        <v>100%</v>
      </c>
      <c r="AA343" s="67"/>
      <c r="AB343" s="473"/>
      <c r="AC343" s="478" t="s">
        <v>2711</v>
      </c>
      <c r="AD343" s="67"/>
    </row>
    <row r="344" spans="2:30">
      <c r="B344" s="64" t="s">
        <v>109</v>
      </c>
      <c r="C344" s="65" t="s">
        <v>413</v>
      </c>
      <c r="D344" s="66">
        <v>11.32</v>
      </c>
      <c r="E344" s="67">
        <v>44336</v>
      </c>
      <c r="F344" s="64">
        <v>0</v>
      </c>
      <c r="G344" s="67">
        <v>44337</v>
      </c>
      <c r="H344" s="64">
        <v>0</v>
      </c>
      <c r="I344" s="67">
        <v>44364</v>
      </c>
      <c r="J344" s="64">
        <f t="shared" si="278"/>
        <v>0</v>
      </c>
      <c r="K344" s="67">
        <v>44344</v>
      </c>
      <c r="L344" s="64">
        <f t="shared" si="279"/>
        <v>0</v>
      </c>
      <c r="M344" s="64">
        <f t="shared" si="280"/>
        <v>0</v>
      </c>
      <c r="N344" s="67">
        <f t="shared" si="274"/>
        <v>44365</v>
      </c>
      <c r="O344" s="64">
        <f t="shared" si="281"/>
        <v>1</v>
      </c>
      <c r="P344" s="64">
        <f t="shared" si="282"/>
        <v>0</v>
      </c>
      <c r="Q344" s="91" t="str">
        <f t="shared" si="275"/>
        <v>Selesai</v>
      </c>
      <c r="R344" s="64">
        <f t="shared" si="283"/>
        <v>0</v>
      </c>
      <c r="S344" s="67">
        <v>44376</v>
      </c>
      <c r="T344" s="67">
        <v>44393</v>
      </c>
      <c r="U344" s="64">
        <f t="shared" si="276"/>
        <v>1</v>
      </c>
      <c r="V344" s="64"/>
      <c r="W344" s="64"/>
      <c r="X344" s="93"/>
      <c r="Y344" s="94"/>
      <c r="Z344" s="91" t="str">
        <f t="shared" si="277"/>
        <v>100%</v>
      </c>
      <c r="AA344" s="67"/>
      <c r="AB344" s="473"/>
      <c r="AC344" s="478" t="s">
        <v>2711</v>
      </c>
      <c r="AD344" s="67"/>
    </row>
    <row r="345" spans="2:30">
      <c r="B345" s="64" t="s">
        <v>107</v>
      </c>
      <c r="C345" s="65" t="s">
        <v>414</v>
      </c>
      <c r="D345" s="66">
        <v>5.05</v>
      </c>
      <c r="E345" s="67">
        <v>44348</v>
      </c>
      <c r="F345" s="64">
        <v>0</v>
      </c>
      <c r="G345" s="67">
        <v>44350</v>
      </c>
      <c r="H345" s="64">
        <v>0</v>
      </c>
      <c r="I345" s="67">
        <v>44356</v>
      </c>
      <c r="J345" s="64">
        <f t="shared" si="278"/>
        <v>0</v>
      </c>
      <c r="K345" s="67">
        <v>44358</v>
      </c>
      <c r="L345" s="64">
        <f t="shared" si="279"/>
        <v>0</v>
      </c>
      <c r="M345" s="64">
        <f t="shared" si="280"/>
        <v>0</v>
      </c>
      <c r="N345" s="67">
        <f t="shared" si="274"/>
        <v>44359</v>
      </c>
      <c r="O345" s="64">
        <f t="shared" si="281"/>
        <v>1</v>
      </c>
      <c r="P345" s="64">
        <f t="shared" si="282"/>
        <v>0</v>
      </c>
      <c r="Q345" s="91" t="str">
        <f t="shared" si="275"/>
        <v>Selesai</v>
      </c>
      <c r="R345" s="64">
        <f t="shared" si="283"/>
        <v>0</v>
      </c>
      <c r="S345" s="67">
        <v>44376</v>
      </c>
      <c r="T345" s="67">
        <v>44394</v>
      </c>
      <c r="U345" s="64">
        <f t="shared" si="276"/>
        <v>1</v>
      </c>
      <c r="V345" s="64"/>
      <c r="W345" s="64"/>
      <c r="X345" s="93"/>
      <c r="Y345" s="94"/>
      <c r="Z345" s="91" t="str">
        <f t="shared" si="277"/>
        <v>100%</v>
      </c>
      <c r="AA345" s="67"/>
      <c r="AB345" s="473"/>
      <c r="AC345" s="478" t="s">
        <v>2711</v>
      </c>
      <c r="AD345" s="67"/>
    </row>
    <row r="346" spans="2:30">
      <c r="B346" s="64" t="s">
        <v>109</v>
      </c>
      <c r="C346" s="65" t="s">
        <v>415</v>
      </c>
      <c r="D346" s="66">
        <v>1.42</v>
      </c>
      <c r="E346" s="67">
        <v>44373</v>
      </c>
      <c r="F346" s="64">
        <v>0</v>
      </c>
      <c r="G346" s="67">
        <v>44375</v>
      </c>
      <c r="H346" s="64">
        <v>0</v>
      </c>
      <c r="I346" s="67">
        <v>44389</v>
      </c>
      <c r="J346" s="64">
        <f t="shared" si="278"/>
        <v>0</v>
      </c>
      <c r="K346" s="67">
        <v>44383</v>
      </c>
      <c r="L346" s="64">
        <f t="shared" si="279"/>
        <v>0</v>
      </c>
      <c r="M346" s="64">
        <f t="shared" si="280"/>
        <v>0</v>
      </c>
      <c r="N346" s="67">
        <f t="shared" si="274"/>
        <v>44390</v>
      </c>
      <c r="O346" s="64">
        <f t="shared" si="281"/>
        <v>1</v>
      </c>
      <c r="P346" s="64">
        <f t="shared" si="282"/>
        <v>0</v>
      </c>
      <c r="Q346" s="91" t="str">
        <f t="shared" si="275"/>
        <v>Selesai</v>
      </c>
      <c r="R346" s="64">
        <f t="shared" si="283"/>
        <v>0</v>
      </c>
      <c r="S346" s="67">
        <v>44390</v>
      </c>
      <c r="T346" s="67">
        <v>44400</v>
      </c>
      <c r="U346" s="64">
        <f t="shared" si="276"/>
        <v>1</v>
      </c>
      <c r="V346" s="64"/>
      <c r="W346" s="64"/>
      <c r="X346" s="93"/>
      <c r="Y346" s="94"/>
      <c r="Z346" s="91" t="str">
        <f t="shared" si="277"/>
        <v>100%</v>
      </c>
      <c r="AA346" s="67"/>
      <c r="AB346" s="473"/>
      <c r="AC346" s="478" t="s">
        <v>2711</v>
      </c>
      <c r="AD346" s="67"/>
    </row>
    <row r="347" spans="2:30">
      <c r="B347" s="64" t="s">
        <v>109</v>
      </c>
      <c r="C347" s="65" t="s">
        <v>416</v>
      </c>
      <c r="D347" s="66">
        <v>11.65</v>
      </c>
      <c r="E347" s="67">
        <v>44370</v>
      </c>
      <c r="F347" s="64">
        <v>0</v>
      </c>
      <c r="G347" s="67">
        <v>44371</v>
      </c>
      <c r="H347" s="64">
        <v>0</v>
      </c>
      <c r="I347" s="67">
        <v>44383</v>
      </c>
      <c r="J347" s="64">
        <f t="shared" si="278"/>
        <v>0</v>
      </c>
      <c r="K347" s="67">
        <v>44375</v>
      </c>
      <c r="L347" s="64">
        <f t="shared" si="279"/>
        <v>0</v>
      </c>
      <c r="M347" s="64">
        <f t="shared" si="280"/>
        <v>0</v>
      </c>
      <c r="N347" s="67">
        <f t="shared" si="274"/>
        <v>44384</v>
      </c>
      <c r="O347" s="64">
        <f t="shared" si="281"/>
        <v>1</v>
      </c>
      <c r="P347" s="64">
        <f t="shared" si="282"/>
        <v>0</v>
      </c>
      <c r="Q347" s="91" t="str">
        <f t="shared" si="275"/>
        <v>Selesai</v>
      </c>
      <c r="R347" s="64">
        <f t="shared" si="283"/>
        <v>0</v>
      </c>
      <c r="S347" s="67">
        <v>44384</v>
      </c>
      <c r="T347" s="67">
        <v>44404</v>
      </c>
      <c r="U347" s="64">
        <f t="shared" si="276"/>
        <v>1</v>
      </c>
      <c r="V347" s="64"/>
      <c r="W347" s="64"/>
      <c r="X347" s="93"/>
      <c r="Y347" s="94"/>
      <c r="Z347" s="91" t="str">
        <f t="shared" si="277"/>
        <v>100%</v>
      </c>
      <c r="AA347" s="67"/>
      <c r="AB347" s="473"/>
      <c r="AC347" s="478" t="s">
        <v>2711</v>
      </c>
      <c r="AD347" s="67"/>
    </row>
    <row r="348" spans="2:30">
      <c r="B348" s="64" t="s">
        <v>109</v>
      </c>
      <c r="C348" s="65" t="s">
        <v>417</v>
      </c>
      <c r="D348" s="66">
        <v>10.64</v>
      </c>
      <c r="E348" s="67">
        <v>44372</v>
      </c>
      <c r="F348" s="64">
        <v>0</v>
      </c>
      <c r="G348" s="67">
        <v>44373</v>
      </c>
      <c r="H348" s="64">
        <v>0</v>
      </c>
      <c r="I348" s="67">
        <v>44394</v>
      </c>
      <c r="J348" s="64">
        <f t="shared" si="278"/>
        <v>0</v>
      </c>
      <c r="K348" s="67">
        <v>44383</v>
      </c>
      <c r="L348" s="64">
        <f t="shared" si="279"/>
        <v>0</v>
      </c>
      <c r="M348" s="64">
        <f t="shared" si="280"/>
        <v>0</v>
      </c>
      <c r="N348" s="67">
        <f t="shared" si="274"/>
        <v>44395</v>
      </c>
      <c r="O348" s="64">
        <f t="shared" si="281"/>
        <v>1</v>
      </c>
      <c r="P348" s="64">
        <f t="shared" si="282"/>
        <v>0</v>
      </c>
      <c r="Q348" s="91" t="str">
        <f t="shared" si="275"/>
        <v>Selesai</v>
      </c>
      <c r="R348" s="64">
        <f t="shared" si="283"/>
        <v>0</v>
      </c>
      <c r="S348" s="67">
        <v>44385</v>
      </c>
      <c r="T348" s="67">
        <v>44404</v>
      </c>
      <c r="U348" s="64">
        <f t="shared" si="276"/>
        <v>1</v>
      </c>
      <c r="V348" s="64"/>
      <c r="W348" s="64"/>
      <c r="X348" s="93"/>
      <c r="Y348" s="94"/>
      <c r="Z348" s="91" t="str">
        <f t="shared" si="277"/>
        <v>100%</v>
      </c>
      <c r="AA348" s="67"/>
      <c r="AB348" s="473"/>
      <c r="AC348" s="478" t="s">
        <v>2711</v>
      </c>
      <c r="AD348" s="67"/>
    </row>
    <row r="349" spans="2:30">
      <c r="B349" s="64" t="s">
        <v>109</v>
      </c>
      <c r="C349" s="65" t="s">
        <v>418</v>
      </c>
      <c r="D349" s="66">
        <v>11.07</v>
      </c>
      <c r="E349" s="67">
        <v>44363</v>
      </c>
      <c r="F349" s="64">
        <v>0</v>
      </c>
      <c r="G349" s="67">
        <v>44368</v>
      </c>
      <c r="H349" s="64">
        <v>0</v>
      </c>
      <c r="I349" s="67">
        <v>44385</v>
      </c>
      <c r="J349" s="64">
        <f t="shared" si="278"/>
        <v>0</v>
      </c>
      <c r="K349" s="67">
        <v>44373</v>
      </c>
      <c r="L349" s="64">
        <f t="shared" si="279"/>
        <v>0</v>
      </c>
      <c r="M349" s="64">
        <f t="shared" si="280"/>
        <v>0</v>
      </c>
      <c r="N349" s="67">
        <f t="shared" si="274"/>
        <v>44386</v>
      </c>
      <c r="O349" s="64">
        <f t="shared" si="281"/>
        <v>1</v>
      </c>
      <c r="P349" s="64">
        <f t="shared" si="282"/>
        <v>0</v>
      </c>
      <c r="Q349" s="91" t="str">
        <f t="shared" si="275"/>
        <v>Selesai</v>
      </c>
      <c r="R349" s="64">
        <f t="shared" si="283"/>
        <v>0</v>
      </c>
      <c r="S349" s="67">
        <v>44380</v>
      </c>
      <c r="T349" s="67">
        <v>44404</v>
      </c>
      <c r="U349" s="64">
        <f t="shared" si="276"/>
        <v>1</v>
      </c>
      <c r="V349" s="64"/>
      <c r="W349" s="64"/>
      <c r="X349" s="93"/>
      <c r="Y349" s="94"/>
      <c r="Z349" s="91" t="str">
        <f t="shared" si="277"/>
        <v>100%</v>
      </c>
      <c r="AA349" s="67"/>
      <c r="AB349" s="473"/>
      <c r="AC349" s="478" t="s">
        <v>2711</v>
      </c>
      <c r="AD349" s="67"/>
    </row>
    <row r="350" spans="2:30">
      <c r="B350" s="64" t="s">
        <v>105</v>
      </c>
      <c r="C350" s="65" t="s">
        <v>419</v>
      </c>
      <c r="D350" s="66">
        <v>12.31</v>
      </c>
      <c r="E350" s="67">
        <v>44354</v>
      </c>
      <c r="F350" s="64">
        <v>0</v>
      </c>
      <c r="G350" s="67">
        <v>44355</v>
      </c>
      <c r="H350" s="64">
        <v>0</v>
      </c>
      <c r="I350" s="67">
        <v>44381</v>
      </c>
      <c r="J350" s="64">
        <f t="shared" si="278"/>
        <v>0</v>
      </c>
      <c r="K350" s="67">
        <v>44372</v>
      </c>
      <c r="L350" s="64">
        <f t="shared" si="279"/>
        <v>0</v>
      </c>
      <c r="M350" s="64">
        <f t="shared" si="280"/>
        <v>0</v>
      </c>
      <c r="N350" s="67">
        <f t="shared" si="274"/>
        <v>44382</v>
      </c>
      <c r="O350" s="64">
        <f t="shared" si="281"/>
        <v>1</v>
      </c>
      <c r="P350" s="64">
        <f t="shared" si="282"/>
        <v>0</v>
      </c>
      <c r="Q350" s="91" t="str">
        <f t="shared" si="275"/>
        <v>Selesai</v>
      </c>
      <c r="R350" s="64">
        <f t="shared" si="283"/>
        <v>0</v>
      </c>
      <c r="S350" s="67">
        <v>44390</v>
      </c>
      <c r="T350" s="67">
        <v>44404</v>
      </c>
      <c r="U350" s="64">
        <f t="shared" si="276"/>
        <v>1</v>
      </c>
      <c r="V350" s="64"/>
      <c r="W350" s="64"/>
      <c r="X350" s="93"/>
      <c r="Y350" s="94"/>
      <c r="Z350" s="91" t="str">
        <f t="shared" si="277"/>
        <v>100%</v>
      </c>
      <c r="AA350" s="67"/>
      <c r="AB350" s="473"/>
      <c r="AC350" s="478" t="s">
        <v>2711</v>
      </c>
      <c r="AD350" s="67"/>
    </row>
    <row r="351" spans="2:30">
      <c r="B351" s="64" t="s">
        <v>109</v>
      </c>
      <c r="C351" s="65" t="s">
        <v>420</v>
      </c>
      <c r="D351" s="66">
        <v>12.82</v>
      </c>
      <c r="E351" s="67">
        <v>44343</v>
      </c>
      <c r="F351" s="64">
        <v>0</v>
      </c>
      <c r="G351" s="67">
        <v>44344</v>
      </c>
      <c r="H351" s="64">
        <v>0</v>
      </c>
      <c r="I351" s="67">
        <v>44381</v>
      </c>
      <c r="J351" s="64">
        <f t="shared" si="278"/>
        <v>0</v>
      </c>
      <c r="K351" s="67">
        <v>44356</v>
      </c>
      <c r="L351" s="64">
        <f t="shared" si="279"/>
        <v>0</v>
      </c>
      <c r="M351" s="64">
        <f t="shared" si="280"/>
        <v>0</v>
      </c>
      <c r="N351" s="67">
        <f t="shared" si="274"/>
        <v>44382</v>
      </c>
      <c r="O351" s="64">
        <f t="shared" si="281"/>
        <v>1</v>
      </c>
      <c r="P351" s="64">
        <f t="shared" si="282"/>
        <v>0</v>
      </c>
      <c r="Q351" s="91" t="str">
        <f t="shared" si="275"/>
        <v>Selesai</v>
      </c>
      <c r="R351" s="64">
        <f t="shared" si="283"/>
        <v>0</v>
      </c>
      <c r="S351" s="67">
        <v>44383</v>
      </c>
      <c r="T351" s="67">
        <v>44407</v>
      </c>
      <c r="U351" s="64">
        <f t="shared" si="276"/>
        <v>1</v>
      </c>
      <c r="V351" s="64"/>
      <c r="W351" s="64"/>
      <c r="X351" s="93"/>
      <c r="Y351" s="94"/>
      <c r="Z351" s="91" t="str">
        <f t="shared" si="277"/>
        <v>100%</v>
      </c>
      <c r="AA351" s="67"/>
      <c r="AB351" s="473"/>
      <c r="AC351" s="478" t="s">
        <v>2711</v>
      </c>
      <c r="AD351" s="67"/>
    </row>
    <row r="352" spans="2:30">
      <c r="B352" s="64" t="s">
        <v>105</v>
      </c>
      <c r="C352" s="65" t="s">
        <v>421</v>
      </c>
      <c r="D352" s="66">
        <v>8.9499999999999993</v>
      </c>
      <c r="E352" s="67">
        <v>44368</v>
      </c>
      <c r="F352" s="64">
        <v>0</v>
      </c>
      <c r="G352" s="67">
        <v>44369</v>
      </c>
      <c r="H352" s="64">
        <v>0</v>
      </c>
      <c r="I352" s="67">
        <v>44389</v>
      </c>
      <c r="J352" s="64">
        <f t="shared" si="278"/>
        <v>0</v>
      </c>
      <c r="K352" s="67">
        <v>44372</v>
      </c>
      <c r="L352" s="64">
        <f t="shared" si="279"/>
        <v>0</v>
      </c>
      <c r="M352" s="64">
        <f t="shared" si="280"/>
        <v>0</v>
      </c>
      <c r="N352" s="67">
        <f t="shared" si="274"/>
        <v>44390</v>
      </c>
      <c r="O352" s="64">
        <f t="shared" si="281"/>
        <v>1</v>
      </c>
      <c r="P352" s="64">
        <f t="shared" si="282"/>
        <v>0</v>
      </c>
      <c r="Q352" s="91" t="str">
        <f t="shared" si="275"/>
        <v>Selesai</v>
      </c>
      <c r="R352" s="64">
        <f t="shared" si="283"/>
        <v>0</v>
      </c>
      <c r="S352" s="67">
        <v>44394</v>
      </c>
      <c r="T352" s="67">
        <v>44407</v>
      </c>
      <c r="U352" s="64">
        <f t="shared" si="276"/>
        <v>1</v>
      </c>
      <c r="V352" s="64"/>
      <c r="W352" s="64"/>
      <c r="X352" s="93"/>
      <c r="Y352" s="94"/>
      <c r="Z352" s="91" t="str">
        <f t="shared" si="277"/>
        <v>100%</v>
      </c>
      <c r="AA352" s="67"/>
      <c r="AB352" s="473"/>
      <c r="AC352" s="478" t="s">
        <v>2711</v>
      </c>
      <c r="AD352" s="67"/>
    </row>
    <row r="353" spans="2:30">
      <c r="B353" s="64" t="s">
        <v>109</v>
      </c>
      <c r="C353" s="65" t="s">
        <v>422</v>
      </c>
      <c r="D353" s="66">
        <v>6.15</v>
      </c>
      <c r="E353" s="67">
        <v>44371</v>
      </c>
      <c r="F353" s="64">
        <v>0</v>
      </c>
      <c r="G353" s="67">
        <v>44372</v>
      </c>
      <c r="H353" s="64">
        <v>0</v>
      </c>
      <c r="I353" s="67">
        <v>44383</v>
      </c>
      <c r="J353" s="64">
        <f t="shared" si="278"/>
        <v>0</v>
      </c>
      <c r="K353" s="67">
        <v>44383</v>
      </c>
      <c r="L353" s="64">
        <f t="shared" si="279"/>
        <v>0</v>
      </c>
      <c r="M353" s="64">
        <f t="shared" si="280"/>
        <v>0</v>
      </c>
      <c r="N353" s="67">
        <f t="shared" ref="N353:N379" si="284">IF(AND(I353&gt;0,K353&gt;0),MAX(I353:K353)+1,"")</f>
        <v>44384</v>
      </c>
      <c r="O353" s="64">
        <f t="shared" si="281"/>
        <v>1</v>
      </c>
      <c r="P353" s="64">
        <f t="shared" si="282"/>
        <v>0</v>
      </c>
      <c r="Q353" s="91" t="str">
        <f t="shared" si="275"/>
        <v>Selesai</v>
      </c>
      <c r="R353" s="64">
        <f t="shared" si="283"/>
        <v>0</v>
      </c>
      <c r="S353" s="67">
        <v>44390</v>
      </c>
      <c r="T353" s="67">
        <v>44408</v>
      </c>
      <c r="U353" s="64">
        <f t="shared" si="276"/>
        <v>1</v>
      </c>
      <c r="V353" s="64"/>
      <c r="W353" s="64"/>
      <c r="X353" s="93"/>
      <c r="Y353" s="94"/>
      <c r="Z353" s="91" t="str">
        <f t="shared" si="277"/>
        <v>100%</v>
      </c>
      <c r="AA353" s="67"/>
      <c r="AB353" s="473"/>
      <c r="AC353" s="478" t="s">
        <v>2711</v>
      </c>
      <c r="AD353" s="67"/>
    </row>
    <row r="354" spans="2:30">
      <c r="B354" s="64" t="s">
        <v>105</v>
      </c>
      <c r="C354" s="65" t="s">
        <v>423</v>
      </c>
      <c r="D354" s="66">
        <v>9.19</v>
      </c>
      <c r="E354" s="67">
        <v>44362</v>
      </c>
      <c r="F354" s="64">
        <v>0</v>
      </c>
      <c r="G354" s="67">
        <v>44363</v>
      </c>
      <c r="H354" s="64">
        <v>0</v>
      </c>
      <c r="I354" s="67">
        <v>44386</v>
      </c>
      <c r="J354" s="64">
        <f t="shared" si="278"/>
        <v>0</v>
      </c>
      <c r="K354" s="67">
        <v>44382</v>
      </c>
      <c r="L354" s="64">
        <f t="shared" si="279"/>
        <v>0</v>
      </c>
      <c r="M354" s="64">
        <f t="shared" si="280"/>
        <v>0</v>
      </c>
      <c r="N354" s="67">
        <f t="shared" si="284"/>
        <v>44387</v>
      </c>
      <c r="O354" s="64">
        <f t="shared" si="281"/>
        <v>1</v>
      </c>
      <c r="P354" s="64">
        <f t="shared" si="282"/>
        <v>0</v>
      </c>
      <c r="Q354" s="91" t="str">
        <f t="shared" si="275"/>
        <v>Selesai</v>
      </c>
      <c r="R354" s="64">
        <f t="shared" si="283"/>
        <v>0</v>
      </c>
      <c r="S354" s="67">
        <v>44400</v>
      </c>
      <c r="T354" s="67">
        <v>44408</v>
      </c>
      <c r="U354" s="64">
        <f t="shared" si="276"/>
        <v>1</v>
      </c>
      <c r="V354" s="64"/>
      <c r="W354" s="64"/>
      <c r="X354" s="93"/>
      <c r="Y354" s="94"/>
      <c r="Z354" s="91" t="str">
        <f t="shared" si="277"/>
        <v>100%</v>
      </c>
      <c r="AA354" s="67"/>
      <c r="AB354" s="473"/>
      <c r="AC354" s="478" t="s">
        <v>2711</v>
      </c>
      <c r="AD354" s="67"/>
    </row>
    <row r="355" spans="2:30">
      <c r="B355" s="64" t="s">
        <v>113</v>
      </c>
      <c r="C355" s="65" t="s">
        <v>424</v>
      </c>
      <c r="D355" s="66">
        <v>8.09</v>
      </c>
      <c r="E355" s="67">
        <v>44358</v>
      </c>
      <c r="F355" s="64">
        <v>0</v>
      </c>
      <c r="G355" s="67">
        <v>44360</v>
      </c>
      <c r="H355" s="64">
        <v>0</v>
      </c>
      <c r="I355" s="67">
        <v>44377</v>
      </c>
      <c r="J355" s="64">
        <f t="shared" si="278"/>
        <v>0</v>
      </c>
      <c r="K355" s="67">
        <v>44362</v>
      </c>
      <c r="L355" s="64">
        <f t="shared" si="279"/>
        <v>0</v>
      </c>
      <c r="M355" s="64">
        <f t="shared" si="280"/>
        <v>0</v>
      </c>
      <c r="N355" s="67">
        <f t="shared" si="284"/>
        <v>44378</v>
      </c>
      <c r="O355" s="64">
        <f t="shared" si="281"/>
        <v>1</v>
      </c>
      <c r="P355" s="64">
        <f t="shared" si="282"/>
        <v>0</v>
      </c>
      <c r="Q355" s="91" t="str">
        <f t="shared" si="275"/>
        <v>Selesai</v>
      </c>
      <c r="R355" s="64">
        <f t="shared" si="283"/>
        <v>0</v>
      </c>
      <c r="S355" s="67">
        <v>44365</v>
      </c>
      <c r="T355" s="67">
        <v>44408</v>
      </c>
      <c r="U355" s="64">
        <f t="shared" si="276"/>
        <v>1</v>
      </c>
      <c r="V355" s="64"/>
      <c r="W355" s="64"/>
      <c r="X355" s="93"/>
      <c r="Y355" s="94"/>
      <c r="Z355" s="91" t="str">
        <f t="shared" si="277"/>
        <v>100%</v>
      </c>
      <c r="AA355" s="67"/>
      <c r="AB355" s="473"/>
      <c r="AC355" s="478" t="s">
        <v>2711</v>
      </c>
      <c r="AD355" s="67"/>
    </row>
    <row r="356" spans="2:30">
      <c r="B356" s="64" t="s">
        <v>107</v>
      </c>
      <c r="C356" s="65" t="s">
        <v>425</v>
      </c>
      <c r="D356" s="66">
        <v>8.85</v>
      </c>
      <c r="E356" s="67">
        <v>44359</v>
      </c>
      <c r="F356" s="64">
        <v>0</v>
      </c>
      <c r="G356" s="67">
        <v>44360</v>
      </c>
      <c r="H356" s="64">
        <v>0</v>
      </c>
      <c r="I356" s="67">
        <v>44376</v>
      </c>
      <c r="J356" s="64">
        <f t="shared" si="278"/>
        <v>0</v>
      </c>
      <c r="K356" s="67">
        <v>44385</v>
      </c>
      <c r="L356" s="64">
        <f t="shared" si="279"/>
        <v>0</v>
      </c>
      <c r="M356" s="64">
        <f t="shared" si="280"/>
        <v>0</v>
      </c>
      <c r="N356" s="67">
        <f t="shared" si="284"/>
        <v>44386</v>
      </c>
      <c r="O356" s="64">
        <f t="shared" si="281"/>
        <v>1</v>
      </c>
      <c r="P356" s="64">
        <f t="shared" si="282"/>
        <v>0</v>
      </c>
      <c r="Q356" s="91" t="str">
        <f t="shared" si="275"/>
        <v>Selesai</v>
      </c>
      <c r="R356" s="64">
        <f t="shared" si="283"/>
        <v>0</v>
      </c>
      <c r="S356" s="67">
        <v>44389</v>
      </c>
      <c r="T356" s="67">
        <v>44412</v>
      </c>
      <c r="U356" s="64">
        <f t="shared" si="276"/>
        <v>1</v>
      </c>
      <c r="V356" s="64"/>
      <c r="W356" s="64"/>
      <c r="X356" s="93"/>
      <c r="Y356" s="94"/>
      <c r="Z356" s="91" t="str">
        <f t="shared" si="277"/>
        <v>100%</v>
      </c>
      <c r="AA356" s="67"/>
      <c r="AB356" s="473"/>
      <c r="AC356" s="478" t="s">
        <v>2711</v>
      </c>
      <c r="AD356" s="67"/>
    </row>
    <row r="357" spans="2:30">
      <c r="B357" s="64" t="s">
        <v>113</v>
      </c>
      <c r="C357" s="65" t="s">
        <v>426</v>
      </c>
      <c r="D357" s="66">
        <v>9.8800000000000008</v>
      </c>
      <c r="E357" s="67">
        <v>44386</v>
      </c>
      <c r="F357" s="64">
        <v>0</v>
      </c>
      <c r="G357" s="67">
        <v>44387</v>
      </c>
      <c r="H357" s="64">
        <v>0</v>
      </c>
      <c r="I357" s="67">
        <v>44399</v>
      </c>
      <c r="J357" s="64">
        <f t="shared" si="278"/>
        <v>0</v>
      </c>
      <c r="K357" s="67">
        <v>44393</v>
      </c>
      <c r="L357" s="64">
        <f t="shared" si="279"/>
        <v>0</v>
      </c>
      <c r="M357" s="64">
        <f t="shared" si="280"/>
        <v>0</v>
      </c>
      <c r="N357" s="67">
        <f t="shared" si="284"/>
        <v>44400</v>
      </c>
      <c r="O357" s="64">
        <f t="shared" si="281"/>
        <v>1</v>
      </c>
      <c r="P357" s="64">
        <f t="shared" si="282"/>
        <v>0</v>
      </c>
      <c r="Q357" s="91" t="str">
        <f t="shared" si="275"/>
        <v>Selesai</v>
      </c>
      <c r="R357" s="64">
        <f t="shared" si="283"/>
        <v>0</v>
      </c>
      <c r="S357" s="67">
        <v>44395</v>
      </c>
      <c r="T357" s="67">
        <v>44412</v>
      </c>
      <c r="U357" s="64">
        <f t="shared" si="276"/>
        <v>1</v>
      </c>
      <c r="V357" s="64"/>
      <c r="W357" s="64"/>
      <c r="X357" s="93"/>
      <c r="Y357" s="94"/>
      <c r="Z357" s="91" t="str">
        <f t="shared" si="277"/>
        <v>100%</v>
      </c>
      <c r="AA357" s="67"/>
      <c r="AB357" s="473"/>
      <c r="AC357" s="478" t="s">
        <v>2711</v>
      </c>
      <c r="AD357" s="67"/>
    </row>
    <row r="358" spans="2:30">
      <c r="B358" s="64" t="s">
        <v>109</v>
      </c>
      <c r="C358" s="65" t="s">
        <v>427</v>
      </c>
      <c r="D358" s="66">
        <v>3.95</v>
      </c>
      <c r="E358" s="67">
        <v>44387</v>
      </c>
      <c r="F358" s="64">
        <v>0</v>
      </c>
      <c r="G358" s="67">
        <v>44388</v>
      </c>
      <c r="H358" s="64">
        <v>0</v>
      </c>
      <c r="I358" s="67">
        <v>44399</v>
      </c>
      <c r="J358" s="64">
        <f t="shared" si="278"/>
        <v>0</v>
      </c>
      <c r="K358" s="67">
        <v>44394</v>
      </c>
      <c r="L358" s="64">
        <f t="shared" si="279"/>
        <v>0</v>
      </c>
      <c r="M358" s="64">
        <f t="shared" si="280"/>
        <v>0</v>
      </c>
      <c r="N358" s="67">
        <f t="shared" si="284"/>
        <v>44400</v>
      </c>
      <c r="O358" s="64">
        <f t="shared" si="281"/>
        <v>1</v>
      </c>
      <c r="P358" s="64">
        <f t="shared" si="282"/>
        <v>0</v>
      </c>
      <c r="Q358" s="91" t="str">
        <f t="shared" si="275"/>
        <v>Selesai</v>
      </c>
      <c r="R358" s="64">
        <f t="shared" si="283"/>
        <v>0</v>
      </c>
      <c r="S358" s="67">
        <v>44396</v>
      </c>
      <c r="T358" s="67">
        <v>44415</v>
      </c>
      <c r="U358" s="64">
        <f t="shared" si="276"/>
        <v>1</v>
      </c>
      <c r="V358" s="64"/>
      <c r="W358" s="64"/>
      <c r="X358" s="93"/>
      <c r="Y358" s="94"/>
      <c r="Z358" s="91" t="str">
        <f t="shared" si="277"/>
        <v>100%</v>
      </c>
      <c r="AA358" s="67"/>
      <c r="AB358" s="473"/>
      <c r="AC358" s="478" t="s">
        <v>2711</v>
      </c>
      <c r="AD358" s="67"/>
    </row>
    <row r="359" spans="2:30">
      <c r="B359" s="64" t="s">
        <v>109</v>
      </c>
      <c r="C359" s="65" t="s">
        <v>428</v>
      </c>
      <c r="D359" s="66">
        <v>8.6999999999999993</v>
      </c>
      <c r="E359" s="67">
        <v>44370</v>
      </c>
      <c r="F359" s="64">
        <v>0</v>
      </c>
      <c r="G359" s="67">
        <v>44371</v>
      </c>
      <c r="H359" s="64">
        <v>0</v>
      </c>
      <c r="I359" s="67">
        <v>44387</v>
      </c>
      <c r="J359" s="64">
        <f t="shared" si="278"/>
        <v>0</v>
      </c>
      <c r="K359" s="67">
        <v>44383</v>
      </c>
      <c r="L359" s="64">
        <f t="shared" si="279"/>
        <v>0</v>
      </c>
      <c r="M359" s="64">
        <f t="shared" si="280"/>
        <v>0</v>
      </c>
      <c r="N359" s="67">
        <f t="shared" si="284"/>
        <v>44388</v>
      </c>
      <c r="O359" s="64">
        <f t="shared" si="281"/>
        <v>1</v>
      </c>
      <c r="P359" s="64">
        <f t="shared" si="282"/>
        <v>0</v>
      </c>
      <c r="Q359" s="91" t="str">
        <f t="shared" si="275"/>
        <v>Selesai</v>
      </c>
      <c r="R359" s="64">
        <f t="shared" si="283"/>
        <v>0</v>
      </c>
      <c r="S359" s="67">
        <v>44386</v>
      </c>
      <c r="T359" s="67">
        <v>44415</v>
      </c>
      <c r="U359" s="64">
        <f t="shared" si="276"/>
        <v>1</v>
      </c>
      <c r="V359" s="64"/>
      <c r="W359" s="64"/>
      <c r="X359" s="93"/>
      <c r="Y359" s="94"/>
      <c r="Z359" s="91" t="str">
        <f t="shared" si="277"/>
        <v>100%</v>
      </c>
      <c r="AA359" s="67"/>
      <c r="AB359" s="473"/>
      <c r="AC359" s="478" t="s">
        <v>2711</v>
      </c>
      <c r="AD359" s="67"/>
    </row>
    <row r="360" spans="2:30">
      <c r="B360" s="64" t="s">
        <v>109</v>
      </c>
      <c r="C360" s="65" t="s">
        <v>429</v>
      </c>
      <c r="D360" s="66">
        <v>10.52</v>
      </c>
      <c r="E360" s="67">
        <v>44387</v>
      </c>
      <c r="F360" s="64">
        <v>0</v>
      </c>
      <c r="G360" s="67">
        <v>44388</v>
      </c>
      <c r="H360" s="64">
        <v>0</v>
      </c>
      <c r="I360" s="67">
        <v>44402</v>
      </c>
      <c r="J360" s="64">
        <f t="shared" si="278"/>
        <v>0</v>
      </c>
      <c r="K360" s="67">
        <v>44394</v>
      </c>
      <c r="L360" s="64">
        <f t="shared" si="279"/>
        <v>0</v>
      </c>
      <c r="M360" s="64">
        <f t="shared" si="280"/>
        <v>0</v>
      </c>
      <c r="N360" s="67">
        <f t="shared" si="284"/>
        <v>44403</v>
      </c>
      <c r="O360" s="64">
        <f t="shared" si="281"/>
        <v>1</v>
      </c>
      <c r="P360" s="64">
        <f t="shared" si="282"/>
        <v>0</v>
      </c>
      <c r="Q360" s="91" t="str">
        <f t="shared" si="275"/>
        <v>Selesai</v>
      </c>
      <c r="R360" s="64">
        <f t="shared" si="283"/>
        <v>0</v>
      </c>
      <c r="S360" s="67">
        <v>44396</v>
      </c>
      <c r="T360" s="67">
        <v>44417</v>
      </c>
      <c r="U360" s="64">
        <f t="shared" si="276"/>
        <v>1</v>
      </c>
      <c r="V360" s="64"/>
      <c r="W360" s="64"/>
      <c r="X360" s="93"/>
      <c r="Y360" s="94"/>
      <c r="Z360" s="91" t="str">
        <f t="shared" si="277"/>
        <v>100%</v>
      </c>
      <c r="AA360" s="67"/>
      <c r="AB360" s="473"/>
      <c r="AC360" s="478" t="s">
        <v>2711</v>
      </c>
      <c r="AD360" s="67"/>
    </row>
    <row r="361" spans="2:30">
      <c r="B361" s="64" t="s">
        <v>109</v>
      </c>
      <c r="C361" s="65" t="s">
        <v>430</v>
      </c>
      <c r="D361" s="66">
        <v>7.46</v>
      </c>
      <c r="E361" s="67">
        <v>44373</v>
      </c>
      <c r="F361" s="64">
        <v>0</v>
      </c>
      <c r="G361" s="67">
        <v>44375</v>
      </c>
      <c r="H361" s="64">
        <v>0</v>
      </c>
      <c r="I361" s="67">
        <v>44391</v>
      </c>
      <c r="J361" s="64">
        <f t="shared" si="278"/>
        <v>0</v>
      </c>
      <c r="K361" s="67">
        <v>44383</v>
      </c>
      <c r="L361" s="64">
        <f t="shared" si="279"/>
        <v>0</v>
      </c>
      <c r="M361" s="64">
        <f t="shared" si="280"/>
        <v>0</v>
      </c>
      <c r="N361" s="67">
        <f t="shared" si="284"/>
        <v>44392</v>
      </c>
      <c r="O361" s="64">
        <f t="shared" si="281"/>
        <v>1</v>
      </c>
      <c r="P361" s="64">
        <f t="shared" si="282"/>
        <v>0</v>
      </c>
      <c r="Q361" s="91" t="str">
        <f t="shared" si="275"/>
        <v>Selesai</v>
      </c>
      <c r="R361" s="64">
        <f t="shared" si="283"/>
        <v>0</v>
      </c>
      <c r="S361" s="67">
        <v>44391</v>
      </c>
      <c r="T361" s="67">
        <v>44420</v>
      </c>
      <c r="U361" s="64">
        <f t="shared" si="276"/>
        <v>1</v>
      </c>
      <c r="V361" s="64"/>
      <c r="W361" s="64"/>
      <c r="X361" s="93"/>
      <c r="Y361" s="94"/>
      <c r="Z361" s="91" t="str">
        <f t="shared" si="277"/>
        <v>100%</v>
      </c>
      <c r="AA361" s="67"/>
      <c r="AB361" s="473"/>
      <c r="AC361" s="478" t="s">
        <v>2711</v>
      </c>
      <c r="AD361" s="67"/>
    </row>
    <row r="362" spans="2:30">
      <c r="B362" s="64" t="s">
        <v>109</v>
      </c>
      <c r="C362" s="65" t="s">
        <v>431</v>
      </c>
      <c r="D362" s="66">
        <v>4.17</v>
      </c>
      <c r="E362" s="67">
        <v>44370</v>
      </c>
      <c r="F362" s="64">
        <v>0</v>
      </c>
      <c r="G362" s="67">
        <v>44371</v>
      </c>
      <c r="H362" s="64">
        <v>0</v>
      </c>
      <c r="I362" s="67">
        <v>44389</v>
      </c>
      <c r="J362" s="64">
        <f t="shared" si="278"/>
        <v>0</v>
      </c>
      <c r="K362" s="67">
        <v>44383</v>
      </c>
      <c r="L362" s="64">
        <f t="shared" si="279"/>
        <v>0</v>
      </c>
      <c r="M362" s="64">
        <f t="shared" si="280"/>
        <v>0</v>
      </c>
      <c r="N362" s="67">
        <f t="shared" si="284"/>
        <v>44390</v>
      </c>
      <c r="O362" s="64">
        <f t="shared" si="281"/>
        <v>1</v>
      </c>
      <c r="P362" s="64">
        <f t="shared" si="282"/>
        <v>0</v>
      </c>
      <c r="Q362" s="91" t="str">
        <f t="shared" si="275"/>
        <v>Selesai</v>
      </c>
      <c r="R362" s="64">
        <f t="shared" si="283"/>
        <v>0</v>
      </c>
      <c r="S362" s="67">
        <v>44407</v>
      </c>
      <c r="T362" s="67">
        <v>44421</v>
      </c>
      <c r="U362" s="64">
        <f t="shared" si="276"/>
        <v>1</v>
      </c>
      <c r="V362" s="64"/>
      <c r="W362" s="64"/>
      <c r="X362" s="93"/>
      <c r="Y362" s="94"/>
      <c r="Z362" s="91" t="str">
        <f t="shared" si="277"/>
        <v>100%</v>
      </c>
      <c r="AA362" s="67"/>
      <c r="AB362" s="473"/>
      <c r="AC362" s="478" t="s">
        <v>2711</v>
      </c>
      <c r="AD362" s="67"/>
    </row>
    <row r="363" spans="2:30">
      <c r="B363" s="64" t="s">
        <v>109</v>
      </c>
      <c r="C363" s="65" t="s">
        <v>432</v>
      </c>
      <c r="D363" s="66">
        <v>9.9</v>
      </c>
      <c r="E363" s="67">
        <v>44372</v>
      </c>
      <c r="F363" s="64">
        <v>0</v>
      </c>
      <c r="G363" s="67">
        <v>44373</v>
      </c>
      <c r="H363" s="64">
        <v>0</v>
      </c>
      <c r="I363" s="67">
        <v>44397</v>
      </c>
      <c r="J363" s="64">
        <f t="shared" si="278"/>
        <v>0</v>
      </c>
      <c r="K363" s="67">
        <v>44383</v>
      </c>
      <c r="L363" s="64">
        <f t="shared" si="279"/>
        <v>0</v>
      </c>
      <c r="M363" s="64">
        <f t="shared" si="280"/>
        <v>0</v>
      </c>
      <c r="N363" s="67">
        <f t="shared" si="284"/>
        <v>44398</v>
      </c>
      <c r="O363" s="64">
        <f t="shared" si="281"/>
        <v>1</v>
      </c>
      <c r="P363" s="64">
        <f t="shared" si="282"/>
        <v>0</v>
      </c>
      <c r="Q363" s="91" t="str">
        <f t="shared" si="275"/>
        <v>Selesai</v>
      </c>
      <c r="R363" s="64">
        <f t="shared" si="283"/>
        <v>0</v>
      </c>
      <c r="S363" s="67">
        <v>44394</v>
      </c>
      <c r="T363" s="67">
        <v>44422</v>
      </c>
      <c r="U363" s="64">
        <f t="shared" si="276"/>
        <v>1</v>
      </c>
      <c r="V363" s="64"/>
      <c r="W363" s="64"/>
      <c r="X363" s="93"/>
      <c r="Y363" s="94"/>
      <c r="Z363" s="91" t="str">
        <f t="shared" si="277"/>
        <v>100%</v>
      </c>
      <c r="AA363" s="67"/>
      <c r="AB363" s="473"/>
      <c r="AC363" s="478" t="s">
        <v>2711</v>
      </c>
      <c r="AD363" s="67"/>
    </row>
    <row r="364" spans="2:30">
      <c r="B364" s="64" t="s">
        <v>109</v>
      </c>
      <c r="C364" s="65" t="s">
        <v>433</v>
      </c>
      <c r="D364" s="66">
        <v>14.13</v>
      </c>
      <c r="E364" s="67">
        <v>44362</v>
      </c>
      <c r="F364" s="64">
        <v>0</v>
      </c>
      <c r="G364" s="67">
        <v>44368</v>
      </c>
      <c r="H364" s="64">
        <v>0</v>
      </c>
      <c r="I364" s="67">
        <v>44394</v>
      </c>
      <c r="J364" s="64">
        <f t="shared" si="278"/>
        <v>0</v>
      </c>
      <c r="K364" s="67">
        <v>44373</v>
      </c>
      <c r="L364" s="64">
        <f t="shared" si="279"/>
        <v>0</v>
      </c>
      <c r="M364" s="64">
        <f t="shared" si="280"/>
        <v>0</v>
      </c>
      <c r="N364" s="67">
        <f t="shared" si="284"/>
        <v>44395</v>
      </c>
      <c r="O364" s="64">
        <f t="shared" si="281"/>
        <v>1</v>
      </c>
      <c r="P364" s="64">
        <f t="shared" si="282"/>
        <v>0</v>
      </c>
      <c r="Q364" s="91" t="str">
        <f t="shared" si="275"/>
        <v>Selesai</v>
      </c>
      <c r="R364" s="64">
        <f t="shared" si="283"/>
        <v>0</v>
      </c>
      <c r="S364" s="67">
        <v>44406</v>
      </c>
      <c r="T364" s="67">
        <v>44424</v>
      </c>
      <c r="U364" s="64">
        <f t="shared" si="276"/>
        <v>1</v>
      </c>
      <c r="V364" s="64"/>
      <c r="W364" s="64"/>
      <c r="X364" s="93"/>
      <c r="Y364" s="94"/>
      <c r="Z364" s="91" t="str">
        <f t="shared" si="277"/>
        <v>100%</v>
      </c>
      <c r="AA364" s="67"/>
      <c r="AB364" s="473"/>
      <c r="AC364" s="478" t="s">
        <v>2711</v>
      </c>
      <c r="AD364" s="67"/>
    </row>
    <row r="365" spans="2:30">
      <c r="B365" s="64" t="s">
        <v>113</v>
      </c>
      <c r="C365" s="65" t="s">
        <v>434</v>
      </c>
      <c r="D365" s="66">
        <v>11.03</v>
      </c>
      <c r="E365" s="67">
        <v>44400</v>
      </c>
      <c r="F365" s="64">
        <v>0</v>
      </c>
      <c r="G365" s="67">
        <v>44401</v>
      </c>
      <c r="H365" s="64">
        <v>0</v>
      </c>
      <c r="I365" s="67">
        <v>44414</v>
      </c>
      <c r="J365" s="64">
        <f t="shared" si="278"/>
        <v>0</v>
      </c>
      <c r="K365" s="67">
        <v>44412</v>
      </c>
      <c r="L365" s="64">
        <f t="shared" si="279"/>
        <v>0</v>
      </c>
      <c r="M365" s="64">
        <f t="shared" si="280"/>
        <v>0</v>
      </c>
      <c r="N365" s="67">
        <f t="shared" si="284"/>
        <v>44415</v>
      </c>
      <c r="O365" s="64">
        <f t="shared" si="281"/>
        <v>1</v>
      </c>
      <c r="P365" s="64">
        <f t="shared" si="282"/>
        <v>0</v>
      </c>
      <c r="Q365" s="91" t="str">
        <f t="shared" si="275"/>
        <v>Selesai</v>
      </c>
      <c r="R365" s="64">
        <f t="shared" si="283"/>
        <v>0</v>
      </c>
      <c r="S365" s="67">
        <v>44414</v>
      </c>
      <c r="T365" s="67">
        <v>44432</v>
      </c>
      <c r="U365" s="64">
        <f t="shared" si="276"/>
        <v>1</v>
      </c>
      <c r="V365" s="64"/>
      <c r="W365" s="64"/>
      <c r="X365" s="93"/>
      <c r="Y365" s="94"/>
      <c r="Z365" s="91" t="str">
        <f t="shared" si="277"/>
        <v>100%</v>
      </c>
      <c r="AA365" s="67"/>
      <c r="AB365" s="473"/>
      <c r="AC365" s="478" t="s">
        <v>2711</v>
      </c>
      <c r="AD365" s="67"/>
    </row>
    <row r="366" spans="2:30">
      <c r="B366" s="64" t="s">
        <v>105</v>
      </c>
      <c r="C366" s="65" t="s">
        <v>435</v>
      </c>
      <c r="D366" s="66">
        <v>7.88</v>
      </c>
      <c r="E366" s="67">
        <v>44375</v>
      </c>
      <c r="F366" s="64">
        <v>0</v>
      </c>
      <c r="G366" s="67">
        <v>44378</v>
      </c>
      <c r="H366" s="64">
        <v>0</v>
      </c>
      <c r="I366" s="67">
        <v>44403</v>
      </c>
      <c r="J366" s="64">
        <f t="shared" si="278"/>
        <v>0</v>
      </c>
      <c r="K366" s="67">
        <v>44383</v>
      </c>
      <c r="L366" s="64">
        <f t="shared" si="279"/>
        <v>0</v>
      </c>
      <c r="M366" s="64">
        <f t="shared" si="280"/>
        <v>0</v>
      </c>
      <c r="N366" s="67">
        <f t="shared" si="284"/>
        <v>44404</v>
      </c>
      <c r="O366" s="64">
        <f t="shared" si="281"/>
        <v>1</v>
      </c>
      <c r="P366" s="64">
        <f t="shared" si="282"/>
        <v>0</v>
      </c>
      <c r="Q366" s="91" t="str">
        <f t="shared" si="275"/>
        <v>Selesai</v>
      </c>
      <c r="R366" s="64">
        <f t="shared" si="283"/>
        <v>0</v>
      </c>
      <c r="S366" s="67">
        <v>44414</v>
      </c>
      <c r="T366" s="67">
        <v>44438</v>
      </c>
      <c r="U366" s="64">
        <f t="shared" si="276"/>
        <v>1</v>
      </c>
      <c r="V366" s="64"/>
      <c r="W366" s="64"/>
      <c r="X366" s="93"/>
      <c r="Y366" s="94"/>
      <c r="Z366" s="91" t="str">
        <f t="shared" si="277"/>
        <v>100%</v>
      </c>
      <c r="AA366" s="67"/>
      <c r="AB366" s="473"/>
      <c r="AC366" s="478" t="s">
        <v>2711</v>
      </c>
      <c r="AD366" s="67"/>
    </row>
    <row r="367" spans="2:30">
      <c r="B367" s="64" t="s">
        <v>113</v>
      </c>
      <c r="C367" s="65" t="s">
        <v>436</v>
      </c>
      <c r="D367" s="66">
        <v>3.92</v>
      </c>
      <c r="E367" s="67">
        <v>44386</v>
      </c>
      <c r="F367" s="64">
        <v>0</v>
      </c>
      <c r="G367" s="67">
        <v>44387</v>
      </c>
      <c r="H367" s="64">
        <v>0</v>
      </c>
      <c r="I367" s="67">
        <v>44399</v>
      </c>
      <c r="J367" s="64">
        <f t="shared" si="278"/>
        <v>0</v>
      </c>
      <c r="K367" s="67">
        <v>44393</v>
      </c>
      <c r="L367" s="64">
        <f t="shared" si="279"/>
        <v>0</v>
      </c>
      <c r="M367" s="64">
        <f t="shared" si="280"/>
        <v>0</v>
      </c>
      <c r="N367" s="67">
        <f t="shared" si="284"/>
        <v>44400</v>
      </c>
      <c r="O367" s="64">
        <f t="shared" si="281"/>
        <v>1</v>
      </c>
      <c r="P367" s="64">
        <f t="shared" si="282"/>
        <v>0</v>
      </c>
      <c r="Q367" s="91" t="str">
        <f t="shared" si="275"/>
        <v>Selesai</v>
      </c>
      <c r="R367" s="64">
        <f t="shared" si="283"/>
        <v>0</v>
      </c>
      <c r="S367" s="67">
        <v>44396</v>
      </c>
      <c r="T367" s="67">
        <v>44438</v>
      </c>
      <c r="U367" s="64">
        <f t="shared" si="276"/>
        <v>1</v>
      </c>
      <c r="V367" s="64"/>
      <c r="W367" s="64"/>
      <c r="X367" s="93"/>
      <c r="Y367" s="94"/>
      <c r="Z367" s="91" t="str">
        <f t="shared" si="277"/>
        <v>100%</v>
      </c>
      <c r="AA367" s="67"/>
      <c r="AB367" s="473"/>
      <c r="AC367" s="478" t="s">
        <v>2711</v>
      </c>
      <c r="AD367" s="67"/>
    </row>
    <row r="368" spans="2:30">
      <c r="B368" s="64" t="s">
        <v>113</v>
      </c>
      <c r="C368" s="65" t="s">
        <v>437</v>
      </c>
      <c r="D368" s="66">
        <v>18.61</v>
      </c>
      <c r="E368" s="67">
        <v>44385</v>
      </c>
      <c r="F368" s="64">
        <v>0</v>
      </c>
      <c r="G368" s="67">
        <v>44386</v>
      </c>
      <c r="H368" s="64">
        <v>0</v>
      </c>
      <c r="I368" s="67">
        <v>44405</v>
      </c>
      <c r="J368" s="64">
        <f t="shared" si="278"/>
        <v>0</v>
      </c>
      <c r="K368" s="67">
        <v>44393</v>
      </c>
      <c r="L368" s="64">
        <f t="shared" si="279"/>
        <v>0</v>
      </c>
      <c r="M368" s="64">
        <f t="shared" si="280"/>
        <v>0</v>
      </c>
      <c r="N368" s="67">
        <f t="shared" si="284"/>
        <v>44406</v>
      </c>
      <c r="O368" s="64">
        <f t="shared" si="281"/>
        <v>1</v>
      </c>
      <c r="P368" s="64">
        <f t="shared" si="282"/>
        <v>0</v>
      </c>
      <c r="Q368" s="91" t="str">
        <f t="shared" si="275"/>
        <v>Selesai</v>
      </c>
      <c r="R368" s="64">
        <f t="shared" si="283"/>
        <v>0</v>
      </c>
      <c r="S368" s="67">
        <v>44402</v>
      </c>
      <c r="T368" s="67">
        <v>44439</v>
      </c>
      <c r="U368" s="64">
        <f t="shared" si="276"/>
        <v>1</v>
      </c>
      <c r="V368" s="64"/>
      <c r="W368" s="64"/>
      <c r="X368" s="93"/>
      <c r="Y368" s="94"/>
      <c r="Z368" s="91" t="str">
        <f t="shared" si="277"/>
        <v>100%</v>
      </c>
      <c r="AA368" s="67"/>
      <c r="AB368" s="473"/>
      <c r="AC368" s="478" t="s">
        <v>2711</v>
      </c>
      <c r="AD368" s="67"/>
    </row>
    <row r="369" spans="2:30">
      <c r="B369" s="64" t="s">
        <v>105</v>
      </c>
      <c r="C369" s="65" t="s">
        <v>438</v>
      </c>
      <c r="D369" s="66">
        <v>9.9</v>
      </c>
      <c r="E369" s="67">
        <v>44376</v>
      </c>
      <c r="F369" s="64">
        <v>0</v>
      </c>
      <c r="G369" s="67">
        <v>44378</v>
      </c>
      <c r="H369" s="64">
        <v>0</v>
      </c>
      <c r="I369" s="67">
        <v>44408</v>
      </c>
      <c r="J369" s="64">
        <f t="shared" si="278"/>
        <v>0</v>
      </c>
      <c r="K369" s="67">
        <v>44383</v>
      </c>
      <c r="L369" s="64">
        <f t="shared" si="279"/>
        <v>0</v>
      </c>
      <c r="M369" s="64">
        <f t="shared" si="280"/>
        <v>0</v>
      </c>
      <c r="N369" s="67">
        <f t="shared" si="284"/>
        <v>44409</v>
      </c>
      <c r="O369" s="64">
        <f t="shared" si="281"/>
        <v>1</v>
      </c>
      <c r="P369" s="64">
        <f t="shared" si="282"/>
        <v>0</v>
      </c>
      <c r="Q369" s="91" t="str">
        <f t="shared" si="275"/>
        <v>Selesai</v>
      </c>
      <c r="R369" s="64">
        <f t="shared" si="283"/>
        <v>0</v>
      </c>
      <c r="S369" s="67">
        <v>44424</v>
      </c>
      <c r="T369" s="67">
        <v>44439</v>
      </c>
      <c r="U369" s="64">
        <f t="shared" si="276"/>
        <v>1</v>
      </c>
      <c r="V369" s="64"/>
      <c r="W369" s="64"/>
      <c r="X369" s="93"/>
      <c r="Y369" s="94"/>
      <c r="Z369" s="91" t="str">
        <f t="shared" si="277"/>
        <v>100%</v>
      </c>
      <c r="AA369" s="67"/>
      <c r="AB369" s="473"/>
      <c r="AC369" s="478" t="s">
        <v>2711</v>
      </c>
      <c r="AD369" s="67"/>
    </row>
    <row r="370" spans="2:30">
      <c r="B370" s="64" t="s">
        <v>107</v>
      </c>
      <c r="C370" s="65" t="s">
        <v>439</v>
      </c>
      <c r="D370" s="66">
        <v>8.35</v>
      </c>
      <c r="E370" s="67">
        <v>44414</v>
      </c>
      <c r="F370" s="64">
        <v>0</v>
      </c>
      <c r="G370" s="67">
        <v>44415</v>
      </c>
      <c r="H370" s="64">
        <v>0</v>
      </c>
      <c r="I370" s="67">
        <v>44426</v>
      </c>
      <c r="J370" s="64">
        <f t="shared" si="278"/>
        <v>0</v>
      </c>
      <c r="K370" s="67">
        <v>44428</v>
      </c>
      <c r="L370" s="64">
        <f t="shared" si="279"/>
        <v>0</v>
      </c>
      <c r="M370" s="64">
        <f t="shared" si="280"/>
        <v>0</v>
      </c>
      <c r="N370" s="67">
        <f t="shared" si="284"/>
        <v>44429</v>
      </c>
      <c r="O370" s="64">
        <f t="shared" si="281"/>
        <v>1</v>
      </c>
      <c r="P370" s="64">
        <f t="shared" si="282"/>
        <v>0</v>
      </c>
      <c r="Q370" s="91" t="str">
        <f t="shared" si="275"/>
        <v>Selesai</v>
      </c>
      <c r="R370" s="64">
        <f t="shared" si="283"/>
        <v>0</v>
      </c>
      <c r="S370" s="67">
        <v>44432</v>
      </c>
      <c r="T370" s="67">
        <v>44445</v>
      </c>
      <c r="U370" s="64">
        <f t="shared" si="276"/>
        <v>1</v>
      </c>
      <c r="V370" s="64"/>
      <c r="W370" s="64"/>
      <c r="X370" s="93"/>
      <c r="Y370" s="94"/>
      <c r="Z370" s="91" t="str">
        <f t="shared" si="277"/>
        <v>100%</v>
      </c>
      <c r="AA370" s="67"/>
      <c r="AB370" s="473"/>
      <c r="AC370" s="478" t="s">
        <v>2711</v>
      </c>
      <c r="AD370" s="67"/>
    </row>
    <row r="371" spans="2:30">
      <c r="B371" s="64" t="s">
        <v>107</v>
      </c>
      <c r="C371" s="65" t="s">
        <v>440</v>
      </c>
      <c r="D371" s="66">
        <v>11.33</v>
      </c>
      <c r="E371" s="67">
        <v>44348</v>
      </c>
      <c r="F371" s="64">
        <v>0</v>
      </c>
      <c r="G371" s="67">
        <v>44356</v>
      </c>
      <c r="H371" s="64">
        <v>0</v>
      </c>
      <c r="I371" s="67">
        <v>44375</v>
      </c>
      <c r="J371" s="64">
        <f t="shared" si="278"/>
        <v>0</v>
      </c>
      <c r="K371" s="67">
        <v>44383</v>
      </c>
      <c r="L371" s="64">
        <f t="shared" si="279"/>
        <v>0</v>
      </c>
      <c r="M371" s="64">
        <f t="shared" si="280"/>
        <v>0</v>
      </c>
      <c r="N371" s="67">
        <f t="shared" si="284"/>
        <v>44384</v>
      </c>
      <c r="O371" s="64">
        <f t="shared" si="281"/>
        <v>1</v>
      </c>
      <c r="P371" s="64">
        <f t="shared" si="282"/>
        <v>0</v>
      </c>
      <c r="Q371" s="91" t="str">
        <f t="shared" si="275"/>
        <v>Selesai</v>
      </c>
      <c r="R371" s="64">
        <f t="shared" si="283"/>
        <v>0</v>
      </c>
      <c r="S371" s="67">
        <v>44414</v>
      </c>
      <c r="T371" s="67">
        <v>44447</v>
      </c>
      <c r="U371" s="64">
        <f t="shared" si="276"/>
        <v>1</v>
      </c>
      <c r="V371" s="64"/>
      <c r="W371" s="64"/>
      <c r="X371" s="93"/>
      <c r="Y371" s="94"/>
      <c r="Z371" s="91" t="str">
        <f t="shared" si="277"/>
        <v>100%</v>
      </c>
      <c r="AA371" s="67"/>
      <c r="AB371" s="473"/>
      <c r="AC371" s="478" t="s">
        <v>2711</v>
      </c>
      <c r="AD371" s="67"/>
    </row>
    <row r="372" spans="2:30">
      <c r="B372" s="64" t="s">
        <v>107</v>
      </c>
      <c r="C372" s="65" t="s">
        <v>441</v>
      </c>
      <c r="D372" s="66">
        <v>11.2</v>
      </c>
      <c r="E372" s="67">
        <v>44412</v>
      </c>
      <c r="F372" s="64">
        <v>0</v>
      </c>
      <c r="G372" s="67">
        <v>44414</v>
      </c>
      <c r="H372" s="64">
        <v>0</v>
      </c>
      <c r="I372" s="67">
        <v>44420</v>
      </c>
      <c r="J372" s="64">
        <f t="shared" si="278"/>
        <v>0</v>
      </c>
      <c r="K372" s="67">
        <v>44428</v>
      </c>
      <c r="L372" s="64">
        <f t="shared" si="279"/>
        <v>0</v>
      </c>
      <c r="M372" s="64">
        <f t="shared" si="280"/>
        <v>0</v>
      </c>
      <c r="N372" s="67">
        <f t="shared" si="284"/>
        <v>44429</v>
      </c>
      <c r="O372" s="64">
        <f t="shared" si="281"/>
        <v>1</v>
      </c>
      <c r="P372" s="64">
        <f t="shared" si="282"/>
        <v>0</v>
      </c>
      <c r="Q372" s="91" t="str">
        <f t="shared" si="275"/>
        <v>Selesai</v>
      </c>
      <c r="R372" s="64">
        <f t="shared" si="283"/>
        <v>0</v>
      </c>
      <c r="S372" s="67">
        <v>44429</v>
      </c>
      <c r="T372" s="67">
        <v>44448</v>
      </c>
      <c r="U372" s="64">
        <f t="shared" si="276"/>
        <v>1</v>
      </c>
      <c r="V372" s="64"/>
      <c r="W372" s="64"/>
      <c r="X372" s="93"/>
      <c r="Y372" s="94"/>
      <c r="Z372" s="91" t="str">
        <f t="shared" si="277"/>
        <v>100%</v>
      </c>
      <c r="AA372" s="67"/>
      <c r="AB372" s="473"/>
      <c r="AC372" s="478" t="s">
        <v>2711</v>
      </c>
      <c r="AD372" s="67"/>
    </row>
    <row r="373" spans="2:30">
      <c r="B373" s="64" t="s">
        <v>109</v>
      </c>
      <c r="C373" s="65" t="s">
        <v>442</v>
      </c>
      <c r="D373" s="66">
        <v>7.48</v>
      </c>
      <c r="E373" s="67">
        <v>44371</v>
      </c>
      <c r="F373" s="64">
        <v>0</v>
      </c>
      <c r="G373" s="67">
        <v>44372</v>
      </c>
      <c r="H373" s="64">
        <v>0</v>
      </c>
      <c r="I373" s="67">
        <v>44394</v>
      </c>
      <c r="J373" s="64">
        <f t="shared" si="278"/>
        <v>0</v>
      </c>
      <c r="K373" s="67">
        <v>44383</v>
      </c>
      <c r="L373" s="64">
        <f t="shared" si="279"/>
        <v>0</v>
      </c>
      <c r="M373" s="64">
        <f t="shared" si="280"/>
        <v>0</v>
      </c>
      <c r="N373" s="67">
        <f t="shared" si="284"/>
        <v>44395</v>
      </c>
      <c r="O373" s="64">
        <f t="shared" si="281"/>
        <v>1</v>
      </c>
      <c r="P373" s="64">
        <f t="shared" si="282"/>
        <v>0</v>
      </c>
      <c r="Q373" s="91" t="str">
        <f t="shared" si="275"/>
        <v>Selesai</v>
      </c>
      <c r="R373" s="64">
        <f t="shared" si="283"/>
        <v>0</v>
      </c>
      <c r="S373" s="67">
        <v>44436</v>
      </c>
      <c r="T373" s="67">
        <v>44449</v>
      </c>
      <c r="U373" s="64">
        <f t="shared" si="276"/>
        <v>1</v>
      </c>
      <c r="V373" s="64"/>
      <c r="W373" s="64"/>
      <c r="X373" s="93"/>
      <c r="Y373" s="94"/>
      <c r="Z373" s="91" t="str">
        <f t="shared" si="277"/>
        <v>100%</v>
      </c>
      <c r="AA373" s="67"/>
      <c r="AB373" s="473"/>
      <c r="AC373" s="478" t="s">
        <v>2711</v>
      </c>
      <c r="AD373" s="67"/>
    </row>
    <row r="374" spans="2:30">
      <c r="B374" s="64" t="s">
        <v>105</v>
      </c>
      <c r="C374" s="65" t="s">
        <v>443</v>
      </c>
      <c r="D374" s="66">
        <v>11.24</v>
      </c>
      <c r="E374" s="67">
        <v>44376</v>
      </c>
      <c r="F374" s="64">
        <v>0</v>
      </c>
      <c r="G374" s="67">
        <v>44378</v>
      </c>
      <c r="H374" s="64">
        <v>0</v>
      </c>
      <c r="I374" s="67">
        <v>44399</v>
      </c>
      <c r="J374" s="64">
        <f t="shared" si="278"/>
        <v>0</v>
      </c>
      <c r="K374" s="67">
        <v>44383</v>
      </c>
      <c r="L374" s="64">
        <f t="shared" si="279"/>
        <v>0</v>
      </c>
      <c r="M374" s="64">
        <f t="shared" si="280"/>
        <v>0</v>
      </c>
      <c r="N374" s="67">
        <f t="shared" si="284"/>
        <v>44400</v>
      </c>
      <c r="O374" s="64">
        <f t="shared" si="281"/>
        <v>1</v>
      </c>
      <c r="P374" s="64">
        <f t="shared" si="282"/>
        <v>0</v>
      </c>
      <c r="Q374" s="91" t="str">
        <f t="shared" si="275"/>
        <v>Selesai</v>
      </c>
      <c r="R374" s="64">
        <f t="shared" si="283"/>
        <v>0</v>
      </c>
      <c r="S374" s="67">
        <v>44428</v>
      </c>
      <c r="T374" s="67">
        <v>44449</v>
      </c>
      <c r="U374" s="64">
        <f t="shared" si="276"/>
        <v>1</v>
      </c>
      <c r="V374" s="64"/>
      <c r="W374" s="64"/>
      <c r="X374" s="93"/>
      <c r="Y374" s="94"/>
      <c r="Z374" s="91" t="str">
        <f t="shared" si="277"/>
        <v>100%</v>
      </c>
      <c r="AA374" s="67"/>
      <c r="AB374" s="473"/>
      <c r="AC374" s="478" t="s">
        <v>2711</v>
      </c>
      <c r="AD374" s="67"/>
    </row>
    <row r="375" spans="2:30">
      <c r="B375" s="64" t="s">
        <v>105</v>
      </c>
      <c r="C375" s="65" t="s">
        <v>444</v>
      </c>
      <c r="D375" s="66">
        <v>9.16</v>
      </c>
      <c r="E375" s="67">
        <v>44389</v>
      </c>
      <c r="F375" s="64">
        <v>0</v>
      </c>
      <c r="G375" s="67">
        <v>44390</v>
      </c>
      <c r="H375" s="64">
        <v>0</v>
      </c>
      <c r="I375" s="67">
        <v>44407</v>
      </c>
      <c r="J375" s="64">
        <f t="shared" si="278"/>
        <v>0</v>
      </c>
      <c r="K375" s="67">
        <v>44415</v>
      </c>
      <c r="L375" s="64">
        <f t="shared" si="279"/>
        <v>0</v>
      </c>
      <c r="M375" s="64">
        <f t="shared" si="280"/>
        <v>0</v>
      </c>
      <c r="N375" s="67">
        <f t="shared" si="284"/>
        <v>44416</v>
      </c>
      <c r="O375" s="64">
        <f t="shared" si="281"/>
        <v>1</v>
      </c>
      <c r="P375" s="64">
        <f t="shared" si="282"/>
        <v>0</v>
      </c>
      <c r="Q375" s="91" t="str">
        <f t="shared" si="275"/>
        <v>Selesai</v>
      </c>
      <c r="R375" s="64">
        <f t="shared" si="283"/>
        <v>0</v>
      </c>
      <c r="S375" s="67">
        <v>44443</v>
      </c>
      <c r="T375" s="67">
        <v>44455</v>
      </c>
      <c r="U375" s="64">
        <f t="shared" si="276"/>
        <v>1</v>
      </c>
      <c r="V375" s="64"/>
      <c r="W375" s="64"/>
      <c r="X375" s="93"/>
      <c r="Y375" s="94"/>
      <c r="Z375" s="91" t="str">
        <f t="shared" si="277"/>
        <v>100%</v>
      </c>
      <c r="AA375" s="67"/>
      <c r="AB375" s="473"/>
      <c r="AC375" s="478" t="s">
        <v>2711</v>
      </c>
      <c r="AD375" s="67"/>
    </row>
    <row r="376" spans="2:30">
      <c r="B376" s="64" t="s">
        <v>113</v>
      </c>
      <c r="C376" s="65" t="s">
        <v>445</v>
      </c>
      <c r="D376" s="66">
        <v>9.9700000000000006</v>
      </c>
      <c r="E376" s="67">
        <v>44398</v>
      </c>
      <c r="F376" s="64">
        <v>0</v>
      </c>
      <c r="G376" s="67">
        <v>44399</v>
      </c>
      <c r="H376" s="64">
        <v>0</v>
      </c>
      <c r="I376" s="67">
        <v>44410</v>
      </c>
      <c r="J376" s="64">
        <f t="shared" si="278"/>
        <v>0</v>
      </c>
      <c r="K376" s="67">
        <v>44412</v>
      </c>
      <c r="L376" s="64">
        <f t="shared" si="279"/>
        <v>0</v>
      </c>
      <c r="M376" s="64">
        <f t="shared" si="280"/>
        <v>0</v>
      </c>
      <c r="N376" s="67">
        <f t="shared" si="284"/>
        <v>44413</v>
      </c>
      <c r="O376" s="64">
        <f t="shared" si="281"/>
        <v>1</v>
      </c>
      <c r="P376" s="64">
        <f t="shared" si="282"/>
        <v>0</v>
      </c>
      <c r="Q376" s="91" t="str">
        <f t="shared" si="275"/>
        <v>Selesai</v>
      </c>
      <c r="R376" s="64">
        <f t="shared" si="283"/>
        <v>0</v>
      </c>
      <c r="S376" s="67">
        <v>44443</v>
      </c>
      <c r="T376" s="67">
        <v>44456</v>
      </c>
      <c r="U376" s="64">
        <f t="shared" si="276"/>
        <v>1</v>
      </c>
      <c r="V376" s="64"/>
      <c r="W376" s="64"/>
      <c r="X376" s="93"/>
      <c r="Y376" s="94"/>
      <c r="Z376" s="91" t="str">
        <f t="shared" si="277"/>
        <v>100%</v>
      </c>
      <c r="AA376" s="67"/>
      <c r="AB376" s="473"/>
      <c r="AC376" s="478" t="s">
        <v>2711</v>
      </c>
      <c r="AD376" s="67"/>
    </row>
    <row r="377" spans="2:30">
      <c r="B377" s="64" t="s">
        <v>109</v>
      </c>
      <c r="C377" s="65" t="s">
        <v>446</v>
      </c>
      <c r="D377" s="66">
        <v>9.58</v>
      </c>
      <c r="E377" s="67">
        <v>44391</v>
      </c>
      <c r="F377" s="64">
        <v>0</v>
      </c>
      <c r="G377" s="67">
        <v>44392</v>
      </c>
      <c r="H377" s="64">
        <v>0</v>
      </c>
      <c r="I377" s="67">
        <v>44418</v>
      </c>
      <c r="J377" s="64">
        <f t="shared" si="278"/>
        <v>0</v>
      </c>
      <c r="K377" s="67">
        <v>44399</v>
      </c>
      <c r="L377" s="64">
        <f t="shared" si="279"/>
        <v>0</v>
      </c>
      <c r="M377" s="64">
        <f t="shared" si="280"/>
        <v>0</v>
      </c>
      <c r="N377" s="67">
        <f t="shared" si="284"/>
        <v>44419</v>
      </c>
      <c r="O377" s="64">
        <f t="shared" si="281"/>
        <v>1</v>
      </c>
      <c r="P377" s="64">
        <f t="shared" si="282"/>
        <v>0</v>
      </c>
      <c r="Q377" s="91" t="str">
        <f t="shared" si="275"/>
        <v>Selesai</v>
      </c>
      <c r="R377" s="64">
        <f t="shared" si="283"/>
        <v>0</v>
      </c>
      <c r="S377" s="67">
        <v>44452</v>
      </c>
      <c r="T377" s="67">
        <v>44469</v>
      </c>
      <c r="U377" s="64">
        <f t="shared" si="276"/>
        <v>1</v>
      </c>
      <c r="V377" s="64"/>
      <c r="W377" s="64"/>
      <c r="X377" s="93"/>
      <c r="Y377" s="94"/>
      <c r="Z377" s="91" t="str">
        <f t="shared" si="277"/>
        <v>100%</v>
      </c>
      <c r="AA377" s="67"/>
      <c r="AB377" s="473"/>
      <c r="AC377" s="478" t="s">
        <v>2711</v>
      </c>
      <c r="AD377" s="67"/>
    </row>
    <row r="378" spans="2:30">
      <c r="B378" s="64" t="s">
        <v>109</v>
      </c>
      <c r="C378" s="65" t="s">
        <v>447</v>
      </c>
      <c r="D378" s="66">
        <v>6.5</v>
      </c>
      <c r="E378" s="67">
        <v>44394</v>
      </c>
      <c r="F378" s="64">
        <v>0</v>
      </c>
      <c r="G378" s="67">
        <v>44395</v>
      </c>
      <c r="H378" s="64">
        <v>0</v>
      </c>
      <c r="I378" s="67">
        <v>44412</v>
      </c>
      <c r="J378" s="64">
        <f t="shared" si="278"/>
        <v>0</v>
      </c>
      <c r="K378" s="67">
        <v>44412</v>
      </c>
      <c r="L378" s="64">
        <f t="shared" si="279"/>
        <v>0</v>
      </c>
      <c r="M378" s="64">
        <f t="shared" si="280"/>
        <v>0</v>
      </c>
      <c r="N378" s="67">
        <f t="shared" si="284"/>
        <v>44413</v>
      </c>
      <c r="O378" s="64">
        <f t="shared" si="281"/>
        <v>1</v>
      </c>
      <c r="P378" s="64">
        <f t="shared" si="282"/>
        <v>0</v>
      </c>
      <c r="Q378" s="91" t="str">
        <f t="shared" si="275"/>
        <v>Selesai</v>
      </c>
      <c r="R378" s="64">
        <f t="shared" si="283"/>
        <v>0</v>
      </c>
      <c r="S378" s="67">
        <v>44449</v>
      </c>
      <c r="T378" s="67">
        <v>44469</v>
      </c>
      <c r="U378" s="64">
        <f t="shared" si="276"/>
        <v>1</v>
      </c>
      <c r="V378" s="64"/>
      <c r="W378" s="64"/>
      <c r="X378" s="93"/>
      <c r="Y378" s="94"/>
      <c r="Z378" s="91" t="str">
        <f t="shared" si="277"/>
        <v>100%</v>
      </c>
      <c r="AA378" s="67"/>
      <c r="AB378" s="473"/>
      <c r="AC378" s="478" t="s">
        <v>2711</v>
      </c>
      <c r="AD378" s="67"/>
    </row>
    <row r="379" spans="2:30">
      <c r="B379" s="64" t="s">
        <v>109</v>
      </c>
      <c r="C379" s="65" t="s">
        <v>448</v>
      </c>
      <c r="D379" s="66">
        <v>11.22</v>
      </c>
      <c r="E379" s="67">
        <v>44392</v>
      </c>
      <c r="F379" s="64">
        <v>0</v>
      </c>
      <c r="G379" s="67">
        <v>44393</v>
      </c>
      <c r="H379" s="64">
        <v>0</v>
      </c>
      <c r="I379" s="67">
        <v>44421</v>
      </c>
      <c r="J379" s="64">
        <f t="shared" si="278"/>
        <v>0</v>
      </c>
      <c r="K379" s="67">
        <v>44399</v>
      </c>
      <c r="L379" s="64">
        <f t="shared" si="279"/>
        <v>0</v>
      </c>
      <c r="M379" s="64">
        <f t="shared" si="280"/>
        <v>0</v>
      </c>
      <c r="N379" s="67">
        <f t="shared" si="284"/>
        <v>44422</v>
      </c>
      <c r="O379" s="64">
        <f t="shared" si="281"/>
        <v>1</v>
      </c>
      <c r="P379" s="64">
        <f t="shared" si="282"/>
        <v>0</v>
      </c>
      <c r="Q379" s="91" t="str">
        <f t="shared" si="275"/>
        <v>Selesai</v>
      </c>
      <c r="R379" s="64">
        <f t="shared" si="283"/>
        <v>0</v>
      </c>
      <c r="S379" s="67">
        <v>44456</v>
      </c>
      <c r="T379" s="67">
        <v>44469</v>
      </c>
      <c r="U379" s="64">
        <f t="shared" si="276"/>
        <v>1</v>
      </c>
      <c r="V379" s="64"/>
      <c r="W379" s="64"/>
      <c r="X379" s="93"/>
      <c r="Y379" s="94"/>
      <c r="Z379" s="91" t="str">
        <f t="shared" si="277"/>
        <v>100%</v>
      </c>
      <c r="AA379" s="67"/>
      <c r="AB379" s="473"/>
      <c r="AC379" s="478" t="s">
        <v>2711</v>
      </c>
      <c r="AD379" s="67"/>
    </row>
    <row r="380" spans="2:30">
      <c r="B380" s="64" t="s">
        <v>105</v>
      </c>
      <c r="C380" s="65" t="s">
        <v>449</v>
      </c>
      <c r="D380" s="66">
        <v>5.4</v>
      </c>
      <c r="E380" s="67">
        <v>44403</v>
      </c>
      <c r="F380" s="64">
        <v>0</v>
      </c>
      <c r="G380" s="67">
        <v>44404</v>
      </c>
      <c r="H380" s="64">
        <v>0</v>
      </c>
      <c r="I380" s="67">
        <v>44429</v>
      </c>
      <c r="J380" s="64">
        <f t="shared" si="278"/>
        <v>0</v>
      </c>
      <c r="K380" s="67">
        <v>44412</v>
      </c>
      <c r="L380" s="64">
        <f t="shared" si="279"/>
        <v>0</v>
      </c>
      <c r="M380" s="64">
        <f t="shared" si="280"/>
        <v>0</v>
      </c>
      <c r="N380" s="67">
        <v>44430</v>
      </c>
      <c r="O380" s="64">
        <f t="shared" si="281"/>
        <v>1</v>
      </c>
      <c r="P380" s="64">
        <f t="shared" si="282"/>
        <v>0</v>
      </c>
      <c r="Q380" s="91" t="str">
        <f t="shared" si="275"/>
        <v>Selesai</v>
      </c>
      <c r="R380" s="64">
        <f t="shared" si="283"/>
        <v>0</v>
      </c>
      <c r="S380" s="67">
        <v>44445</v>
      </c>
      <c r="T380" s="67">
        <v>44469</v>
      </c>
      <c r="U380" s="64">
        <f t="shared" si="276"/>
        <v>1</v>
      </c>
      <c r="V380" s="64"/>
      <c r="W380" s="64"/>
      <c r="X380" s="93"/>
      <c r="Y380" s="94"/>
      <c r="Z380" s="91" t="str">
        <f t="shared" si="277"/>
        <v>100%</v>
      </c>
      <c r="AA380" s="67"/>
      <c r="AB380" s="473"/>
      <c r="AC380" s="478" t="s">
        <v>2711</v>
      </c>
      <c r="AD380" s="67"/>
    </row>
    <row r="381" spans="2:30">
      <c r="B381" s="64" t="s">
        <v>107</v>
      </c>
      <c r="C381" s="65" t="s">
        <v>450</v>
      </c>
      <c r="D381" s="66">
        <v>8.1999999999999993</v>
      </c>
      <c r="E381" s="67">
        <v>44428</v>
      </c>
      <c r="F381" s="64">
        <v>0</v>
      </c>
      <c r="G381" s="67">
        <v>44438</v>
      </c>
      <c r="H381" s="64">
        <v>0</v>
      </c>
      <c r="I381" s="67">
        <v>44461</v>
      </c>
      <c r="J381" s="64">
        <f t="shared" si="278"/>
        <v>0</v>
      </c>
      <c r="K381" s="67">
        <v>44460</v>
      </c>
      <c r="L381" s="64">
        <f t="shared" si="279"/>
        <v>0</v>
      </c>
      <c r="M381" s="64">
        <f t="shared" si="280"/>
        <v>0</v>
      </c>
      <c r="N381" s="67">
        <f t="shared" ref="N381:N420" si="285">IF(AND(I381&gt;0,K381&gt;0),MAX(I381:K381)+1,"")</f>
        <v>44462</v>
      </c>
      <c r="O381" s="64">
        <f t="shared" si="281"/>
        <v>1</v>
      </c>
      <c r="P381" s="64">
        <f t="shared" si="282"/>
        <v>0</v>
      </c>
      <c r="Q381" s="91" t="str">
        <f t="shared" si="275"/>
        <v>Selesai</v>
      </c>
      <c r="R381" s="64">
        <f t="shared" si="283"/>
        <v>0</v>
      </c>
      <c r="S381" s="67">
        <v>44462</v>
      </c>
      <c r="T381" s="67">
        <v>44470</v>
      </c>
      <c r="U381" s="64">
        <f t="shared" si="276"/>
        <v>1</v>
      </c>
      <c r="V381" s="64"/>
      <c r="W381" s="64"/>
      <c r="X381" s="93"/>
      <c r="Y381" s="94"/>
      <c r="Z381" s="91" t="str">
        <f t="shared" si="277"/>
        <v>100%</v>
      </c>
      <c r="AA381" s="67"/>
      <c r="AB381" s="473"/>
      <c r="AC381" s="478" t="s">
        <v>2711</v>
      </c>
      <c r="AD381" s="67"/>
    </row>
    <row r="382" spans="2:30">
      <c r="B382" s="64" t="s">
        <v>113</v>
      </c>
      <c r="C382" s="65" t="s">
        <v>451</v>
      </c>
      <c r="D382" s="66">
        <v>11.4</v>
      </c>
      <c r="E382" s="67">
        <v>44399</v>
      </c>
      <c r="F382" s="64">
        <v>0</v>
      </c>
      <c r="G382" s="67">
        <v>44400</v>
      </c>
      <c r="H382" s="64">
        <v>0</v>
      </c>
      <c r="I382" s="67">
        <v>44412</v>
      </c>
      <c r="J382" s="64">
        <f t="shared" si="278"/>
        <v>0</v>
      </c>
      <c r="K382" s="67">
        <v>44412</v>
      </c>
      <c r="L382" s="64">
        <f t="shared" si="279"/>
        <v>0</v>
      </c>
      <c r="M382" s="64">
        <f t="shared" si="280"/>
        <v>0</v>
      </c>
      <c r="N382" s="67">
        <f t="shared" si="285"/>
        <v>44413</v>
      </c>
      <c r="O382" s="64">
        <f t="shared" si="281"/>
        <v>1</v>
      </c>
      <c r="P382" s="64">
        <f t="shared" si="282"/>
        <v>0</v>
      </c>
      <c r="Q382" s="91" t="str">
        <f t="shared" si="275"/>
        <v>Selesai</v>
      </c>
      <c r="R382" s="64">
        <f t="shared" si="283"/>
        <v>0</v>
      </c>
      <c r="S382" s="67">
        <v>44443</v>
      </c>
      <c r="T382" s="67">
        <v>44475</v>
      </c>
      <c r="U382" s="64">
        <f t="shared" si="276"/>
        <v>1</v>
      </c>
      <c r="V382" s="64"/>
      <c r="W382" s="64"/>
      <c r="X382" s="93"/>
      <c r="Y382" s="94"/>
      <c r="Z382" s="91" t="str">
        <f t="shared" si="277"/>
        <v>100%</v>
      </c>
      <c r="AA382" s="67"/>
      <c r="AB382" s="473"/>
      <c r="AC382" s="478" t="s">
        <v>2711</v>
      </c>
      <c r="AD382" s="67"/>
    </row>
    <row r="383" spans="2:30">
      <c r="B383" s="64" t="s">
        <v>109</v>
      </c>
      <c r="C383" s="65" t="s">
        <v>452</v>
      </c>
      <c r="D383" s="66">
        <v>6.83</v>
      </c>
      <c r="E383" s="67">
        <v>44424</v>
      </c>
      <c r="F383" s="64">
        <v>0</v>
      </c>
      <c r="G383" s="67">
        <v>44434</v>
      </c>
      <c r="H383" s="64">
        <v>0</v>
      </c>
      <c r="I383" s="67">
        <v>44438</v>
      </c>
      <c r="J383" s="64">
        <f t="shared" si="278"/>
        <v>0</v>
      </c>
      <c r="K383" s="67">
        <v>44445</v>
      </c>
      <c r="L383" s="64">
        <f t="shared" si="279"/>
        <v>0</v>
      </c>
      <c r="M383" s="64">
        <f t="shared" si="280"/>
        <v>0</v>
      </c>
      <c r="N383" s="67">
        <f t="shared" si="285"/>
        <v>44446</v>
      </c>
      <c r="O383" s="64">
        <f t="shared" si="281"/>
        <v>1</v>
      </c>
      <c r="P383" s="64">
        <f t="shared" si="282"/>
        <v>0</v>
      </c>
      <c r="Q383" s="91" t="str">
        <f t="shared" si="275"/>
        <v>Selesai</v>
      </c>
      <c r="R383" s="64">
        <f t="shared" si="283"/>
        <v>0</v>
      </c>
      <c r="S383" s="67">
        <v>44456</v>
      </c>
      <c r="T383" s="67">
        <v>44476</v>
      </c>
      <c r="U383" s="64">
        <f t="shared" si="276"/>
        <v>1</v>
      </c>
      <c r="V383" s="64"/>
      <c r="W383" s="64"/>
      <c r="X383" s="93"/>
      <c r="Y383" s="94"/>
      <c r="Z383" s="91" t="str">
        <f t="shared" si="277"/>
        <v>100%</v>
      </c>
      <c r="AA383" s="67"/>
      <c r="AB383" s="473"/>
      <c r="AC383" s="478" t="s">
        <v>2711</v>
      </c>
      <c r="AD383" s="67"/>
    </row>
    <row r="384" spans="2:30">
      <c r="B384" s="64" t="s">
        <v>113</v>
      </c>
      <c r="C384" s="65" t="s">
        <v>453</v>
      </c>
      <c r="D384" s="66">
        <v>6.27</v>
      </c>
      <c r="E384" s="67">
        <v>44424</v>
      </c>
      <c r="F384" s="64">
        <v>0</v>
      </c>
      <c r="G384" s="67">
        <v>44435</v>
      </c>
      <c r="H384" s="64">
        <v>0</v>
      </c>
      <c r="I384" s="67">
        <v>44441</v>
      </c>
      <c r="J384" s="64">
        <f t="shared" si="278"/>
        <v>0</v>
      </c>
      <c r="K384" s="67">
        <v>44455</v>
      </c>
      <c r="L384" s="64">
        <f t="shared" si="279"/>
        <v>0</v>
      </c>
      <c r="M384" s="64">
        <f t="shared" si="280"/>
        <v>0</v>
      </c>
      <c r="N384" s="67">
        <f t="shared" si="285"/>
        <v>44456</v>
      </c>
      <c r="O384" s="64">
        <f t="shared" si="281"/>
        <v>1</v>
      </c>
      <c r="P384" s="64">
        <f t="shared" si="282"/>
        <v>0</v>
      </c>
      <c r="Q384" s="91" t="str">
        <f t="shared" si="275"/>
        <v>Selesai</v>
      </c>
      <c r="R384" s="64">
        <f t="shared" si="283"/>
        <v>0</v>
      </c>
      <c r="S384" s="67">
        <v>44456</v>
      </c>
      <c r="T384" s="67">
        <v>44481</v>
      </c>
      <c r="U384" s="64">
        <f t="shared" si="276"/>
        <v>1</v>
      </c>
      <c r="V384" s="64"/>
      <c r="W384" s="64"/>
      <c r="X384" s="93"/>
      <c r="Y384" s="94"/>
      <c r="Z384" s="91" t="str">
        <f t="shared" si="277"/>
        <v>100%</v>
      </c>
      <c r="AA384" s="67"/>
      <c r="AB384" s="473"/>
      <c r="AC384" s="478" t="s">
        <v>2711</v>
      </c>
      <c r="AD384" s="67"/>
    </row>
    <row r="385" spans="2:43">
      <c r="B385" s="64" t="s">
        <v>109</v>
      </c>
      <c r="C385" s="65" t="s">
        <v>454</v>
      </c>
      <c r="D385" s="66">
        <v>6.63</v>
      </c>
      <c r="E385" s="67">
        <v>44394</v>
      </c>
      <c r="F385" s="64">
        <v>0</v>
      </c>
      <c r="G385" s="67">
        <v>44395</v>
      </c>
      <c r="H385" s="64">
        <v>0</v>
      </c>
      <c r="I385" s="67">
        <v>44418</v>
      </c>
      <c r="J385" s="64">
        <f t="shared" si="278"/>
        <v>0</v>
      </c>
      <c r="K385" s="67">
        <v>44412</v>
      </c>
      <c r="L385" s="64">
        <f t="shared" si="279"/>
        <v>0</v>
      </c>
      <c r="M385" s="64">
        <f t="shared" si="280"/>
        <v>0</v>
      </c>
      <c r="N385" s="67">
        <f t="shared" si="285"/>
        <v>44419</v>
      </c>
      <c r="O385" s="64">
        <f t="shared" si="281"/>
        <v>1</v>
      </c>
      <c r="P385" s="64">
        <f t="shared" si="282"/>
        <v>0</v>
      </c>
      <c r="Q385" s="91" t="str">
        <f t="shared" si="275"/>
        <v>Selesai</v>
      </c>
      <c r="R385" s="64">
        <f t="shared" si="283"/>
        <v>0</v>
      </c>
      <c r="S385" s="67">
        <v>44467</v>
      </c>
      <c r="T385" s="67">
        <v>44483</v>
      </c>
      <c r="U385" s="64">
        <f t="shared" si="276"/>
        <v>1</v>
      </c>
      <c r="V385" s="64"/>
      <c r="W385" s="64"/>
      <c r="X385" s="93"/>
      <c r="Y385" s="94"/>
      <c r="Z385" s="91" t="str">
        <f t="shared" si="277"/>
        <v>100%</v>
      </c>
      <c r="AA385" s="67"/>
      <c r="AB385" s="473"/>
      <c r="AC385" s="478" t="s">
        <v>2711</v>
      </c>
      <c r="AD385" s="67"/>
    </row>
    <row r="386" spans="2:43">
      <c r="B386" s="64" t="s">
        <v>109</v>
      </c>
      <c r="C386" s="65" t="s">
        <v>455</v>
      </c>
      <c r="D386" s="66">
        <v>7.05</v>
      </c>
      <c r="E386" s="67">
        <v>44393</v>
      </c>
      <c r="F386" s="64">
        <v>0</v>
      </c>
      <c r="G386" s="67">
        <v>44394</v>
      </c>
      <c r="H386" s="64">
        <v>0</v>
      </c>
      <c r="I386" s="67">
        <v>44406</v>
      </c>
      <c r="J386" s="64">
        <f t="shared" si="278"/>
        <v>0</v>
      </c>
      <c r="K386" s="67">
        <v>44412</v>
      </c>
      <c r="L386" s="64">
        <f t="shared" si="279"/>
        <v>0</v>
      </c>
      <c r="M386" s="64">
        <f t="shared" si="280"/>
        <v>0</v>
      </c>
      <c r="N386" s="67">
        <f t="shared" si="285"/>
        <v>44413</v>
      </c>
      <c r="O386" s="64">
        <f t="shared" si="281"/>
        <v>1</v>
      </c>
      <c r="P386" s="64">
        <f t="shared" si="282"/>
        <v>0</v>
      </c>
      <c r="Q386" s="91" t="str">
        <f t="shared" si="275"/>
        <v>Selesai</v>
      </c>
      <c r="R386" s="64">
        <f t="shared" si="283"/>
        <v>0</v>
      </c>
      <c r="S386" s="67">
        <v>44463</v>
      </c>
      <c r="T386" s="67">
        <v>44483</v>
      </c>
      <c r="U386" s="64">
        <f t="shared" si="276"/>
        <v>1</v>
      </c>
      <c r="V386" s="64"/>
      <c r="W386" s="64"/>
      <c r="X386" s="93"/>
      <c r="Y386" s="94"/>
      <c r="Z386" s="91" t="str">
        <f t="shared" si="277"/>
        <v>100%</v>
      </c>
      <c r="AA386" s="67"/>
      <c r="AB386" s="473"/>
      <c r="AC386" s="478" t="s">
        <v>2711</v>
      </c>
      <c r="AD386" s="67"/>
    </row>
    <row r="387" spans="2:43">
      <c r="B387" s="64" t="s">
        <v>105</v>
      </c>
      <c r="C387" s="65" t="s">
        <v>456</v>
      </c>
      <c r="D387" s="66">
        <v>6.93</v>
      </c>
      <c r="E387" s="67">
        <v>44403</v>
      </c>
      <c r="F387" s="64">
        <v>0</v>
      </c>
      <c r="G387" s="67">
        <v>44404</v>
      </c>
      <c r="H387" s="64">
        <v>0</v>
      </c>
      <c r="I387" s="67">
        <v>44426</v>
      </c>
      <c r="J387" s="64">
        <f t="shared" si="278"/>
        <v>0</v>
      </c>
      <c r="K387" s="67">
        <v>44412</v>
      </c>
      <c r="L387" s="64">
        <f t="shared" si="279"/>
        <v>0</v>
      </c>
      <c r="M387" s="64">
        <f t="shared" si="280"/>
        <v>0</v>
      </c>
      <c r="N387" s="67">
        <f t="shared" si="285"/>
        <v>44427</v>
      </c>
      <c r="O387" s="64">
        <f t="shared" si="281"/>
        <v>1</v>
      </c>
      <c r="P387" s="64">
        <f t="shared" si="282"/>
        <v>0</v>
      </c>
      <c r="Q387" s="91" t="str">
        <f t="shared" si="275"/>
        <v>Selesai</v>
      </c>
      <c r="R387" s="64">
        <f t="shared" si="283"/>
        <v>0</v>
      </c>
      <c r="S387" s="67">
        <v>44452</v>
      </c>
      <c r="T387" s="67">
        <v>44483</v>
      </c>
      <c r="U387" s="64">
        <f t="shared" si="276"/>
        <v>1</v>
      </c>
      <c r="V387" s="64"/>
      <c r="W387" s="64"/>
      <c r="X387" s="93"/>
      <c r="Y387" s="94"/>
      <c r="Z387" s="91" t="str">
        <f t="shared" si="277"/>
        <v>100%</v>
      </c>
      <c r="AA387" s="67"/>
      <c r="AB387" s="473"/>
      <c r="AC387" s="478" t="s">
        <v>2711</v>
      </c>
      <c r="AD387" s="67"/>
    </row>
    <row r="388" spans="2:43">
      <c r="B388" s="64" t="s">
        <v>109</v>
      </c>
      <c r="C388" s="65" t="s">
        <v>457</v>
      </c>
      <c r="D388" s="66">
        <v>9.3000000000000007</v>
      </c>
      <c r="E388" s="67">
        <v>44427</v>
      </c>
      <c r="F388" s="64">
        <v>0</v>
      </c>
      <c r="G388" s="67">
        <v>44435</v>
      </c>
      <c r="H388" s="64">
        <v>0</v>
      </c>
      <c r="I388" s="67">
        <v>44447</v>
      </c>
      <c r="J388" s="64">
        <f t="shared" si="278"/>
        <v>0</v>
      </c>
      <c r="K388" s="67">
        <v>44456</v>
      </c>
      <c r="L388" s="64">
        <f t="shared" si="279"/>
        <v>0</v>
      </c>
      <c r="M388" s="64">
        <f t="shared" si="280"/>
        <v>0</v>
      </c>
      <c r="N388" s="67">
        <f t="shared" si="285"/>
        <v>44457</v>
      </c>
      <c r="O388" s="64">
        <f t="shared" si="281"/>
        <v>1</v>
      </c>
      <c r="P388" s="64">
        <f t="shared" si="282"/>
        <v>0</v>
      </c>
      <c r="Q388" s="91" t="str">
        <f t="shared" si="275"/>
        <v>Selesai</v>
      </c>
      <c r="R388" s="64">
        <f t="shared" si="283"/>
        <v>0</v>
      </c>
      <c r="S388" s="67">
        <v>44461</v>
      </c>
      <c r="T388" s="67">
        <v>44484</v>
      </c>
      <c r="U388" s="64">
        <f t="shared" si="276"/>
        <v>1</v>
      </c>
      <c r="V388" s="64"/>
      <c r="W388" s="64"/>
      <c r="X388" s="93"/>
      <c r="Y388" s="94"/>
      <c r="Z388" s="91" t="str">
        <f t="shared" si="277"/>
        <v>100%</v>
      </c>
      <c r="AA388" s="67"/>
      <c r="AB388" s="473"/>
      <c r="AC388" s="478" t="s">
        <v>2711</v>
      </c>
      <c r="AD388" s="67"/>
    </row>
    <row r="389" spans="2:43">
      <c r="B389" s="64" t="s">
        <v>113</v>
      </c>
      <c r="C389" s="65" t="s">
        <v>458</v>
      </c>
      <c r="D389" s="66">
        <v>6.2</v>
      </c>
      <c r="E389" s="67">
        <v>44443</v>
      </c>
      <c r="F389" s="64">
        <v>0</v>
      </c>
      <c r="G389" s="67">
        <v>44444</v>
      </c>
      <c r="H389" s="64">
        <v>0</v>
      </c>
      <c r="I389" s="67">
        <v>44452</v>
      </c>
      <c r="J389" s="64">
        <f t="shared" si="278"/>
        <v>0</v>
      </c>
      <c r="K389" s="67">
        <v>44468</v>
      </c>
      <c r="L389" s="64">
        <f t="shared" si="279"/>
        <v>0</v>
      </c>
      <c r="M389" s="64">
        <f t="shared" si="280"/>
        <v>0</v>
      </c>
      <c r="N389" s="67">
        <f t="shared" si="285"/>
        <v>44469</v>
      </c>
      <c r="O389" s="64">
        <f t="shared" si="281"/>
        <v>1</v>
      </c>
      <c r="P389" s="64">
        <f t="shared" si="282"/>
        <v>0</v>
      </c>
      <c r="Q389" s="91" t="str">
        <f t="shared" si="275"/>
        <v>Selesai</v>
      </c>
      <c r="R389" s="64">
        <f t="shared" si="283"/>
        <v>0</v>
      </c>
      <c r="S389" s="67">
        <v>44469</v>
      </c>
      <c r="T389" s="67">
        <v>44484</v>
      </c>
      <c r="U389" s="64">
        <f t="shared" si="276"/>
        <v>1</v>
      </c>
      <c r="V389" s="64"/>
      <c r="W389" s="64"/>
      <c r="X389" s="93"/>
      <c r="Y389" s="94"/>
      <c r="Z389" s="91" t="str">
        <f t="shared" si="277"/>
        <v>100%</v>
      </c>
      <c r="AA389" s="67"/>
      <c r="AB389" s="473"/>
      <c r="AC389" s="478" t="s">
        <v>2711</v>
      </c>
      <c r="AD389" s="67"/>
    </row>
    <row r="390" spans="2:43">
      <c r="B390" s="64" t="s">
        <v>113</v>
      </c>
      <c r="C390" s="65" t="s">
        <v>459</v>
      </c>
      <c r="D390" s="66">
        <v>5.23</v>
      </c>
      <c r="E390" s="67">
        <v>44427</v>
      </c>
      <c r="F390" s="64">
        <v>0</v>
      </c>
      <c r="G390" s="67">
        <v>44438</v>
      </c>
      <c r="H390" s="64">
        <v>0</v>
      </c>
      <c r="I390" s="67">
        <v>44461</v>
      </c>
      <c r="J390" s="64">
        <f t="shared" si="278"/>
        <v>0</v>
      </c>
      <c r="K390" s="67">
        <v>44469</v>
      </c>
      <c r="L390" s="64">
        <f t="shared" si="279"/>
        <v>0</v>
      </c>
      <c r="M390" s="64">
        <f t="shared" si="280"/>
        <v>0</v>
      </c>
      <c r="N390" s="67">
        <f t="shared" si="285"/>
        <v>44470</v>
      </c>
      <c r="O390" s="64">
        <f t="shared" si="281"/>
        <v>1</v>
      </c>
      <c r="P390" s="64">
        <f t="shared" si="282"/>
        <v>0</v>
      </c>
      <c r="Q390" s="91" t="str">
        <f t="shared" si="275"/>
        <v>Selesai</v>
      </c>
      <c r="R390" s="64">
        <f t="shared" si="283"/>
        <v>0</v>
      </c>
      <c r="S390" s="67">
        <v>44470</v>
      </c>
      <c r="T390" s="67">
        <v>44488</v>
      </c>
      <c r="U390" s="64">
        <f t="shared" si="276"/>
        <v>1</v>
      </c>
      <c r="V390" s="64"/>
      <c r="W390" s="64"/>
      <c r="X390" s="93"/>
      <c r="Y390" s="94"/>
      <c r="Z390" s="91" t="str">
        <f t="shared" si="277"/>
        <v>100%</v>
      </c>
      <c r="AA390" s="67"/>
      <c r="AB390" s="473"/>
      <c r="AC390" s="478" t="s">
        <v>2711</v>
      </c>
      <c r="AD390" s="67"/>
    </row>
    <row r="391" spans="2:43">
      <c r="B391" s="64" t="s">
        <v>109</v>
      </c>
      <c r="C391" s="65" t="s">
        <v>460</v>
      </c>
      <c r="D391" s="66">
        <v>6.75</v>
      </c>
      <c r="E391" s="67">
        <v>44442</v>
      </c>
      <c r="F391" s="64">
        <v>0</v>
      </c>
      <c r="G391" s="67">
        <v>44444</v>
      </c>
      <c r="H391" s="64">
        <v>0</v>
      </c>
      <c r="I391" s="67">
        <v>44452</v>
      </c>
      <c r="J391" s="64">
        <f t="shared" si="278"/>
        <v>0</v>
      </c>
      <c r="K391" s="67">
        <v>44459</v>
      </c>
      <c r="L391" s="64">
        <f t="shared" si="279"/>
        <v>0</v>
      </c>
      <c r="M391" s="64">
        <f t="shared" si="280"/>
        <v>0</v>
      </c>
      <c r="N391" s="67">
        <f t="shared" si="285"/>
        <v>44460</v>
      </c>
      <c r="O391" s="64">
        <f t="shared" si="281"/>
        <v>1</v>
      </c>
      <c r="P391" s="64">
        <f t="shared" si="282"/>
        <v>0</v>
      </c>
      <c r="Q391" s="91" t="str">
        <f t="shared" si="275"/>
        <v>Selesai</v>
      </c>
      <c r="R391" s="64">
        <f t="shared" si="283"/>
        <v>0</v>
      </c>
      <c r="S391" s="67">
        <v>44474</v>
      </c>
      <c r="T391" s="67">
        <v>44488</v>
      </c>
      <c r="U391" s="64">
        <f t="shared" si="276"/>
        <v>1</v>
      </c>
      <c r="V391" s="64"/>
      <c r="W391" s="64"/>
      <c r="X391" s="93"/>
      <c r="Y391" s="94"/>
      <c r="Z391" s="91" t="str">
        <f t="shared" si="277"/>
        <v>100%</v>
      </c>
      <c r="AA391" s="67"/>
      <c r="AB391" s="473"/>
      <c r="AC391" s="478" t="s">
        <v>2711</v>
      </c>
      <c r="AD391" s="67"/>
    </row>
    <row r="392" spans="2:43">
      <c r="B392" s="64" t="s">
        <v>113</v>
      </c>
      <c r="C392" s="65" t="s">
        <v>461</v>
      </c>
      <c r="D392" s="66">
        <v>12.28</v>
      </c>
      <c r="E392" s="67">
        <v>44429</v>
      </c>
      <c r="F392" s="64">
        <v>0</v>
      </c>
      <c r="G392" s="67">
        <v>44436</v>
      </c>
      <c r="H392" s="64">
        <v>0</v>
      </c>
      <c r="I392" s="67">
        <v>44447</v>
      </c>
      <c r="J392" s="64">
        <f t="shared" si="278"/>
        <v>0</v>
      </c>
      <c r="K392" s="67">
        <v>44455</v>
      </c>
      <c r="L392" s="64">
        <f t="shared" si="279"/>
        <v>0</v>
      </c>
      <c r="M392" s="64">
        <f t="shared" si="280"/>
        <v>0</v>
      </c>
      <c r="N392" s="67">
        <f t="shared" si="285"/>
        <v>44456</v>
      </c>
      <c r="O392" s="64">
        <f t="shared" si="281"/>
        <v>1</v>
      </c>
      <c r="P392" s="64">
        <f t="shared" si="282"/>
        <v>0</v>
      </c>
      <c r="Q392" s="91" t="str">
        <f t="shared" si="275"/>
        <v>Selesai</v>
      </c>
      <c r="R392" s="64">
        <f t="shared" si="283"/>
        <v>0</v>
      </c>
      <c r="S392" s="67">
        <v>44466</v>
      </c>
      <c r="T392" s="67">
        <v>44488</v>
      </c>
      <c r="U392" s="64">
        <f t="shared" si="276"/>
        <v>1</v>
      </c>
      <c r="V392" s="64"/>
      <c r="W392" s="64"/>
      <c r="X392" s="93"/>
      <c r="Y392" s="94"/>
      <c r="Z392" s="91" t="str">
        <f t="shared" si="277"/>
        <v>100%</v>
      </c>
      <c r="AA392" s="67"/>
      <c r="AB392" s="473"/>
      <c r="AC392" s="478" t="s">
        <v>2711</v>
      </c>
      <c r="AD392" s="67"/>
    </row>
    <row r="393" spans="2:43">
      <c r="B393" s="64" t="s">
        <v>113</v>
      </c>
      <c r="C393" s="65" t="s">
        <v>462</v>
      </c>
      <c r="D393" s="66">
        <v>6.13</v>
      </c>
      <c r="E393" s="67">
        <v>44443</v>
      </c>
      <c r="F393" s="64">
        <v>0</v>
      </c>
      <c r="G393" s="67">
        <v>44444</v>
      </c>
      <c r="H393" s="64">
        <v>0</v>
      </c>
      <c r="I393" s="67">
        <v>44454</v>
      </c>
      <c r="J393" s="64">
        <f t="shared" si="278"/>
        <v>0</v>
      </c>
      <c r="K393" s="67">
        <v>44468</v>
      </c>
      <c r="L393" s="64">
        <f t="shared" si="279"/>
        <v>0</v>
      </c>
      <c r="M393" s="64">
        <f t="shared" si="280"/>
        <v>0</v>
      </c>
      <c r="N393" s="67">
        <f t="shared" si="285"/>
        <v>44469</v>
      </c>
      <c r="O393" s="64">
        <f t="shared" si="281"/>
        <v>1</v>
      </c>
      <c r="P393" s="64">
        <f t="shared" si="282"/>
        <v>0</v>
      </c>
      <c r="Q393" s="91" t="str">
        <f t="shared" ref="Q393:Q456" si="286">IF(T393&gt;0,"Selesai","Proses")</f>
        <v>Selesai</v>
      </c>
      <c r="R393" s="64">
        <f t="shared" si="283"/>
        <v>0</v>
      </c>
      <c r="S393" s="67">
        <v>44477</v>
      </c>
      <c r="T393" s="67">
        <v>44488</v>
      </c>
      <c r="U393" s="64">
        <f t="shared" ref="U393:U456" si="287">IF(T393&gt;0,1,0)</f>
        <v>1</v>
      </c>
      <c r="V393" s="64"/>
      <c r="W393" s="64"/>
      <c r="X393" s="93"/>
      <c r="Y393" s="94"/>
      <c r="Z393" s="91" t="str">
        <f t="shared" si="277"/>
        <v>100%</v>
      </c>
      <c r="AA393" s="67"/>
      <c r="AB393" s="473"/>
      <c r="AC393" s="478" t="s">
        <v>2711</v>
      </c>
      <c r="AD393" s="67"/>
    </row>
    <row r="394" spans="2:43">
      <c r="B394" s="64" t="s">
        <v>105</v>
      </c>
      <c r="C394" s="65" t="s">
        <v>463</v>
      </c>
      <c r="D394" s="66">
        <v>6.81</v>
      </c>
      <c r="E394" s="67">
        <v>44404</v>
      </c>
      <c r="F394" s="64">
        <v>0</v>
      </c>
      <c r="G394" s="67">
        <v>44405</v>
      </c>
      <c r="H394" s="64">
        <v>0</v>
      </c>
      <c r="I394" s="67">
        <v>44418</v>
      </c>
      <c r="J394" s="64">
        <f t="shared" si="278"/>
        <v>0</v>
      </c>
      <c r="K394" s="67">
        <v>44412</v>
      </c>
      <c r="L394" s="64">
        <f t="shared" si="279"/>
        <v>0</v>
      </c>
      <c r="M394" s="64">
        <f t="shared" si="280"/>
        <v>0</v>
      </c>
      <c r="N394" s="67">
        <f t="shared" si="285"/>
        <v>44419</v>
      </c>
      <c r="O394" s="64">
        <f t="shared" si="281"/>
        <v>1</v>
      </c>
      <c r="P394" s="64">
        <f t="shared" si="282"/>
        <v>0</v>
      </c>
      <c r="Q394" s="91" t="str">
        <f t="shared" si="286"/>
        <v>Selesai</v>
      </c>
      <c r="R394" s="64">
        <f t="shared" si="283"/>
        <v>0</v>
      </c>
      <c r="S394" s="67">
        <v>44477</v>
      </c>
      <c r="T394" s="67">
        <v>44495</v>
      </c>
      <c r="U394" s="64">
        <f t="shared" si="287"/>
        <v>1</v>
      </c>
      <c r="V394" s="64"/>
      <c r="W394" s="64"/>
      <c r="X394" s="93"/>
      <c r="Y394" s="94"/>
      <c r="Z394" s="91" t="str">
        <f t="shared" ref="Z394:Z457" si="288">IF(T394="","","100%")</f>
        <v>100%</v>
      </c>
      <c r="AA394" s="67"/>
      <c r="AB394" s="473"/>
      <c r="AC394" s="478" t="s">
        <v>2711</v>
      </c>
      <c r="AD394" s="67"/>
    </row>
    <row r="395" spans="2:43">
      <c r="B395" s="64" t="s">
        <v>105</v>
      </c>
      <c r="C395" s="65" t="s">
        <v>464</v>
      </c>
      <c r="D395" s="66">
        <v>9.09</v>
      </c>
      <c r="E395" s="67">
        <v>44401</v>
      </c>
      <c r="F395" s="64">
        <v>0</v>
      </c>
      <c r="G395" s="67">
        <v>44402</v>
      </c>
      <c r="H395" s="64">
        <v>0</v>
      </c>
      <c r="I395" s="67">
        <v>44424</v>
      </c>
      <c r="J395" s="64">
        <f t="shared" si="278"/>
        <v>0</v>
      </c>
      <c r="K395" s="67">
        <v>44412</v>
      </c>
      <c r="L395" s="64">
        <f t="shared" si="279"/>
        <v>0</v>
      </c>
      <c r="M395" s="64">
        <f t="shared" si="280"/>
        <v>0</v>
      </c>
      <c r="N395" s="67">
        <f t="shared" si="285"/>
        <v>44425</v>
      </c>
      <c r="O395" s="64">
        <f t="shared" si="281"/>
        <v>1</v>
      </c>
      <c r="P395" s="64">
        <f t="shared" si="282"/>
        <v>0</v>
      </c>
      <c r="Q395" s="91" t="str">
        <f t="shared" si="286"/>
        <v>Selesai</v>
      </c>
      <c r="R395" s="64">
        <f t="shared" si="283"/>
        <v>0</v>
      </c>
      <c r="S395" s="67">
        <v>44481</v>
      </c>
      <c r="T395" s="67">
        <v>44499</v>
      </c>
      <c r="U395" s="64">
        <f t="shared" si="287"/>
        <v>1</v>
      </c>
      <c r="V395" s="64"/>
      <c r="W395" s="64"/>
      <c r="X395" s="93"/>
      <c r="Y395" s="94"/>
      <c r="Z395" s="91" t="str">
        <f t="shared" si="288"/>
        <v>100%</v>
      </c>
      <c r="AA395" s="67"/>
      <c r="AB395" s="473"/>
      <c r="AC395" s="478" t="s">
        <v>2711</v>
      </c>
      <c r="AD395" s="67"/>
    </row>
    <row r="396" spans="2:43">
      <c r="B396" s="64" t="s">
        <v>107</v>
      </c>
      <c r="C396" s="65" t="s">
        <v>465</v>
      </c>
      <c r="D396" s="66">
        <v>11.63</v>
      </c>
      <c r="E396" s="67">
        <v>44449</v>
      </c>
      <c r="F396" s="64">
        <v>0</v>
      </c>
      <c r="G396" s="67">
        <v>44459</v>
      </c>
      <c r="H396" s="64">
        <v>0</v>
      </c>
      <c r="I396" s="67">
        <v>44471</v>
      </c>
      <c r="J396" s="64">
        <f t="shared" si="278"/>
        <v>0</v>
      </c>
      <c r="K396" s="67">
        <v>44475</v>
      </c>
      <c r="L396" s="64">
        <f t="shared" si="279"/>
        <v>0</v>
      </c>
      <c r="M396" s="64">
        <f t="shared" si="280"/>
        <v>0</v>
      </c>
      <c r="N396" s="67">
        <f t="shared" si="285"/>
        <v>44476</v>
      </c>
      <c r="O396" s="64">
        <f t="shared" si="281"/>
        <v>1</v>
      </c>
      <c r="P396" s="64">
        <f t="shared" si="282"/>
        <v>0</v>
      </c>
      <c r="Q396" s="91" t="str">
        <f t="shared" si="286"/>
        <v>Selesai</v>
      </c>
      <c r="R396" s="64">
        <f t="shared" si="283"/>
        <v>0</v>
      </c>
      <c r="S396" s="67">
        <v>44477</v>
      </c>
      <c r="T396" s="67">
        <v>44503</v>
      </c>
      <c r="U396" s="64">
        <f t="shared" si="287"/>
        <v>1</v>
      </c>
      <c r="V396" s="64"/>
      <c r="W396" s="64"/>
      <c r="X396" s="93"/>
      <c r="Y396" s="94"/>
      <c r="Z396" s="91" t="str">
        <f t="shared" si="288"/>
        <v>100%</v>
      </c>
      <c r="AA396" s="67"/>
      <c r="AB396" s="473"/>
      <c r="AC396" s="478" t="s">
        <v>2711</v>
      </c>
      <c r="AD396" s="67"/>
      <c r="AQ396" s="101"/>
    </row>
    <row r="397" spans="2:43">
      <c r="B397" s="64" t="s">
        <v>109</v>
      </c>
      <c r="C397" s="65" t="s">
        <v>466</v>
      </c>
      <c r="D397" s="66">
        <v>10.52</v>
      </c>
      <c r="E397" s="67">
        <v>44448</v>
      </c>
      <c r="F397" s="64">
        <v>0</v>
      </c>
      <c r="G397" s="67">
        <v>44458</v>
      </c>
      <c r="H397" s="64">
        <v>0</v>
      </c>
      <c r="I397" s="67">
        <v>44475</v>
      </c>
      <c r="J397" s="64">
        <f t="shared" si="278"/>
        <v>0</v>
      </c>
      <c r="K397" s="67">
        <v>44470</v>
      </c>
      <c r="L397" s="64">
        <f t="shared" si="279"/>
        <v>0</v>
      </c>
      <c r="M397" s="64">
        <f t="shared" si="280"/>
        <v>0</v>
      </c>
      <c r="N397" s="67">
        <f t="shared" si="285"/>
        <v>44476</v>
      </c>
      <c r="O397" s="64">
        <f t="shared" si="281"/>
        <v>1</v>
      </c>
      <c r="P397" s="64">
        <f t="shared" si="282"/>
        <v>0</v>
      </c>
      <c r="Q397" s="91" t="str">
        <f t="shared" si="286"/>
        <v>Selesai</v>
      </c>
      <c r="R397" s="64">
        <f t="shared" si="283"/>
        <v>0</v>
      </c>
      <c r="S397" s="67">
        <v>44482</v>
      </c>
      <c r="T397" s="67">
        <v>44503</v>
      </c>
      <c r="U397" s="64">
        <f t="shared" si="287"/>
        <v>1</v>
      </c>
      <c r="V397" s="64"/>
      <c r="W397" s="64"/>
      <c r="X397" s="93"/>
      <c r="Y397" s="94"/>
      <c r="Z397" s="91" t="str">
        <f t="shared" si="288"/>
        <v>100%</v>
      </c>
      <c r="AA397" s="67"/>
      <c r="AB397" s="473"/>
      <c r="AC397" s="478" t="s">
        <v>2711</v>
      </c>
      <c r="AD397" s="67"/>
      <c r="AQ397" s="101"/>
    </row>
    <row r="398" spans="2:43">
      <c r="B398" s="64" t="s">
        <v>109</v>
      </c>
      <c r="C398" s="65" t="s">
        <v>467</v>
      </c>
      <c r="D398" s="66">
        <v>5.1100000000000003</v>
      </c>
      <c r="E398" s="67">
        <v>44426</v>
      </c>
      <c r="F398" s="64">
        <v>0</v>
      </c>
      <c r="G398" s="67">
        <v>44434</v>
      </c>
      <c r="H398" s="64">
        <v>0</v>
      </c>
      <c r="I398" s="67">
        <v>44441</v>
      </c>
      <c r="J398" s="64">
        <f t="shared" si="278"/>
        <v>0</v>
      </c>
      <c r="K398" s="67">
        <v>44460</v>
      </c>
      <c r="L398" s="64">
        <f t="shared" si="279"/>
        <v>0</v>
      </c>
      <c r="M398" s="64">
        <f t="shared" si="280"/>
        <v>0</v>
      </c>
      <c r="N398" s="67">
        <f t="shared" si="285"/>
        <v>44461</v>
      </c>
      <c r="O398" s="64">
        <f t="shared" si="281"/>
        <v>1</v>
      </c>
      <c r="P398" s="64">
        <f t="shared" si="282"/>
        <v>0</v>
      </c>
      <c r="Q398" s="91" t="str">
        <f t="shared" si="286"/>
        <v>Selesai</v>
      </c>
      <c r="R398" s="64">
        <f t="shared" si="283"/>
        <v>0</v>
      </c>
      <c r="S398" s="67">
        <v>44503</v>
      </c>
      <c r="T398" s="67">
        <v>44515</v>
      </c>
      <c r="U398" s="64">
        <f t="shared" si="287"/>
        <v>1</v>
      </c>
      <c r="V398" s="64"/>
      <c r="W398" s="64"/>
      <c r="X398" s="93"/>
      <c r="Y398" s="94"/>
      <c r="Z398" s="91" t="str">
        <f t="shared" si="288"/>
        <v>100%</v>
      </c>
      <c r="AA398" s="67"/>
      <c r="AB398" s="473"/>
      <c r="AC398" s="478" t="s">
        <v>2711</v>
      </c>
      <c r="AD398" s="67"/>
      <c r="AQ398" s="101"/>
    </row>
    <row r="399" spans="2:43">
      <c r="B399" s="64" t="s">
        <v>109</v>
      </c>
      <c r="C399" s="65" t="s">
        <v>468</v>
      </c>
      <c r="D399" s="66">
        <v>7.1</v>
      </c>
      <c r="E399" s="67">
        <v>44393</v>
      </c>
      <c r="F399" s="64">
        <v>0</v>
      </c>
      <c r="G399" s="67">
        <v>44394</v>
      </c>
      <c r="H399" s="64">
        <v>0</v>
      </c>
      <c r="I399" s="67">
        <v>44402</v>
      </c>
      <c r="J399" s="64">
        <f t="shared" si="278"/>
        <v>0</v>
      </c>
      <c r="K399" s="67">
        <v>44412</v>
      </c>
      <c r="L399" s="64">
        <f t="shared" si="279"/>
        <v>0</v>
      </c>
      <c r="M399" s="64">
        <f t="shared" si="280"/>
        <v>0</v>
      </c>
      <c r="N399" s="67">
        <f t="shared" si="285"/>
        <v>44413</v>
      </c>
      <c r="O399" s="64">
        <f t="shared" si="281"/>
        <v>1</v>
      </c>
      <c r="P399" s="64">
        <f t="shared" si="282"/>
        <v>0</v>
      </c>
      <c r="Q399" s="91" t="str">
        <f t="shared" si="286"/>
        <v>Selesai</v>
      </c>
      <c r="R399" s="64">
        <f t="shared" si="283"/>
        <v>0</v>
      </c>
      <c r="S399" s="67">
        <v>44487</v>
      </c>
      <c r="T399" s="67">
        <v>44520</v>
      </c>
      <c r="U399" s="64">
        <f t="shared" si="287"/>
        <v>1</v>
      </c>
      <c r="V399" s="64"/>
      <c r="W399" s="64"/>
      <c r="X399" s="93"/>
      <c r="Y399" s="94"/>
      <c r="Z399" s="91" t="str">
        <f t="shared" si="288"/>
        <v>100%</v>
      </c>
      <c r="AA399" s="67"/>
      <c r="AB399" s="473"/>
      <c r="AC399" s="478" t="s">
        <v>2711</v>
      </c>
      <c r="AD399" s="67"/>
      <c r="AQ399" s="101"/>
    </row>
    <row r="400" spans="2:43">
      <c r="B400" s="64" t="s">
        <v>109</v>
      </c>
      <c r="C400" s="65" t="s">
        <v>469</v>
      </c>
      <c r="D400" s="66">
        <v>3.92</v>
      </c>
      <c r="E400" s="67">
        <v>44426</v>
      </c>
      <c r="F400" s="64">
        <v>0</v>
      </c>
      <c r="G400" s="67">
        <v>44434</v>
      </c>
      <c r="H400" s="64">
        <v>0</v>
      </c>
      <c r="I400" s="67">
        <v>44438</v>
      </c>
      <c r="J400" s="64">
        <f t="shared" ref="J400:J463" si="289">IF(I400&gt;0,0,1)</f>
        <v>0</v>
      </c>
      <c r="K400" s="67">
        <v>44457</v>
      </c>
      <c r="L400" s="64">
        <f t="shared" ref="L400:L463" si="290">IF(K400&gt;0,0,1)</f>
        <v>0</v>
      </c>
      <c r="M400" s="64">
        <f t="shared" ref="M400:M463" si="291">IF(AND(J400&gt;0,L400&gt;0),1,0)</f>
        <v>0</v>
      </c>
      <c r="N400" s="67">
        <f t="shared" si="285"/>
        <v>44458</v>
      </c>
      <c r="O400" s="64">
        <f t="shared" ref="O400:O463" si="292">IF(N400&gt;0,1,0)</f>
        <v>1</v>
      </c>
      <c r="P400" s="64">
        <f t="shared" ref="P400:P463" si="293">IF(O400&gt;0,0,1)</f>
        <v>0</v>
      </c>
      <c r="Q400" s="91" t="str">
        <f t="shared" si="286"/>
        <v>Selesai</v>
      </c>
      <c r="R400" s="64">
        <f t="shared" ref="R400:R463" si="294">IF(Q400="proses",1,0)</f>
        <v>0</v>
      </c>
      <c r="S400" s="67">
        <v>44507</v>
      </c>
      <c r="T400" s="67">
        <v>44520</v>
      </c>
      <c r="U400" s="64">
        <f t="shared" si="287"/>
        <v>1</v>
      </c>
      <c r="V400" s="64"/>
      <c r="W400" s="64"/>
      <c r="X400" s="93"/>
      <c r="Y400" s="94"/>
      <c r="Z400" s="91" t="str">
        <f t="shared" si="288"/>
        <v>100%</v>
      </c>
      <c r="AA400" s="67"/>
      <c r="AB400" s="473"/>
      <c r="AC400" s="478" t="s">
        <v>2711</v>
      </c>
      <c r="AD400" s="67"/>
      <c r="AQ400" s="101"/>
    </row>
    <row r="401" spans="2:30">
      <c r="B401" s="64" t="s">
        <v>105</v>
      </c>
      <c r="C401" s="65" t="s">
        <v>470</v>
      </c>
      <c r="D401" s="66">
        <v>9.4600000000000009</v>
      </c>
      <c r="E401" s="67">
        <v>44450</v>
      </c>
      <c r="F401" s="64">
        <v>0</v>
      </c>
      <c r="G401" s="67">
        <v>44456</v>
      </c>
      <c r="H401" s="64">
        <v>0</v>
      </c>
      <c r="I401" s="67">
        <v>44478</v>
      </c>
      <c r="J401" s="64">
        <f t="shared" si="289"/>
        <v>0</v>
      </c>
      <c r="K401" s="67">
        <v>44478</v>
      </c>
      <c r="L401" s="64">
        <f t="shared" si="290"/>
        <v>0</v>
      </c>
      <c r="M401" s="64">
        <f t="shared" si="291"/>
        <v>0</v>
      </c>
      <c r="N401" s="67">
        <f t="shared" si="285"/>
        <v>44479</v>
      </c>
      <c r="O401" s="64">
        <f t="shared" si="292"/>
        <v>1</v>
      </c>
      <c r="P401" s="64">
        <f t="shared" si="293"/>
        <v>0</v>
      </c>
      <c r="Q401" s="91" t="str">
        <f t="shared" si="286"/>
        <v>Selesai</v>
      </c>
      <c r="R401" s="64">
        <f t="shared" si="294"/>
        <v>0</v>
      </c>
      <c r="S401" s="67">
        <v>44488</v>
      </c>
      <c r="T401" s="67">
        <v>44520</v>
      </c>
      <c r="U401" s="64">
        <f t="shared" si="287"/>
        <v>1</v>
      </c>
      <c r="V401" s="64"/>
      <c r="W401" s="64"/>
      <c r="X401" s="93"/>
      <c r="Y401" s="94"/>
      <c r="Z401" s="91" t="str">
        <f t="shared" si="288"/>
        <v>100%</v>
      </c>
      <c r="AA401" s="67"/>
      <c r="AB401" s="473"/>
      <c r="AC401" s="478" t="s">
        <v>2711</v>
      </c>
      <c r="AD401" s="67"/>
    </row>
    <row r="402" spans="2:30">
      <c r="B402" s="64" t="s">
        <v>113</v>
      </c>
      <c r="C402" s="65" t="s">
        <v>471</v>
      </c>
      <c r="D402" s="66">
        <v>7.03</v>
      </c>
      <c r="E402" s="67">
        <v>44476</v>
      </c>
      <c r="F402" s="64">
        <v>0</v>
      </c>
      <c r="G402" s="67">
        <v>44480</v>
      </c>
      <c r="H402" s="64">
        <v>0</v>
      </c>
      <c r="I402" s="67">
        <v>44488</v>
      </c>
      <c r="J402" s="64">
        <f t="shared" si="289"/>
        <v>0</v>
      </c>
      <c r="K402" s="67">
        <v>44504</v>
      </c>
      <c r="L402" s="64">
        <f t="shared" si="290"/>
        <v>0</v>
      </c>
      <c r="M402" s="64">
        <f t="shared" si="291"/>
        <v>0</v>
      </c>
      <c r="N402" s="67">
        <f t="shared" si="285"/>
        <v>44505</v>
      </c>
      <c r="O402" s="64">
        <f t="shared" si="292"/>
        <v>1</v>
      </c>
      <c r="P402" s="64">
        <f t="shared" si="293"/>
        <v>0</v>
      </c>
      <c r="Q402" s="91" t="str">
        <f t="shared" si="286"/>
        <v>Selesai</v>
      </c>
      <c r="R402" s="64">
        <f t="shared" si="294"/>
        <v>0</v>
      </c>
      <c r="S402" s="67">
        <v>44505</v>
      </c>
      <c r="T402" s="67">
        <v>44522</v>
      </c>
      <c r="U402" s="64">
        <f t="shared" si="287"/>
        <v>1</v>
      </c>
      <c r="V402" s="64"/>
      <c r="W402" s="64"/>
      <c r="X402" s="93"/>
      <c r="Y402" s="94"/>
      <c r="Z402" s="91" t="str">
        <f t="shared" si="288"/>
        <v>100%</v>
      </c>
      <c r="AA402" s="67"/>
      <c r="AB402" s="473"/>
      <c r="AC402" s="478" t="s">
        <v>2711</v>
      </c>
      <c r="AD402" s="67"/>
    </row>
    <row r="403" spans="2:30">
      <c r="B403" s="64" t="s">
        <v>109</v>
      </c>
      <c r="C403" s="65" t="s">
        <v>472</v>
      </c>
      <c r="D403" s="66">
        <v>14.38</v>
      </c>
      <c r="E403" s="67">
        <v>44448</v>
      </c>
      <c r="F403" s="64">
        <v>0</v>
      </c>
      <c r="G403" s="67">
        <v>44454</v>
      </c>
      <c r="H403" s="64">
        <v>0</v>
      </c>
      <c r="I403" s="67">
        <v>44462</v>
      </c>
      <c r="J403" s="64">
        <f t="shared" si="289"/>
        <v>0</v>
      </c>
      <c r="K403" s="67">
        <v>44473</v>
      </c>
      <c r="L403" s="64">
        <f t="shared" si="290"/>
        <v>0</v>
      </c>
      <c r="M403" s="64">
        <f t="shared" si="291"/>
        <v>0</v>
      </c>
      <c r="N403" s="67">
        <f t="shared" si="285"/>
        <v>44474</v>
      </c>
      <c r="O403" s="64">
        <f t="shared" si="292"/>
        <v>1</v>
      </c>
      <c r="P403" s="64">
        <f t="shared" si="293"/>
        <v>0</v>
      </c>
      <c r="Q403" s="91" t="str">
        <f t="shared" si="286"/>
        <v>Selesai</v>
      </c>
      <c r="R403" s="64">
        <f t="shared" si="294"/>
        <v>0</v>
      </c>
      <c r="S403" s="67">
        <v>44487</v>
      </c>
      <c r="T403" s="67">
        <v>44522</v>
      </c>
      <c r="U403" s="64">
        <f t="shared" si="287"/>
        <v>1</v>
      </c>
      <c r="V403" s="64"/>
      <c r="W403" s="64"/>
      <c r="X403" s="93"/>
      <c r="Y403" s="94"/>
      <c r="Z403" s="91" t="str">
        <f t="shared" si="288"/>
        <v>100%</v>
      </c>
      <c r="AA403" s="67"/>
      <c r="AB403" s="473"/>
      <c r="AC403" s="478" t="s">
        <v>2711</v>
      </c>
      <c r="AD403" s="67"/>
    </row>
    <row r="404" spans="2:30">
      <c r="B404" s="64" t="s">
        <v>113</v>
      </c>
      <c r="C404" s="65" t="s">
        <v>473</v>
      </c>
      <c r="D404" s="66">
        <v>10.06</v>
      </c>
      <c r="E404" s="67">
        <v>44475</v>
      </c>
      <c r="F404" s="64">
        <v>0</v>
      </c>
      <c r="G404" s="67">
        <v>44478</v>
      </c>
      <c r="H404" s="64">
        <v>0</v>
      </c>
      <c r="I404" s="67">
        <v>44486</v>
      </c>
      <c r="J404" s="64">
        <f t="shared" si="289"/>
        <v>0</v>
      </c>
      <c r="K404" s="67">
        <v>44492</v>
      </c>
      <c r="L404" s="64">
        <f t="shared" si="290"/>
        <v>0</v>
      </c>
      <c r="M404" s="64">
        <f t="shared" si="291"/>
        <v>0</v>
      </c>
      <c r="N404" s="67">
        <f t="shared" si="285"/>
        <v>44493</v>
      </c>
      <c r="O404" s="64">
        <f t="shared" si="292"/>
        <v>1</v>
      </c>
      <c r="P404" s="64">
        <f t="shared" si="293"/>
        <v>0</v>
      </c>
      <c r="Q404" s="91" t="str">
        <f t="shared" si="286"/>
        <v>Selesai</v>
      </c>
      <c r="R404" s="64">
        <f t="shared" si="294"/>
        <v>0</v>
      </c>
      <c r="S404" s="67">
        <v>44494</v>
      </c>
      <c r="T404" s="67">
        <v>44522</v>
      </c>
      <c r="U404" s="64">
        <f t="shared" si="287"/>
        <v>1</v>
      </c>
      <c r="V404" s="64"/>
      <c r="W404" s="64"/>
      <c r="X404" s="93"/>
      <c r="Y404" s="94"/>
      <c r="Z404" s="91" t="str">
        <f t="shared" si="288"/>
        <v>100%</v>
      </c>
      <c r="AA404" s="67"/>
      <c r="AB404" s="473"/>
      <c r="AC404" s="478" t="s">
        <v>2711</v>
      </c>
      <c r="AD404" s="67"/>
    </row>
    <row r="405" spans="2:30">
      <c r="B405" s="64" t="s">
        <v>105</v>
      </c>
      <c r="C405" s="65" t="s">
        <v>474</v>
      </c>
      <c r="D405" s="66">
        <v>6.6</v>
      </c>
      <c r="E405" s="67">
        <v>44450</v>
      </c>
      <c r="F405" s="64">
        <v>0</v>
      </c>
      <c r="G405" s="67">
        <v>44455</v>
      </c>
      <c r="H405" s="64">
        <v>0</v>
      </c>
      <c r="I405" s="67">
        <v>44468</v>
      </c>
      <c r="J405" s="64">
        <f t="shared" si="289"/>
        <v>0</v>
      </c>
      <c r="K405" s="67">
        <v>44474</v>
      </c>
      <c r="L405" s="64">
        <f t="shared" si="290"/>
        <v>0</v>
      </c>
      <c r="M405" s="64">
        <f t="shared" si="291"/>
        <v>0</v>
      </c>
      <c r="N405" s="67">
        <f t="shared" si="285"/>
        <v>44475</v>
      </c>
      <c r="O405" s="64">
        <f t="shared" si="292"/>
        <v>1</v>
      </c>
      <c r="P405" s="64">
        <f t="shared" si="293"/>
        <v>0</v>
      </c>
      <c r="Q405" s="91" t="str">
        <f t="shared" si="286"/>
        <v>Selesai</v>
      </c>
      <c r="R405" s="64">
        <f t="shared" si="294"/>
        <v>0</v>
      </c>
      <c r="S405" s="67">
        <v>44513</v>
      </c>
      <c r="T405" s="67">
        <v>44527</v>
      </c>
      <c r="U405" s="64">
        <f t="shared" si="287"/>
        <v>1</v>
      </c>
      <c r="V405" s="64"/>
      <c r="W405" s="64"/>
      <c r="X405" s="93"/>
      <c r="Y405" s="94"/>
      <c r="Z405" s="91" t="str">
        <f t="shared" si="288"/>
        <v>100%</v>
      </c>
      <c r="AA405" s="67"/>
      <c r="AB405" s="473"/>
      <c r="AC405" s="478" t="s">
        <v>2711</v>
      </c>
      <c r="AD405" s="67"/>
    </row>
    <row r="406" spans="2:30">
      <c r="B406" s="64" t="s">
        <v>113</v>
      </c>
      <c r="C406" s="65" t="s">
        <v>475</v>
      </c>
      <c r="D406" s="66">
        <v>7.25</v>
      </c>
      <c r="E406" s="67">
        <v>44476</v>
      </c>
      <c r="F406" s="64">
        <v>0</v>
      </c>
      <c r="G406" s="67">
        <v>44478</v>
      </c>
      <c r="H406" s="64">
        <v>0</v>
      </c>
      <c r="I406" s="67">
        <v>44488</v>
      </c>
      <c r="J406" s="64">
        <f t="shared" si="289"/>
        <v>0</v>
      </c>
      <c r="K406" s="67">
        <v>44504</v>
      </c>
      <c r="L406" s="64">
        <f t="shared" si="290"/>
        <v>0</v>
      </c>
      <c r="M406" s="64">
        <f t="shared" si="291"/>
        <v>0</v>
      </c>
      <c r="N406" s="67">
        <f t="shared" si="285"/>
        <v>44505</v>
      </c>
      <c r="O406" s="64">
        <f t="shared" si="292"/>
        <v>1</v>
      </c>
      <c r="P406" s="64">
        <f t="shared" si="293"/>
        <v>0</v>
      </c>
      <c r="Q406" s="91" t="str">
        <f t="shared" si="286"/>
        <v>Selesai</v>
      </c>
      <c r="R406" s="64">
        <f t="shared" si="294"/>
        <v>0</v>
      </c>
      <c r="S406" s="67">
        <v>44516</v>
      </c>
      <c r="T406" s="67">
        <v>44530</v>
      </c>
      <c r="U406" s="64">
        <f t="shared" si="287"/>
        <v>1</v>
      </c>
      <c r="V406" s="64"/>
      <c r="W406" s="64"/>
      <c r="X406" s="93"/>
      <c r="Y406" s="94"/>
      <c r="Z406" s="91" t="str">
        <f t="shared" si="288"/>
        <v>100%</v>
      </c>
      <c r="AA406" s="67"/>
      <c r="AB406" s="473"/>
      <c r="AC406" s="478" t="s">
        <v>2711</v>
      </c>
      <c r="AD406" s="67"/>
    </row>
    <row r="407" spans="2:30">
      <c r="B407" s="64" t="s">
        <v>109</v>
      </c>
      <c r="C407" s="65" t="s">
        <v>476</v>
      </c>
      <c r="D407" s="66">
        <v>5.26</v>
      </c>
      <c r="E407" s="67">
        <v>44435</v>
      </c>
      <c r="F407" s="64">
        <v>0</v>
      </c>
      <c r="G407" s="67">
        <v>44441</v>
      </c>
      <c r="H407" s="64">
        <v>0</v>
      </c>
      <c r="I407" s="67">
        <v>44455</v>
      </c>
      <c r="J407" s="64">
        <f t="shared" si="289"/>
        <v>0</v>
      </c>
      <c r="K407" s="67">
        <v>44467</v>
      </c>
      <c r="L407" s="64">
        <f t="shared" si="290"/>
        <v>0</v>
      </c>
      <c r="M407" s="64">
        <f t="shared" si="291"/>
        <v>0</v>
      </c>
      <c r="N407" s="67">
        <f t="shared" si="285"/>
        <v>44468</v>
      </c>
      <c r="O407" s="64">
        <f t="shared" si="292"/>
        <v>1</v>
      </c>
      <c r="P407" s="64">
        <f t="shared" si="293"/>
        <v>0</v>
      </c>
      <c r="Q407" s="91" t="str">
        <f t="shared" si="286"/>
        <v>Selesai</v>
      </c>
      <c r="R407" s="64">
        <f t="shared" si="294"/>
        <v>0</v>
      </c>
      <c r="S407" s="67">
        <v>44487</v>
      </c>
      <c r="T407" s="67">
        <v>44530</v>
      </c>
      <c r="U407" s="64">
        <f t="shared" si="287"/>
        <v>1</v>
      </c>
      <c r="V407" s="64"/>
      <c r="W407" s="64"/>
      <c r="X407" s="93"/>
      <c r="Y407" s="94"/>
      <c r="Z407" s="91" t="str">
        <f t="shared" si="288"/>
        <v>100%</v>
      </c>
      <c r="AA407" s="67"/>
      <c r="AB407" s="473"/>
      <c r="AC407" s="478" t="s">
        <v>2711</v>
      </c>
      <c r="AD407" s="67"/>
    </row>
    <row r="408" spans="2:30">
      <c r="B408" s="64" t="s">
        <v>109</v>
      </c>
      <c r="C408" s="65" t="s">
        <v>477</v>
      </c>
      <c r="D408" s="66">
        <v>6.05</v>
      </c>
      <c r="E408" s="67">
        <v>44457</v>
      </c>
      <c r="F408" s="64">
        <v>0</v>
      </c>
      <c r="G408" s="67">
        <v>44460</v>
      </c>
      <c r="H408" s="64">
        <v>0</v>
      </c>
      <c r="I408" s="67">
        <v>44477</v>
      </c>
      <c r="J408" s="64">
        <f t="shared" si="289"/>
        <v>0</v>
      </c>
      <c r="K408" s="67">
        <v>44482</v>
      </c>
      <c r="L408" s="64">
        <f t="shared" si="290"/>
        <v>0</v>
      </c>
      <c r="M408" s="64">
        <f t="shared" si="291"/>
        <v>0</v>
      </c>
      <c r="N408" s="67">
        <f t="shared" si="285"/>
        <v>44483</v>
      </c>
      <c r="O408" s="64">
        <f t="shared" si="292"/>
        <v>1</v>
      </c>
      <c r="P408" s="64">
        <f t="shared" si="293"/>
        <v>0</v>
      </c>
      <c r="Q408" s="91" t="str">
        <f t="shared" si="286"/>
        <v>Selesai</v>
      </c>
      <c r="R408" s="64">
        <f t="shared" si="294"/>
        <v>0</v>
      </c>
      <c r="S408" s="67">
        <v>44508</v>
      </c>
      <c r="T408" s="67">
        <v>44530</v>
      </c>
      <c r="U408" s="64">
        <f t="shared" si="287"/>
        <v>1</v>
      </c>
      <c r="V408" s="64"/>
      <c r="W408" s="64"/>
      <c r="X408" s="93"/>
      <c r="Y408" s="94"/>
      <c r="Z408" s="91" t="str">
        <f t="shared" si="288"/>
        <v>100%</v>
      </c>
      <c r="AA408" s="67"/>
      <c r="AB408" s="473"/>
      <c r="AC408" s="478" t="s">
        <v>2711</v>
      </c>
      <c r="AD408" s="67"/>
    </row>
    <row r="409" spans="2:30">
      <c r="B409" s="64" t="s">
        <v>105</v>
      </c>
      <c r="C409" s="65" t="s">
        <v>478</v>
      </c>
      <c r="D409" s="66">
        <v>6.8</v>
      </c>
      <c r="E409" s="67">
        <v>44456</v>
      </c>
      <c r="F409" s="64">
        <v>0</v>
      </c>
      <c r="G409" s="67">
        <v>44460</v>
      </c>
      <c r="H409" s="64">
        <v>0</v>
      </c>
      <c r="I409" s="67">
        <v>44484</v>
      </c>
      <c r="J409" s="64">
        <f t="shared" si="289"/>
        <v>0</v>
      </c>
      <c r="K409" s="67">
        <v>44478</v>
      </c>
      <c r="L409" s="64">
        <f t="shared" si="290"/>
        <v>0</v>
      </c>
      <c r="M409" s="64">
        <f t="shared" si="291"/>
        <v>0</v>
      </c>
      <c r="N409" s="67">
        <f t="shared" si="285"/>
        <v>44485</v>
      </c>
      <c r="O409" s="64">
        <f t="shared" si="292"/>
        <v>1</v>
      </c>
      <c r="P409" s="64">
        <f t="shared" si="293"/>
        <v>0</v>
      </c>
      <c r="Q409" s="91" t="str">
        <f t="shared" si="286"/>
        <v>Selesai</v>
      </c>
      <c r="R409" s="64">
        <f t="shared" si="294"/>
        <v>0</v>
      </c>
      <c r="S409" s="67">
        <v>44517</v>
      </c>
      <c r="T409" s="67">
        <v>44530</v>
      </c>
      <c r="U409" s="64">
        <f t="shared" si="287"/>
        <v>1</v>
      </c>
      <c r="V409" s="64"/>
      <c r="W409" s="64"/>
      <c r="X409" s="93"/>
      <c r="Y409" s="94"/>
      <c r="Z409" s="91" t="str">
        <f t="shared" si="288"/>
        <v>100%</v>
      </c>
      <c r="AA409" s="67"/>
      <c r="AB409" s="473"/>
      <c r="AC409" s="478" t="s">
        <v>2711</v>
      </c>
      <c r="AD409" s="67"/>
    </row>
    <row r="410" spans="2:30">
      <c r="B410" s="64" t="s">
        <v>107</v>
      </c>
      <c r="C410" s="65" t="s">
        <v>479</v>
      </c>
      <c r="D410" s="66">
        <v>5.76</v>
      </c>
      <c r="E410" s="67">
        <v>44484</v>
      </c>
      <c r="F410" s="64">
        <v>0</v>
      </c>
      <c r="G410" s="67">
        <v>44490</v>
      </c>
      <c r="H410" s="64">
        <v>0</v>
      </c>
      <c r="I410" s="67">
        <v>44497</v>
      </c>
      <c r="J410" s="64">
        <f t="shared" si="289"/>
        <v>0</v>
      </c>
      <c r="K410" s="67">
        <v>44508</v>
      </c>
      <c r="L410" s="64">
        <f t="shared" si="290"/>
        <v>0</v>
      </c>
      <c r="M410" s="64">
        <f t="shared" si="291"/>
        <v>0</v>
      </c>
      <c r="N410" s="67">
        <f t="shared" si="285"/>
        <v>44509</v>
      </c>
      <c r="O410" s="64">
        <f t="shared" si="292"/>
        <v>1</v>
      </c>
      <c r="P410" s="64">
        <f t="shared" si="293"/>
        <v>0</v>
      </c>
      <c r="Q410" s="91" t="str">
        <f t="shared" si="286"/>
        <v>Selesai</v>
      </c>
      <c r="R410" s="64">
        <f t="shared" si="294"/>
        <v>0</v>
      </c>
      <c r="S410" s="67">
        <v>44511</v>
      </c>
      <c r="T410" s="67">
        <v>44532</v>
      </c>
      <c r="U410" s="64">
        <f t="shared" si="287"/>
        <v>1</v>
      </c>
      <c r="V410" s="64"/>
      <c r="W410" s="64"/>
      <c r="X410" s="93"/>
      <c r="Y410" s="94"/>
      <c r="Z410" s="91" t="str">
        <f t="shared" si="288"/>
        <v>100%</v>
      </c>
      <c r="AA410" s="67"/>
      <c r="AB410" s="473"/>
      <c r="AC410" s="478" t="s">
        <v>2711</v>
      </c>
      <c r="AD410" s="67"/>
    </row>
    <row r="411" spans="2:30">
      <c r="B411" s="64" t="s">
        <v>109</v>
      </c>
      <c r="C411" s="65" t="s">
        <v>480</v>
      </c>
      <c r="D411" s="66">
        <v>6.41</v>
      </c>
      <c r="E411" s="67">
        <v>44484</v>
      </c>
      <c r="F411" s="64">
        <v>0</v>
      </c>
      <c r="G411" s="67">
        <v>44487</v>
      </c>
      <c r="H411" s="64">
        <v>0</v>
      </c>
      <c r="I411" s="67">
        <v>44499</v>
      </c>
      <c r="J411" s="64">
        <f t="shared" si="289"/>
        <v>0</v>
      </c>
      <c r="K411" s="67">
        <v>44499</v>
      </c>
      <c r="L411" s="64">
        <f t="shared" si="290"/>
        <v>0</v>
      </c>
      <c r="M411" s="64">
        <f t="shared" si="291"/>
        <v>0</v>
      </c>
      <c r="N411" s="67">
        <f t="shared" si="285"/>
        <v>44500</v>
      </c>
      <c r="O411" s="64">
        <f t="shared" si="292"/>
        <v>1</v>
      </c>
      <c r="P411" s="64">
        <f t="shared" si="293"/>
        <v>0</v>
      </c>
      <c r="Q411" s="91" t="str">
        <f t="shared" si="286"/>
        <v>Selesai</v>
      </c>
      <c r="R411" s="64">
        <f t="shared" si="294"/>
        <v>0</v>
      </c>
      <c r="S411" s="67">
        <v>44520</v>
      </c>
      <c r="T411" s="67">
        <v>44536</v>
      </c>
      <c r="U411" s="64">
        <f t="shared" si="287"/>
        <v>1</v>
      </c>
      <c r="V411" s="64"/>
      <c r="W411" s="64"/>
      <c r="X411" s="93"/>
      <c r="Y411" s="94"/>
      <c r="Z411" s="91" t="str">
        <f t="shared" si="288"/>
        <v>100%</v>
      </c>
      <c r="AA411" s="67"/>
      <c r="AB411" s="473"/>
      <c r="AC411" s="478" t="s">
        <v>2711</v>
      </c>
      <c r="AD411" s="67"/>
    </row>
    <row r="412" spans="2:30">
      <c r="B412" s="64" t="s">
        <v>111</v>
      </c>
      <c r="C412" s="65" t="s">
        <v>481</v>
      </c>
      <c r="D412" s="66">
        <v>4.25</v>
      </c>
      <c r="E412" s="67">
        <v>44484</v>
      </c>
      <c r="F412" s="64">
        <v>0</v>
      </c>
      <c r="G412" s="67">
        <v>44490</v>
      </c>
      <c r="H412" s="64">
        <v>0</v>
      </c>
      <c r="I412" s="67">
        <v>44495</v>
      </c>
      <c r="J412" s="64">
        <f t="shared" si="289"/>
        <v>0</v>
      </c>
      <c r="K412" s="67">
        <v>44517</v>
      </c>
      <c r="L412" s="64">
        <f t="shared" si="290"/>
        <v>0</v>
      </c>
      <c r="M412" s="64">
        <f t="shared" si="291"/>
        <v>0</v>
      </c>
      <c r="N412" s="67">
        <f t="shared" si="285"/>
        <v>44518</v>
      </c>
      <c r="O412" s="64">
        <f t="shared" si="292"/>
        <v>1</v>
      </c>
      <c r="P412" s="64">
        <f t="shared" si="293"/>
        <v>0</v>
      </c>
      <c r="Q412" s="91" t="str">
        <f t="shared" si="286"/>
        <v>Selesai</v>
      </c>
      <c r="R412" s="64">
        <f t="shared" si="294"/>
        <v>0</v>
      </c>
      <c r="S412" s="67">
        <v>44524</v>
      </c>
      <c r="T412" s="67">
        <v>44538</v>
      </c>
      <c r="U412" s="64">
        <f t="shared" si="287"/>
        <v>1</v>
      </c>
      <c r="V412" s="64"/>
      <c r="W412" s="64"/>
      <c r="X412" s="93"/>
      <c r="Y412" s="94"/>
      <c r="Z412" s="91" t="str">
        <f t="shared" si="288"/>
        <v>100%</v>
      </c>
      <c r="AA412" s="67"/>
      <c r="AB412" s="473"/>
      <c r="AC412" s="478" t="s">
        <v>2711</v>
      </c>
      <c r="AD412" s="67"/>
    </row>
    <row r="413" spans="2:30">
      <c r="B413" s="64" t="s">
        <v>107</v>
      </c>
      <c r="C413" s="65" t="s">
        <v>482</v>
      </c>
      <c r="D413" s="66">
        <v>3.98</v>
      </c>
      <c r="E413" s="67">
        <v>44484</v>
      </c>
      <c r="F413" s="64">
        <v>0</v>
      </c>
      <c r="G413" s="67">
        <v>44487</v>
      </c>
      <c r="H413" s="64">
        <v>0</v>
      </c>
      <c r="I413" s="67">
        <v>44514</v>
      </c>
      <c r="J413" s="64">
        <f t="shared" si="289"/>
        <v>0</v>
      </c>
      <c r="K413" s="67">
        <v>44509</v>
      </c>
      <c r="L413" s="64">
        <f t="shared" si="290"/>
        <v>0</v>
      </c>
      <c r="M413" s="64">
        <f t="shared" si="291"/>
        <v>0</v>
      </c>
      <c r="N413" s="67">
        <f t="shared" si="285"/>
        <v>44515</v>
      </c>
      <c r="O413" s="64">
        <f t="shared" si="292"/>
        <v>1</v>
      </c>
      <c r="P413" s="64">
        <f t="shared" si="293"/>
        <v>0</v>
      </c>
      <c r="Q413" s="91" t="str">
        <f t="shared" si="286"/>
        <v>Selesai</v>
      </c>
      <c r="R413" s="64">
        <f t="shared" si="294"/>
        <v>0</v>
      </c>
      <c r="S413" s="67">
        <v>44518</v>
      </c>
      <c r="T413" s="67">
        <v>44544</v>
      </c>
      <c r="U413" s="64">
        <f t="shared" si="287"/>
        <v>1</v>
      </c>
      <c r="V413" s="64"/>
      <c r="W413" s="64"/>
      <c r="X413" s="93"/>
      <c r="Y413" s="94"/>
      <c r="Z413" s="91" t="str">
        <f t="shared" si="288"/>
        <v>100%</v>
      </c>
      <c r="AA413" s="67"/>
      <c r="AB413" s="473"/>
      <c r="AC413" s="478" t="s">
        <v>2711</v>
      </c>
      <c r="AD413" s="67"/>
    </row>
    <row r="414" spans="2:30">
      <c r="B414" s="64" t="s">
        <v>105</v>
      </c>
      <c r="C414" s="65" t="s">
        <v>483</v>
      </c>
      <c r="D414" s="66">
        <v>8.9499999999999993</v>
      </c>
      <c r="E414" s="67">
        <v>44474</v>
      </c>
      <c r="F414" s="64">
        <v>0</v>
      </c>
      <c r="G414" s="67">
        <v>44477</v>
      </c>
      <c r="H414" s="64">
        <v>0</v>
      </c>
      <c r="I414" s="67">
        <v>44492</v>
      </c>
      <c r="J414" s="64">
        <f t="shared" si="289"/>
        <v>0</v>
      </c>
      <c r="K414" s="67">
        <v>44492</v>
      </c>
      <c r="L414" s="64">
        <f t="shared" si="290"/>
        <v>0</v>
      </c>
      <c r="M414" s="64">
        <f t="shared" si="291"/>
        <v>0</v>
      </c>
      <c r="N414" s="67">
        <f t="shared" si="285"/>
        <v>44493</v>
      </c>
      <c r="O414" s="64">
        <f t="shared" si="292"/>
        <v>1</v>
      </c>
      <c r="P414" s="64">
        <f t="shared" si="293"/>
        <v>0</v>
      </c>
      <c r="Q414" s="91" t="str">
        <f t="shared" si="286"/>
        <v>Selesai</v>
      </c>
      <c r="R414" s="64">
        <f t="shared" si="294"/>
        <v>0</v>
      </c>
      <c r="S414" s="67">
        <v>44516</v>
      </c>
      <c r="T414" s="67">
        <v>44549</v>
      </c>
      <c r="U414" s="64">
        <f t="shared" si="287"/>
        <v>1</v>
      </c>
      <c r="V414" s="64"/>
      <c r="W414" s="64"/>
      <c r="X414" s="93"/>
      <c r="Y414" s="94"/>
      <c r="Z414" s="91" t="str">
        <f t="shared" si="288"/>
        <v>100%</v>
      </c>
      <c r="AA414" s="67"/>
      <c r="AB414" s="473"/>
      <c r="AC414" s="478" t="s">
        <v>2711</v>
      </c>
      <c r="AD414" s="67"/>
    </row>
    <row r="415" spans="2:30">
      <c r="B415" s="64" t="s">
        <v>113</v>
      </c>
      <c r="C415" s="65" t="s">
        <v>484</v>
      </c>
      <c r="D415" s="66">
        <v>10.14</v>
      </c>
      <c r="E415" s="67">
        <v>44481</v>
      </c>
      <c r="F415" s="64">
        <v>0</v>
      </c>
      <c r="G415" s="67">
        <v>44487</v>
      </c>
      <c r="H415" s="64">
        <v>0</v>
      </c>
      <c r="I415" s="67">
        <v>44499</v>
      </c>
      <c r="J415" s="64">
        <f t="shared" si="289"/>
        <v>0</v>
      </c>
      <c r="K415" s="67">
        <v>44516</v>
      </c>
      <c r="L415" s="64">
        <f t="shared" si="290"/>
        <v>0</v>
      </c>
      <c r="M415" s="64">
        <f t="shared" si="291"/>
        <v>0</v>
      </c>
      <c r="N415" s="67">
        <f t="shared" si="285"/>
        <v>44517</v>
      </c>
      <c r="O415" s="64">
        <f t="shared" si="292"/>
        <v>1</v>
      </c>
      <c r="P415" s="64">
        <f t="shared" si="293"/>
        <v>0</v>
      </c>
      <c r="Q415" s="91" t="str">
        <f t="shared" si="286"/>
        <v>Selesai</v>
      </c>
      <c r="R415" s="64">
        <f t="shared" si="294"/>
        <v>0</v>
      </c>
      <c r="S415" s="67">
        <v>44518</v>
      </c>
      <c r="T415" s="67">
        <v>44552</v>
      </c>
      <c r="U415" s="64">
        <f t="shared" si="287"/>
        <v>1</v>
      </c>
      <c r="V415" s="64"/>
      <c r="W415" s="64"/>
      <c r="X415" s="93"/>
      <c r="Y415" s="94"/>
      <c r="Z415" s="91" t="str">
        <f t="shared" si="288"/>
        <v>100%</v>
      </c>
      <c r="AA415" s="67"/>
      <c r="AB415" s="473"/>
      <c r="AC415" s="478" t="s">
        <v>2711</v>
      </c>
      <c r="AD415" s="67"/>
    </row>
    <row r="416" spans="2:30">
      <c r="B416" s="64" t="s">
        <v>116</v>
      </c>
      <c r="C416" s="65" t="s">
        <v>485</v>
      </c>
      <c r="D416" s="66">
        <v>6.41</v>
      </c>
      <c r="E416" s="67">
        <v>44523</v>
      </c>
      <c r="F416" s="64">
        <v>0</v>
      </c>
      <c r="G416" s="67">
        <v>44525</v>
      </c>
      <c r="H416" s="64">
        <v>0</v>
      </c>
      <c r="I416" s="67">
        <v>44540</v>
      </c>
      <c r="J416" s="64">
        <f t="shared" si="289"/>
        <v>0</v>
      </c>
      <c r="K416" s="67">
        <v>44505</v>
      </c>
      <c r="L416" s="64">
        <f t="shared" si="290"/>
        <v>0</v>
      </c>
      <c r="M416" s="64">
        <f t="shared" si="291"/>
        <v>0</v>
      </c>
      <c r="N416" s="67">
        <f t="shared" si="285"/>
        <v>44541</v>
      </c>
      <c r="O416" s="64">
        <f t="shared" si="292"/>
        <v>1</v>
      </c>
      <c r="P416" s="64">
        <f t="shared" si="293"/>
        <v>0</v>
      </c>
      <c r="Q416" s="91" t="str">
        <f t="shared" si="286"/>
        <v>Selesai</v>
      </c>
      <c r="R416" s="64">
        <f t="shared" si="294"/>
        <v>0</v>
      </c>
      <c r="S416" s="67">
        <v>44532</v>
      </c>
      <c r="T416" s="67">
        <v>44553</v>
      </c>
      <c r="U416" s="64">
        <f t="shared" si="287"/>
        <v>1</v>
      </c>
      <c r="V416" s="64"/>
      <c r="W416" s="64"/>
      <c r="X416" s="93"/>
      <c r="Y416" s="94"/>
      <c r="Z416" s="91" t="str">
        <f t="shared" si="288"/>
        <v>100%</v>
      </c>
      <c r="AA416" s="67"/>
      <c r="AB416" s="473"/>
      <c r="AC416" s="478" t="s">
        <v>2711</v>
      </c>
      <c r="AD416" s="67"/>
    </row>
    <row r="417" spans="2:30">
      <c r="B417" s="64" t="s">
        <v>107</v>
      </c>
      <c r="C417" s="65" t="s">
        <v>486</v>
      </c>
      <c r="D417" s="66">
        <v>7.65</v>
      </c>
      <c r="E417" s="67">
        <v>44508</v>
      </c>
      <c r="F417" s="64">
        <v>0</v>
      </c>
      <c r="G417" s="67">
        <v>44512</v>
      </c>
      <c r="H417" s="64">
        <v>0</v>
      </c>
      <c r="I417" s="67">
        <v>44518</v>
      </c>
      <c r="J417" s="64">
        <f t="shared" si="289"/>
        <v>0</v>
      </c>
      <c r="K417" s="67">
        <v>44525</v>
      </c>
      <c r="L417" s="64">
        <f t="shared" si="290"/>
        <v>0</v>
      </c>
      <c r="M417" s="64">
        <f t="shared" si="291"/>
        <v>0</v>
      </c>
      <c r="N417" s="67">
        <f t="shared" si="285"/>
        <v>44526</v>
      </c>
      <c r="O417" s="64">
        <f t="shared" si="292"/>
        <v>1</v>
      </c>
      <c r="P417" s="64">
        <f t="shared" si="293"/>
        <v>0</v>
      </c>
      <c r="Q417" s="91" t="str">
        <f t="shared" si="286"/>
        <v>Selesai</v>
      </c>
      <c r="R417" s="64">
        <f t="shared" si="294"/>
        <v>0</v>
      </c>
      <c r="S417" s="67">
        <v>44526</v>
      </c>
      <c r="T417" s="67">
        <v>44561</v>
      </c>
      <c r="U417" s="64">
        <f t="shared" si="287"/>
        <v>1</v>
      </c>
      <c r="V417" s="64"/>
      <c r="W417" s="64"/>
      <c r="X417" s="93"/>
      <c r="Y417" s="94"/>
      <c r="Z417" s="91" t="str">
        <f t="shared" si="288"/>
        <v>100%</v>
      </c>
      <c r="AA417" s="67"/>
      <c r="AB417" s="473"/>
      <c r="AC417" s="478" t="s">
        <v>2711</v>
      </c>
      <c r="AD417" s="67"/>
    </row>
    <row r="418" spans="2:30">
      <c r="B418" s="64" t="s">
        <v>111</v>
      </c>
      <c r="C418" s="65" t="s">
        <v>487</v>
      </c>
      <c r="D418" s="66">
        <v>11.27</v>
      </c>
      <c r="E418" s="67">
        <v>44484</v>
      </c>
      <c r="F418" s="64">
        <v>0</v>
      </c>
      <c r="G418" s="67">
        <v>44490</v>
      </c>
      <c r="H418" s="64">
        <v>0</v>
      </c>
      <c r="I418" s="67">
        <v>44505</v>
      </c>
      <c r="J418" s="64">
        <f t="shared" si="289"/>
        <v>0</v>
      </c>
      <c r="K418" s="67">
        <v>44517</v>
      </c>
      <c r="L418" s="64">
        <f t="shared" si="290"/>
        <v>0</v>
      </c>
      <c r="M418" s="64">
        <f t="shared" si="291"/>
        <v>0</v>
      </c>
      <c r="N418" s="67">
        <f t="shared" si="285"/>
        <v>44518</v>
      </c>
      <c r="O418" s="64">
        <f t="shared" si="292"/>
        <v>1</v>
      </c>
      <c r="P418" s="64">
        <f t="shared" si="293"/>
        <v>0</v>
      </c>
      <c r="Q418" s="91" t="str">
        <f t="shared" si="286"/>
        <v>Selesai</v>
      </c>
      <c r="R418" s="64">
        <f t="shared" si="294"/>
        <v>0</v>
      </c>
      <c r="S418" s="67">
        <v>44542</v>
      </c>
      <c r="T418" s="67">
        <v>44565</v>
      </c>
      <c r="U418" s="64">
        <f t="shared" si="287"/>
        <v>1</v>
      </c>
      <c r="V418" s="64"/>
      <c r="W418" s="64"/>
      <c r="X418" s="93"/>
      <c r="Y418" s="94"/>
      <c r="Z418" s="91" t="str">
        <f t="shared" si="288"/>
        <v>100%</v>
      </c>
      <c r="AA418" s="67"/>
      <c r="AB418" s="473"/>
      <c r="AC418" s="478" t="s">
        <v>2711</v>
      </c>
      <c r="AD418" s="67"/>
    </row>
    <row r="419" spans="2:30">
      <c r="B419" s="64" t="s">
        <v>105</v>
      </c>
      <c r="C419" s="65" t="s">
        <v>488</v>
      </c>
      <c r="D419" s="66">
        <v>11.2</v>
      </c>
      <c r="E419" s="67">
        <v>44455</v>
      </c>
      <c r="F419" s="64">
        <v>0</v>
      </c>
      <c r="G419" s="67">
        <v>44459</v>
      </c>
      <c r="H419" s="64">
        <v>0</v>
      </c>
      <c r="I419" s="67">
        <v>44474</v>
      </c>
      <c r="J419" s="64">
        <f t="shared" si="289"/>
        <v>0</v>
      </c>
      <c r="K419" s="67">
        <v>44482</v>
      </c>
      <c r="L419" s="64">
        <f t="shared" si="290"/>
        <v>0</v>
      </c>
      <c r="M419" s="64">
        <f t="shared" si="291"/>
        <v>0</v>
      </c>
      <c r="N419" s="67">
        <f t="shared" si="285"/>
        <v>44483</v>
      </c>
      <c r="O419" s="64">
        <f t="shared" si="292"/>
        <v>1</v>
      </c>
      <c r="P419" s="64">
        <f t="shared" si="293"/>
        <v>0</v>
      </c>
      <c r="Q419" s="91" t="str">
        <f t="shared" si="286"/>
        <v>Selesai</v>
      </c>
      <c r="R419" s="64">
        <f t="shared" si="294"/>
        <v>0</v>
      </c>
      <c r="S419" s="67">
        <v>44529</v>
      </c>
      <c r="T419" s="67">
        <v>44569</v>
      </c>
      <c r="U419" s="64">
        <f t="shared" si="287"/>
        <v>1</v>
      </c>
      <c r="V419" s="64"/>
      <c r="W419" s="64"/>
      <c r="X419" s="93"/>
      <c r="Y419" s="94"/>
      <c r="Z419" s="91" t="str">
        <f t="shared" si="288"/>
        <v>100%</v>
      </c>
      <c r="AA419" s="67"/>
      <c r="AB419" s="473"/>
      <c r="AC419" s="478" t="s">
        <v>2711</v>
      </c>
      <c r="AD419" s="67"/>
    </row>
    <row r="420" spans="2:30">
      <c r="B420" s="64" t="s">
        <v>107</v>
      </c>
      <c r="C420" s="65" t="s">
        <v>489</v>
      </c>
      <c r="D420" s="66">
        <v>8.01</v>
      </c>
      <c r="E420" s="67">
        <v>44516</v>
      </c>
      <c r="F420" s="64">
        <v>0</v>
      </c>
      <c r="G420" s="67">
        <v>44522</v>
      </c>
      <c r="H420" s="64">
        <v>0</v>
      </c>
      <c r="I420" s="67">
        <v>44539</v>
      </c>
      <c r="J420" s="64">
        <f t="shared" si="289"/>
        <v>0</v>
      </c>
      <c r="K420" s="67">
        <v>44538</v>
      </c>
      <c r="L420" s="64">
        <f t="shared" si="290"/>
        <v>0</v>
      </c>
      <c r="M420" s="64">
        <f t="shared" si="291"/>
        <v>0</v>
      </c>
      <c r="N420" s="67">
        <f t="shared" si="285"/>
        <v>44540</v>
      </c>
      <c r="O420" s="64">
        <f t="shared" si="292"/>
        <v>1</v>
      </c>
      <c r="P420" s="64">
        <f t="shared" si="293"/>
        <v>0</v>
      </c>
      <c r="Q420" s="91" t="str">
        <f t="shared" si="286"/>
        <v>Selesai</v>
      </c>
      <c r="R420" s="64">
        <f t="shared" si="294"/>
        <v>0</v>
      </c>
      <c r="S420" s="67">
        <v>44540</v>
      </c>
      <c r="T420" s="67">
        <v>44573</v>
      </c>
      <c r="U420" s="64">
        <f t="shared" si="287"/>
        <v>1</v>
      </c>
      <c r="V420" s="64"/>
      <c r="W420" s="64"/>
      <c r="X420" s="93"/>
      <c r="Y420" s="94"/>
      <c r="Z420" s="91" t="str">
        <f t="shared" si="288"/>
        <v>100%</v>
      </c>
      <c r="AA420" s="67"/>
      <c r="AB420" s="473"/>
      <c r="AC420" s="478" t="s">
        <v>2711</v>
      </c>
      <c r="AD420" s="67"/>
    </row>
    <row r="421" spans="2:30">
      <c r="B421" s="64" t="s">
        <v>113</v>
      </c>
      <c r="C421" s="65" t="s">
        <v>490</v>
      </c>
      <c r="D421" s="66">
        <v>13.18</v>
      </c>
      <c r="E421" s="67">
        <v>44525</v>
      </c>
      <c r="F421" s="64">
        <v>0</v>
      </c>
      <c r="G421" s="67">
        <v>44529</v>
      </c>
      <c r="H421" s="64">
        <v>0</v>
      </c>
      <c r="I421" s="67">
        <v>44540</v>
      </c>
      <c r="J421" s="64">
        <f t="shared" si="289"/>
        <v>0</v>
      </c>
      <c r="K421" s="67">
        <v>44546</v>
      </c>
      <c r="L421" s="64">
        <f t="shared" si="290"/>
        <v>0</v>
      </c>
      <c r="M421" s="64">
        <f t="shared" si="291"/>
        <v>0</v>
      </c>
      <c r="N421" s="67">
        <f>IF(AND(I421&gt;0,K421&gt;0),MAX(I421:K421)+1,"")+6</f>
        <v>44553</v>
      </c>
      <c r="O421" s="64">
        <f t="shared" si="292"/>
        <v>1</v>
      </c>
      <c r="P421" s="64">
        <f t="shared" si="293"/>
        <v>0</v>
      </c>
      <c r="Q421" s="91" t="str">
        <f t="shared" si="286"/>
        <v>Selesai</v>
      </c>
      <c r="R421" s="64">
        <f t="shared" si="294"/>
        <v>0</v>
      </c>
      <c r="S421" s="67">
        <v>44549</v>
      </c>
      <c r="T421" s="67">
        <v>44574</v>
      </c>
      <c r="U421" s="64">
        <f t="shared" si="287"/>
        <v>1</v>
      </c>
      <c r="V421" s="64"/>
      <c r="W421" s="64"/>
      <c r="X421" s="93"/>
      <c r="Y421" s="94"/>
      <c r="Z421" s="91" t="str">
        <f t="shared" si="288"/>
        <v>100%</v>
      </c>
      <c r="AA421" s="67"/>
      <c r="AB421" s="473"/>
      <c r="AC421" s="478" t="s">
        <v>2711</v>
      </c>
      <c r="AD421" s="67"/>
    </row>
    <row r="422" spans="2:30">
      <c r="B422" s="64" t="s">
        <v>116</v>
      </c>
      <c r="C422" s="65" t="s">
        <v>491</v>
      </c>
      <c r="D422" s="66">
        <v>5.73</v>
      </c>
      <c r="E422" s="67">
        <v>44523</v>
      </c>
      <c r="F422" s="64">
        <v>0</v>
      </c>
      <c r="G422" s="67">
        <v>44524</v>
      </c>
      <c r="H422" s="64">
        <v>0</v>
      </c>
      <c r="I422" s="67">
        <v>44550</v>
      </c>
      <c r="J422" s="64">
        <f t="shared" si="289"/>
        <v>0</v>
      </c>
      <c r="K422" s="67">
        <v>44525</v>
      </c>
      <c r="L422" s="64">
        <f t="shared" si="290"/>
        <v>0</v>
      </c>
      <c r="M422" s="64">
        <f t="shared" si="291"/>
        <v>0</v>
      </c>
      <c r="N422" s="67">
        <f>IF(AND(I422&gt;0,K422&gt;0),MAX(I422:K422)+1,"")</f>
        <v>44551</v>
      </c>
      <c r="O422" s="64">
        <f t="shared" si="292"/>
        <v>1</v>
      </c>
      <c r="P422" s="64">
        <f t="shared" si="293"/>
        <v>0</v>
      </c>
      <c r="Q422" s="91" t="str">
        <f t="shared" si="286"/>
        <v>Selesai</v>
      </c>
      <c r="R422" s="64">
        <f t="shared" si="294"/>
        <v>0</v>
      </c>
      <c r="S422" s="67">
        <v>44560</v>
      </c>
      <c r="T422" s="67">
        <v>44574</v>
      </c>
      <c r="U422" s="64">
        <f t="shared" si="287"/>
        <v>1</v>
      </c>
      <c r="V422" s="64"/>
      <c r="W422" s="64"/>
      <c r="X422" s="93"/>
      <c r="Y422" s="94"/>
      <c r="Z422" s="91" t="str">
        <f t="shared" si="288"/>
        <v>100%</v>
      </c>
      <c r="AA422" s="67"/>
      <c r="AB422" s="473"/>
      <c r="AC422" s="478" t="s">
        <v>2711</v>
      </c>
      <c r="AD422" s="67"/>
    </row>
    <row r="423" spans="2:30">
      <c r="B423" s="64" t="s">
        <v>113</v>
      </c>
      <c r="C423" s="65" t="s">
        <v>492</v>
      </c>
      <c r="D423" s="66">
        <v>9.2100000000000009</v>
      </c>
      <c r="E423" s="67">
        <v>44518</v>
      </c>
      <c r="F423" s="64">
        <v>0</v>
      </c>
      <c r="G423" s="67">
        <v>44522</v>
      </c>
      <c r="H423" s="64">
        <v>0</v>
      </c>
      <c r="I423" s="67">
        <v>44527</v>
      </c>
      <c r="J423" s="64">
        <f t="shared" si="289"/>
        <v>0</v>
      </c>
      <c r="K423" s="67">
        <v>44533</v>
      </c>
      <c r="L423" s="64">
        <f t="shared" si="290"/>
        <v>0</v>
      </c>
      <c r="M423" s="64">
        <f t="shared" si="291"/>
        <v>0</v>
      </c>
      <c r="N423" s="67">
        <f>IF(AND(I423&gt;0,K423&gt;0),MAX(I423:K423)+1,"")</f>
        <v>44534</v>
      </c>
      <c r="O423" s="64">
        <f t="shared" si="292"/>
        <v>1</v>
      </c>
      <c r="P423" s="64">
        <f t="shared" si="293"/>
        <v>0</v>
      </c>
      <c r="Q423" s="91" t="str">
        <f t="shared" si="286"/>
        <v>Selesai</v>
      </c>
      <c r="R423" s="64">
        <f t="shared" si="294"/>
        <v>0</v>
      </c>
      <c r="S423" s="67">
        <v>44536</v>
      </c>
      <c r="T423" s="67">
        <v>44578</v>
      </c>
      <c r="U423" s="64">
        <f t="shared" si="287"/>
        <v>1</v>
      </c>
      <c r="V423" s="64"/>
      <c r="W423" s="64"/>
      <c r="X423" s="93"/>
      <c r="Y423" s="94"/>
      <c r="Z423" s="91" t="str">
        <f t="shared" si="288"/>
        <v>100%</v>
      </c>
      <c r="AA423" s="67"/>
      <c r="AB423" s="473"/>
      <c r="AC423" s="478" t="s">
        <v>2711</v>
      </c>
      <c r="AD423" s="67"/>
    </row>
    <row r="424" spans="2:30">
      <c r="B424" s="64" t="s">
        <v>107</v>
      </c>
      <c r="C424" s="65" t="s">
        <v>493</v>
      </c>
      <c r="D424" s="66">
        <v>10.16</v>
      </c>
      <c r="E424" s="67">
        <v>44516</v>
      </c>
      <c r="F424" s="64">
        <v>0</v>
      </c>
      <c r="G424" s="67">
        <v>44517</v>
      </c>
      <c r="H424" s="64">
        <v>0</v>
      </c>
      <c r="I424" s="67">
        <v>44537</v>
      </c>
      <c r="J424" s="64">
        <f t="shared" si="289"/>
        <v>0</v>
      </c>
      <c r="K424" s="67">
        <v>44538</v>
      </c>
      <c r="L424" s="64">
        <f t="shared" si="290"/>
        <v>0</v>
      </c>
      <c r="M424" s="64">
        <f t="shared" si="291"/>
        <v>0</v>
      </c>
      <c r="N424" s="67">
        <f>IF(AND(I424&gt;0,K424&gt;0),MAX(I424:K424)+1,"")</f>
        <v>44539</v>
      </c>
      <c r="O424" s="64">
        <f t="shared" si="292"/>
        <v>1</v>
      </c>
      <c r="P424" s="64">
        <f t="shared" si="293"/>
        <v>0</v>
      </c>
      <c r="Q424" s="91" t="str">
        <f t="shared" si="286"/>
        <v>Selesai</v>
      </c>
      <c r="R424" s="64">
        <f t="shared" si="294"/>
        <v>0</v>
      </c>
      <c r="S424" s="67">
        <v>44546</v>
      </c>
      <c r="T424" s="67">
        <v>44579</v>
      </c>
      <c r="U424" s="64">
        <f t="shared" si="287"/>
        <v>1</v>
      </c>
      <c r="V424" s="64"/>
      <c r="W424" s="64"/>
      <c r="X424" s="93"/>
      <c r="Y424" s="94"/>
      <c r="Z424" s="91" t="str">
        <f t="shared" si="288"/>
        <v>100%</v>
      </c>
      <c r="AA424" s="67"/>
      <c r="AB424" s="473"/>
      <c r="AC424" s="478" t="s">
        <v>2711</v>
      </c>
      <c r="AD424" s="67"/>
    </row>
    <row r="425" spans="2:30">
      <c r="B425" s="64" t="s">
        <v>113</v>
      </c>
      <c r="C425" s="65" t="s">
        <v>494</v>
      </c>
      <c r="D425" s="66">
        <v>9.68</v>
      </c>
      <c r="E425" s="67">
        <v>44525</v>
      </c>
      <c r="F425" s="64">
        <v>0</v>
      </c>
      <c r="G425" s="67">
        <v>44529</v>
      </c>
      <c r="H425" s="64">
        <v>0</v>
      </c>
      <c r="I425" s="67">
        <v>44550</v>
      </c>
      <c r="J425" s="64">
        <f t="shared" si="289"/>
        <v>0</v>
      </c>
      <c r="K425" s="67">
        <v>44546</v>
      </c>
      <c r="L425" s="64">
        <f t="shared" si="290"/>
        <v>0</v>
      </c>
      <c r="M425" s="64">
        <f t="shared" si="291"/>
        <v>0</v>
      </c>
      <c r="N425" s="67">
        <f>IF(AND(I425&gt;0,K425&gt;0),MAX(I425:K425)+1,"")</f>
        <v>44551</v>
      </c>
      <c r="O425" s="64">
        <f t="shared" si="292"/>
        <v>1</v>
      </c>
      <c r="P425" s="64">
        <f t="shared" si="293"/>
        <v>0</v>
      </c>
      <c r="Q425" s="91" t="str">
        <f t="shared" si="286"/>
        <v>Selesai</v>
      </c>
      <c r="R425" s="64">
        <f t="shared" si="294"/>
        <v>0</v>
      </c>
      <c r="S425" s="67">
        <v>44564</v>
      </c>
      <c r="T425" s="67">
        <v>44580</v>
      </c>
      <c r="U425" s="64">
        <f t="shared" si="287"/>
        <v>1</v>
      </c>
      <c r="V425" s="64"/>
      <c r="W425" s="64"/>
      <c r="X425" s="93"/>
      <c r="Y425" s="94"/>
      <c r="Z425" s="91" t="str">
        <f t="shared" si="288"/>
        <v>100%</v>
      </c>
      <c r="AA425" s="67"/>
      <c r="AB425" s="473"/>
      <c r="AC425" s="478" t="s">
        <v>2711</v>
      </c>
      <c r="AD425" s="67"/>
    </row>
    <row r="426" spans="2:30">
      <c r="B426" s="64" t="s">
        <v>107</v>
      </c>
      <c r="C426" s="65" t="s">
        <v>495</v>
      </c>
      <c r="D426" s="66">
        <v>4.78</v>
      </c>
      <c r="E426" s="67">
        <v>44531</v>
      </c>
      <c r="F426" s="64">
        <v>0</v>
      </c>
      <c r="G426" s="67">
        <v>44534</v>
      </c>
      <c r="H426" s="64">
        <v>0</v>
      </c>
      <c r="I426" s="67">
        <v>44551</v>
      </c>
      <c r="J426" s="64">
        <f t="shared" si="289"/>
        <v>0</v>
      </c>
      <c r="K426" s="67">
        <v>44539</v>
      </c>
      <c r="L426" s="64">
        <f t="shared" si="290"/>
        <v>0</v>
      </c>
      <c r="M426" s="64">
        <f t="shared" si="291"/>
        <v>0</v>
      </c>
      <c r="N426" s="67">
        <f>IF(AND(I426&gt;0,K426&gt;0),MAX(I426:K426)+1,"")</f>
        <v>44552</v>
      </c>
      <c r="O426" s="64">
        <f t="shared" si="292"/>
        <v>1</v>
      </c>
      <c r="P426" s="64">
        <f t="shared" si="293"/>
        <v>0</v>
      </c>
      <c r="Q426" s="91" t="str">
        <f t="shared" si="286"/>
        <v>Selesai</v>
      </c>
      <c r="R426" s="64">
        <f t="shared" si="294"/>
        <v>0</v>
      </c>
      <c r="S426" s="67">
        <v>44564</v>
      </c>
      <c r="T426" s="67">
        <v>44580</v>
      </c>
      <c r="U426" s="64">
        <f t="shared" si="287"/>
        <v>1</v>
      </c>
      <c r="V426" s="64"/>
      <c r="W426" s="64"/>
      <c r="X426" s="93"/>
      <c r="Y426" s="94"/>
      <c r="Z426" s="91" t="str">
        <f t="shared" si="288"/>
        <v>100%</v>
      </c>
      <c r="AA426" s="67"/>
      <c r="AB426" s="473"/>
      <c r="AC426" s="478" t="s">
        <v>2711</v>
      </c>
      <c r="AD426" s="67"/>
    </row>
    <row r="427" spans="2:30">
      <c r="B427" s="64" t="s">
        <v>113</v>
      </c>
      <c r="C427" s="65" t="s">
        <v>496</v>
      </c>
      <c r="D427" s="66">
        <v>9.15</v>
      </c>
      <c r="E427" s="67">
        <v>44532</v>
      </c>
      <c r="F427" s="64">
        <v>0</v>
      </c>
      <c r="G427" s="67">
        <v>44547</v>
      </c>
      <c r="H427" s="64">
        <v>0</v>
      </c>
      <c r="I427" s="67">
        <v>44569</v>
      </c>
      <c r="J427" s="64">
        <f t="shared" si="289"/>
        <v>0</v>
      </c>
      <c r="K427" s="67">
        <v>44541</v>
      </c>
      <c r="L427" s="64">
        <f t="shared" si="290"/>
        <v>0</v>
      </c>
      <c r="M427" s="64">
        <f t="shared" si="291"/>
        <v>0</v>
      </c>
      <c r="N427" s="67">
        <f>IF(AND(I427&gt;0,K427&gt;0),MAX(I427:K427)+1,"")+6</f>
        <v>44576</v>
      </c>
      <c r="O427" s="64">
        <f t="shared" si="292"/>
        <v>1</v>
      </c>
      <c r="P427" s="64">
        <f t="shared" si="293"/>
        <v>0</v>
      </c>
      <c r="Q427" s="91" t="str">
        <f t="shared" si="286"/>
        <v>Selesai</v>
      </c>
      <c r="R427" s="64">
        <f t="shared" si="294"/>
        <v>0</v>
      </c>
      <c r="S427" s="67">
        <v>44568</v>
      </c>
      <c r="T427" s="67">
        <v>44580</v>
      </c>
      <c r="U427" s="64">
        <f t="shared" si="287"/>
        <v>1</v>
      </c>
      <c r="V427" s="64"/>
      <c r="W427" s="64"/>
      <c r="X427" s="93"/>
      <c r="Y427" s="94"/>
      <c r="Z427" s="91" t="str">
        <f t="shared" si="288"/>
        <v>100%</v>
      </c>
      <c r="AA427" s="67"/>
      <c r="AB427" s="473"/>
      <c r="AC427" s="478" t="s">
        <v>2711</v>
      </c>
      <c r="AD427" s="67"/>
    </row>
    <row r="428" spans="2:30">
      <c r="B428" s="64" t="s">
        <v>116</v>
      </c>
      <c r="C428" s="65" t="s">
        <v>497</v>
      </c>
      <c r="D428" s="66">
        <v>9.98</v>
      </c>
      <c r="E428" s="67">
        <v>44485</v>
      </c>
      <c r="F428" s="64">
        <v>0</v>
      </c>
      <c r="G428" s="67">
        <v>44492</v>
      </c>
      <c r="H428" s="64">
        <v>0</v>
      </c>
      <c r="I428" s="67">
        <v>44522</v>
      </c>
      <c r="J428" s="64">
        <f t="shared" si="289"/>
        <v>0</v>
      </c>
      <c r="K428" s="67">
        <v>44538</v>
      </c>
      <c r="L428" s="64">
        <f t="shared" si="290"/>
        <v>0</v>
      </c>
      <c r="M428" s="64">
        <f t="shared" si="291"/>
        <v>0</v>
      </c>
      <c r="N428" s="67">
        <f>IF(AND(I428&gt;0,K428&gt;0),MAX(I428:K428)+1,"")+6</f>
        <v>44545</v>
      </c>
      <c r="O428" s="64">
        <f t="shared" si="292"/>
        <v>1</v>
      </c>
      <c r="P428" s="64">
        <f t="shared" si="293"/>
        <v>0</v>
      </c>
      <c r="Q428" s="91" t="str">
        <f t="shared" si="286"/>
        <v>Selesai</v>
      </c>
      <c r="R428" s="64">
        <f t="shared" si="294"/>
        <v>0</v>
      </c>
      <c r="S428" s="67">
        <v>44557</v>
      </c>
      <c r="T428" s="67">
        <v>44581</v>
      </c>
      <c r="U428" s="64">
        <f t="shared" si="287"/>
        <v>1</v>
      </c>
      <c r="V428" s="64"/>
      <c r="W428" s="64"/>
      <c r="X428" s="93"/>
      <c r="Y428" s="94"/>
      <c r="Z428" s="91" t="str">
        <f t="shared" si="288"/>
        <v>100%</v>
      </c>
      <c r="AA428" s="67"/>
      <c r="AB428" s="473"/>
      <c r="AC428" s="478" t="s">
        <v>2711</v>
      </c>
      <c r="AD428" s="67"/>
    </row>
    <row r="429" spans="2:30">
      <c r="B429" s="64" t="s">
        <v>105</v>
      </c>
      <c r="C429" s="65" t="s">
        <v>498</v>
      </c>
      <c r="D429" s="66">
        <v>7.82</v>
      </c>
      <c r="E429" s="67">
        <v>44517</v>
      </c>
      <c r="F429" s="64">
        <v>0</v>
      </c>
      <c r="G429" s="67">
        <v>44524</v>
      </c>
      <c r="H429" s="64">
        <v>0</v>
      </c>
      <c r="I429" s="67">
        <v>44535</v>
      </c>
      <c r="J429" s="64">
        <f t="shared" si="289"/>
        <v>0</v>
      </c>
      <c r="K429" s="67">
        <v>44565</v>
      </c>
      <c r="L429" s="64">
        <f t="shared" si="290"/>
        <v>0</v>
      </c>
      <c r="M429" s="64">
        <f t="shared" si="291"/>
        <v>0</v>
      </c>
      <c r="N429" s="67">
        <f>IF(AND(I429&gt;0,K429&gt;0),MAX(I429:K429)+1,"")</f>
        <v>44566</v>
      </c>
      <c r="O429" s="64">
        <f t="shared" si="292"/>
        <v>1</v>
      </c>
      <c r="P429" s="64">
        <f t="shared" si="293"/>
        <v>0</v>
      </c>
      <c r="Q429" s="91" t="str">
        <f t="shared" si="286"/>
        <v>Selesai</v>
      </c>
      <c r="R429" s="64">
        <f t="shared" si="294"/>
        <v>0</v>
      </c>
      <c r="S429" s="67">
        <v>44568</v>
      </c>
      <c r="T429" s="67">
        <v>44587</v>
      </c>
      <c r="U429" s="64">
        <f t="shared" si="287"/>
        <v>1</v>
      </c>
      <c r="V429" s="64"/>
      <c r="W429" s="64"/>
      <c r="X429" s="93"/>
      <c r="Y429" s="94"/>
      <c r="Z429" s="91" t="str">
        <f t="shared" si="288"/>
        <v>100%</v>
      </c>
      <c r="AA429" s="67"/>
      <c r="AB429" s="473"/>
      <c r="AC429" s="478" t="s">
        <v>2711</v>
      </c>
      <c r="AD429" s="67"/>
    </row>
    <row r="430" spans="2:30">
      <c r="B430" s="64" t="s">
        <v>118</v>
      </c>
      <c r="C430" s="65" t="s">
        <v>499</v>
      </c>
      <c r="D430" s="66">
        <v>6.82</v>
      </c>
      <c r="E430" s="67">
        <v>44523</v>
      </c>
      <c r="F430" s="64">
        <v>0</v>
      </c>
      <c r="G430" s="67">
        <v>44532</v>
      </c>
      <c r="H430" s="64">
        <v>0</v>
      </c>
      <c r="I430" s="67">
        <v>44556</v>
      </c>
      <c r="J430" s="64">
        <f t="shared" si="289"/>
        <v>0</v>
      </c>
      <c r="K430" s="67">
        <v>44545</v>
      </c>
      <c r="L430" s="64">
        <f t="shared" si="290"/>
        <v>0</v>
      </c>
      <c r="M430" s="64">
        <f t="shared" si="291"/>
        <v>0</v>
      </c>
      <c r="N430" s="67">
        <f>IF(AND(I430&gt;0,K430&gt;0),MAX(I430:K430)+1,"")</f>
        <v>44557</v>
      </c>
      <c r="O430" s="64">
        <f t="shared" si="292"/>
        <v>1</v>
      </c>
      <c r="P430" s="64">
        <f t="shared" si="293"/>
        <v>0</v>
      </c>
      <c r="Q430" s="91" t="str">
        <f t="shared" si="286"/>
        <v>Selesai</v>
      </c>
      <c r="R430" s="64">
        <f t="shared" si="294"/>
        <v>0</v>
      </c>
      <c r="S430" s="67">
        <v>44573</v>
      </c>
      <c r="T430" s="67">
        <v>44587</v>
      </c>
      <c r="U430" s="64">
        <f t="shared" si="287"/>
        <v>1</v>
      </c>
      <c r="V430" s="64"/>
      <c r="W430" s="64"/>
      <c r="X430" s="93"/>
      <c r="Y430" s="94"/>
      <c r="Z430" s="91" t="str">
        <f t="shared" si="288"/>
        <v>100%</v>
      </c>
      <c r="AA430" s="67"/>
      <c r="AB430" s="473"/>
      <c r="AC430" s="478" t="s">
        <v>2711</v>
      </c>
      <c r="AD430" s="67"/>
    </row>
    <row r="431" spans="2:30">
      <c r="B431" s="64" t="s">
        <v>107</v>
      </c>
      <c r="C431" s="65" t="s">
        <v>500</v>
      </c>
      <c r="D431" s="66">
        <v>4.28</v>
      </c>
      <c r="E431" s="67">
        <v>44550</v>
      </c>
      <c r="F431" s="64">
        <v>0</v>
      </c>
      <c r="G431" s="67">
        <v>44552</v>
      </c>
      <c r="H431" s="64">
        <v>0</v>
      </c>
      <c r="I431" s="67">
        <v>44577</v>
      </c>
      <c r="J431" s="64">
        <f t="shared" si="289"/>
        <v>0</v>
      </c>
      <c r="K431" s="67">
        <v>44565</v>
      </c>
      <c r="L431" s="64">
        <f t="shared" si="290"/>
        <v>0</v>
      </c>
      <c r="M431" s="64">
        <f t="shared" si="291"/>
        <v>0</v>
      </c>
      <c r="N431" s="67">
        <f>IF(AND(I431&gt;0,K431&gt;0),MAX(I431:K431)+1,"")</f>
        <v>44578</v>
      </c>
      <c r="O431" s="64">
        <f t="shared" si="292"/>
        <v>1</v>
      </c>
      <c r="P431" s="64">
        <f t="shared" si="293"/>
        <v>0</v>
      </c>
      <c r="Q431" s="91" t="str">
        <f t="shared" si="286"/>
        <v>Selesai</v>
      </c>
      <c r="R431" s="64">
        <f t="shared" si="294"/>
        <v>0</v>
      </c>
      <c r="S431" s="67">
        <v>44578</v>
      </c>
      <c r="T431" s="67">
        <v>44588</v>
      </c>
      <c r="U431" s="64">
        <f t="shared" si="287"/>
        <v>1</v>
      </c>
      <c r="V431" s="64"/>
      <c r="W431" s="64"/>
      <c r="X431" s="93"/>
      <c r="Y431" s="94"/>
      <c r="Z431" s="91" t="str">
        <f t="shared" si="288"/>
        <v>100%</v>
      </c>
      <c r="AA431" s="67"/>
      <c r="AB431" s="473"/>
      <c r="AC431" s="478" t="s">
        <v>2711</v>
      </c>
      <c r="AD431" s="67"/>
    </row>
    <row r="432" spans="2:30">
      <c r="B432" s="64" t="s">
        <v>113</v>
      </c>
      <c r="C432" s="65" t="s">
        <v>501</v>
      </c>
      <c r="D432" s="66">
        <v>2.61</v>
      </c>
      <c r="E432" s="67">
        <v>44531</v>
      </c>
      <c r="F432" s="64">
        <v>0</v>
      </c>
      <c r="G432" s="67">
        <v>44534</v>
      </c>
      <c r="H432" s="64">
        <v>0</v>
      </c>
      <c r="I432" s="67">
        <v>44551</v>
      </c>
      <c r="J432" s="64">
        <f t="shared" si="289"/>
        <v>0</v>
      </c>
      <c r="K432" s="67">
        <v>44539</v>
      </c>
      <c r="L432" s="64">
        <f t="shared" si="290"/>
        <v>0</v>
      </c>
      <c r="M432" s="64">
        <f t="shared" si="291"/>
        <v>0</v>
      </c>
      <c r="N432" s="67">
        <f>IF(AND(I432&gt;0,K432&gt;0),MAX(I432:K432)+1,"")</f>
        <v>44552</v>
      </c>
      <c r="O432" s="64">
        <f t="shared" si="292"/>
        <v>1</v>
      </c>
      <c r="P432" s="64">
        <f t="shared" si="293"/>
        <v>0</v>
      </c>
      <c r="Q432" s="91" t="str">
        <f t="shared" si="286"/>
        <v>Selesai</v>
      </c>
      <c r="R432" s="64">
        <f t="shared" si="294"/>
        <v>0</v>
      </c>
      <c r="S432" s="67">
        <v>44566</v>
      </c>
      <c r="T432" s="67">
        <v>44592</v>
      </c>
      <c r="U432" s="64">
        <f t="shared" si="287"/>
        <v>1</v>
      </c>
      <c r="V432" s="64"/>
      <c r="W432" s="64"/>
      <c r="X432" s="93"/>
      <c r="Y432" s="94"/>
      <c r="Z432" s="91" t="str">
        <f t="shared" si="288"/>
        <v>100%</v>
      </c>
      <c r="AA432" s="67"/>
      <c r="AB432" s="473"/>
      <c r="AC432" s="478" t="s">
        <v>2711</v>
      </c>
      <c r="AD432" s="67"/>
    </row>
    <row r="433" spans="2:30">
      <c r="B433" s="64" t="s">
        <v>113</v>
      </c>
      <c r="C433" s="65" t="s">
        <v>502</v>
      </c>
      <c r="D433" s="66">
        <v>9.93</v>
      </c>
      <c r="E433" s="67">
        <v>44532</v>
      </c>
      <c r="F433" s="64">
        <v>0</v>
      </c>
      <c r="G433" s="67">
        <v>44547</v>
      </c>
      <c r="H433" s="64">
        <v>0</v>
      </c>
      <c r="I433" s="67">
        <v>44573</v>
      </c>
      <c r="J433" s="64">
        <f t="shared" si="289"/>
        <v>0</v>
      </c>
      <c r="K433" s="67">
        <v>44541</v>
      </c>
      <c r="L433" s="64">
        <f t="shared" si="290"/>
        <v>0</v>
      </c>
      <c r="M433" s="64">
        <f t="shared" si="291"/>
        <v>0</v>
      </c>
      <c r="N433" s="67">
        <f>IF(AND(I433&gt;0,K433&gt;0),MAX(I433:K433)+1,"")+6</f>
        <v>44580</v>
      </c>
      <c r="O433" s="64">
        <f t="shared" si="292"/>
        <v>1</v>
      </c>
      <c r="P433" s="64">
        <f t="shared" si="293"/>
        <v>0</v>
      </c>
      <c r="Q433" s="91" t="str">
        <f t="shared" si="286"/>
        <v>Selesai</v>
      </c>
      <c r="R433" s="64">
        <f t="shared" si="294"/>
        <v>0</v>
      </c>
      <c r="S433" s="67">
        <v>44574</v>
      </c>
      <c r="T433" s="67">
        <v>44596</v>
      </c>
      <c r="U433" s="64">
        <f t="shared" si="287"/>
        <v>1</v>
      </c>
      <c r="V433" s="64"/>
      <c r="W433" s="64"/>
      <c r="X433" s="93"/>
      <c r="Y433" s="94"/>
      <c r="Z433" s="91" t="str">
        <f t="shared" si="288"/>
        <v>100%</v>
      </c>
      <c r="AA433" s="67"/>
      <c r="AB433" s="473"/>
      <c r="AC433" s="478" t="s">
        <v>2711</v>
      </c>
      <c r="AD433" s="67"/>
    </row>
    <row r="434" spans="2:30">
      <c r="B434" s="64" t="s">
        <v>113</v>
      </c>
      <c r="C434" s="65" t="s">
        <v>503</v>
      </c>
      <c r="D434" s="66">
        <v>10.9</v>
      </c>
      <c r="E434" s="67">
        <v>44547</v>
      </c>
      <c r="F434" s="64">
        <v>0</v>
      </c>
      <c r="G434" s="67">
        <v>44548</v>
      </c>
      <c r="H434" s="64">
        <v>0</v>
      </c>
      <c r="I434" s="67">
        <v>44578</v>
      </c>
      <c r="J434" s="64">
        <f t="shared" si="289"/>
        <v>0</v>
      </c>
      <c r="K434" s="67">
        <v>44538</v>
      </c>
      <c r="L434" s="64">
        <f t="shared" si="290"/>
        <v>0</v>
      </c>
      <c r="M434" s="64">
        <f t="shared" si="291"/>
        <v>0</v>
      </c>
      <c r="N434" s="67">
        <f>IF(AND(I434&gt;0,K434&gt;0),MAX(I434:K434)+1,"")</f>
        <v>44579</v>
      </c>
      <c r="O434" s="64">
        <f t="shared" si="292"/>
        <v>1</v>
      </c>
      <c r="P434" s="64">
        <f t="shared" si="293"/>
        <v>0</v>
      </c>
      <c r="Q434" s="91" t="str">
        <f t="shared" si="286"/>
        <v>Selesai</v>
      </c>
      <c r="R434" s="64">
        <f t="shared" si="294"/>
        <v>0</v>
      </c>
      <c r="S434" s="67">
        <v>44579</v>
      </c>
      <c r="T434" s="67">
        <v>44596</v>
      </c>
      <c r="U434" s="64">
        <f t="shared" si="287"/>
        <v>1</v>
      </c>
      <c r="V434" s="64"/>
      <c r="W434" s="64"/>
      <c r="X434" s="93"/>
      <c r="Y434" s="94"/>
      <c r="Z434" s="91" t="str">
        <f t="shared" si="288"/>
        <v>100%</v>
      </c>
      <c r="AA434" s="67"/>
      <c r="AB434" s="473"/>
      <c r="AC434" s="478" t="s">
        <v>2711</v>
      </c>
      <c r="AD434" s="67"/>
    </row>
    <row r="435" spans="2:30">
      <c r="B435" s="64" t="s">
        <v>118</v>
      </c>
      <c r="C435" s="65" t="s">
        <v>504</v>
      </c>
      <c r="D435" s="66">
        <v>6.49</v>
      </c>
      <c r="E435" s="67">
        <v>44523</v>
      </c>
      <c r="F435" s="64">
        <v>0</v>
      </c>
      <c r="G435" s="67">
        <v>44532</v>
      </c>
      <c r="H435" s="64">
        <v>0</v>
      </c>
      <c r="I435" s="67">
        <v>44557</v>
      </c>
      <c r="J435" s="64">
        <f t="shared" si="289"/>
        <v>0</v>
      </c>
      <c r="K435" s="67">
        <v>44545</v>
      </c>
      <c r="L435" s="64">
        <f t="shared" si="290"/>
        <v>0</v>
      </c>
      <c r="M435" s="64">
        <f t="shared" si="291"/>
        <v>0</v>
      </c>
      <c r="N435" s="67">
        <f>IF(AND(I435&gt;0,K435&gt;0),MAX(I435:K435)+1,"")</f>
        <v>44558</v>
      </c>
      <c r="O435" s="64">
        <f t="shared" si="292"/>
        <v>1</v>
      </c>
      <c r="P435" s="64">
        <f t="shared" si="293"/>
        <v>0</v>
      </c>
      <c r="Q435" s="91" t="str">
        <f t="shared" si="286"/>
        <v>Selesai</v>
      </c>
      <c r="R435" s="64">
        <f t="shared" si="294"/>
        <v>0</v>
      </c>
      <c r="S435" s="67">
        <v>44578</v>
      </c>
      <c r="T435" s="67">
        <v>44603</v>
      </c>
      <c r="U435" s="64">
        <f t="shared" si="287"/>
        <v>1</v>
      </c>
      <c r="V435" s="64"/>
      <c r="W435" s="64"/>
      <c r="X435" s="93"/>
      <c r="Y435" s="94"/>
      <c r="Z435" s="91" t="str">
        <f t="shared" si="288"/>
        <v>100%</v>
      </c>
      <c r="AA435" s="67"/>
      <c r="AB435" s="473"/>
      <c r="AC435" s="478" t="s">
        <v>2711</v>
      </c>
      <c r="AD435" s="67"/>
    </row>
    <row r="436" spans="2:30">
      <c r="B436" s="64" t="s">
        <v>111</v>
      </c>
      <c r="C436" s="65" t="s">
        <v>505</v>
      </c>
      <c r="D436" s="66">
        <v>9.16</v>
      </c>
      <c r="E436" s="67">
        <v>44548</v>
      </c>
      <c r="F436" s="64">
        <v>0</v>
      </c>
      <c r="G436" s="67">
        <v>44564</v>
      </c>
      <c r="H436" s="64">
        <v>0</v>
      </c>
      <c r="I436" s="67">
        <v>44579</v>
      </c>
      <c r="J436" s="64">
        <f t="shared" si="289"/>
        <v>0</v>
      </c>
      <c r="K436" s="67">
        <v>44580</v>
      </c>
      <c r="L436" s="64">
        <f t="shared" si="290"/>
        <v>0</v>
      </c>
      <c r="M436" s="64">
        <f t="shared" si="291"/>
        <v>0</v>
      </c>
      <c r="N436" s="67">
        <v>44584</v>
      </c>
      <c r="O436" s="64">
        <f t="shared" si="292"/>
        <v>1</v>
      </c>
      <c r="P436" s="64">
        <f t="shared" si="293"/>
        <v>0</v>
      </c>
      <c r="Q436" s="91" t="str">
        <f t="shared" si="286"/>
        <v>Selesai</v>
      </c>
      <c r="R436" s="64">
        <f t="shared" si="294"/>
        <v>0</v>
      </c>
      <c r="S436" s="67">
        <v>44581</v>
      </c>
      <c r="T436" s="67">
        <v>44603</v>
      </c>
      <c r="U436" s="64">
        <f t="shared" si="287"/>
        <v>1</v>
      </c>
      <c r="V436" s="64"/>
      <c r="W436" s="64"/>
      <c r="X436" s="93"/>
      <c r="Y436" s="94"/>
      <c r="Z436" s="91" t="str">
        <f t="shared" si="288"/>
        <v>100%</v>
      </c>
      <c r="AA436" s="67"/>
      <c r="AB436" s="473"/>
      <c r="AC436" s="478" t="s">
        <v>2711</v>
      </c>
      <c r="AD436" s="67"/>
    </row>
    <row r="437" spans="2:30">
      <c r="B437" s="64" t="s">
        <v>105</v>
      </c>
      <c r="C437" s="65" t="s">
        <v>506</v>
      </c>
      <c r="D437" s="66">
        <v>2.02</v>
      </c>
      <c r="E437" s="67">
        <v>44531</v>
      </c>
      <c r="F437" s="64">
        <v>0</v>
      </c>
      <c r="G437" s="67">
        <v>44534</v>
      </c>
      <c r="H437" s="64">
        <v>0</v>
      </c>
      <c r="I437" s="67">
        <v>44540</v>
      </c>
      <c r="J437" s="64">
        <f t="shared" si="289"/>
        <v>0</v>
      </c>
      <c r="K437" s="67">
        <v>44565</v>
      </c>
      <c r="L437" s="64">
        <f t="shared" si="290"/>
        <v>0</v>
      </c>
      <c r="M437" s="64">
        <f t="shared" si="291"/>
        <v>0</v>
      </c>
      <c r="N437" s="67">
        <v>44584</v>
      </c>
      <c r="O437" s="64">
        <f t="shared" si="292"/>
        <v>1</v>
      </c>
      <c r="P437" s="64">
        <f t="shared" si="293"/>
        <v>0</v>
      </c>
      <c r="Q437" s="91" t="str">
        <f t="shared" si="286"/>
        <v>Selesai</v>
      </c>
      <c r="R437" s="64">
        <f t="shared" si="294"/>
        <v>0</v>
      </c>
      <c r="S437" s="67">
        <v>44569</v>
      </c>
      <c r="T437" s="67">
        <v>44606</v>
      </c>
      <c r="U437" s="64">
        <f t="shared" si="287"/>
        <v>1</v>
      </c>
      <c r="V437" s="64"/>
      <c r="W437" s="64"/>
      <c r="X437" s="93"/>
      <c r="Y437" s="94"/>
      <c r="Z437" s="91" t="str">
        <f t="shared" si="288"/>
        <v>100%</v>
      </c>
      <c r="AA437" s="67"/>
      <c r="AB437" s="473"/>
      <c r="AC437" s="478" t="s">
        <v>2711</v>
      </c>
      <c r="AD437" s="67"/>
    </row>
    <row r="438" spans="2:30">
      <c r="B438" s="64" t="s">
        <v>116</v>
      </c>
      <c r="C438" s="65" t="s">
        <v>507</v>
      </c>
      <c r="D438" s="66">
        <v>11.77</v>
      </c>
      <c r="E438" s="67">
        <v>44522</v>
      </c>
      <c r="F438" s="64">
        <v>0</v>
      </c>
      <c r="G438" s="67">
        <v>44524</v>
      </c>
      <c r="H438" s="64">
        <v>0</v>
      </c>
      <c r="I438" s="67">
        <v>44544</v>
      </c>
      <c r="J438" s="64">
        <f t="shared" si="289"/>
        <v>0</v>
      </c>
      <c r="K438" s="67">
        <v>44525</v>
      </c>
      <c r="L438" s="64">
        <f t="shared" si="290"/>
        <v>0</v>
      </c>
      <c r="M438" s="64">
        <f t="shared" si="291"/>
        <v>0</v>
      </c>
      <c r="N438" s="67">
        <v>44584</v>
      </c>
      <c r="O438" s="64">
        <f t="shared" si="292"/>
        <v>1</v>
      </c>
      <c r="P438" s="64">
        <f t="shared" si="293"/>
        <v>0</v>
      </c>
      <c r="Q438" s="91" t="str">
        <f t="shared" si="286"/>
        <v>Selesai</v>
      </c>
      <c r="R438" s="64">
        <f t="shared" si="294"/>
        <v>0</v>
      </c>
      <c r="S438" s="67">
        <v>44581</v>
      </c>
      <c r="T438" s="67">
        <v>44606</v>
      </c>
      <c r="U438" s="64">
        <f t="shared" si="287"/>
        <v>1</v>
      </c>
      <c r="V438" s="64"/>
      <c r="W438" s="64"/>
      <c r="X438" s="93"/>
      <c r="Y438" s="94"/>
      <c r="Z438" s="91" t="str">
        <f t="shared" si="288"/>
        <v>100%</v>
      </c>
      <c r="AA438" s="67"/>
      <c r="AB438" s="473"/>
      <c r="AC438" s="478" t="s">
        <v>2711</v>
      </c>
      <c r="AD438" s="67"/>
    </row>
    <row r="439" spans="2:30">
      <c r="B439" s="64" t="s">
        <v>105</v>
      </c>
      <c r="C439" s="65" t="s">
        <v>508</v>
      </c>
      <c r="D439" s="66">
        <v>7.75</v>
      </c>
      <c r="E439" s="67">
        <v>44565</v>
      </c>
      <c r="F439" s="64">
        <v>0</v>
      </c>
      <c r="G439" s="67">
        <v>44579</v>
      </c>
      <c r="H439" s="64">
        <v>0</v>
      </c>
      <c r="I439" s="67">
        <v>44586</v>
      </c>
      <c r="J439" s="64">
        <f t="shared" si="289"/>
        <v>0</v>
      </c>
      <c r="K439" s="67">
        <v>44580</v>
      </c>
      <c r="L439" s="64">
        <f t="shared" si="290"/>
        <v>0</v>
      </c>
      <c r="M439" s="64">
        <f t="shared" si="291"/>
        <v>0</v>
      </c>
      <c r="N439" s="67">
        <v>44584</v>
      </c>
      <c r="O439" s="64">
        <f t="shared" si="292"/>
        <v>1</v>
      </c>
      <c r="P439" s="64">
        <f t="shared" si="293"/>
        <v>0</v>
      </c>
      <c r="Q439" s="91" t="str">
        <f t="shared" si="286"/>
        <v>Selesai</v>
      </c>
      <c r="R439" s="64">
        <f t="shared" si="294"/>
        <v>0</v>
      </c>
      <c r="S439" s="67">
        <v>44595</v>
      </c>
      <c r="T439" s="67">
        <v>44607</v>
      </c>
      <c r="U439" s="64">
        <f t="shared" si="287"/>
        <v>1</v>
      </c>
      <c r="V439" s="64"/>
      <c r="W439" s="64"/>
      <c r="X439" s="93"/>
      <c r="Y439" s="94"/>
      <c r="Z439" s="91" t="str">
        <f t="shared" si="288"/>
        <v>100%</v>
      </c>
      <c r="AA439" s="67"/>
      <c r="AB439" s="473"/>
      <c r="AC439" s="478" t="s">
        <v>2711</v>
      </c>
      <c r="AD439" s="67"/>
    </row>
    <row r="440" spans="2:30">
      <c r="B440" s="64" t="s">
        <v>107</v>
      </c>
      <c r="C440" s="65" t="s">
        <v>509</v>
      </c>
      <c r="D440" s="66">
        <v>8.1199999999999992</v>
      </c>
      <c r="E440" s="67">
        <v>44552</v>
      </c>
      <c r="F440" s="64">
        <v>0</v>
      </c>
      <c r="G440" s="67">
        <v>44560</v>
      </c>
      <c r="H440" s="64">
        <v>0</v>
      </c>
      <c r="I440" s="67">
        <v>44597</v>
      </c>
      <c r="J440" s="64">
        <f t="shared" si="289"/>
        <v>0</v>
      </c>
      <c r="K440" s="67">
        <v>44578</v>
      </c>
      <c r="L440" s="64">
        <f t="shared" si="290"/>
        <v>0</v>
      </c>
      <c r="M440" s="64">
        <f t="shared" si="291"/>
        <v>0</v>
      </c>
      <c r="N440" s="67">
        <v>44584</v>
      </c>
      <c r="O440" s="64">
        <f t="shared" si="292"/>
        <v>1</v>
      </c>
      <c r="P440" s="64">
        <f t="shared" si="293"/>
        <v>0</v>
      </c>
      <c r="Q440" s="91" t="str">
        <f t="shared" si="286"/>
        <v>Selesai</v>
      </c>
      <c r="R440" s="64">
        <f t="shared" si="294"/>
        <v>0</v>
      </c>
      <c r="S440" s="67">
        <v>44591</v>
      </c>
      <c r="T440" s="67">
        <v>44609</v>
      </c>
      <c r="U440" s="64">
        <f t="shared" si="287"/>
        <v>1</v>
      </c>
      <c r="V440" s="64"/>
      <c r="W440" s="64"/>
      <c r="X440" s="93"/>
      <c r="Y440" s="94"/>
      <c r="Z440" s="91" t="str">
        <f t="shared" si="288"/>
        <v>100%</v>
      </c>
      <c r="AA440" s="67"/>
      <c r="AB440" s="473"/>
      <c r="AC440" s="478" t="s">
        <v>2711</v>
      </c>
      <c r="AD440" s="67"/>
    </row>
    <row r="441" spans="2:30">
      <c r="B441" s="64" t="s">
        <v>105</v>
      </c>
      <c r="C441" s="65" t="s">
        <v>510</v>
      </c>
      <c r="D441" s="66">
        <v>10.9</v>
      </c>
      <c r="E441" s="67">
        <v>44529</v>
      </c>
      <c r="F441" s="64">
        <v>0</v>
      </c>
      <c r="G441" s="67">
        <v>44534</v>
      </c>
      <c r="H441" s="64">
        <v>0</v>
      </c>
      <c r="I441" s="67">
        <v>44550</v>
      </c>
      <c r="J441" s="64">
        <f t="shared" si="289"/>
        <v>0</v>
      </c>
      <c r="K441" s="67">
        <v>44579</v>
      </c>
      <c r="L441" s="64">
        <f t="shared" si="290"/>
        <v>0</v>
      </c>
      <c r="M441" s="64">
        <f t="shared" si="291"/>
        <v>0</v>
      </c>
      <c r="N441" s="67">
        <v>44584</v>
      </c>
      <c r="O441" s="64">
        <f t="shared" si="292"/>
        <v>1</v>
      </c>
      <c r="P441" s="64">
        <f t="shared" si="293"/>
        <v>0</v>
      </c>
      <c r="Q441" s="91" t="str">
        <f t="shared" si="286"/>
        <v>Selesai</v>
      </c>
      <c r="R441" s="64">
        <f t="shared" si="294"/>
        <v>0</v>
      </c>
      <c r="S441" s="67">
        <v>44580</v>
      </c>
      <c r="T441" s="67">
        <v>44616</v>
      </c>
      <c r="U441" s="64">
        <f t="shared" si="287"/>
        <v>1</v>
      </c>
      <c r="V441" s="64"/>
      <c r="W441" s="64"/>
      <c r="X441" s="93"/>
      <c r="Y441" s="94"/>
      <c r="Z441" s="91" t="str">
        <f t="shared" si="288"/>
        <v>100%</v>
      </c>
      <c r="AA441" s="67"/>
      <c r="AB441" s="473"/>
      <c r="AC441" s="478" t="s">
        <v>2711</v>
      </c>
      <c r="AD441" s="67"/>
    </row>
    <row r="442" spans="2:30">
      <c r="B442" s="64" t="s">
        <v>118</v>
      </c>
      <c r="C442" s="65" t="s">
        <v>511</v>
      </c>
      <c r="D442" s="66">
        <v>9.84</v>
      </c>
      <c r="E442" s="67">
        <v>44544</v>
      </c>
      <c r="F442" s="64">
        <v>0</v>
      </c>
      <c r="G442" s="67">
        <v>44547</v>
      </c>
      <c r="H442" s="64">
        <v>0</v>
      </c>
      <c r="I442" s="67">
        <v>44585</v>
      </c>
      <c r="J442" s="64">
        <f t="shared" si="289"/>
        <v>0</v>
      </c>
      <c r="K442" s="67">
        <v>44584</v>
      </c>
      <c r="L442" s="64">
        <f t="shared" si="290"/>
        <v>0</v>
      </c>
      <c r="M442" s="64">
        <f t="shared" si="291"/>
        <v>0</v>
      </c>
      <c r="N442" s="67">
        <f>IF(AND(I442&gt;0,K442&gt;0),MAX(I442:K442)+1,"")</f>
        <v>44586</v>
      </c>
      <c r="O442" s="64">
        <f t="shared" si="292"/>
        <v>1</v>
      </c>
      <c r="P442" s="64">
        <f t="shared" si="293"/>
        <v>0</v>
      </c>
      <c r="Q442" s="91" t="str">
        <f t="shared" si="286"/>
        <v>Selesai</v>
      </c>
      <c r="R442" s="64">
        <f t="shared" si="294"/>
        <v>0</v>
      </c>
      <c r="S442" s="67">
        <v>44596</v>
      </c>
      <c r="T442" s="67">
        <v>44617</v>
      </c>
      <c r="U442" s="64">
        <f t="shared" si="287"/>
        <v>1</v>
      </c>
      <c r="V442" s="64"/>
      <c r="W442" s="64"/>
      <c r="X442" s="93"/>
      <c r="Y442" s="94"/>
      <c r="Z442" s="91" t="str">
        <f t="shared" si="288"/>
        <v>100%</v>
      </c>
      <c r="AA442" s="67"/>
      <c r="AB442" s="473"/>
      <c r="AC442" s="478" t="s">
        <v>2711</v>
      </c>
      <c r="AD442" s="67"/>
    </row>
    <row r="443" spans="2:30">
      <c r="B443" s="64" t="s">
        <v>111</v>
      </c>
      <c r="C443" s="65" t="s">
        <v>512</v>
      </c>
      <c r="D443" s="66">
        <v>9.14</v>
      </c>
      <c r="E443" s="67">
        <v>44523</v>
      </c>
      <c r="F443" s="64">
        <v>0</v>
      </c>
      <c r="G443" s="67">
        <v>44532</v>
      </c>
      <c r="H443" s="64">
        <v>0</v>
      </c>
      <c r="I443" s="67">
        <v>44578</v>
      </c>
      <c r="J443" s="64">
        <f t="shared" si="289"/>
        <v>0</v>
      </c>
      <c r="K443" s="67">
        <v>44504</v>
      </c>
      <c r="L443" s="64">
        <f t="shared" si="290"/>
        <v>0</v>
      </c>
      <c r="M443" s="64">
        <f t="shared" si="291"/>
        <v>0</v>
      </c>
      <c r="N443" s="67">
        <v>44584</v>
      </c>
      <c r="O443" s="64">
        <f t="shared" si="292"/>
        <v>1</v>
      </c>
      <c r="P443" s="64">
        <f t="shared" si="293"/>
        <v>0</v>
      </c>
      <c r="Q443" s="91" t="str">
        <f t="shared" si="286"/>
        <v>Selesai</v>
      </c>
      <c r="R443" s="64">
        <f t="shared" si="294"/>
        <v>0</v>
      </c>
      <c r="S443" s="67">
        <v>44591</v>
      </c>
      <c r="T443" s="67">
        <v>44620</v>
      </c>
      <c r="U443" s="64">
        <f t="shared" si="287"/>
        <v>1</v>
      </c>
      <c r="V443" s="64"/>
      <c r="W443" s="64"/>
      <c r="X443" s="93"/>
      <c r="Y443" s="94"/>
      <c r="Z443" s="91" t="str">
        <f t="shared" si="288"/>
        <v>100%</v>
      </c>
      <c r="AA443" s="67"/>
      <c r="AB443" s="473"/>
      <c r="AC443" s="478" t="s">
        <v>2711</v>
      </c>
      <c r="AD443" s="67"/>
    </row>
    <row r="444" spans="2:30">
      <c r="B444" s="64" t="s">
        <v>118</v>
      </c>
      <c r="C444" s="65" t="s">
        <v>513</v>
      </c>
      <c r="D444" s="66">
        <v>8.8800000000000008</v>
      </c>
      <c r="E444" s="67">
        <v>44547</v>
      </c>
      <c r="F444" s="64">
        <v>0</v>
      </c>
      <c r="G444" s="67">
        <v>44552</v>
      </c>
      <c r="H444" s="64">
        <v>0</v>
      </c>
      <c r="I444" s="67">
        <v>44604</v>
      </c>
      <c r="J444" s="64">
        <f t="shared" si="289"/>
        <v>0</v>
      </c>
      <c r="K444" s="67">
        <v>44544</v>
      </c>
      <c r="L444" s="64">
        <f t="shared" si="290"/>
        <v>0</v>
      </c>
      <c r="M444" s="64">
        <f t="shared" si="291"/>
        <v>0</v>
      </c>
      <c r="N444" s="67">
        <v>44584</v>
      </c>
      <c r="O444" s="64">
        <f t="shared" si="292"/>
        <v>1</v>
      </c>
      <c r="P444" s="64">
        <f t="shared" si="293"/>
        <v>0</v>
      </c>
      <c r="Q444" s="91" t="str">
        <f t="shared" si="286"/>
        <v>Selesai</v>
      </c>
      <c r="R444" s="64">
        <f t="shared" si="294"/>
        <v>0</v>
      </c>
      <c r="S444" s="67">
        <v>44603</v>
      </c>
      <c r="T444" s="67">
        <v>44620</v>
      </c>
      <c r="U444" s="64">
        <f t="shared" si="287"/>
        <v>1</v>
      </c>
      <c r="V444" s="64"/>
      <c r="W444" s="64"/>
      <c r="X444" s="93"/>
      <c r="Y444" s="94"/>
      <c r="Z444" s="91" t="str">
        <f t="shared" si="288"/>
        <v>100%</v>
      </c>
      <c r="AA444" s="67"/>
      <c r="AB444" s="473"/>
      <c r="AC444" s="478" t="s">
        <v>2711</v>
      </c>
      <c r="AD444" s="67"/>
    </row>
    <row r="445" spans="2:30">
      <c r="B445" s="64" t="s">
        <v>107</v>
      </c>
      <c r="C445" s="65" t="s">
        <v>514</v>
      </c>
      <c r="D445" s="66">
        <v>9.68</v>
      </c>
      <c r="E445" s="67">
        <v>44550</v>
      </c>
      <c r="F445" s="64">
        <v>0</v>
      </c>
      <c r="G445" s="67">
        <v>44552</v>
      </c>
      <c r="H445" s="64">
        <v>0</v>
      </c>
      <c r="I445" s="67">
        <v>44584</v>
      </c>
      <c r="J445" s="64">
        <f t="shared" si="289"/>
        <v>0</v>
      </c>
      <c r="K445" s="67">
        <v>44565</v>
      </c>
      <c r="L445" s="64">
        <f t="shared" si="290"/>
        <v>0</v>
      </c>
      <c r="M445" s="64">
        <f t="shared" si="291"/>
        <v>0</v>
      </c>
      <c r="N445" s="67">
        <v>44584</v>
      </c>
      <c r="O445" s="64">
        <f t="shared" si="292"/>
        <v>1</v>
      </c>
      <c r="P445" s="64">
        <f t="shared" si="293"/>
        <v>0</v>
      </c>
      <c r="Q445" s="91" t="str">
        <f t="shared" si="286"/>
        <v>Selesai</v>
      </c>
      <c r="R445" s="64">
        <f t="shared" si="294"/>
        <v>0</v>
      </c>
      <c r="S445" s="67">
        <v>44578</v>
      </c>
      <c r="T445" s="67">
        <v>44622</v>
      </c>
      <c r="U445" s="64">
        <f t="shared" si="287"/>
        <v>1</v>
      </c>
      <c r="V445" s="64"/>
      <c r="W445" s="64"/>
      <c r="X445" s="93"/>
      <c r="Y445" s="94"/>
      <c r="Z445" s="91" t="str">
        <f t="shared" si="288"/>
        <v>100%</v>
      </c>
      <c r="AA445" s="67"/>
      <c r="AB445" s="473"/>
      <c r="AC445" s="478" t="s">
        <v>2711</v>
      </c>
      <c r="AD445" s="67"/>
    </row>
    <row r="446" spans="2:30">
      <c r="B446" s="64" t="s">
        <v>107</v>
      </c>
      <c r="C446" s="65" t="s">
        <v>515</v>
      </c>
      <c r="D446" s="66">
        <v>7.7</v>
      </c>
      <c r="E446" s="67">
        <v>44552</v>
      </c>
      <c r="F446" s="64">
        <v>0</v>
      </c>
      <c r="G446" s="67">
        <v>44560</v>
      </c>
      <c r="H446" s="64">
        <v>0</v>
      </c>
      <c r="I446" s="67">
        <v>44602</v>
      </c>
      <c r="J446" s="64">
        <f t="shared" si="289"/>
        <v>0</v>
      </c>
      <c r="K446" s="67">
        <v>44578</v>
      </c>
      <c r="L446" s="64">
        <f t="shared" si="290"/>
        <v>0</v>
      </c>
      <c r="M446" s="64">
        <f t="shared" si="291"/>
        <v>0</v>
      </c>
      <c r="N446" s="67">
        <v>44584</v>
      </c>
      <c r="O446" s="64">
        <f t="shared" si="292"/>
        <v>1</v>
      </c>
      <c r="P446" s="64">
        <f t="shared" si="293"/>
        <v>0</v>
      </c>
      <c r="Q446" s="91" t="str">
        <f t="shared" si="286"/>
        <v>Selesai</v>
      </c>
      <c r="R446" s="64">
        <f t="shared" si="294"/>
        <v>0</v>
      </c>
      <c r="S446" s="67">
        <v>44600</v>
      </c>
      <c r="T446" s="67">
        <v>44622</v>
      </c>
      <c r="U446" s="64">
        <f t="shared" si="287"/>
        <v>1</v>
      </c>
      <c r="V446" s="64"/>
      <c r="W446" s="64"/>
      <c r="X446" s="93"/>
      <c r="Y446" s="94"/>
      <c r="Z446" s="91" t="str">
        <f t="shared" si="288"/>
        <v>100%</v>
      </c>
      <c r="AA446" s="67"/>
      <c r="AB446" s="473"/>
      <c r="AC446" s="478" t="s">
        <v>2711</v>
      </c>
      <c r="AD446" s="67"/>
    </row>
    <row r="447" spans="2:30">
      <c r="B447" s="64" t="s">
        <v>105</v>
      </c>
      <c r="C447" s="65" t="s">
        <v>516</v>
      </c>
      <c r="D447" s="66">
        <v>9.4</v>
      </c>
      <c r="E447" s="67">
        <v>44581</v>
      </c>
      <c r="F447" s="64">
        <v>0</v>
      </c>
      <c r="G447" s="67">
        <v>44582</v>
      </c>
      <c r="H447" s="64">
        <v>0</v>
      </c>
      <c r="I447" s="67">
        <v>44600</v>
      </c>
      <c r="J447" s="64">
        <f t="shared" si="289"/>
        <v>0</v>
      </c>
      <c r="K447" s="67">
        <v>44582</v>
      </c>
      <c r="L447" s="64">
        <f t="shared" si="290"/>
        <v>0</v>
      </c>
      <c r="M447" s="64">
        <f t="shared" si="291"/>
        <v>0</v>
      </c>
      <c r="N447" s="67">
        <v>44584</v>
      </c>
      <c r="O447" s="64">
        <f t="shared" si="292"/>
        <v>1</v>
      </c>
      <c r="P447" s="64">
        <f t="shared" si="293"/>
        <v>0</v>
      </c>
      <c r="Q447" s="91" t="str">
        <f t="shared" si="286"/>
        <v>Selesai</v>
      </c>
      <c r="R447" s="64">
        <f t="shared" si="294"/>
        <v>0</v>
      </c>
      <c r="S447" s="67">
        <v>44600</v>
      </c>
      <c r="T447" s="67">
        <v>44624</v>
      </c>
      <c r="U447" s="64">
        <f t="shared" si="287"/>
        <v>1</v>
      </c>
      <c r="V447" s="64"/>
      <c r="W447" s="64"/>
      <c r="X447" s="93"/>
      <c r="Y447" s="94"/>
      <c r="Z447" s="91" t="str">
        <f t="shared" si="288"/>
        <v>100%</v>
      </c>
      <c r="AA447" s="67"/>
      <c r="AB447" s="473"/>
      <c r="AC447" s="478" t="s">
        <v>2711</v>
      </c>
      <c r="AD447" s="67"/>
    </row>
    <row r="448" spans="2:30">
      <c r="B448" s="64" t="s">
        <v>113</v>
      </c>
      <c r="C448" s="65" t="s">
        <v>517</v>
      </c>
      <c r="D448" s="66">
        <v>3.59</v>
      </c>
      <c r="E448" s="67">
        <v>44589</v>
      </c>
      <c r="F448" s="64">
        <v>0</v>
      </c>
      <c r="G448" s="67">
        <v>44591</v>
      </c>
      <c r="H448" s="64">
        <v>0</v>
      </c>
      <c r="I448" s="67">
        <v>44607</v>
      </c>
      <c r="J448" s="64">
        <f t="shared" si="289"/>
        <v>0</v>
      </c>
      <c r="K448" s="67">
        <v>44606</v>
      </c>
      <c r="L448" s="64">
        <f t="shared" si="290"/>
        <v>0</v>
      </c>
      <c r="M448" s="64">
        <f t="shared" si="291"/>
        <v>0</v>
      </c>
      <c r="N448" s="67">
        <f>IF(AND(I448&gt;0,K448&gt;0),MAX(I448:K448)+1,"")</f>
        <v>44608</v>
      </c>
      <c r="O448" s="64">
        <f t="shared" si="292"/>
        <v>1</v>
      </c>
      <c r="P448" s="64">
        <f t="shared" si="293"/>
        <v>0</v>
      </c>
      <c r="Q448" s="91" t="str">
        <f t="shared" si="286"/>
        <v>Selesai</v>
      </c>
      <c r="R448" s="64">
        <f t="shared" si="294"/>
        <v>0</v>
      </c>
      <c r="S448" s="67">
        <v>44615</v>
      </c>
      <c r="T448" s="67">
        <v>44627</v>
      </c>
      <c r="U448" s="64">
        <f t="shared" si="287"/>
        <v>1</v>
      </c>
      <c r="V448" s="64"/>
      <c r="W448" s="64"/>
      <c r="X448" s="93"/>
      <c r="Y448" s="94"/>
      <c r="Z448" s="91" t="str">
        <f t="shared" si="288"/>
        <v>100%</v>
      </c>
      <c r="AA448" s="67"/>
      <c r="AB448" s="473"/>
      <c r="AC448" s="478" t="s">
        <v>2711</v>
      </c>
      <c r="AD448" s="67"/>
    </row>
    <row r="449" spans="2:30">
      <c r="B449" s="64" t="s">
        <v>105</v>
      </c>
      <c r="C449" s="65" t="s">
        <v>518</v>
      </c>
      <c r="D449" s="66">
        <v>10.050000000000001</v>
      </c>
      <c r="E449" s="67">
        <v>44581</v>
      </c>
      <c r="F449" s="64">
        <v>0</v>
      </c>
      <c r="G449" s="67">
        <v>44582</v>
      </c>
      <c r="H449" s="64">
        <v>0</v>
      </c>
      <c r="I449" s="67">
        <v>44598</v>
      </c>
      <c r="J449" s="64">
        <f t="shared" si="289"/>
        <v>0</v>
      </c>
      <c r="K449" s="67">
        <v>44582</v>
      </c>
      <c r="L449" s="64">
        <f t="shared" si="290"/>
        <v>0</v>
      </c>
      <c r="M449" s="64">
        <f t="shared" si="291"/>
        <v>0</v>
      </c>
      <c r="N449" s="67">
        <f>IF(AND(I449&gt;0,K449&gt;0),MAX(I449:K449)+1,"")</f>
        <v>44599</v>
      </c>
      <c r="O449" s="64">
        <f t="shared" si="292"/>
        <v>1</v>
      </c>
      <c r="P449" s="64">
        <f t="shared" si="293"/>
        <v>0</v>
      </c>
      <c r="Q449" s="91" t="str">
        <f t="shared" si="286"/>
        <v>Selesai</v>
      </c>
      <c r="R449" s="64">
        <f t="shared" si="294"/>
        <v>0</v>
      </c>
      <c r="S449" s="67">
        <v>44604</v>
      </c>
      <c r="T449" s="67">
        <v>44627</v>
      </c>
      <c r="U449" s="64">
        <f t="shared" si="287"/>
        <v>1</v>
      </c>
      <c r="V449" s="64"/>
      <c r="W449" s="64"/>
      <c r="X449" s="93"/>
      <c r="Y449" s="94"/>
      <c r="Z449" s="91" t="str">
        <f t="shared" si="288"/>
        <v>100%</v>
      </c>
      <c r="AA449" s="67"/>
      <c r="AB449" s="473"/>
      <c r="AC449" s="478" t="s">
        <v>2711</v>
      </c>
      <c r="AD449" s="67"/>
    </row>
    <row r="450" spans="2:30">
      <c r="B450" s="64" t="s">
        <v>105</v>
      </c>
      <c r="C450" s="65" t="s">
        <v>519</v>
      </c>
      <c r="D450" s="66">
        <v>6.48</v>
      </c>
      <c r="E450" s="67">
        <v>44589</v>
      </c>
      <c r="F450" s="64">
        <v>0</v>
      </c>
      <c r="G450" s="67">
        <v>44591</v>
      </c>
      <c r="H450" s="64">
        <v>0</v>
      </c>
      <c r="I450" s="67">
        <v>44612</v>
      </c>
      <c r="J450" s="64">
        <f t="shared" si="289"/>
        <v>0</v>
      </c>
      <c r="K450" s="67">
        <v>44606</v>
      </c>
      <c r="L450" s="64">
        <f t="shared" si="290"/>
        <v>0</v>
      </c>
      <c r="M450" s="64">
        <f t="shared" si="291"/>
        <v>0</v>
      </c>
      <c r="N450" s="67">
        <f>IF(AND(I450&gt;0,K450&gt;0),MAX(I450:K450)+1,"")</f>
        <v>44613</v>
      </c>
      <c r="O450" s="64">
        <f t="shared" si="292"/>
        <v>1</v>
      </c>
      <c r="P450" s="64">
        <f t="shared" si="293"/>
        <v>0</v>
      </c>
      <c r="Q450" s="91" t="str">
        <f t="shared" si="286"/>
        <v>Selesai</v>
      </c>
      <c r="R450" s="64">
        <f t="shared" si="294"/>
        <v>0</v>
      </c>
      <c r="S450" s="67">
        <v>44610</v>
      </c>
      <c r="T450" s="67">
        <v>44629</v>
      </c>
      <c r="U450" s="64">
        <f t="shared" si="287"/>
        <v>1</v>
      </c>
      <c r="V450" s="64"/>
      <c r="W450" s="64"/>
      <c r="X450" s="93"/>
      <c r="Y450" s="94"/>
      <c r="Z450" s="91" t="str">
        <f t="shared" si="288"/>
        <v>100%</v>
      </c>
      <c r="AA450" s="67"/>
      <c r="AB450" s="473"/>
      <c r="AC450" s="478" t="s">
        <v>2711</v>
      </c>
      <c r="AD450" s="67"/>
    </row>
    <row r="451" spans="2:30">
      <c r="B451" s="64" t="s">
        <v>116</v>
      </c>
      <c r="C451" s="65" t="s">
        <v>520</v>
      </c>
      <c r="D451" s="66">
        <v>9.1</v>
      </c>
      <c r="E451" s="67">
        <v>44548</v>
      </c>
      <c r="F451" s="64">
        <v>0</v>
      </c>
      <c r="G451" s="67">
        <v>44555</v>
      </c>
      <c r="H451" s="64">
        <v>0</v>
      </c>
      <c r="I451" s="67">
        <v>44599</v>
      </c>
      <c r="J451" s="64">
        <f t="shared" si="289"/>
        <v>0</v>
      </c>
      <c r="K451" s="67">
        <v>44529</v>
      </c>
      <c r="L451" s="64">
        <f t="shared" si="290"/>
        <v>0</v>
      </c>
      <c r="M451" s="64">
        <f t="shared" si="291"/>
        <v>0</v>
      </c>
      <c r="N451" s="67">
        <f>IF(AND(I451&gt;0,K451&gt;0),MAX(I451:K451)+1,"")</f>
        <v>44600</v>
      </c>
      <c r="O451" s="64">
        <f t="shared" si="292"/>
        <v>1</v>
      </c>
      <c r="P451" s="64">
        <f t="shared" si="293"/>
        <v>0</v>
      </c>
      <c r="Q451" s="91" t="str">
        <f t="shared" si="286"/>
        <v>Selesai</v>
      </c>
      <c r="R451" s="64">
        <f t="shared" si="294"/>
        <v>0</v>
      </c>
      <c r="S451" s="67">
        <v>44613</v>
      </c>
      <c r="T451" s="67">
        <v>44629</v>
      </c>
      <c r="U451" s="64">
        <f t="shared" si="287"/>
        <v>1</v>
      </c>
      <c r="V451" s="64"/>
      <c r="W451" s="64"/>
      <c r="X451" s="93"/>
      <c r="Y451" s="94"/>
      <c r="Z451" s="91" t="str">
        <f t="shared" si="288"/>
        <v>100%</v>
      </c>
      <c r="AA451" s="67"/>
      <c r="AB451" s="473"/>
      <c r="AC451" s="478" t="s">
        <v>2711</v>
      </c>
      <c r="AD451" s="67"/>
    </row>
    <row r="452" spans="2:30">
      <c r="B452" s="64" t="s">
        <v>109</v>
      </c>
      <c r="C452" s="65" t="s">
        <v>521</v>
      </c>
      <c r="D452" s="66">
        <v>13.91</v>
      </c>
      <c r="E452" s="67">
        <v>44585</v>
      </c>
      <c r="F452" s="64">
        <v>0</v>
      </c>
      <c r="G452" s="67">
        <v>44588</v>
      </c>
      <c r="H452" s="64">
        <v>0</v>
      </c>
      <c r="I452" s="67">
        <v>44612</v>
      </c>
      <c r="J452" s="64">
        <f t="shared" si="289"/>
        <v>0</v>
      </c>
      <c r="K452" s="67">
        <v>44590</v>
      </c>
      <c r="L452" s="64">
        <f t="shared" si="290"/>
        <v>0</v>
      </c>
      <c r="M452" s="64">
        <f t="shared" si="291"/>
        <v>0</v>
      </c>
      <c r="N452" s="67">
        <v>44584</v>
      </c>
      <c r="O452" s="64">
        <f t="shared" si="292"/>
        <v>1</v>
      </c>
      <c r="P452" s="64">
        <f t="shared" si="293"/>
        <v>0</v>
      </c>
      <c r="Q452" s="91" t="str">
        <f t="shared" si="286"/>
        <v>Selesai</v>
      </c>
      <c r="R452" s="64">
        <f t="shared" si="294"/>
        <v>0</v>
      </c>
      <c r="S452" s="67">
        <v>44607</v>
      </c>
      <c r="T452" s="67">
        <v>44635</v>
      </c>
      <c r="U452" s="64">
        <f t="shared" si="287"/>
        <v>1</v>
      </c>
      <c r="V452" s="64"/>
      <c r="W452" s="64"/>
      <c r="X452" s="93"/>
      <c r="Y452" s="94"/>
      <c r="Z452" s="91" t="str">
        <f t="shared" si="288"/>
        <v>100%</v>
      </c>
      <c r="AA452" s="67"/>
      <c r="AB452" s="473"/>
      <c r="AC452" s="478" t="s">
        <v>2711</v>
      </c>
      <c r="AD452" s="67"/>
    </row>
    <row r="453" spans="2:30">
      <c r="B453" s="64" t="s">
        <v>105</v>
      </c>
      <c r="C453" s="65" t="s">
        <v>522</v>
      </c>
      <c r="D453" s="66">
        <v>9.02</v>
      </c>
      <c r="E453" s="67">
        <v>44600</v>
      </c>
      <c r="F453" s="64">
        <v>0</v>
      </c>
      <c r="G453" s="67">
        <v>44606</v>
      </c>
      <c r="H453" s="64">
        <v>0</v>
      </c>
      <c r="I453" s="67">
        <v>44617</v>
      </c>
      <c r="J453" s="64">
        <f t="shared" si="289"/>
        <v>0</v>
      </c>
      <c r="K453" s="67">
        <v>44588</v>
      </c>
      <c r="L453" s="64">
        <f t="shared" si="290"/>
        <v>0</v>
      </c>
      <c r="M453" s="64">
        <f t="shared" si="291"/>
        <v>0</v>
      </c>
      <c r="N453" s="67">
        <f t="shared" ref="N453:N458" si="295">IF(AND(I453&gt;0,K453&gt;0),MAX(I453:K453)+1,"")</f>
        <v>44618</v>
      </c>
      <c r="O453" s="64">
        <f t="shared" si="292"/>
        <v>1</v>
      </c>
      <c r="P453" s="64">
        <f t="shared" si="293"/>
        <v>0</v>
      </c>
      <c r="Q453" s="91" t="str">
        <f t="shared" si="286"/>
        <v>Selesai</v>
      </c>
      <c r="R453" s="64">
        <f t="shared" si="294"/>
        <v>0</v>
      </c>
      <c r="S453" s="67">
        <v>44615</v>
      </c>
      <c r="T453" s="67">
        <v>44635</v>
      </c>
      <c r="U453" s="64">
        <f t="shared" si="287"/>
        <v>1</v>
      </c>
      <c r="V453" s="64"/>
      <c r="W453" s="64"/>
      <c r="X453" s="93"/>
      <c r="Y453" s="94"/>
      <c r="Z453" s="91" t="str">
        <f t="shared" si="288"/>
        <v>100%</v>
      </c>
      <c r="AA453" s="67"/>
      <c r="AB453" s="473"/>
      <c r="AC453" s="478" t="s">
        <v>2711</v>
      </c>
      <c r="AD453" s="67"/>
    </row>
    <row r="454" spans="2:30">
      <c r="B454" s="64" t="s">
        <v>118</v>
      </c>
      <c r="C454" s="65" t="s">
        <v>523</v>
      </c>
      <c r="D454" s="66">
        <v>8.73</v>
      </c>
      <c r="E454" s="67">
        <v>44547</v>
      </c>
      <c r="F454" s="64">
        <v>0</v>
      </c>
      <c r="G454" s="67">
        <v>44552</v>
      </c>
      <c r="H454" s="64">
        <v>0</v>
      </c>
      <c r="I454" s="67">
        <v>44600</v>
      </c>
      <c r="J454" s="64">
        <f t="shared" si="289"/>
        <v>0</v>
      </c>
      <c r="K454" s="67">
        <v>44544</v>
      </c>
      <c r="L454" s="64">
        <f t="shared" si="290"/>
        <v>0</v>
      </c>
      <c r="M454" s="64">
        <f t="shared" si="291"/>
        <v>0</v>
      </c>
      <c r="N454" s="67">
        <f t="shared" si="295"/>
        <v>44601</v>
      </c>
      <c r="O454" s="64">
        <f t="shared" si="292"/>
        <v>1</v>
      </c>
      <c r="P454" s="64">
        <f t="shared" si="293"/>
        <v>0</v>
      </c>
      <c r="Q454" s="91" t="str">
        <f t="shared" si="286"/>
        <v>Selesai</v>
      </c>
      <c r="R454" s="64">
        <f t="shared" si="294"/>
        <v>0</v>
      </c>
      <c r="S454" s="67">
        <v>44600</v>
      </c>
      <c r="T454" s="67">
        <v>44635</v>
      </c>
      <c r="U454" s="64">
        <f t="shared" si="287"/>
        <v>1</v>
      </c>
      <c r="V454" s="64"/>
      <c r="W454" s="64"/>
      <c r="X454" s="93"/>
      <c r="Y454" s="94"/>
      <c r="Z454" s="91" t="str">
        <f t="shared" si="288"/>
        <v>100%</v>
      </c>
      <c r="AA454" s="67"/>
      <c r="AB454" s="473"/>
      <c r="AC454" s="478" t="s">
        <v>2711</v>
      </c>
      <c r="AD454" s="67"/>
    </row>
    <row r="455" spans="2:30">
      <c r="B455" s="64" t="s">
        <v>113</v>
      </c>
      <c r="C455" s="65" t="s">
        <v>524</v>
      </c>
      <c r="D455" s="66">
        <v>5.37</v>
      </c>
      <c r="E455" s="67">
        <v>44605</v>
      </c>
      <c r="F455" s="64">
        <v>0</v>
      </c>
      <c r="G455" s="67">
        <v>44607</v>
      </c>
      <c r="H455" s="64">
        <v>0</v>
      </c>
      <c r="I455" s="67">
        <v>44627</v>
      </c>
      <c r="J455" s="64">
        <f t="shared" si="289"/>
        <v>0</v>
      </c>
      <c r="K455" s="67">
        <v>44621</v>
      </c>
      <c r="L455" s="64">
        <f t="shared" si="290"/>
        <v>0</v>
      </c>
      <c r="M455" s="64">
        <f t="shared" si="291"/>
        <v>0</v>
      </c>
      <c r="N455" s="67">
        <f t="shared" si="295"/>
        <v>44628</v>
      </c>
      <c r="O455" s="64">
        <f t="shared" si="292"/>
        <v>1</v>
      </c>
      <c r="P455" s="64">
        <f t="shared" si="293"/>
        <v>0</v>
      </c>
      <c r="Q455" s="91" t="str">
        <f t="shared" si="286"/>
        <v>Selesai</v>
      </c>
      <c r="R455" s="64">
        <f t="shared" si="294"/>
        <v>0</v>
      </c>
      <c r="S455" s="67">
        <v>44624</v>
      </c>
      <c r="T455" s="67">
        <v>44637</v>
      </c>
      <c r="U455" s="64">
        <f t="shared" si="287"/>
        <v>1</v>
      </c>
      <c r="V455" s="64"/>
      <c r="W455" s="64"/>
      <c r="X455" s="93"/>
      <c r="Y455" s="94"/>
      <c r="Z455" s="91" t="str">
        <f t="shared" si="288"/>
        <v>100%</v>
      </c>
      <c r="AA455" s="67"/>
      <c r="AB455" s="473"/>
      <c r="AC455" s="478" t="s">
        <v>2711</v>
      </c>
      <c r="AD455" s="67"/>
    </row>
    <row r="456" spans="2:30">
      <c r="B456" s="64" t="s">
        <v>107</v>
      </c>
      <c r="C456" s="65" t="s">
        <v>525</v>
      </c>
      <c r="D456" s="66">
        <v>4.62</v>
      </c>
      <c r="E456" s="67">
        <v>44605</v>
      </c>
      <c r="F456" s="64">
        <v>0</v>
      </c>
      <c r="G456" s="67">
        <v>44607</v>
      </c>
      <c r="H456" s="64">
        <v>0</v>
      </c>
      <c r="I456" s="67">
        <v>44631</v>
      </c>
      <c r="J456" s="64">
        <f t="shared" si="289"/>
        <v>0</v>
      </c>
      <c r="K456" s="67">
        <v>44614</v>
      </c>
      <c r="L456" s="64">
        <f t="shared" si="290"/>
        <v>0</v>
      </c>
      <c r="M456" s="64">
        <f t="shared" si="291"/>
        <v>0</v>
      </c>
      <c r="N456" s="67">
        <f t="shared" si="295"/>
        <v>44632</v>
      </c>
      <c r="O456" s="64">
        <f t="shared" si="292"/>
        <v>1</v>
      </c>
      <c r="P456" s="64">
        <f t="shared" si="293"/>
        <v>0</v>
      </c>
      <c r="Q456" s="91" t="str">
        <f t="shared" si="286"/>
        <v>Selesai</v>
      </c>
      <c r="R456" s="64">
        <f t="shared" si="294"/>
        <v>0</v>
      </c>
      <c r="S456" s="67">
        <v>44627</v>
      </c>
      <c r="T456" s="67">
        <v>44638</v>
      </c>
      <c r="U456" s="64">
        <f t="shared" si="287"/>
        <v>1</v>
      </c>
      <c r="V456" s="64"/>
      <c r="W456" s="64"/>
      <c r="X456" s="93"/>
      <c r="Y456" s="94"/>
      <c r="Z456" s="91" t="str">
        <f t="shared" si="288"/>
        <v>100%</v>
      </c>
      <c r="AA456" s="67"/>
      <c r="AB456" s="473"/>
      <c r="AC456" s="478" t="s">
        <v>2711</v>
      </c>
      <c r="AD456" s="67"/>
    </row>
    <row r="457" spans="2:30">
      <c r="B457" s="64" t="s">
        <v>105</v>
      </c>
      <c r="C457" s="65" t="s">
        <v>526</v>
      </c>
      <c r="D457" s="66">
        <v>7.93</v>
      </c>
      <c r="E457" s="67">
        <v>44589</v>
      </c>
      <c r="F457" s="64">
        <v>0</v>
      </c>
      <c r="G457" s="67">
        <v>44591</v>
      </c>
      <c r="H457" s="64">
        <v>0</v>
      </c>
      <c r="I457" s="67">
        <v>44615</v>
      </c>
      <c r="J457" s="64">
        <f t="shared" si="289"/>
        <v>0</v>
      </c>
      <c r="K457" s="67">
        <v>44588</v>
      </c>
      <c r="L457" s="64">
        <f t="shared" si="290"/>
        <v>0</v>
      </c>
      <c r="M457" s="64">
        <f t="shared" si="291"/>
        <v>0</v>
      </c>
      <c r="N457" s="67">
        <f t="shared" si="295"/>
        <v>44616</v>
      </c>
      <c r="O457" s="64">
        <f t="shared" si="292"/>
        <v>1</v>
      </c>
      <c r="P457" s="64">
        <f t="shared" si="293"/>
        <v>0</v>
      </c>
      <c r="Q457" s="91" t="str">
        <f t="shared" ref="Q457:Q520" si="296">IF(T457&gt;0,"Selesai","Proses")</f>
        <v>Selesai</v>
      </c>
      <c r="R457" s="64">
        <f t="shared" si="294"/>
        <v>0</v>
      </c>
      <c r="S457" s="67">
        <v>44611</v>
      </c>
      <c r="T457" s="67">
        <v>44640</v>
      </c>
      <c r="U457" s="64">
        <f t="shared" ref="U457:U520" si="297">IF(T457&gt;0,1,0)</f>
        <v>1</v>
      </c>
      <c r="V457" s="64"/>
      <c r="W457" s="64"/>
      <c r="X457" s="93"/>
      <c r="Y457" s="94"/>
      <c r="Z457" s="91" t="str">
        <f t="shared" si="288"/>
        <v>100%</v>
      </c>
      <c r="AA457" s="67"/>
      <c r="AB457" s="473"/>
      <c r="AC457" s="478" t="s">
        <v>2711</v>
      </c>
      <c r="AD457" s="67"/>
    </row>
    <row r="458" spans="2:30">
      <c r="B458" s="64" t="s">
        <v>107</v>
      </c>
      <c r="C458" s="65" t="s">
        <v>527</v>
      </c>
      <c r="D458" s="66">
        <v>5.35</v>
      </c>
      <c r="E458" s="67">
        <v>44606</v>
      </c>
      <c r="F458" s="64">
        <v>0</v>
      </c>
      <c r="G458" s="67">
        <v>44608</v>
      </c>
      <c r="H458" s="64">
        <v>0</v>
      </c>
      <c r="I458" s="67">
        <v>44635</v>
      </c>
      <c r="J458" s="64">
        <f t="shared" si="289"/>
        <v>0</v>
      </c>
      <c r="K458" s="67">
        <v>44622</v>
      </c>
      <c r="L458" s="64">
        <f t="shared" si="290"/>
        <v>0</v>
      </c>
      <c r="M458" s="64">
        <f t="shared" si="291"/>
        <v>0</v>
      </c>
      <c r="N458" s="67">
        <f t="shared" si="295"/>
        <v>44636</v>
      </c>
      <c r="O458" s="64">
        <f t="shared" si="292"/>
        <v>1</v>
      </c>
      <c r="P458" s="64">
        <f t="shared" si="293"/>
        <v>0</v>
      </c>
      <c r="Q458" s="91" t="str">
        <f t="shared" si="296"/>
        <v>Selesai</v>
      </c>
      <c r="R458" s="64">
        <f t="shared" si="294"/>
        <v>0</v>
      </c>
      <c r="S458" s="67">
        <v>44630</v>
      </c>
      <c r="T458" s="67">
        <v>44643</v>
      </c>
      <c r="U458" s="64">
        <f t="shared" si="297"/>
        <v>1</v>
      </c>
      <c r="V458" s="64"/>
      <c r="W458" s="64"/>
      <c r="X458" s="93"/>
      <c r="Y458" s="94"/>
      <c r="Z458" s="91" t="str">
        <f t="shared" ref="Z458:Z521" si="298">IF(T458="","","100%")</f>
        <v>100%</v>
      </c>
      <c r="AA458" s="67"/>
      <c r="AB458" s="473"/>
      <c r="AC458" s="478" t="s">
        <v>2711</v>
      </c>
      <c r="AD458" s="67"/>
    </row>
    <row r="459" spans="2:30">
      <c r="B459" s="64" t="s">
        <v>111</v>
      </c>
      <c r="C459" s="65" t="s">
        <v>528</v>
      </c>
      <c r="D459" s="66">
        <v>15.02</v>
      </c>
      <c r="E459" s="67">
        <v>44608</v>
      </c>
      <c r="F459" s="64">
        <v>0</v>
      </c>
      <c r="G459" s="67">
        <v>44621</v>
      </c>
      <c r="H459" s="64">
        <v>0</v>
      </c>
      <c r="I459" s="67">
        <v>44633</v>
      </c>
      <c r="J459" s="64">
        <f t="shared" si="289"/>
        <v>0</v>
      </c>
      <c r="K459" s="67">
        <v>44621</v>
      </c>
      <c r="L459" s="64">
        <f t="shared" si="290"/>
        <v>0</v>
      </c>
      <c r="M459" s="64">
        <f t="shared" si="291"/>
        <v>0</v>
      </c>
      <c r="N459" s="67">
        <v>44584</v>
      </c>
      <c r="O459" s="64">
        <f t="shared" si="292"/>
        <v>1</v>
      </c>
      <c r="P459" s="64">
        <f t="shared" si="293"/>
        <v>0</v>
      </c>
      <c r="Q459" s="91" t="str">
        <f t="shared" si="296"/>
        <v>Selesai</v>
      </c>
      <c r="R459" s="64">
        <f t="shared" si="294"/>
        <v>0</v>
      </c>
      <c r="S459" s="67">
        <v>44629</v>
      </c>
      <c r="T459" s="67">
        <v>44648</v>
      </c>
      <c r="U459" s="64">
        <f t="shared" si="297"/>
        <v>1</v>
      </c>
      <c r="V459" s="64"/>
      <c r="W459" s="64"/>
      <c r="X459" s="93"/>
      <c r="Y459" s="94"/>
      <c r="Z459" s="91" t="str">
        <f t="shared" si="298"/>
        <v>100%</v>
      </c>
      <c r="AA459" s="67"/>
      <c r="AB459" s="473"/>
      <c r="AC459" s="478" t="s">
        <v>2711</v>
      </c>
      <c r="AD459" s="67"/>
    </row>
    <row r="460" spans="2:30">
      <c r="B460" s="64" t="s">
        <v>118</v>
      </c>
      <c r="C460" s="65" t="s">
        <v>529</v>
      </c>
      <c r="D460" s="66">
        <v>5.86</v>
      </c>
      <c r="E460" s="67">
        <v>44608</v>
      </c>
      <c r="F460" s="64">
        <v>0</v>
      </c>
      <c r="G460" s="67">
        <v>44609</v>
      </c>
      <c r="H460" s="64">
        <v>0</v>
      </c>
      <c r="I460" s="67">
        <v>44630</v>
      </c>
      <c r="J460" s="64">
        <f t="shared" si="289"/>
        <v>0</v>
      </c>
      <c r="K460" s="67">
        <v>44622</v>
      </c>
      <c r="L460" s="64">
        <f t="shared" si="290"/>
        <v>0</v>
      </c>
      <c r="M460" s="64">
        <f t="shared" si="291"/>
        <v>0</v>
      </c>
      <c r="N460" s="67">
        <f t="shared" ref="N460:N470" si="299">IF(AND(I460&gt;0,K460&gt;0),MAX(I460:K460)+1,"")</f>
        <v>44631</v>
      </c>
      <c r="O460" s="64">
        <f t="shared" si="292"/>
        <v>1</v>
      </c>
      <c r="P460" s="64">
        <f t="shared" si="293"/>
        <v>0</v>
      </c>
      <c r="Q460" s="91" t="str">
        <f t="shared" si="296"/>
        <v>Selesai</v>
      </c>
      <c r="R460" s="64">
        <f t="shared" si="294"/>
        <v>0</v>
      </c>
      <c r="S460" s="67">
        <v>44625</v>
      </c>
      <c r="T460" s="67">
        <v>44648</v>
      </c>
      <c r="U460" s="64">
        <f t="shared" si="297"/>
        <v>1</v>
      </c>
      <c r="V460" s="64"/>
      <c r="W460" s="64"/>
      <c r="X460" s="93"/>
      <c r="Y460" s="94"/>
      <c r="Z460" s="91" t="str">
        <f t="shared" si="298"/>
        <v>100%</v>
      </c>
      <c r="AA460" s="67"/>
      <c r="AB460" s="473"/>
      <c r="AC460" s="478" t="s">
        <v>2711</v>
      </c>
      <c r="AD460" s="67"/>
    </row>
    <row r="461" spans="2:30">
      <c r="B461" s="64" t="s">
        <v>105</v>
      </c>
      <c r="C461" s="65" t="s">
        <v>530</v>
      </c>
      <c r="D461" s="66">
        <v>9.5299999999999994</v>
      </c>
      <c r="E461" s="67">
        <v>44600</v>
      </c>
      <c r="F461" s="64">
        <v>0</v>
      </c>
      <c r="G461" s="67">
        <v>44608</v>
      </c>
      <c r="H461" s="64">
        <v>0</v>
      </c>
      <c r="I461" s="67">
        <v>44627</v>
      </c>
      <c r="J461" s="64">
        <f t="shared" si="289"/>
        <v>0</v>
      </c>
      <c r="K461" s="67">
        <v>44588</v>
      </c>
      <c r="L461" s="64">
        <f t="shared" si="290"/>
        <v>0</v>
      </c>
      <c r="M461" s="64">
        <f t="shared" si="291"/>
        <v>0</v>
      </c>
      <c r="N461" s="67">
        <f t="shared" si="299"/>
        <v>44628</v>
      </c>
      <c r="O461" s="64">
        <f t="shared" si="292"/>
        <v>1</v>
      </c>
      <c r="P461" s="64">
        <f t="shared" si="293"/>
        <v>0</v>
      </c>
      <c r="Q461" s="91" t="str">
        <f t="shared" si="296"/>
        <v>Selesai</v>
      </c>
      <c r="R461" s="64">
        <f t="shared" si="294"/>
        <v>0</v>
      </c>
      <c r="S461" s="67">
        <v>44624</v>
      </c>
      <c r="T461" s="67">
        <v>44651</v>
      </c>
      <c r="U461" s="64">
        <f t="shared" si="297"/>
        <v>1</v>
      </c>
      <c r="V461" s="64"/>
      <c r="W461" s="64"/>
      <c r="X461" s="93"/>
      <c r="Y461" s="94"/>
      <c r="Z461" s="91" t="str">
        <f t="shared" si="298"/>
        <v>100%</v>
      </c>
      <c r="AA461" s="67"/>
      <c r="AB461" s="473"/>
      <c r="AC461" s="478" t="s">
        <v>2711</v>
      </c>
      <c r="AD461" s="67"/>
    </row>
    <row r="462" spans="2:30">
      <c r="B462" s="64" t="s">
        <v>109</v>
      </c>
      <c r="C462" s="65" t="s">
        <v>531</v>
      </c>
      <c r="D462" s="66">
        <v>11.65</v>
      </c>
      <c r="E462" s="67">
        <v>44590</v>
      </c>
      <c r="F462" s="64">
        <v>0</v>
      </c>
      <c r="G462" s="67">
        <v>44604</v>
      </c>
      <c r="H462" s="64">
        <v>0</v>
      </c>
      <c r="I462" s="67">
        <v>44631</v>
      </c>
      <c r="J462" s="64">
        <f t="shared" si="289"/>
        <v>0</v>
      </c>
      <c r="K462" s="67">
        <v>44600</v>
      </c>
      <c r="L462" s="64">
        <f t="shared" si="290"/>
        <v>0</v>
      </c>
      <c r="M462" s="64">
        <f t="shared" si="291"/>
        <v>0</v>
      </c>
      <c r="N462" s="67">
        <f t="shared" si="299"/>
        <v>44632</v>
      </c>
      <c r="O462" s="64">
        <f t="shared" si="292"/>
        <v>1</v>
      </c>
      <c r="P462" s="64">
        <f t="shared" si="293"/>
        <v>0</v>
      </c>
      <c r="Q462" s="91" t="str">
        <f t="shared" si="296"/>
        <v>Selesai</v>
      </c>
      <c r="R462" s="64">
        <f t="shared" si="294"/>
        <v>0</v>
      </c>
      <c r="S462" s="67">
        <v>44627</v>
      </c>
      <c r="T462" s="67">
        <v>44651</v>
      </c>
      <c r="U462" s="64">
        <f t="shared" si="297"/>
        <v>1</v>
      </c>
      <c r="V462" s="64"/>
      <c r="W462" s="64"/>
      <c r="X462" s="93"/>
      <c r="Y462" s="94"/>
      <c r="Z462" s="91" t="str">
        <f t="shared" si="298"/>
        <v>100%</v>
      </c>
      <c r="AA462" s="67"/>
      <c r="AB462" s="473"/>
      <c r="AC462" s="478" t="s">
        <v>2711</v>
      </c>
      <c r="AD462" s="67"/>
    </row>
    <row r="463" spans="2:30">
      <c r="B463" s="64" t="s">
        <v>118</v>
      </c>
      <c r="C463" s="65" t="s">
        <v>532</v>
      </c>
      <c r="D463" s="66">
        <v>11.37</v>
      </c>
      <c r="E463" s="67">
        <v>44590</v>
      </c>
      <c r="F463" s="64">
        <v>0</v>
      </c>
      <c r="G463" s="67">
        <v>44607</v>
      </c>
      <c r="H463" s="64">
        <v>0</v>
      </c>
      <c r="I463" s="67">
        <v>44630</v>
      </c>
      <c r="J463" s="64">
        <f t="shared" si="289"/>
        <v>0</v>
      </c>
      <c r="K463" s="67">
        <v>44622</v>
      </c>
      <c r="L463" s="64">
        <f t="shared" si="290"/>
        <v>0</v>
      </c>
      <c r="M463" s="64">
        <f t="shared" si="291"/>
        <v>0</v>
      </c>
      <c r="N463" s="67">
        <f t="shared" si="299"/>
        <v>44631</v>
      </c>
      <c r="O463" s="64">
        <f t="shared" si="292"/>
        <v>1</v>
      </c>
      <c r="P463" s="64">
        <f t="shared" si="293"/>
        <v>0</v>
      </c>
      <c r="Q463" s="91" t="str">
        <f t="shared" si="296"/>
        <v>Selesai</v>
      </c>
      <c r="R463" s="64">
        <f t="shared" si="294"/>
        <v>0</v>
      </c>
      <c r="S463" s="67">
        <v>44626</v>
      </c>
      <c r="T463" s="67">
        <v>44651</v>
      </c>
      <c r="U463" s="64">
        <f t="shared" si="297"/>
        <v>1</v>
      </c>
      <c r="V463" s="64"/>
      <c r="W463" s="64"/>
      <c r="X463" s="93"/>
      <c r="Y463" s="94"/>
      <c r="Z463" s="91" t="str">
        <f t="shared" si="298"/>
        <v>100%</v>
      </c>
      <c r="AA463" s="67"/>
      <c r="AB463" s="473"/>
      <c r="AC463" s="478" t="s">
        <v>2711</v>
      </c>
      <c r="AD463" s="67"/>
    </row>
    <row r="464" spans="2:30">
      <c r="B464" s="64" t="s">
        <v>107</v>
      </c>
      <c r="C464" s="65" t="s">
        <v>533</v>
      </c>
      <c r="D464" s="66">
        <v>9.91</v>
      </c>
      <c r="E464" s="67">
        <v>44612</v>
      </c>
      <c r="F464" s="64">
        <v>0</v>
      </c>
      <c r="G464" s="67">
        <v>44613</v>
      </c>
      <c r="H464" s="64">
        <v>0</v>
      </c>
      <c r="I464" s="67">
        <v>44640</v>
      </c>
      <c r="J464" s="64">
        <f t="shared" ref="J464:J527" si="300">IF(I464&gt;0,0,1)</f>
        <v>0</v>
      </c>
      <c r="K464" s="67">
        <v>44621</v>
      </c>
      <c r="L464" s="64">
        <f t="shared" ref="L464:L527" si="301">IF(K464&gt;0,0,1)</f>
        <v>0</v>
      </c>
      <c r="M464" s="64">
        <f t="shared" ref="M464:M527" si="302">IF(AND(J464&gt;0,L464&gt;0),1,0)</f>
        <v>0</v>
      </c>
      <c r="N464" s="67">
        <f t="shared" si="299"/>
        <v>44641</v>
      </c>
      <c r="O464" s="64">
        <f t="shared" ref="O464:O527" si="303">IF(N464&gt;0,1,0)</f>
        <v>1</v>
      </c>
      <c r="P464" s="64">
        <f t="shared" ref="P464:P527" si="304">IF(O464&gt;0,0,1)</f>
        <v>0</v>
      </c>
      <c r="Q464" s="91" t="str">
        <f t="shared" si="296"/>
        <v>Selesai</v>
      </c>
      <c r="R464" s="64">
        <f t="shared" ref="R464:R527" si="305">IF(Q464="proses",1,0)</f>
        <v>0</v>
      </c>
      <c r="S464" s="67">
        <v>44636</v>
      </c>
      <c r="T464" s="67">
        <v>44656</v>
      </c>
      <c r="U464" s="64">
        <f t="shared" si="297"/>
        <v>1</v>
      </c>
      <c r="V464" s="64"/>
      <c r="W464" s="64"/>
      <c r="X464" s="93"/>
      <c r="Y464" s="94"/>
      <c r="Z464" s="91" t="str">
        <f t="shared" si="298"/>
        <v>100%</v>
      </c>
      <c r="AA464" s="67"/>
      <c r="AB464" s="473"/>
      <c r="AC464" s="478" t="s">
        <v>2711</v>
      </c>
      <c r="AD464" s="67"/>
    </row>
    <row r="465" spans="2:30">
      <c r="B465" s="64" t="s">
        <v>109</v>
      </c>
      <c r="C465" s="65" t="s">
        <v>534</v>
      </c>
      <c r="D465" s="66">
        <v>6.6</v>
      </c>
      <c r="E465" s="67">
        <v>44621</v>
      </c>
      <c r="F465" s="64">
        <v>0</v>
      </c>
      <c r="G465" s="67">
        <v>44623</v>
      </c>
      <c r="H465" s="64">
        <v>0</v>
      </c>
      <c r="I465" s="67">
        <v>44645</v>
      </c>
      <c r="J465" s="64">
        <f t="shared" si="300"/>
        <v>0</v>
      </c>
      <c r="K465" s="67">
        <v>44630</v>
      </c>
      <c r="L465" s="64">
        <f t="shared" si="301"/>
        <v>0</v>
      </c>
      <c r="M465" s="64">
        <f t="shared" si="302"/>
        <v>0</v>
      </c>
      <c r="N465" s="67">
        <f t="shared" si="299"/>
        <v>44646</v>
      </c>
      <c r="O465" s="64">
        <f t="shared" si="303"/>
        <v>1</v>
      </c>
      <c r="P465" s="64">
        <f t="shared" si="304"/>
        <v>0</v>
      </c>
      <c r="Q465" s="91" t="str">
        <f t="shared" si="296"/>
        <v>Selesai</v>
      </c>
      <c r="R465" s="64">
        <f t="shared" si="305"/>
        <v>0</v>
      </c>
      <c r="S465" s="67">
        <v>44639</v>
      </c>
      <c r="T465" s="67">
        <v>44657</v>
      </c>
      <c r="U465" s="64">
        <f t="shared" si="297"/>
        <v>1</v>
      </c>
      <c r="V465" s="64"/>
      <c r="W465" s="64"/>
      <c r="X465" s="93"/>
      <c r="Y465" s="94"/>
      <c r="Z465" s="91" t="str">
        <f t="shared" si="298"/>
        <v>100%</v>
      </c>
      <c r="AA465" s="67"/>
      <c r="AB465" s="473"/>
      <c r="AC465" s="478" t="s">
        <v>2711</v>
      </c>
      <c r="AD465" s="67"/>
    </row>
    <row r="466" spans="2:30">
      <c r="B466" s="64" t="s">
        <v>109</v>
      </c>
      <c r="C466" s="65" t="s">
        <v>535</v>
      </c>
      <c r="D466" s="66">
        <v>11.3</v>
      </c>
      <c r="E466" s="67">
        <v>44621</v>
      </c>
      <c r="F466" s="64">
        <v>0</v>
      </c>
      <c r="G466" s="67">
        <v>44623</v>
      </c>
      <c r="H466" s="64">
        <v>0</v>
      </c>
      <c r="I466" s="67">
        <v>44645</v>
      </c>
      <c r="J466" s="64">
        <f t="shared" si="300"/>
        <v>0</v>
      </c>
      <c r="K466" s="67">
        <v>44630</v>
      </c>
      <c r="L466" s="64">
        <f t="shared" si="301"/>
        <v>0</v>
      </c>
      <c r="M466" s="64">
        <f t="shared" si="302"/>
        <v>0</v>
      </c>
      <c r="N466" s="67">
        <f t="shared" si="299"/>
        <v>44646</v>
      </c>
      <c r="O466" s="64">
        <f t="shared" si="303"/>
        <v>1</v>
      </c>
      <c r="P466" s="64">
        <f t="shared" si="304"/>
        <v>0</v>
      </c>
      <c r="Q466" s="91" t="str">
        <f t="shared" si="296"/>
        <v>Selesai</v>
      </c>
      <c r="R466" s="64">
        <f t="shared" si="305"/>
        <v>0</v>
      </c>
      <c r="S466" s="67">
        <v>44639</v>
      </c>
      <c r="T466" s="67">
        <v>44658</v>
      </c>
      <c r="U466" s="64">
        <f t="shared" si="297"/>
        <v>1</v>
      </c>
      <c r="V466" s="64"/>
      <c r="W466" s="64"/>
      <c r="X466" s="93"/>
      <c r="Y466" s="94"/>
      <c r="Z466" s="91" t="str">
        <f t="shared" si="298"/>
        <v>100%</v>
      </c>
      <c r="AA466" s="67"/>
      <c r="AB466" s="473"/>
      <c r="AC466" s="478" t="s">
        <v>2711</v>
      </c>
      <c r="AD466" s="67"/>
    </row>
    <row r="467" spans="2:30">
      <c r="B467" s="64" t="s">
        <v>107</v>
      </c>
      <c r="C467" s="65" t="s">
        <v>536</v>
      </c>
      <c r="D467" s="66">
        <v>7.75</v>
      </c>
      <c r="E467" s="67">
        <v>44605</v>
      </c>
      <c r="F467" s="64">
        <v>0</v>
      </c>
      <c r="G467" s="67">
        <v>44607</v>
      </c>
      <c r="H467" s="64">
        <v>0</v>
      </c>
      <c r="I467" s="67">
        <v>44640</v>
      </c>
      <c r="J467" s="64">
        <f t="shared" si="300"/>
        <v>0</v>
      </c>
      <c r="K467" s="67">
        <v>44616</v>
      </c>
      <c r="L467" s="64">
        <f t="shared" si="301"/>
        <v>0</v>
      </c>
      <c r="M467" s="64">
        <f t="shared" si="302"/>
        <v>0</v>
      </c>
      <c r="N467" s="67">
        <f t="shared" si="299"/>
        <v>44641</v>
      </c>
      <c r="O467" s="64">
        <f t="shared" si="303"/>
        <v>1</v>
      </c>
      <c r="P467" s="64">
        <f t="shared" si="304"/>
        <v>0</v>
      </c>
      <c r="Q467" s="91" t="str">
        <f t="shared" si="296"/>
        <v>Selesai</v>
      </c>
      <c r="R467" s="64">
        <f t="shared" si="305"/>
        <v>0</v>
      </c>
      <c r="S467" s="67">
        <v>44637</v>
      </c>
      <c r="T467" s="67">
        <v>44660</v>
      </c>
      <c r="U467" s="64">
        <f t="shared" si="297"/>
        <v>1</v>
      </c>
      <c r="V467" s="64"/>
      <c r="W467" s="64"/>
      <c r="X467" s="93"/>
      <c r="Y467" s="94"/>
      <c r="Z467" s="91" t="str">
        <f t="shared" si="298"/>
        <v>100%</v>
      </c>
      <c r="AA467" s="67"/>
      <c r="AB467" s="473"/>
      <c r="AC467" s="478" t="s">
        <v>2711</v>
      </c>
      <c r="AD467" s="67"/>
    </row>
    <row r="468" spans="2:30">
      <c r="B468" s="64" t="s">
        <v>116</v>
      </c>
      <c r="C468" s="65" t="s">
        <v>537</v>
      </c>
      <c r="D468" s="66">
        <v>7.93</v>
      </c>
      <c r="E468" s="67">
        <v>44630</v>
      </c>
      <c r="F468" s="64">
        <v>0</v>
      </c>
      <c r="G468" s="67">
        <v>44640</v>
      </c>
      <c r="H468" s="64">
        <v>0</v>
      </c>
      <c r="I468" s="67">
        <v>44650</v>
      </c>
      <c r="J468" s="64">
        <f t="shared" si="300"/>
        <v>0</v>
      </c>
      <c r="K468" s="67">
        <v>44636</v>
      </c>
      <c r="L468" s="64">
        <f t="shared" si="301"/>
        <v>0</v>
      </c>
      <c r="M468" s="64">
        <f t="shared" si="302"/>
        <v>0</v>
      </c>
      <c r="N468" s="67">
        <f t="shared" si="299"/>
        <v>44651</v>
      </c>
      <c r="O468" s="64">
        <f t="shared" si="303"/>
        <v>1</v>
      </c>
      <c r="P468" s="64">
        <f t="shared" si="304"/>
        <v>0</v>
      </c>
      <c r="Q468" s="91" t="str">
        <f t="shared" si="296"/>
        <v>Selesai</v>
      </c>
      <c r="R468" s="64">
        <f t="shared" si="305"/>
        <v>0</v>
      </c>
      <c r="S468" s="67">
        <v>44648</v>
      </c>
      <c r="T468" s="67">
        <v>44662</v>
      </c>
      <c r="U468" s="64">
        <f t="shared" si="297"/>
        <v>1</v>
      </c>
      <c r="V468" s="64"/>
      <c r="W468" s="64"/>
      <c r="X468" s="93"/>
      <c r="Y468" s="94"/>
      <c r="Z468" s="91" t="str">
        <f t="shared" si="298"/>
        <v>100%</v>
      </c>
      <c r="AA468" s="67"/>
      <c r="AB468" s="473"/>
      <c r="AC468" s="478" t="s">
        <v>2711</v>
      </c>
      <c r="AD468" s="67"/>
    </row>
    <row r="469" spans="2:30" ht="15" customHeight="1">
      <c r="B469" s="64" t="s">
        <v>116</v>
      </c>
      <c r="C469" s="65" t="s">
        <v>538</v>
      </c>
      <c r="D469" s="66">
        <v>5.3</v>
      </c>
      <c r="E469" s="67">
        <v>44622</v>
      </c>
      <c r="F469" s="64">
        <v>0</v>
      </c>
      <c r="G469" s="67">
        <v>44630</v>
      </c>
      <c r="H469" s="64">
        <v>0</v>
      </c>
      <c r="I469" s="67">
        <v>44645</v>
      </c>
      <c r="J469" s="64">
        <f t="shared" si="300"/>
        <v>0</v>
      </c>
      <c r="K469" s="67">
        <v>44636</v>
      </c>
      <c r="L469" s="64">
        <f t="shared" si="301"/>
        <v>0</v>
      </c>
      <c r="M469" s="64">
        <f t="shared" si="302"/>
        <v>0</v>
      </c>
      <c r="N469" s="67">
        <f t="shared" si="299"/>
        <v>44646</v>
      </c>
      <c r="O469" s="64">
        <f t="shared" si="303"/>
        <v>1</v>
      </c>
      <c r="P469" s="64">
        <f t="shared" si="304"/>
        <v>0</v>
      </c>
      <c r="Q469" s="91" t="str">
        <f t="shared" si="296"/>
        <v>Selesai</v>
      </c>
      <c r="R469" s="64">
        <f t="shared" si="305"/>
        <v>0</v>
      </c>
      <c r="S469" s="67">
        <v>44643</v>
      </c>
      <c r="T469" s="67">
        <v>44663</v>
      </c>
      <c r="U469" s="64">
        <f t="shared" si="297"/>
        <v>1</v>
      </c>
      <c r="V469" s="64"/>
      <c r="W469" s="64"/>
      <c r="X469" s="93"/>
      <c r="Y469" s="94"/>
      <c r="Z469" s="91" t="str">
        <f t="shared" si="298"/>
        <v>100%</v>
      </c>
      <c r="AA469" s="67"/>
      <c r="AB469" s="473"/>
      <c r="AC469" s="478" t="s">
        <v>2711</v>
      </c>
      <c r="AD469" s="67"/>
    </row>
    <row r="470" spans="2:30">
      <c r="B470" s="64" t="s">
        <v>118</v>
      </c>
      <c r="C470" s="65" t="s">
        <v>539</v>
      </c>
      <c r="D470" s="66">
        <v>4.5999999999999996</v>
      </c>
      <c r="E470" s="67">
        <v>44630</v>
      </c>
      <c r="F470" s="64">
        <v>0</v>
      </c>
      <c r="G470" s="67">
        <v>44639</v>
      </c>
      <c r="H470" s="64">
        <v>0</v>
      </c>
      <c r="I470" s="67">
        <v>44656</v>
      </c>
      <c r="J470" s="64">
        <f t="shared" si="300"/>
        <v>0</v>
      </c>
      <c r="K470" s="67">
        <v>44636</v>
      </c>
      <c r="L470" s="64">
        <f t="shared" si="301"/>
        <v>0</v>
      </c>
      <c r="M470" s="64">
        <f t="shared" si="302"/>
        <v>0</v>
      </c>
      <c r="N470" s="67">
        <f t="shared" si="299"/>
        <v>44657</v>
      </c>
      <c r="O470" s="64">
        <f t="shared" si="303"/>
        <v>1</v>
      </c>
      <c r="P470" s="64">
        <f t="shared" si="304"/>
        <v>0</v>
      </c>
      <c r="Q470" s="91" t="str">
        <f t="shared" si="296"/>
        <v>Selesai</v>
      </c>
      <c r="R470" s="64">
        <f t="shared" si="305"/>
        <v>0</v>
      </c>
      <c r="S470" s="67">
        <v>44651</v>
      </c>
      <c r="T470" s="67">
        <v>44663</v>
      </c>
      <c r="U470" s="64">
        <f t="shared" si="297"/>
        <v>1</v>
      </c>
      <c r="V470" s="64"/>
      <c r="W470" s="64"/>
      <c r="X470" s="93"/>
      <c r="Y470" s="94"/>
      <c r="Z470" s="91" t="str">
        <f t="shared" si="298"/>
        <v>100%</v>
      </c>
      <c r="AA470" s="67"/>
      <c r="AB470" s="473"/>
      <c r="AC470" s="478" t="s">
        <v>2711</v>
      </c>
      <c r="AD470" s="67"/>
    </row>
    <row r="471" spans="2:30">
      <c r="B471" s="64" t="s">
        <v>116</v>
      </c>
      <c r="C471" s="65" t="s">
        <v>540</v>
      </c>
      <c r="D471" s="66">
        <v>9.9499999999999993</v>
      </c>
      <c r="E471" s="67">
        <v>44622</v>
      </c>
      <c r="F471" s="64">
        <v>0</v>
      </c>
      <c r="G471" s="67">
        <v>44625</v>
      </c>
      <c r="H471" s="64">
        <v>0</v>
      </c>
      <c r="I471" s="67">
        <v>44622</v>
      </c>
      <c r="J471" s="64">
        <f t="shared" si="300"/>
        <v>0</v>
      </c>
      <c r="K471" s="67">
        <v>44629</v>
      </c>
      <c r="L471" s="64">
        <f t="shared" si="301"/>
        <v>0</v>
      </c>
      <c r="M471" s="64">
        <f t="shared" si="302"/>
        <v>0</v>
      </c>
      <c r="N471" s="67">
        <v>44584</v>
      </c>
      <c r="O471" s="64">
        <f t="shared" si="303"/>
        <v>1</v>
      </c>
      <c r="P471" s="64">
        <f t="shared" si="304"/>
        <v>0</v>
      </c>
      <c r="Q471" s="91" t="str">
        <f t="shared" si="296"/>
        <v>Selesai</v>
      </c>
      <c r="R471" s="64">
        <f t="shared" si="305"/>
        <v>0</v>
      </c>
      <c r="S471" s="67">
        <v>44642</v>
      </c>
      <c r="T471" s="67">
        <v>44666</v>
      </c>
      <c r="U471" s="64">
        <f t="shared" si="297"/>
        <v>1</v>
      </c>
      <c r="V471" s="64"/>
      <c r="W471" s="64"/>
      <c r="X471" s="93"/>
      <c r="Y471" s="94"/>
      <c r="Z471" s="91" t="str">
        <f t="shared" si="298"/>
        <v>100%</v>
      </c>
      <c r="AA471" s="67"/>
      <c r="AB471" s="473"/>
      <c r="AC471" s="478" t="s">
        <v>2711</v>
      </c>
      <c r="AD471" s="67"/>
    </row>
    <row r="472" spans="2:30">
      <c r="B472" s="64" t="s">
        <v>107</v>
      </c>
      <c r="C472" s="65" t="s">
        <v>541</v>
      </c>
      <c r="D472" s="66">
        <v>9.08</v>
      </c>
      <c r="E472" s="67">
        <v>44609</v>
      </c>
      <c r="F472" s="64">
        <v>0</v>
      </c>
      <c r="G472" s="67">
        <v>44613</v>
      </c>
      <c r="H472" s="64">
        <v>0</v>
      </c>
      <c r="I472" s="67">
        <v>44645</v>
      </c>
      <c r="J472" s="64">
        <f t="shared" si="300"/>
        <v>0</v>
      </c>
      <c r="K472" s="67">
        <v>44621</v>
      </c>
      <c r="L472" s="64">
        <f t="shared" si="301"/>
        <v>0</v>
      </c>
      <c r="M472" s="64">
        <f t="shared" si="302"/>
        <v>0</v>
      </c>
      <c r="N472" s="67">
        <f>IF(AND(I472&gt;0,K472&gt;0),MAX(I472:K472)+1,"")</f>
        <v>44646</v>
      </c>
      <c r="O472" s="64">
        <f t="shared" si="303"/>
        <v>1</v>
      </c>
      <c r="P472" s="64">
        <f t="shared" si="304"/>
        <v>0</v>
      </c>
      <c r="Q472" s="91" t="str">
        <f t="shared" si="296"/>
        <v>Selesai</v>
      </c>
      <c r="R472" s="64">
        <f t="shared" si="305"/>
        <v>0</v>
      </c>
      <c r="S472" s="67">
        <v>44639</v>
      </c>
      <c r="T472" s="67">
        <v>44668</v>
      </c>
      <c r="U472" s="64">
        <f t="shared" si="297"/>
        <v>1</v>
      </c>
      <c r="V472" s="64"/>
      <c r="W472" s="64"/>
      <c r="X472" s="93"/>
      <c r="Y472" s="94"/>
      <c r="Z472" s="91" t="str">
        <f t="shared" si="298"/>
        <v>100%</v>
      </c>
      <c r="AA472" s="67"/>
      <c r="AB472" s="473"/>
      <c r="AC472" s="478" t="s">
        <v>2711</v>
      </c>
      <c r="AD472" s="67"/>
    </row>
    <row r="473" spans="2:30">
      <c r="B473" s="64" t="s">
        <v>109</v>
      </c>
      <c r="C473" s="65" t="s">
        <v>542</v>
      </c>
      <c r="D473" s="66">
        <v>5.09</v>
      </c>
      <c r="E473" s="67">
        <v>44643</v>
      </c>
      <c r="F473" s="64">
        <v>0</v>
      </c>
      <c r="G473" s="67">
        <v>44644</v>
      </c>
      <c r="H473" s="64">
        <v>0</v>
      </c>
      <c r="I473" s="67">
        <v>44652</v>
      </c>
      <c r="J473" s="64">
        <f t="shared" si="300"/>
        <v>0</v>
      </c>
      <c r="K473" s="67">
        <v>44648</v>
      </c>
      <c r="L473" s="64">
        <f t="shared" si="301"/>
        <v>0</v>
      </c>
      <c r="M473" s="64">
        <f t="shared" si="302"/>
        <v>0</v>
      </c>
      <c r="N473" s="67">
        <f>IF(AND(I473&gt;0,K473&gt;0),MAX(I473:K473)+1,"")</f>
        <v>44653</v>
      </c>
      <c r="O473" s="64">
        <f t="shared" si="303"/>
        <v>1</v>
      </c>
      <c r="P473" s="64">
        <f t="shared" si="304"/>
        <v>0</v>
      </c>
      <c r="Q473" s="91" t="str">
        <f t="shared" si="296"/>
        <v>Selesai</v>
      </c>
      <c r="R473" s="64">
        <f t="shared" si="305"/>
        <v>0</v>
      </c>
      <c r="S473" s="67">
        <v>44649</v>
      </c>
      <c r="T473" s="67">
        <v>44668</v>
      </c>
      <c r="U473" s="64">
        <f t="shared" si="297"/>
        <v>1</v>
      </c>
      <c r="V473" s="64"/>
      <c r="W473" s="64"/>
      <c r="X473" s="93"/>
      <c r="Y473" s="94"/>
      <c r="Z473" s="91" t="str">
        <f t="shared" si="298"/>
        <v>100%</v>
      </c>
      <c r="AA473" s="67"/>
      <c r="AB473" s="473"/>
      <c r="AC473" s="478" t="s">
        <v>2711</v>
      </c>
      <c r="AD473" s="67"/>
    </row>
    <row r="474" spans="2:30">
      <c r="B474" s="64" t="s">
        <v>107</v>
      </c>
      <c r="C474" s="65" t="s">
        <v>543</v>
      </c>
      <c r="D474" s="66">
        <v>6.96</v>
      </c>
      <c r="E474" s="67">
        <v>44631</v>
      </c>
      <c r="F474" s="64">
        <v>0</v>
      </c>
      <c r="G474" s="67">
        <v>44604</v>
      </c>
      <c r="H474" s="64">
        <v>0</v>
      </c>
      <c r="I474" s="67">
        <v>44650</v>
      </c>
      <c r="J474" s="64">
        <f t="shared" si="300"/>
        <v>0</v>
      </c>
      <c r="K474" s="67">
        <v>44635</v>
      </c>
      <c r="L474" s="64">
        <f t="shared" si="301"/>
        <v>0</v>
      </c>
      <c r="M474" s="64">
        <f t="shared" si="302"/>
        <v>0</v>
      </c>
      <c r="N474" s="67">
        <f>IF(AND(I474&gt;0,K474&gt;0),MAX(I474:K474)+1,"")</f>
        <v>44651</v>
      </c>
      <c r="O474" s="64">
        <f t="shared" si="303"/>
        <v>1</v>
      </c>
      <c r="P474" s="64">
        <f t="shared" si="304"/>
        <v>0</v>
      </c>
      <c r="Q474" s="91" t="str">
        <f t="shared" si="296"/>
        <v>Selesai</v>
      </c>
      <c r="R474" s="64">
        <f t="shared" si="305"/>
        <v>0</v>
      </c>
      <c r="S474" s="67">
        <v>44646</v>
      </c>
      <c r="T474" s="67">
        <v>44670</v>
      </c>
      <c r="U474" s="64">
        <f t="shared" si="297"/>
        <v>1</v>
      </c>
      <c r="V474" s="64"/>
      <c r="W474" s="64"/>
      <c r="X474" s="93"/>
      <c r="Y474" s="94"/>
      <c r="Z474" s="91" t="str">
        <f t="shared" si="298"/>
        <v>100%</v>
      </c>
      <c r="AA474" s="67"/>
      <c r="AB474" s="473"/>
      <c r="AC474" s="478" t="s">
        <v>2711</v>
      </c>
      <c r="AD474" s="67"/>
    </row>
    <row r="475" spans="2:30">
      <c r="B475" s="64" t="s">
        <v>107</v>
      </c>
      <c r="C475" s="65" t="s">
        <v>544</v>
      </c>
      <c r="D475" s="66">
        <v>11.71</v>
      </c>
      <c r="E475" s="67">
        <v>44625</v>
      </c>
      <c r="F475" s="64">
        <v>0</v>
      </c>
      <c r="G475" s="67">
        <v>44604</v>
      </c>
      <c r="H475" s="64">
        <v>0</v>
      </c>
      <c r="I475" s="67">
        <v>44656</v>
      </c>
      <c r="J475" s="64">
        <f t="shared" si="300"/>
        <v>0</v>
      </c>
      <c r="K475" s="67">
        <v>44635</v>
      </c>
      <c r="L475" s="64">
        <f t="shared" si="301"/>
        <v>0</v>
      </c>
      <c r="M475" s="64">
        <f t="shared" si="302"/>
        <v>0</v>
      </c>
      <c r="N475" s="67">
        <f>IF(AND(I475&gt;0,K475&gt;0),MAX(I475:K475)+1,"")</f>
        <v>44657</v>
      </c>
      <c r="O475" s="64">
        <f t="shared" si="303"/>
        <v>1</v>
      </c>
      <c r="P475" s="64">
        <f t="shared" si="304"/>
        <v>0</v>
      </c>
      <c r="Q475" s="91" t="str">
        <f t="shared" si="296"/>
        <v>Selesai</v>
      </c>
      <c r="R475" s="64">
        <f t="shared" si="305"/>
        <v>0</v>
      </c>
      <c r="S475" s="67">
        <v>44651</v>
      </c>
      <c r="T475" s="67">
        <v>44670</v>
      </c>
      <c r="U475" s="64">
        <f t="shared" si="297"/>
        <v>1</v>
      </c>
      <c r="V475" s="64"/>
      <c r="W475" s="64"/>
      <c r="X475" s="93"/>
      <c r="Y475" s="94"/>
      <c r="Z475" s="91" t="str">
        <f t="shared" si="298"/>
        <v>100%</v>
      </c>
      <c r="AA475" s="67"/>
      <c r="AB475" s="473"/>
      <c r="AC475" s="478" t="s">
        <v>2711</v>
      </c>
      <c r="AD475" s="67"/>
    </row>
    <row r="476" spans="2:30">
      <c r="B476" s="64" t="s">
        <v>111</v>
      </c>
      <c r="C476" s="65" t="s">
        <v>545</v>
      </c>
      <c r="D476" s="66">
        <v>5.92</v>
      </c>
      <c r="E476" s="67">
        <v>44641</v>
      </c>
      <c r="F476" s="64">
        <v>0</v>
      </c>
      <c r="G476" s="67">
        <v>44643</v>
      </c>
      <c r="H476" s="64">
        <v>0</v>
      </c>
      <c r="I476" s="67">
        <v>44650</v>
      </c>
      <c r="J476" s="64">
        <f t="shared" si="300"/>
        <v>0</v>
      </c>
      <c r="K476" s="67">
        <v>44638</v>
      </c>
      <c r="L476" s="64">
        <f t="shared" si="301"/>
        <v>0</v>
      </c>
      <c r="M476" s="64">
        <f t="shared" si="302"/>
        <v>0</v>
      </c>
      <c r="N476" s="67">
        <f>IF(AND(I476&gt;0,K476&gt;0),MAX(I476:K476)+1,"")</f>
        <v>44651</v>
      </c>
      <c r="O476" s="64">
        <f t="shared" si="303"/>
        <v>1</v>
      </c>
      <c r="P476" s="64">
        <f t="shared" si="304"/>
        <v>0</v>
      </c>
      <c r="Q476" s="91" t="str">
        <f t="shared" si="296"/>
        <v>Selesai</v>
      </c>
      <c r="R476" s="64">
        <f t="shared" si="305"/>
        <v>0</v>
      </c>
      <c r="S476" s="67">
        <v>44648</v>
      </c>
      <c r="T476" s="67">
        <v>44670</v>
      </c>
      <c r="U476" s="64">
        <f t="shared" si="297"/>
        <v>1</v>
      </c>
      <c r="V476" s="64"/>
      <c r="W476" s="64"/>
      <c r="X476" s="93"/>
      <c r="Y476" s="94"/>
      <c r="Z476" s="91" t="str">
        <f t="shared" si="298"/>
        <v>100%</v>
      </c>
      <c r="AA476" s="67"/>
      <c r="AB476" s="473"/>
      <c r="AC476" s="478" t="s">
        <v>2711</v>
      </c>
      <c r="AD476" s="67"/>
    </row>
    <row r="477" spans="2:30">
      <c r="B477" s="64" t="s">
        <v>118</v>
      </c>
      <c r="C477" s="65" t="s">
        <v>546</v>
      </c>
      <c r="D477" s="66">
        <v>3.31</v>
      </c>
      <c r="E477" s="67">
        <v>44642</v>
      </c>
      <c r="F477" s="64">
        <v>0</v>
      </c>
      <c r="G477" s="67">
        <v>44643</v>
      </c>
      <c r="H477" s="64">
        <v>0</v>
      </c>
      <c r="I477" s="67">
        <v>44669</v>
      </c>
      <c r="J477" s="64">
        <f t="shared" si="300"/>
        <v>0</v>
      </c>
      <c r="K477" s="67">
        <v>44651</v>
      </c>
      <c r="L477" s="64">
        <f t="shared" si="301"/>
        <v>0</v>
      </c>
      <c r="M477" s="64">
        <f t="shared" si="302"/>
        <v>0</v>
      </c>
      <c r="N477" s="67">
        <v>44584</v>
      </c>
      <c r="O477" s="64">
        <f t="shared" si="303"/>
        <v>1</v>
      </c>
      <c r="P477" s="64">
        <f t="shared" si="304"/>
        <v>0</v>
      </c>
      <c r="Q477" s="91" t="str">
        <f t="shared" si="296"/>
        <v>Selesai</v>
      </c>
      <c r="R477" s="64">
        <f t="shared" si="305"/>
        <v>0</v>
      </c>
      <c r="S477" s="67">
        <v>44664</v>
      </c>
      <c r="T477" s="67">
        <v>44677</v>
      </c>
      <c r="U477" s="64">
        <f t="shared" si="297"/>
        <v>1</v>
      </c>
      <c r="V477" s="64"/>
      <c r="W477" s="64"/>
      <c r="X477" s="93"/>
      <c r="Y477" s="94"/>
      <c r="Z477" s="91" t="str">
        <f t="shared" si="298"/>
        <v>100%</v>
      </c>
      <c r="AA477" s="67"/>
      <c r="AB477" s="473"/>
      <c r="AC477" s="478" t="s">
        <v>2711</v>
      </c>
      <c r="AD477" s="67"/>
    </row>
    <row r="478" spans="2:30">
      <c r="B478" s="64" t="s">
        <v>109</v>
      </c>
      <c r="C478" s="65" t="s">
        <v>547</v>
      </c>
      <c r="D478" s="66">
        <v>5.2</v>
      </c>
      <c r="E478" s="67">
        <v>44643</v>
      </c>
      <c r="F478" s="64">
        <v>0</v>
      </c>
      <c r="G478" s="67">
        <v>44644</v>
      </c>
      <c r="H478" s="64">
        <v>0</v>
      </c>
      <c r="I478" s="67">
        <v>44661</v>
      </c>
      <c r="J478" s="64">
        <f t="shared" si="300"/>
        <v>0</v>
      </c>
      <c r="K478" s="67">
        <v>44648</v>
      </c>
      <c r="L478" s="64">
        <f t="shared" si="301"/>
        <v>0</v>
      </c>
      <c r="M478" s="64">
        <f t="shared" si="302"/>
        <v>0</v>
      </c>
      <c r="N478" s="67">
        <f>IF(AND(I478&gt;0,K478&gt;0),MAX(I478:K478)+1,"")</f>
        <v>44662</v>
      </c>
      <c r="O478" s="64">
        <f t="shared" si="303"/>
        <v>1</v>
      </c>
      <c r="P478" s="64">
        <f t="shared" si="304"/>
        <v>0</v>
      </c>
      <c r="Q478" s="91" t="str">
        <f t="shared" si="296"/>
        <v>Selesai</v>
      </c>
      <c r="R478" s="64">
        <f t="shared" si="305"/>
        <v>0</v>
      </c>
      <c r="S478" s="67">
        <v>44655</v>
      </c>
      <c r="T478" s="67">
        <v>44690</v>
      </c>
      <c r="U478" s="64">
        <f t="shared" si="297"/>
        <v>1</v>
      </c>
      <c r="V478" s="64"/>
      <c r="W478" s="64"/>
      <c r="X478" s="93"/>
      <c r="Y478" s="94"/>
      <c r="Z478" s="91" t="str">
        <f t="shared" si="298"/>
        <v>100%</v>
      </c>
      <c r="AA478" s="67"/>
      <c r="AB478" s="473"/>
      <c r="AC478" s="478" t="s">
        <v>2711</v>
      </c>
      <c r="AD478" s="67"/>
    </row>
    <row r="479" spans="2:30">
      <c r="B479" s="64" t="s">
        <v>109</v>
      </c>
      <c r="C479" s="65" t="s">
        <v>548</v>
      </c>
      <c r="D479" s="66">
        <v>8.6999999999999993</v>
      </c>
      <c r="E479" s="67">
        <v>44659</v>
      </c>
      <c r="F479" s="64">
        <v>0</v>
      </c>
      <c r="G479" s="67">
        <v>44663</v>
      </c>
      <c r="H479" s="64">
        <v>0</v>
      </c>
      <c r="I479" s="67">
        <v>44671</v>
      </c>
      <c r="J479" s="64">
        <f t="shared" si="300"/>
        <v>0</v>
      </c>
      <c r="K479" s="67">
        <v>44662</v>
      </c>
      <c r="L479" s="64">
        <f t="shared" si="301"/>
        <v>0</v>
      </c>
      <c r="M479" s="64">
        <f t="shared" si="302"/>
        <v>0</v>
      </c>
      <c r="N479" s="67">
        <f>IF(AND(I479&gt;0,K479&gt;0),MAX(I479:K479)+1,"")</f>
        <v>44672</v>
      </c>
      <c r="O479" s="64">
        <f t="shared" si="303"/>
        <v>1</v>
      </c>
      <c r="P479" s="64">
        <f t="shared" si="304"/>
        <v>0</v>
      </c>
      <c r="Q479" s="91" t="str">
        <f t="shared" si="296"/>
        <v>Selesai</v>
      </c>
      <c r="R479" s="64">
        <f t="shared" si="305"/>
        <v>0</v>
      </c>
      <c r="S479" s="67">
        <v>44666</v>
      </c>
      <c r="T479" s="67">
        <v>44690</v>
      </c>
      <c r="U479" s="64">
        <f t="shared" si="297"/>
        <v>1</v>
      </c>
      <c r="V479" s="64"/>
      <c r="W479" s="64"/>
      <c r="X479" s="93"/>
      <c r="Y479" s="94"/>
      <c r="Z479" s="91" t="str">
        <f t="shared" si="298"/>
        <v>100%</v>
      </c>
      <c r="AA479" s="67"/>
      <c r="AB479" s="473"/>
      <c r="AC479" s="478" t="s">
        <v>2711</v>
      </c>
      <c r="AD479" s="67"/>
    </row>
    <row r="480" spans="2:30">
      <c r="B480" s="64" t="s">
        <v>107</v>
      </c>
      <c r="C480" s="65" t="s">
        <v>549</v>
      </c>
      <c r="D480" s="66">
        <v>1.42</v>
      </c>
      <c r="E480" s="67">
        <v>44656</v>
      </c>
      <c r="F480" s="64">
        <v>0</v>
      </c>
      <c r="G480" s="67">
        <v>44659</v>
      </c>
      <c r="H480" s="64">
        <v>0</v>
      </c>
      <c r="I480" s="67">
        <v>44671</v>
      </c>
      <c r="J480" s="64">
        <f t="shared" si="300"/>
        <v>0</v>
      </c>
      <c r="K480" s="67">
        <v>44664</v>
      </c>
      <c r="L480" s="64">
        <f t="shared" si="301"/>
        <v>0</v>
      </c>
      <c r="M480" s="64">
        <f t="shared" si="302"/>
        <v>0</v>
      </c>
      <c r="N480" s="67">
        <f>IF(AND(I480&gt;0,K480&gt;0),MAX(I480:K480)+1,"")</f>
        <v>44672</v>
      </c>
      <c r="O480" s="64">
        <f t="shared" si="303"/>
        <v>1</v>
      </c>
      <c r="P480" s="64">
        <f t="shared" si="304"/>
        <v>0</v>
      </c>
      <c r="Q480" s="91" t="str">
        <f t="shared" si="296"/>
        <v>Selesai</v>
      </c>
      <c r="R480" s="64">
        <f t="shared" si="305"/>
        <v>0</v>
      </c>
      <c r="S480" s="67">
        <v>44665</v>
      </c>
      <c r="T480" s="67">
        <v>44691</v>
      </c>
      <c r="U480" s="64">
        <f t="shared" si="297"/>
        <v>1</v>
      </c>
      <c r="V480" s="64"/>
      <c r="W480" s="64"/>
      <c r="X480" s="93"/>
      <c r="Y480" s="94"/>
      <c r="Z480" s="91" t="str">
        <f t="shared" si="298"/>
        <v>100%</v>
      </c>
      <c r="AA480" s="67"/>
      <c r="AB480" s="473"/>
      <c r="AC480" s="478" t="s">
        <v>2711</v>
      </c>
      <c r="AD480" s="67"/>
    </row>
    <row r="481" spans="2:30">
      <c r="B481" s="64" t="s">
        <v>109</v>
      </c>
      <c r="C481" s="65" t="s">
        <v>550</v>
      </c>
      <c r="D481" s="66">
        <v>5.83</v>
      </c>
      <c r="E481" s="67">
        <v>44660</v>
      </c>
      <c r="F481" s="64">
        <v>0</v>
      </c>
      <c r="G481" s="67">
        <v>44663</v>
      </c>
      <c r="H481" s="64">
        <v>0</v>
      </c>
      <c r="I481" s="67">
        <v>44679</v>
      </c>
      <c r="J481" s="64">
        <f t="shared" si="300"/>
        <v>0</v>
      </c>
      <c r="K481" s="67">
        <v>44664</v>
      </c>
      <c r="L481" s="64">
        <f t="shared" si="301"/>
        <v>0</v>
      </c>
      <c r="M481" s="64">
        <f t="shared" si="302"/>
        <v>0</v>
      </c>
      <c r="N481" s="67">
        <f>IF(AND(I481&gt;0,K481&gt;0),MAX(I481:K481)+1,"")</f>
        <v>44680</v>
      </c>
      <c r="O481" s="64">
        <f t="shared" si="303"/>
        <v>1</v>
      </c>
      <c r="P481" s="64">
        <f t="shared" si="304"/>
        <v>0</v>
      </c>
      <c r="Q481" s="91" t="str">
        <f t="shared" si="296"/>
        <v>Selesai</v>
      </c>
      <c r="R481" s="64">
        <f t="shared" si="305"/>
        <v>0</v>
      </c>
      <c r="S481" s="67">
        <v>44674</v>
      </c>
      <c r="T481" s="67">
        <v>44691</v>
      </c>
      <c r="U481" s="64">
        <f t="shared" si="297"/>
        <v>1</v>
      </c>
      <c r="V481" s="64"/>
      <c r="W481" s="64"/>
      <c r="X481" s="93"/>
      <c r="Y481" s="94"/>
      <c r="Z481" s="91" t="str">
        <f t="shared" si="298"/>
        <v>100%</v>
      </c>
      <c r="AA481" s="67"/>
      <c r="AB481" s="473"/>
      <c r="AC481" s="478" t="s">
        <v>2711</v>
      </c>
      <c r="AD481" s="67"/>
    </row>
    <row r="482" spans="2:30">
      <c r="B482" s="64" t="s">
        <v>107</v>
      </c>
      <c r="C482" s="65" t="s">
        <v>551</v>
      </c>
      <c r="D482" s="66">
        <v>8.5</v>
      </c>
      <c r="E482" s="67">
        <v>44650</v>
      </c>
      <c r="F482" s="64">
        <v>0</v>
      </c>
      <c r="G482" s="67">
        <v>44650</v>
      </c>
      <c r="H482" s="64">
        <v>0</v>
      </c>
      <c r="I482" s="67">
        <v>44666</v>
      </c>
      <c r="J482" s="64">
        <f t="shared" si="300"/>
        <v>0</v>
      </c>
      <c r="K482" s="67">
        <v>44659</v>
      </c>
      <c r="L482" s="64">
        <f t="shared" si="301"/>
        <v>0</v>
      </c>
      <c r="M482" s="64">
        <f t="shared" si="302"/>
        <v>0</v>
      </c>
      <c r="N482" s="67">
        <f>IF(AND(I482&gt;0,K482&gt;0),MAX(I482:K482)+1,"")</f>
        <v>44667</v>
      </c>
      <c r="O482" s="64">
        <f t="shared" si="303"/>
        <v>1</v>
      </c>
      <c r="P482" s="64">
        <f t="shared" si="304"/>
        <v>0</v>
      </c>
      <c r="Q482" s="91" t="str">
        <f t="shared" si="296"/>
        <v>Selesai</v>
      </c>
      <c r="R482" s="64">
        <f t="shared" si="305"/>
        <v>0</v>
      </c>
      <c r="S482" s="67">
        <v>44660</v>
      </c>
      <c r="T482" s="67">
        <v>44699</v>
      </c>
      <c r="U482" s="64">
        <f t="shared" si="297"/>
        <v>1</v>
      </c>
      <c r="V482" s="64"/>
      <c r="W482" s="64"/>
      <c r="X482" s="93"/>
      <c r="Y482" s="94"/>
      <c r="Z482" s="91" t="str">
        <f t="shared" si="298"/>
        <v>100%</v>
      </c>
      <c r="AA482" s="67"/>
      <c r="AB482" s="473"/>
      <c r="AC482" s="478" t="s">
        <v>2711</v>
      </c>
      <c r="AD482" s="67"/>
    </row>
    <row r="483" spans="2:30">
      <c r="B483" s="64" t="s">
        <v>116</v>
      </c>
      <c r="C483" s="65" t="s">
        <v>552</v>
      </c>
      <c r="D483" s="66">
        <v>13.36</v>
      </c>
      <c r="E483" s="67">
        <v>44641</v>
      </c>
      <c r="F483" s="64">
        <v>0</v>
      </c>
      <c r="G483" s="67">
        <v>44642</v>
      </c>
      <c r="H483" s="64">
        <v>0</v>
      </c>
      <c r="I483" s="67">
        <v>44661</v>
      </c>
      <c r="J483" s="64">
        <f t="shared" si="300"/>
        <v>0</v>
      </c>
      <c r="K483" s="67">
        <v>44638</v>
      </c>
      <c r="L483" s="64">
        <f t="shared" si="301"/>
        <v>0</v>
      </c>
      <c r="M483" s="64">
        <f t="shared" si="302"/>
        <v>0</v>
      </c>
      <c r="N483" s="67">
        <v>44584</v>
      </c>
      <c r="O483" s="64">
        <f t="shared" si="303"/>
        <v>1</v>
      </c>
      <c r="P483" s="64">
        <f t="shared" si="304"/>
        <v>0</v>
      </c>
      <c r="Q483" s="91" t="str">
        <f t="shared" si="296"/>
        <v>Selesai</v>
      </c>
      <c r="R483" s="64">
        <f t="shared" si="305"/>
        <v>0</v>
      </c>
      <c r="S483" s="67">
        <v>44655</v>
      </c>
      <c r="T483" s="67">
        <v>44699</v>
      </c>
      <c r="U483" s="64">
        <f t="shared" si="297"/>
        <v>1</v>
      </c>
      <c r="V483" s="64"/>
      <c r="W483" s="64"/>
      <c r="X483" s="93"/>
      <c r="Y483" s="94"/>
      <c r="Z483" s="91" t="str">
        <f t="shared" si="298"/>
        <v>100%</v>
      </c>
      <c r="AA483" s="67"/>
      <c r="AB483" s="473"/>
      <c r="AC483" s="478" t="s">
        <v>2711</v>
      </c>
      <c r="AD483" s="67"/>
    </row>
    <row r="484" spans="2:30">
      <c r="B484" s="64" t="s">
        <v>105</v>
      </c>
      <c r="C484" s="65" t="s">
        <v>553</v>
      </c>
      <c r="D484" s="66">
        <v>11.22</v>
      </c>
      <c r="E484" s="67">
        <v>44655</v>
      </c>
      <c r="F484" s="64">
        <v>0</v>
      </c>
      <c r="G484" s="67">
        <v>44660</v>
      </c>
      <c r="H484" s="64">
        <v>0</v>
      </c>
      <c r="I484" s="67">
        <v>44666</v>
      </c>
      <c r="J484" s="64">
        <f t="shared" si="300"/>
        <v>0</v>
      </c>
      <c r="K484" s="67">
        <v>44660</v>
      </c>
      <c r="L484" s="64">
        <f t="shared" si="301"/>
        <v>0</v>
      </c>
      <c r="M484" s="64">
        <f t="shared" si="302"/>
        <v>0</v>
      </c>
      <c r="N484" s="67">
        <f t="shared" ref="N484:N492" si="306">IF(AND(I484&gt;0,K484&gt;0),MAX(I484:K484)+1,"")</f>
        <v>44667</v>
      </c>
      <c r="O484" s="64">
        <f t="shared" si="303"/>
        <v>1</v>
      </c>
      <c r="P484" s="64">
        <f t="shared" si="304"/>
        <v>0</v>
      </c>
      <c r="Q484" s="91" t="str">
        <f t="shared" si="296"/>
        <v>Selesai</v>
      </c>
      <c r="R484" s="64">
        <f t="shared" si="305"/>
        <v>0</v>
      </c>
      <c r="S484" s="67">
        <v>44663</v>
      </c>
      <c r="T484" s="67">
        <v>44702</v>
      </c>
      <c r="U484" s="64">
        <f t="shared" si="297"/>
        <v>1</v>
      </c>
      <c r="V484" s="64"/>
      <c r="W484" s="64"/>
      <c r="X484" s="93"/>
      <c r="Y484" s="94"/>
      <c r="Z484" s="91" t="str">
        <f t="shared" si="298"/>
        <v>100%</v>
      </c>
      <c r="AA484" s="67"/>
      <c r="AB484" s="473"/>
      <c r="AC484" s="478" t="s">
        <v>2711</v>
      </c>
      <c r="AD484" s="67"/>
    </row>
    <row r="485" spans="2:30">
      <c r="B485" s="64" t="s">
        <v>116</v>
      </c>
      <c r="C485" s="65" t="s">
        <v>554</v>
      </c>
      <c r="D485" s="66">
        <v>5.62</v>
      </c>
      <c r="E485" s="67">
        <v>44642</v>
      </c>
      <c r="F485" s="64">
        <v>0</v>
      </c>
      <c r="G485" s="67">
        <v>44643</v>
      </c>
      <c r="H485" s="64">
        <v>0</v>
      </c>
      <c r="I485" s="67">
        <v>44661</v>
      </c>
      <c r="J485" s="64">
        <f t="shared" si="300"/>
        <v>0</v>
      </c>
      <c r="K485" s="67">
        <v>44651</v>
      </c>
      <c r="L485" s="64">
        <f t="shared" si="301"/>
        <v>0</v>
      </c>
      <c r="M485" s="64">
        <f t="shared" si="302"/>
        <v>0</v>
      </c>
      <c r="N485" s="67">
        <f t="shared" si="306"/>
        <v>44662</v>
      </c>
      <c r="O485" s="64">
        <f t="shared" si="303"/>
        <v>1</v>
      </c>
      <c r="P485" s="64">
        <f t="shared" si="304"/>
        <v>0</v>
      </c>
      <c r="Q485" s="91" t="str">
        <f t="shared" si="296"/>
        <v>Selesai</v>
      </c>
      <c r="R485" s="64">
        <f t="shared" si="305"/>
        <v>0</v>
      </c>
      <c r="S485" s="67">
        <v>44655</v>
      </c>
      <c r="T485" s="67">
        <v>44704</v>
      </c>
      <c r="U485" s="64">
        <f t="shared" si="297"/>
        <v>1</v>
      </c>
      <c r="V485" s="64"/>
      <c r="W485" s="64"/>
      <c r="X485" s="93"/>
      <c r="Y485" s="94"/>
      <c r="Z485" s="91" t="str">
        <f t="shared" si="298"/>
        <v>100%</v>
      </c>
      <c r="AA485" s="67"/>
      <c r="AB485" s="473"/>
      <c r="AC485" s="478" t="s">
        <v>2711</v>
      </c>
      <c r="AD485" s="67"/>
    </row>
    <row r="486" spans="2:30">
      <c r="B486" s="64" t="s">
        <v>109</v>
      </c>
      <c r="C486" s="65" t="s">
        <v>555</v>
      </c>
      <c r="D486" s="66">
        <v>4.18</v>
      </c>
      <c r="E486" s="67">
        <v>44678</v>
      </c>
      <c r="F486" s="64">
        <v>0</v>
      </c>
      <c r="G486" s="67">
        <v>44692</v>
      </c>
      <c r="H486" s="64">
        <v>0</v>
      </c>
      <c r="I486" s="67">
        <v>44706</v>
      </c>
      <c r="J486" s="64">
        <f t="shared" si="300"/>
        <v>0</v>
      </c>
      <c r="K486" s="67">
        <v>44693</v>
      </c>
      <c r="L486" s="64">
        <f t="shared" si="301"/>
        <v>0</v>
      </c>
      <c r="M486" s="64">
        <f t="shared" si="302"/>
        <v>0</v>
      </c>
      <c r="N486" s="67">
        <f t="shared" si="306"/>
        <v>44707</v>
      </c>
      <c r="O486" s="64">
        <f t="shared" si="303"/>
        <v>1</v>
      </c>
      <c r="P486" s="64">
        <f t="shared" si="304"/>
        <v>0</v>
      </c>
      <c r="Q486" s="91" t="str">
        <f t="shared" si="296"/>
        <v>Selesai</v>
      </c>
      <c r="R486" s="64">
        <f t="shared" si="305"/>
        <v>0</v>
      </c>
      <c r="S486" s="67">
        <v>44699</v>
      </c>
      <c r="T486" s="67">
        <v>44711</v>
      </c>
      <c r="U486" s="64">
        <f t="shared" si="297"/>
        <v>1</v>
      </c>
      <c r="V486" s="64"/>
      <c r="W486" s="64"/>
      <c r="X486" s="93"/>
      <c r="Y486" s="94"/>
      <c r="Z486" s="91" t="str">
        <f t="shared" si="298"/>
        <v>100%</v>
      </c>
      <c r="AA486" s="67"/>
      <c r="AB486" s="473"/>
      <c r="AC486" s="478" t="s">
        <v>2711</v>
      </c>
      <c r="AD486" s="67"/>
    </row>
    <row r="487" spans="2:30">
      <c r="B487" s="64" t="s">
        <v>116</v>
      </c>
      <c r="C487" s="65" t="s">
        <v>556</v>
      </c>
      <c r="D487" s="66">
        <v>8.42</v>
      </c>
      <c r="E487" s="67">
        <v>44642</v>
      </c>
      <c r="F487" s="64">
        <v>0</v>
      </c>
      <c r="G487" s="67">
        <v>44643</v>
      </c>
      <c r="H487" s="64">
        <v>0</v>
      </c>
      <c r="I487" s="67">
        <v>44666</v>
      </c>
      <c r="J487" s="64">
        <f t="shared" si="300"/>
        <v>0</v>
      </c>
      <c r="K487" s="67">
        <v>44651</v>
      </c>
      <c r="L487" s="64">
        <f t="shared" si="301"/>
        <v>0</v>
      </c>
      <c r="M487" s="64">
        <f t="shared" si="302"/>
        <v>0</v>
      </c>
      <c r="N487" s="67">
        <f t="shared" si="306"/>
        <v>44667</v>
      </c>
      <c r="O487" s="64">
        <f t="shared" si="303"/>
        <v>1</v>
      </c>
      <c r="P487" s="64">
        <f t="shared" si="304"/>
        <v>0</v>
      </c>
      <c r="Q487" s="91" t="str">
        <f t="shared" si="296"/>
        <v>Selesai</v>
      </c>
      <c r="R487" s="64">
        <f t="shared" si="305"/>
        <v>0</v>
      </c>
      <c r="S487" s="67">
        <v>44659</v>
      </c>
      <c r="T487" s="67">
        <v>44711</v>
      </c>
      <c r="U487" s="64">
        <f t="shared" si="297"/>
        <v>1</v>
      </c>
      <c r="V487" s="64"/>
      <c r="W487" s="64"/>
      <c r="X487" s="93"/>
      <c r="Y487" s="94"/>
      <c r="Z487" s="91" t="str">
        <f t="shared" si="298"/>
        <v>100%</v>
      </c>
      <c r="AA487" s="67"/>
      <c r="AB487" s="473"/>
      <c r="AC487" s="478" t="s">
        <v>2711</v>
      </c>
      <c r="AD487" s="67"/>
    </row>
    <row r="488" spans="2:30">
      <c r="B488" s="64" t="s">
        <v>107</v>
      </c>
      <c r="C488" s="65" t="s">
        <v>557</v>
      </c>
      <c r="D488" s="66">
        <v>12.3</v>
      </c>
      <c r="E488" s="67">
        <v>44656</v>
      </c>
      <c r="F488" s="64">
        <v>0</v>
      </c>
      <c r="G488" s="67">
        <v>44659</v>
      </c>
      <c r="H488" s="64">
        <v>0</v>
      </c>
      <c r="I488" s="67">
        <v>44666</v>
      </c>
      <c r="J488" s="64">
        <f t="shared" si="300"/>
        <v>0</v>
      </c>
      <c r="K488" s="67">
        <v>44659</v>
      </c>
      <c r="L488" s="64">
        <f t="shared" si="301"/>
        <v>0</v>
      </c>
      <c r="M488" s="64">
        <f t="shared" si="302"/>
        <v>0</v>
      </c>
      <c r="N488" s="67">
        <f t="shared" si="306"/>
        <v>44667</v>
      </c>
      <c r="O488" s="64">
        <f t="shared" si="303"/>
        <v>1</v>
      </c>
      <c r="P488" s="64">
        <f t="shared" si="304"/>
        <v>0</v>
      </c>
      <c r="Q488" s="91" t="str">
        <f t="shared" si="296"/>
        <v>Selesai</v>
      </c>
      <c r="R488" s="64">
        <f t="shared" si="305"/>
        <v>0</v>
      </c>
      <c r="S488" s="67">
        <v>44662</v>
      </c>
      <c r="T488" s="67">
        <v>44712</v>
      </c>
      <c r="U488" s="64">
        <f t="shared" si="297"/>
        <v>1</v>
      </c>
      <c r="V488" s="64"/>
      <c r="W488" s="64"/>
      <c r="X488" s="93"/>
      <c r="Y488" s="94"/>
      <c r="Z488" s="91" t="str">
        <f t="shared" si="298"/>
        <v>100%</v>
      </c>
      <c r="AA488" s="67"/>
      <c r="AB488" s="473"/>
      <c r="AC488" s="478" t="s">
        <v>2711</v>
      </c>
      <c r="AD488" s="67"/>
    </row>
    <row r="489" spans="2:30">
      <c r="B489" s="64" t="s">
        <v>107</v>
      </c>
      <c r="C489" s="65" t="s">
        <v>558</v>
      </c>
      <c r="D489" s="66">
        <v>5.14</v>
      </c>
      <c r="E489" s="67">
        <v>44656</v>
      </c>
      <c r="F489" s="64">
        <v>0</v>
      </c>
      <c r="G489" s="67">
        <v>44659</v>
      </c>
      <c r="H489" s="64">
        <v>0</v>
      </c>
      <c r="I489" s="67">
        <v>44676</v>
      </c>
      <c r="J489" s="64">
        <f t="shared" si="300"/>
        <v>0</v>
      </c>
      <c r="K489" s="67">
        <v>44659</v>
      </c>
      <c r="L489" s="64">
        <f t="shared" si="301"/>
        <v>0</v>
      </c>
      <c r="M489" s="64">
        <f t="shared" si="302"/>
        <v>0</v>
      </c>
      <c r="N489" s="67">
        <f t="shared" si="306"/>
        <v>44677</v>
      </c>
      <c r="O489" s="64">
        <f t="shared" si="303"/>
        <v>1</v>
      </c>
      <c r="P489" s="64">
        <f t="shared" si="304"/>
        <v>0</v>
      </c>
      <c r="Q489" s="91" t="str">
        <f t="shared" si="296"/>
        <v>Selesai</v>
      </c>
      <c r="R489" s="64">
        <f t="shared" si="305"/>
        <v>0</v>
      </c>
      <c r="S489" s="67">
        <v>44670</v>
      </c>
      <c r="T489" s="67">
        <v>44712</v>
      </c>
      <c r="U489" s="64">
        <f t="shared" si="297"/>
        <v>1</v>
      </c>
      <c r="V489" s="64"/>
      <c r="W489" s="64"/>
      <c r="X489" s="93"/>
      <c r="Y489" s="94"/>
      <c r="Z489" s="91" t="str">
        <f t="shared" si="298"/>
        <v>100%</v>
      </c>
      <c r="AA489" s="67"/>
      <c r="AB489" s="473"/>
      <c r="AC489" s="478" t="s">
        <v>2711</v>
      </c>
      <c r="AD489" s="67"/>
    </row>
    <row r="490" spans="2:30">
      <c r="B490" s="64" t="s">
        <v>111</v>
      </c>
      <c r="C490" s="65" t="s">
        <v>559</v>
      </c>
      <c r="D490" s="66">
        <v>6.38</v>
      </c>
      <c r="E490" s="67">
        <v>44665</v>
      </c>
      <c r="F490" s="64">
        <v>0</v>
      </c>
      <c r="G490" s="67">
        <v>44666</v>
      </c>
      <c r="H490" s="64">
        <v>0</v>
      </c>
      <c r="I490" s="67">
        <v>44676</v>
      </c>
      <c r="J490" s="64">
        <f t="shared" si="300"/>
        <v>0</v>
      </c>
      <c r="K490" s="67">
        <v>44671</v>
      </c>
      <c r="L490" s="64">
        <f t="shared" si="301"/>
        <v>0</v>
      </c>
      <c r="M490" s="64">
        <f t="shared" si="302"/>
        <v>0</v>
      </c>
      <c r="N490" s="67">
        <f t="shared" si="306"/>
        <v>44677</v>
      </c>
      <c r="O490" s="64">
        <f t="shared" si="303"/>
        <v>1</v>
      </c>
      <c r="P490" s="64">
        <f t="shared" si="304"/>
        <v>0</v>
      </c>
      <c r="Q490" s="91" t="str">
        <f t="shared" si="296"/>
        <v>Selesai</v>
      </c>
      <c r="R490" s="64">
        <f t="shared" si="305"/>
        <v>0</v>
      </c>
      <c r="S490" s="67">
        <v>44673</v>
      </c>
      <c r="T490" s="67">
        <v>44712</v>
      </c>
      <c r="U490" s="64">
        <f t="shared" si="297"/>
        <v>1</v>
      </c>
      <c r="V490" s="64"/>
      <c r="W490" s="64"/>
      <c r="X490" s="93"/>
      <c r="Y490" s="94"/>
      <c r="Z490" s="91" t="str">
        <f t="shared" si="298"/>
        <v>100%</v>
      </c>
      <c r="AA490" s="67"/>
      <c r="AB490" s="473"/>
      <c r="AC490" s="478" t="s">
        <v>2711</v>
      </c>
      <c r="AD490" s="67"/>
    </row>
    <row r="491" spans="2:30">
      <c r="B491" s="64" t="s">
        <v>116</v>
      </c>
      <c r="C491" s="65" t="s">
        <v>560</v>
      </c>
      <c r="D491" s="66">
        <v>9.82</v>
      </c>
      <c r="E491" s="67">
        <v>44630</v>
      </c>
      <c r="F491" s="64">
        <v>0</v>
      </c>
      <c r="G491" s="67">
        <v>44642</v>
      </c>
      <c r="H491" s="64">
        <v>0</v>
      </c>
      <c r="I491" s="67">
        <v>44666</v>
      </c>
      <c r="J491" s="64">
        <f t="shared" si="300"/>
        <v>0</v>
      </c>
      <c r="K491" s="67">
        <v>44638</v>
      </c>
      <c r="L491" s="64">
        <f t="shared" si="301"/>
        <v>0</v>
      </c>
      <c r="M491" s="64">
        <f t="shared" si="302"/>
        <v>0</v>
      </c>
      <c r="N491" s="67">
        <f t="shared" si="306"/>
        <v>44667</v>
      </c>
      <c r="O491" s="64">
        <f t="shared" si="303"/>
        <v>1</v>
      </c>
      <c r="P491" s="64">
        <f t="shared" si="304"/>
        <v>0</v>
      </c>
      <c r="Q491" s="91" t="str">
        <f t="shared" si="296"/>
        <v>Selesai</v>
      </c>
      <c r="R491" s="64">
        <f t="shared" si="305"/>
        <v>0</v>
      </c>
      <c r="S491" s="67">
        <v>44659</v>
      </c>
      <c r="T491" s="67">
        <v>44712</v>
      </c>
      <c r="U491" s="64">
        <f t="shared" si="297"/>
        <v>1</v>
      </c>
      <c r="V491" s="64"/>
      <c r="W491" s="64"/>
      <c r="X491" s="93"/>
      <c r="Y491" s="94"/>
      <c r="Z491" s="91" t="str">
        <f t="shared" si="298"/>
        <v>100%</v>
      </c>
      <c r="AA491" s="67"/>
      <c r="AB491" s="473"/>
      <c r="AC491" s="478" t="s">
        <v>2711</v>
      </c>
      <c r="AD491" s="67"/>
    </row>
    <row r="492" spans="2:30">
      <c r="B492" s="64" t="s">
        <v>111</v>
      </c>
      <c r="C492" s="65" t="s">
        <v>561</v>
      </c>
      <c r="D492" s="66">
        <v>9.5500000000000007</v>
      </c>
      <c r="E492" s="67">
        <v>44658</v>
      </c>
      <c r="F492" s="64">
        <v>0</v>
      </c>
      <c r="G492" s="67">
        <v>44662</v>
      </c>
      <c r="H492" s="64">
        <v>0</v>
      </c>
      <c r="I492" s="67">
        <v>44671</v>
      </c>
      <c r="J492" s="64">
        <f t="shared" si="300"/>
        <v>0</v>
      </c>
      <c r="K492" s="67">
        <v>44659</v>
      </c>
      <c r="L492" s="64">
        <f t="shared" si="301"/>
        <v>0</v>
      </c>
      <c r="M492" s="64">
        <f t="shared" si="302"/>
        <v>0</v>
      </c>
      <c r="N492" s="67">
        <f t="shared" si="306"/>
        <v>44672</v>
      </c>
      <c r="O492" s="64">
        <f t="shared" si="303"/>
        <v>1</v>
      </c>
      <c r="P492" s="64">
        <f t="shared" si="304"/>
        <v>0</v>
      </c>
      <c r="Q492" s="91" t="str">
        <f t="shared" si="296"/>
        <v>Selesai</v>
      </c>
      <c r="R492" s="64">
        <f t="shared" si="305"/>
        <v>0</v>
      </c>
      <c r="S492" s="67">
        <v>44666</v>
      </c>
      <c r="T492" s="67">
        <v>44712</v>
      </c>
      <c r="U492" s="64">
        <f t="shared" si="297"/>
        <v>1</v>
      </c>
      <c r="V492" s="64"/>
      <c r="W492" s="64"/>
      <c r="X492" s="93"/>
      <c r="Y492" s="94"/>
      <c r="Z492" s="91" t="str">
        <f t="shared" si="298"/>
        <v>100%</v>
      </c>
      <c r="AA492" s="67"/>
      <c r="AB492" s="473"/>
      <c r="AC492" s="478" t="s">
        <v>2711</v>
      </c>
      <c r="AD492" s="67"/>
    </row>
    <row r="493" spans="2:30">
      <c r="B493" s="64" t="s">
        <v>105</v>
      </c>
      <c r="C493" s="65" t="s">
        <v>562</v>
      </c>
      <c r="D493" s="66">
        <v>4.57</v>
      </c>
      <c r="E493" s="67">
        <v>44660</v>
      </c>
      <c r="F493" s="64">
        <v>0</v>
      </c>
      <c r="G493" s="67">
        <v>44660</v>
      </c>
      <c r="H493" s="64">
        <v>0</v>
      </c>
      <c r="I493" s="67">
        <v>44671</v>
      </c>
      <c r="J493" s="64">
        <f t="shared" si="300"/>
        <v>0</v>
      </c>
      <c r="K493" s="67">
        <v>44660</v>
      </c>
      <c r="L493" s="64">
        <f t="shared" si="301"/>
        <v>0</v>
      </c>
      <c r="M493" s="64">
        <f t="shared" si="302"/>
        <v>0</v>
      </c>
      <c r="N493" s="67">
        <v>44584</v>
      </c>
      <c r="O493" s="64">
        <f t="shared" si="303"/>
        <v>1</v>
      </c>
      <c r="P493" s="64">
        <f t="shared" si="304"/>
        <v>0</v>
      </c>
      <c r="Q493" s="91" t="str">
        <f t="shared" si="296"/>
        <v>Selesai</v>
      </c>
      <c r="R493" s="64">
        <f t="shared" si="305"/>
        <v>0</v>
      </c>
      <c r="S493" s="67">
        <v>44669</v>
      </c>
      <c r="T493" s="67">
        <v>44712</v>
      </c>
      <c r="U493" s="64">
        <f t="shared" si="297"/>
        <v>1</v>
      </c>
      <c r="V493" s="64"/>
      <c r="W493" s="64"/>
      <c r="X493" s="93"/>
      <c r="Y493" s="94"/>
      <c r="Z493" s="91" t="str">
        <f t="shared" si="298"/>
        <v>100%</v>
      </c>
      <c r="AA493" s="67"/>
      <c r="AB493" s="473"/>
      <c r="AC493" s="478" t="s">
        <v>2711</v>
      </c>
      <c r="AD493" s="67"/>
    </row>
    <row r="494" spans="2:30">
      <c r="B494" s="64" t="s">
        <v>118</v>
      </c>
      <c r="C494" s="65" t="s">
        <v>563</v>
      </c>
      <c r="D494" s="66">
        <v>9.68</v>
      </c>
      <c r="E494" s="67">
        <v>44664</v>
      </c>
      <c r="F494" s="64">
        <v>0</v>
      </c>
      <c r="G494" s="67">
        <v>44665</v>
      </c>
      <c r="H494" s="64">
        <v>0</v>
      </c>
      <c r="I494" s="67">
        <v>44679</v>
      </c>
      <c r="J494" s="64">
        <f t="shared" si="300"/>
        <v>0</v>
      </c>
      <c r="K494" s="67">
        <v>44658</v>
      </c>
      <c r="L494" s="64">
        <f t="shared" si="301"/>
        <v>0</v>
      </c>
      <c r="M494" s="64">
        <f t="shared" si="302"/>
        <v>0</v>
      </c>
      <c r="N494" s="67">
        <f t="shared" ref="N494:N523" si="307">IF(AND(I494&gt;0,K494&gt;0),MAX(I494:K494)+1,"")</f>
        <v>44680</v>
      </c>
      <c r="O494" s="64">
        <f t="shared" si="303"/>
        <v>1</v>
      </c>
      <c r="P494" s="64">
        <f t="shared" si="304"/>
        <v>0</v>
      </c>
      <c r="Q494" s="91" t="str">
        <f t="shared" si="296"/>
        <v>Selesai</v>
      </c>
      <c r="R494" s="64">
        <f t="shared" si="305"/>
        <v>0</v>
      </c>
      <c r="S494" s="67">
        <v>44676</v>
      </c>
      <c r="T494" s="67">
        <v>44722</v>
      </c>
      <c r="U494" s="64">
        <f t="shared" si="297"/>
        <v>1</v>
      </c>
      <c r="V494" s="64"/>
      <c r="W494" s="64"/>
      <c r="X494" s="93"/>
      <c r="Y494" s="94"/>
      <c r="Z494" s="91" t="str">
        <f t="shared" si="298"/>
        <v>100%</v>
      </c>
      <c r="AA494" s="67"/>
      <c r="AB494" s="473"/>
      <c r="AC494" s="478" t="s">
        <v>2711</v>
      </c>
      <c r="AD494" s="67"/>
    </row>
    <row r="495" spans="2:30">
      <c r="B495" s="64" t="s">
        <v>109</v>
      </c>
      <c r="C495" s="65" t="s">
        <v>564</v>
      </c>
      <c r="D495" s="66">
        <v>7.22</v>
      </c>
      <c r="E495" s="67">
        <v>44659</v>
      </c>
      <c r="F495" s="64">
        <v>0</v>
      </c>
      <c r="G495" s="67">
        <v>44663</v>
      </c>
      <c r="H495" s="64">
        <v>0</v>
      </c>
      <c r="I495" s="67">
        <v>44671</v>
      </c>
      <c r="J495" s="64">
        <f t="shared" si="300"/>
        <v>0</v>
      </c>
      <c r="K495" s="67">
        <v>44662</v>
      </c>
      <c r="L495" s="64">
        <f t="shared" si="301"/>
        <v>0</v>
      </c>
      <c r="M495" s="64">
        <f t="shared" si="302"/>
        <v>0</v>
      </c>
      <c r="N495" s="67">
        <f t="shared" si="307"/>
        <v>44672</v>
      </c>
      <c r="O495" s="64">
        <f t="shared" si="303"/>
        <v>1</v>
      </c>
      <c r="P495" s="64">
        <f t="shared" si="304"/>
        <v>0</v>
      </c>
      <c r="Q495" s="91" t="str">
        <f t="shared" si="296"/>
        <v>Selesai</v>
      </c>
      <c r="R495" s="64">
        <f t="shared" si="305"/>
        <v>0</v>
      </c>
      <c r="S495" s="67">
        <v>44667</v>
      </c>
      <c r="T495" s="67">
        <v>44726</v>
      </c>
      <c r="U495" s="64">
        <f t="shared" si="297"/>
        <v>1</v>
      </c>
      <c r="V495" s="64"/>
      <c r="W495" s="64"/>
      <c r="X495" s="93"/>
      <c r="Y495" s="94"/>
      <c r="Z495" s="91" t="str">
        <f t="shared" si="298"/>
        <v>100%</v>
      </c>
      <c r="AA495" s="67"/>
      <c r="AB495" s="473"/>
      <c r="AC495" s="478" t="s">
        <v>2711</v>
      </c>
      <c r="AD495" s="67"/>
    </row>
    <row r="496" spans="2:30">
      <c r="B496" s="64" t="s">
        <v>105</v>
      </c>
      <c r="C496" s="65" t="s">
        <v>565</v>
      </c>
      <c r="D496" s="66">
        <v>13.32</v>
      </c>
      <c r="E496" s="67">
        <v>44667</v>
      </c>
      <c r="F496" s="64">
        <v>0</v>
      </c>
      <c r="G496" s="67">
        <v>44668</v>
      </c>
      <c r="H496" s="64">
        <v>0</v>
      </c>
      <c r="I496" s="67">
        <v>44691</v>
      </c>
      <c r="J496" s="64">
        <f t="shared" si="300"/>
        <v>0</v>
      </c>
      <c r="K496" s="67">
        <v>44670</v>
      </c>
      <c r="L496" s="64">
        <f t="shared" si="301"/>
        <v>0</v>
      </c>
      <c r="M496" s="64">
        <f t="shared" si="302"/>
        <v>0</v>
      </c>
      <c r="N496" s="67">
        <f t="shared" si="307"/>
        <v>44692</v>
      </c>
      <c r="O496" s="64">
        <f t="shared" si="303"/>
        <v>1</v>
      </c>
      <c r="P496" s="64">
        <f t="shared" si="304"/>
        <v>0</v>
      </c>
      <c r="Q496" s="91" t="str">
        <f t="shared" si="296"/>
        <v>Selesai</v>
      </c>
      <c r="R496" s="64">
        <f t="shared" si="305"/>
        <v>0</v>
      </c>
      <c r="S496" s="67">
        <v>44678</v>
      </c>
      <c r="T496" s="67">
        <v>44726</v>
      </c>
      <c r="U496" s="64">
        <f t="shared" si="297"/>
        <v>1</v>
      </c>
      <c r="V496" s="64"/>
      <c r="W496" s="64"/>
      <c r="X496" s="93"/>
      <c r="Y496" s="94"/>
      <c r="Z496" s="91" t="str">
        <f t="shared" si="298"/>
        <v>100%</v>
      </c>
      <c r="AA496" s="67"/>
      <c r="AB496" s="473"/>
      <c r="AC496" s="478" t="s">
        <v>2711</v>
      </c>
      <c r="AD496" s="67"/>
    </row>
    <row r="497" spans="2:30">
      <c r="B497" s="64" t="s">
        <v>109</v>
      </c>
      <c r="C497" s="65" t="s">
        <v>566</v>
      </c>
      <c r="D497" s="66">
        <v>9.58</v>
      </c>
      <c r="E497" s="67">
        <v>44691</v>
      </c>
      <c r="F497" s="64">
        <v>0</v>
      </c>
      <c r="G497" s="67">
        <v>44694</v>
      </c>
      <c r="H497" s="64">
        <v>0</v>
      </c>
      <c r="I497" s="67">
        <v>44706</v>
      </c>
      <c r="J497" s="64">
        <f t="shared" si="300"/>
        <v>0</v>
      </c>
      <c r="K497" s="67">
        <v>44699</v>
      </c>
      <c r="L497" s="64">
        <f t="shared" si="301"/>
        <v>0</v>
      </c>
      <c r="M497" s="64">
        <f t="shared" si="302"/>
        <v>0</v>
      </c>
      <c r="N497" s="67">
        <f t="shared" si="307"/>
        <v>44707</v>
      </c>
      <c r="O497" s="64">
        <f t="shared" si="303"/>
        <v>1</v>
      </c>
      <c r="P497" s="64">
        <f t="shared" si="304"/>
        <v>0</v>
      </c>
      <c r="Q497" s="91" t="str">
        <f t="shared" si="296"/>
        <v>Selesai</v>
      </c>
      <c r="R497" s="64">
        <f t="shared" si="305"/>
        <v>0</v>
      </c>
      <c r="S497" s="67">
        <v>44703</v>
      </c>
      <c r="T497" s="67">
        <v>44726</v>
      </c>
      <c r="U497" s="64">
        <f t="shared" si="297"/>
        <v>1</v>
      </c>
      <c r="V497" s="64"/>
      <c r="W497" s="64"/>
      <c r="X497" s="93"/>
      <c r="Y497" s="94"/>
      <c r="Z497" s="91" t="str">
        <f t="shared" si="298"/>
        <v>100%</v>
      </c>
      <c r="AA497" s="67"/>
      <c r="AB497" s="473"/>
      <c r="AC497" s="478" t="s">
        <v>2711</v>
      </c>
      <c r="AD497" s="67"/>
    </row>
    <row r="498" spans="2:30">
      <c r="B498" s="64" t="s">
        <v>105</v>
      </c>
      <c r="C498" s="65" t="s">
        <v>567</v>
      </c>
      <c r="D498" s="66">
        <v>8.1999999999999993</v>
      </c>
      <c r="E498" s="67">
        <v>44691</v>
      </c>
      <c r="F498" s="64">
        <v>0</v>
      </c>
      <c r="G498" s="67">
        <v>44693</v>
      </c>
      <c r="H498" s="64">
        <v>0</v>
      </c>
      <c r="I498" s="67">
        <v>44706</v>
      </c>
      <c r="J498" s="64">
        <f t="shared" si="300"/>
        <v>0</v>
      </c>
      <c r="K498" s="67">
        <v>44697</v>
      </c>
      <c r="L498" s="64">
        <f t="shared" si="301"/>
        <v>0</v>
      </c>
      <c r="M498" s="64">
        <f t="shared" si="302"/>
        <v>0</v>
      </c>
      <c r="N498" s="67">
        <f t="shared" si="307"/>
        <v>44707</v>
      </c>
      <c r="O498" s="64">
        <f t="shared" si="303"/>
        <v>1</v>
      </c>
      <c r="P498" s="64">
        <f t="shared" si="304"/>
        <v>0</v>
      </c>
      <c r="Q498" s="91" t="str">
        <f t="shared" si="296"/>
        <v>Selesai</v>
      </c>
      <c r="R498" s="64">
        <f t="shared" si="305"/>
        <v>0</v>
      </c>
      <c r="S498" s="67">
        <v>44699</v>
      </c>
      <c r="T498" s="67">
        <v>44733</v>
      </c>
      <c r="U498" s="64">
        <f t="shared" si="297"/>
        <v>1</v>
      </c>
      <c r="V498" s="64"/>
      <c r="W498" s="64"/>
      <c r="X498" s="93"/>
      <c r="Y498" s="94"/>
      <c r="Z498" s="91" t="str">
        <f t="shared" si="298"/>
        <v>100%</v>
      </c>
      <c r="AA498" s="67"/>
      <c r="AB498" s="473"/>
      <c r="AC498" s="478" t="s">
        <v>2711</v>
      </c>
      <c r="AD498" s="67"/>
    </row>
    <row r="499" spans="2:30">
      <c r="B499" s="64" t="s">
        <v>118</v>
      </c>
      <c r="C499" s="65" t="s">
        <v>568</v>
      </c>
      <c r="D499" s="66">
        <v>11.75</v>
      </c>
      <c r="E499" s="67">
        <v>44669</v>
      </c>
      <c r="F499" s="64">
        <v>0</v>
      </c>
      <c r="G499" s="67">
        <v>44675</v>
      </c>
      <c r="H499" s="64">
        <v>0</v>
      </c>
      <c r="I499" s="67">
        <v>44706</v>
      </c>
      <c r="J499" s="64">
        <f t="shared" si="300"/>
        <v>0</v>
      </c>
      <c r="K499" s="67">
        <v>44677</v>
      </c>
      <c r="L499" s="64">
        <f t="shared" si="301"/>
        <v>0</v>
      </c>
      <c r="M499" s="64">
        <f t="shared" si="302"/>
        <v>0</v>
      </c>
      <c r="N499" s="67">
        <f t="shared" si="307"/>
        <v>44707</v>
      </c>
      <c r="O499" s="64">
        <f t="shared" si="303"/>
        <v>1</v>
      </c>
      <c r="P499" s="64">
        <f t="shared" si="304"/>
        <v>0</v>
      </c>
      <c r="Q499" s="91" t="str">
        <f t="shared" si="296"/>
        <v>Selesai</v>
      </c>
      <c r="R499" s="64">
        <f t="shared" si="305"/>
        <v>0</v>
      </c>
      <c r="S499" s="67">
        <v>44695</v>
      </c>
      <c r="T499" s="67">
        <v>44736</v>
      </c>
      <c r="U499" s="64">
        <f t="shared" si="297"/>
        <v>1</v>
      </c>
      <c r="V499" s="64"/>
      <c r="W499" s="64"/>
      <c r="X499" s="93"/>
      <c r="Y499" s="94"/>
      <c r="Z499" s="91" t="str">
        <f t="shared" si="298"/>
        <v>100%</v>
      </c>
      <c r="AA499" s="67"/>
      <c r="AB499" s="473"/>
      <c r="AC499" s="478" t="s">
        <v>2711</v>
      </c>
      <c r="AD499" s="67"/>
    </row>
    <row r="500" spans="2:30">
      <c r="B500" s="64" t="s">
        <v>105</v>
      </c>
      <c r="C500" s="65" t="s">
        <v>569</v>
      </c>
      <c r="D500" s="66">
        <v>5.69</v>
      </c>
      <c r="E500" s="67">
        <v>44718</v>
      </c>
      <c r="F500" s="64">
        <v>0</v>
      </c>
      <c r="G500" s="67">
        <v>44721</v>
      </c>
      <c r="H500" s="64">
        <v>0</v>
      </c>
      <c r="I500" s="67">
        <v>44727</v>
      </c>
      <c r="J500" s="64">
        <f t="shared" si="300"/>
        <v>0</v>
      </c>
      <c r="K500" s="67">
        <v>44722</v>
      </c>
      <c r="L500" s="64">
        <f t="shared" si="301"/>
        <v>0</v>
      </c>
      <c r="M500" s="64">
        <f t="shared" si="302"/>
        <v>0</v>
      </c>
      <c r="N500" s="67">
        <f t="shared" si="307"/>
        <v>44728</v>
      </c>
      <c r="O500" s="64">
        <f t="shared" si="303"/>
        <v>1</v>
      </c>
      <c r="P500" s="64">
        <f t="shared" si="304"/>
        <v>0</v>
      </c>
      <c r="Q500" s="91" t="str">
        <f t="shared" si="296"/>
        <v>Selesai</v>
      </c>
      <c r="R500" s="64">
        <f t="shared" si="305"/>
        <v>0</v>
      </c>
      <c r="S500" s="67">
        <v>44723</v>
      </c>
      <c r="T500" s="67">
        <v>44736</v>
      </c>
      <c r="U500" s="64">
        <f t="shared" si="297"/>
        <v>1</v>
      </c>
      <c r="V500" s="64"/>
      <c r="W500" s="64"/>
      <c r="X500" s="93"/>
      <c r="Y500" s="94"/>
      <c r="Z500" s="91" t="str">
        <f t="shared" si="298"/>
        <v>100%</v>
      </c>
      <c r="AA500" s="67"/>
      <c r="AB500" s="473"/>
      <c r="AC500" s="478" t="s">
        <v>2711</v>
      </c>
      <c r="AD500" s="67"/>
    </row>
    <row r="501" spans="2:30">
      <c r="B501" s="64" t="s">
        <v>109</v>
      </c>
      <c r="C501" s="65" t="s">
        <v>570</v>
      </c>
      <c r="D501" s="66">
        <v>10.58</v>
      </c>
      <c r="E501" s="67">
        <v>44670</v>
      </c>
      <c r="F501" s="64">
        <v>0</v>
      </c>
      <c r="G501" s="67">
        <v>44672</v>
      </c>
      <c r="H501" s="64">
        <v>0</v>
      </c>
      <c r="I501" s="67">
        <v>44696</v>
      </c>
      <c r="J501" s="64">
        <f t="shared" si="300"/>
        <v>0</v>
      </c>
      <c r="K501" s="67">
        <v>44676</v>
      </c>
      <c r="L501" s="64">
        <f t="shared" si="301"/>
        <v>0</v>
      </c>
      <c r="M501" s="64">
        <f t="shared" si="302"/>
        <v>0</v>
      </c>
      <c r="N501" s="67">
        <f t="shared" si="307"/>
        <v>44697</v>
      </c>
      <c r="O501" s="64">
        <f t="shared" si="303"/>
        <v>1</v>
      </c>
      <c r="P501" s="64">
        <f t="shared" si="304"/>
        <v>0</v>
      </c>
      <c r="Q501" s="91" t="str">
        <f t="shared" si="296"/>
        <v>Selesai</v>
      </c>
      <c r="R501" s="64">
        <f t="shared" si="305"/>
        <v>0</v>
      </c>
      <c r="S501" s="67">
        <v>44692</v>
      </c>
      <c r="T501" s="67">
        <v>44736</v>
      </c>
      <c r="U501" s="64">
        <f t="shared" si="297"/>
        <v>1</v>
      </c>
      <c r="V501" s="64"/>
      <c r="W501" s="64"/>
      <c r="X501" s="93"/>
      <c r="Y501" s="94"/>
      <c r="Z501" s="91" t="str">
        <f t="shared" si="298"/>
        <v>100%</v>
      </c>
      <c r="AA501" s="67"/>
      <c r="AB501" s="473"/>
      <c r="AC501" s="478" t="s">
        <v>2711</v>
      </c>
      <c r="AD501" s="67"/>
    </row>
    <row r="502" spans="2:30">
      <c r="B502" s="64" t="s">
        <v>116</v>
      </c>
      <c r="C502" s="65" t="s">
        <v>571</v>
      </c>
      <c r="D502" s="66">
        <v>7.51</v>
      </c>
      <c r="E502" s="67">
        <v>44677</v>
      </c>
      <c r="F502" s="64">
        <v>0</v>
      </c>
      <c r="G502" s="67">
        <v>44691</v>
      </c>
      <c r="H502" s="64">
        <v>0</v>
      </c>
      <c r="I502" s="67">
        <v>44706</v>
      </c>
      <c r="J502" s="64">
        <f t="shared" si="300"/>
        <v>0</v>
      </c>
      <c r="K502" s="67">
        <v>44694</v>
      </c>
      <c r="L502" s="64">
        <f t="shared" si="301"/>
        <v>0</v>
      </c>
      <c r="M502" s="64">
        <f t="shared" si="302"/>
        <v>0</v>
      </c>
      <c r="N502" s="67">
        <f t="shared" si="307"/>
        <v>44707</v>
      </c>
      <c r="O502" s="64">
        <f t="shared" si="303"/>
        <v>1</v>
      </c>
      <c r="P502" s="64">
        <f t="shared" si="304"/>
        <v>0</v>
      </c>
      <c r="Q502" s="91" t="str">
        <f t="shared" si="296"/>
        <v>Selesai</v>
      </c>
      <c r="R502" s="64">
        <f t="shared" si="305"/>
        <v>0</v>
      </c>
      <c r="S502" s="67">
        <v>44699</v>
      </c>
      <c r="T502" s="67">
        <v>44740</v>
      </c>
      <c r="U502" s="64">
        <f t="shared" si="297"/>
        <v>1</v>
      </c>
      <c r="V502" s="64"/>
      <c r="W502" s="64"/>
      <c r="X502" s="93"/>
      <c r="Y502" s="94"/>
      <c r="Z502" s="91" t="str">
        <f t="shared" si="298"/>
        <v>100%</v>
      </c>
      <c r="AA502" s="67"/>
      <c r="AB502" s="473"/>
      <c r="AC502" s="478" t="s">
        <v>2711</v>
      </c>
      <c r="AD502" s="67"/>
    </row>
    <row r="503" spans="2:30">
      <c r="B503" s="64" t="s">
        <v>118</v>
      </c>
      <c r="C503" s="65" t="s">
        <v>572</v>
      </c>
      <c r="D503" s="66">
        <v>9.3800000000000008</v>
      </c>
      <c r="E503" s="67">
        <v>44677</v>
      </c>
      <c r="F503" s="64">
        <v>0</v>
      </c>
      <c r="G503" s="67">
        <v>44691</v>
      </c>
      <c r="H503" s="64">
        <v>0</v>
      </c>
      <c r="I503" s="67">
        <v>44711</v>
      </c>
      <c r="J503" s="64">
        <f t="shared" si="300"/>
        <v>0</v>
      </c>
      <c r="K503" s="67">
        <v>44695</v>
      </c>
      <c r="L503" s="64">
        <f t="shared" si="301"/>
        <v>0</v>
      </c>
      <c r="M503" s="64">
        <f t="shared" si="302"/>
        <v>0</v>
      </c>
      <c r="N503" s="67">
        <f t="shared" si="307"/>
        <v>44712</v>
      </c>
      <c r="O503" s="64">
        <f t="shared" si="303"/>
        <v>1</v>
      </c>
      <c r="P503" s="64">
        <f t="shared" si="304"/>
        <v>0</v>
      </c>
      <c r="Q503" s="91" t="str">
        <f t="shared" si="296"/>
        <v>Selesai</v>
      </c>
      <c r="R503" s="64">
        <f t="shared" si="305"/>
        <v>0</v>
      </c>
      <c r="S503" s="67">
        <v>44705</v>
      </c>
      <c r="T503" s="67">
        <v>44742</v>
      </c>
      <c r="U503" s="64">
        <f t="shared" si="297"/>
        <v>1</v>
      </c>
      <c r="V503" s="64"/>
      <c r="W503" s="64"/>
      <c r="X503" s="93"/>
      <c r="Y503" s="94"/>
      <c r="Z503" s="91" t="str">
        <f t="shared" si="298"/>
        <v>100%</v>
      </c>
      <c r="AA503" s="67"/>
      <c r="AB503" s="473"/>
      <c r="AC503" s="478" t="s">
        <v>2711</v>
      </c>
      <c r="AD503" s="67"/>
    </row>
    <row r="504" spans="2:30">
      <c r="B504" s="64" t="s">
        <v>107</v>
      </c>
      <c r="C504" s="65" t="s">
        <v>573</v>
      </c>
      <c r="D504" s="66">
        <v>5.86</v>
      </c>
      <c r="E504" s="67">
        <v>44693</v>
      </c>
      <c r="F504" s="64">
        <v>0</v>
      </c>
      <c r="G504" s="67">
        <v>44697</v>
      </c>
      <c r="H504" s="64">
        <v>0</v>
      </c>
      <c r="I504" s="67">
        <v>44717</v>
      </c>
      <c r="J504" s="64">
        <f t="shared" si="300"/>
        <v>0</v>
      </c>
      <c r="K504" s="67">
        <v>44698</v>
      </c>
      <c r="L504" s="64">
        <f t="shared" si="301"/>
        <v>0</v>
      </c>
      <c r="M504" s="64">
        <f t="shared" si="302"/>
        <v>0</v>
      </c>
      <c r="N504" s="67">
        <f t="shared" si="307"/>
        <v>44718</v>
      </c>
      <c r="O504" s="64">
        <f t="shared" si="303"/>
        <v>1</v>
      </c>
      <c r="P504" s="64">
        <f t="shared" si="304"/>
        <v>0</v>
      </c>
      <c r="Q504" s="91" t="str">
        <f t="shared" si="296"/>
        <v>Selesai</v>
      </c>
      <c r="R504" s="64">
        <f t="shared" si="305"/>
        <v>0</v>
      </c>
      <c r="S504" s="67">
        <v>44707</v>
      </c>
      <c r="T504" s="67">
        <v>44747</v>
      </c>
      <c r="U504" s="64">
        <f t="shared" si="297"/>
        <v>1</v>
      </c>
      <c r="V504" s="66"/>
      <c r="W504" s="64"/>
      <c r="X504" s="93"/>
      <c r="Y504" s="94"/>
      <c r="Z504" s="91" t="str">
        <f t="shared" si="298"/>
        <v>100%</v>
      </c>
      <c r="AA504" s="67"/>
      <c r="AB504" s="473"/>
      <c r="AC504" s="478" t="s">
        <v>2711</v>
      </c>
      <c r="AD504" s="67"/>
    </row>
    <row r="505" spans="2:30">
      <c r="B505" s="64" t="s">
        <v>116</v>
      </c>
      <c r="C505" s="65" t="s">
        <v>574</v>
      </c>
      <c r="D505" s="66">
        <v>8.14</v>
      </c>
      <c r="E505" s="67">
        <v>44667</v>
      </c>
      <c r="F505" s="64">
        <v>0</v>
      </c>
      <c r="G505" s="67">
        <v>44668</v>
      </c>
      <c r="H505" s="64">
        <v>0</v>
      </c>
      <c r="I505" s="67">
        <v>44701</v>
      </c>
      <c r="J505" s="64">
        <f t="shared" si="300"/>
        <v>0</v>
      </c>
      <c r="K505" s="67">
        <v>44671</v>
      </c>
      <c r="L505" s="64">
        <f t="shared" si="301"/>
        <v>0</v>
      </c>
      <c r="M505" s="64">
        <f t="shared" si="302"/>
        <v>0</v>
      </c>
      <c r="N505" s="67">
        <f t="shared" si="307"/>
        <v>44702</v>
      </c>
      <c r="O505" s="64">
        <f t="shared" si="303"/>
        <v>1</v>
      </c>
      <c r="P505" s="64">
        <f t="shared" si="304"/>
        <v>0</v>
      </c>
      <c r="Q505" s="91" t="str">
        <f t="shared" si="296"/>
        <v>Selesai</v>
      </c>
      <c r="R505" s="64">
        <f t="shared" si="305"/>
        <v>0</v>
      </c>
      <c r="S505" s="67">
        <v>44693</v>
      </c>
      <c r="T505" s="67">
        <v>44747</v>
      </c>
      <c r="U505" s="64">
        <f t="shared" si="297"/>
        <v>1</v>
      </c>
      <c r="V505" s="66"/>
      <c r="W505" s="64"/>
      <c r="X505" s="93"/>
      <c r="Y505" s="94"/>
      <c r="Z505" s="91" t="str">
        <f t="shared" si="298"/>
        <v>100%</v>
      </c>
      <c r="AA505" s="67"/>
      <c r="AB505" s="473"/>
      <c r="AC505" s="478" t="s">
        <v>2711</v>
      </c>
      <c r="AD505" s="67"/>
    </row>
    <row r="506" spans="2:30">
      <c r="B506" s="64" t="s">
        <v>118</v>
      </c>
      <c r="C506" s="65" t="s">
        <v>575</v>
      </c>
      <c r="D506" s="66">
        <v>6.42</v>
      </c>
      <c r="E506" s="67">
        <v>44669</v>
      </c>
      <c r="F506" s="64">
        <v>0</v>
      </c>
      <c r="G506" s="67">
        <v>44675</v>
      </c>
      <c r="H506" s="64">
        <v>0</v>
      </c>
      <c r="I506" s="67">
        <v>44701</v>
      </c>
      <c r="J506" s="64">
        <f t="shared" si="300"/>
        <v>0</v>
      </c>
      <c r="K506" s="67">
        <v>44671</v>
      </c>
      <c r="L506" s="64">
        <f t="shared" si="301"/>
        <v>0</v>
      </c>
      <c r="M506" s="64">
        <f t="shared" si="302"/>
        <v>0</v>
      </c>
      <c r="N506" s="67">
        <f t="shared" si="307"/>
        <v>44702</v>
      </c>
      <c r="O506" s="64">
        <f t="shared" si="303"/>
        <v>1</v>
      </c>
      <c r="P506" s="64">
        <f t="shared" si="304"/>
        <v>0</v>
      </c>
      <c r="Q506" s="91" t="str">
        <f t="shared" si="296"/>
        <v>Selesai</v>
      </c>
      <c r="R506" s="64">
        <f t="shared" si="305"/>
        <v>0</v>
      </c>
      <c r="S506" s="67">
        <v>44694</v>
      </c>
      <c r="T506" s="67">
        <v>44748</v>
      </c>
      <c r="U506" s="64">
        <f t="shared" si="297"/>
        <v>1</v>
      </c>
      <c r="V506" s="66"/>
      <c r="W506" s="64"/>
      <c r="X506" s="93"/>
      <c r="Y506" s="94"/>
      <c r="Z506" s="91" t="str">
        <f t="shared" si="298"/>
        <v>100%</v>
      </c>
      <c r="AA506" s="67"/>
      <c r="AB506" s="473"/>
      <c r="AC506" s="478" t="s">
        <v>2711</v>
      </c>
      <c r="AD506" s="67"/>
    </row>
    <row r="507" spans="2:30">
      <c r="B507" s="64" t="s">
        <v>118</v>
      </c>
      <c r="C507" s="65" t="s">
        <v>576</v>
      </c>
      <c r="D507" s="66">
        <v>11.62</v>
      </c>
      <c r="E507" s="67">
        <v>44674</v>
      </c>
      <c r="F507" s="64">
        <v>0</v>
      </c>
      <c r="G507" s="67">
        <v>44676</v>
      </c>
      <c r="H507" s="64">
        <v>0</v>
      </c>
      <c r="I507" s="67">
        <v>44717</v>
      </c>
      <c r="J507" s="64">
        <f t="shared" si="300"/>
        <v>0</v>
      </c>
      <c r="K507" s="67">
        <v>44676</v>
      </c>
      <c r="L507" s="64">
        <f t="shared" si="301"/>
        <v>0</v>
      </c>
      <c r="M507" s="64">
        <f t="shared" si="302"/>
        <v>0</v>
      </c>
      <c r="N507" s="67">
        <f t="shared" si="307"/>
        <v>44718</v>
      </c>
      <c r="O507" s="64">
        <f t="shared" si="303"/>
        <v>1</v>
      </c>
      <c r="P507" s="64">
        <f t="shared" si="304"/>
        <v>0</v>
      </c>
      <c r="Q507" s="91" t="str">
        <f t="shared" si="296"/>
        <v>Selesai</v>
      </c>
      <c r="R507" s="64">
        <f t="shared" si="305"/>
        <v>0</v>
      </c>
      <c r="S507" s="67">
        <v>44707</v>
      </c>
      <c r="T507" s="67">
        <v>44748</v>
      </c>
      <c r="U507" s="64">
        <f t="shared" si="297"/>
        <v>1</v>
      </c>
      <c r="V507" s="66"/>
      <c r="W507" s="64"/>
      <c r="X507" s="93"/>
      <c r="Y507" s="94"/>
      <c r="Z507" s="91" t="str">
        <f t="shared" si="298"/>
        <v>100%</v>
      </c>
      <c r="AA507" s="67"/>
      <c r="AB507" s="473"/>
      <c r="AC507" s="478" t="s">
        <v>2711</v>
      </c>
      <c r="AD507" s="67"/>
    </row>
    <row r="508" spans="2:30">
      <c r="B508" s="64" t="s">
        <v>109</v>
      </c>
      <c r="C508" s="65" t="s">
        <v>577</v>
      </c>
      <c r="D508" s="66">
        <v>13.63</v>
      </c>
      <c r="E508" s="67">
        <v>44716</v>
      </c>
      <c r="F508" s="64">
        <v>0</v>
      </c>
      <c r="G508" s="67">
        <v>44716</v>
      </c>
      <c r="H508" s="64">
        <v>0</v>
      </c>
      <c r="I508" s="67">
        <v>44722</v>
      </c>
      <c r="J508" s="64">
        <f t="shared" si="300"/>
        <v>0</v>
      </c>
      <c r="K508" s="67">
        <v>44705</v>
      </c>
      <c r="L508" s="64">
        <f t="shared" si="301"/>
        <v>0</v>
      </c>
      <c r="M508" s="64">
        <f t="shared" si="302"/>
        <v>0</v>
      </c>
      <c r="N508" s="67">
        <f t="shared" si="307"/>
        <v>44723</v>
      </c>
      <c r="O508" s="64">
        <f t="shared" si="303"/>
        <v>1</v>
      </c>
      <c r="P508" s="64">
        <f t="shared" si="304"/>
        <v>0</v>
      </c>
      <c r="Q508" s="91" t="str">
        <f t="shared" si="296"/>
        <v>Selesai</v>
      </c>
      <c r="R508" s="64">
        <f t="shared" si="305"/>
        <v>0</v>
      </c>
      <c r="S508" s="67">
        <v>44718</v>
      </c>
      <c r="T508" s="67">
        <v>44753</v>
      </c>
      <c r="U508" s="64">
        <f t="shared" si="297"/>
        <v>1</v>
      </c>
      <c r="V508" s="66"/>
      <c r="W508" s="64"/>
      <c r="X508" s="93"/>
      <c r="Y508" s="94"/>
      <c r="Z508" s="91" t="str">
        <f t="shared" si="298"/>
        <v>100%</v>
      </c>
      <c r="AA508" s="67"/>
      <c r="AB508" s="473"/>
      <c r="AC508" s="478" t="s">
        <v>2711</v>
      </c>
      <c r="AD508" s="67"/>
    </row>
    <row r="509" spans="2:30">
      <c r="B509" s="64" t="s">
        <v>109</v>
      </c>
      <c r="C509" s="65" t="s">
        <v>61</v>
      </c>
      <c r="D509" s="66">
        <v>4.8899999999999997</v>
      </c>
      <c r="E509" s="67">
        <v>44722</v>
      </c>
      <c r="F509" s="64">
        <v>0</v>
      </c>
      <c r="G509" s="67">
        <v>44723</v>
      </c>
      <c r="H509" s="64">
        <v>0</v>
      </c>
      <c r="I509" s="67">
        <v>44732</v>
      </c>
      <c r="J509" s="64">
        <f t="shared" si="300"/>
        <v>0</v>
      </c>
      <c r="K509" s="67">
        <v>44725</v>
      </c>
      <c r="L509" s="64">
        <f t="shared" si="301"/>
        <v>0</v>
      </c>
      <c r="M509" s="64">
        <f t="shared" si="302"/>
        <v>0</v>
      </c>
      <c r="N509" s="67">
        <f t="shared" si="307"/>
        <v>44733</v>
      </c>
      <c r="O509" s="64">
        <f t="shared" si="303"/>
        <v>1</v>
      </c>
      <c r="P509" s="64">
        <f t="shared" si="304"/>
        <v>0</v>
      </c>
      <c r="Q509" s="91" t="str">
        <f t="shared" si="296"/>
        <v>Selesai</v>
      </c>
      <c r="R509" s="64">
        <f t="shared" si="305"/>
        <v>0</v>
      </c>
      <c r="S509" s="67">
        <v>44733</v>
      </c>
      <c r="T509" s="67">
        <v>44753</v>
      </c>
      <c r="U509" s="64">
        <f t="shared" si="297"/>
        <v>1</v>
      </c>
      <c r="V509" s="66"/>
      <c r="W509" s="64"/>
      <c r="X509" s="93"/>
      <c r="Y509" s="94"/>
      <c r="Z509" s="91" t="str">
        <f t="shared" si="298"/>
        <v>100%</v>
      </c>
      <c r="AA509" s="67"/>
      <c r="AB509" s="473"/>
      <c r="AC509" s="478" t="s">
        <v>2711</v>
      </c>
      <c r="AD509" s="67"/>
    </row>
    <row r="510" spans="2:30">
      <c r="B510" s="64" t="s">
        <v>116</v>
      </c>
      <c r="C510" s="65" t="s">
        <v>578</v>
      </c>
      <c r="D510" s="66">
        <v>7.09</v>
      </c>
      <c r="E510" s="67">
        <v>44667</v>
      </c>
      <c r="F510" s="64">
        <v>0</v>
      </c>
      <c r="G510" s="67">
        <v>44668</v>
      </c>
      <c r="H510" s="64">
        <v>0</v>
      </c>
      <c r="I510" s="67">
        <v>44706</v>
      </c>
      <c r="J510" s="64">
        <f t="shared" si="300"/>
        <v>0</v>
      </c>
      <c r="K510" s="67">
        <v>44671</v>
      </c>
      <c r="L510" s="64">
        <f t="shared" si="301"/>
        <v>0</v>
      </c>
      <c r="M510" s="64">
        <f t="shared" si="302"/>
        <v>0</v>
      </c>
      <c r="N510" s="67">
        <f t="shared" si="307"/>
        <v>44707</v>
      </c>
      <c r="O510" s="64">
        <f t="shared" si="303"/>
        <v>1</v>
      </c>
      <c r="P510" s="64">
        <f t="shared" si="304"/>
        <v>0</v>
      </c>
      <c r="Q510" s="91" t="str">
        <f t="shared" si="296"/>
        <v>Selesai</v>
      </c>
      <c r="R510" s="64">
        <f t="shared" si="305"/>
        <v>0</v>
      </c>
      <c r="S510" s="67">
        <v>44698</v>
      </c>
      <c r="T510" s="67">
        <v>44753</v>
      </c>
      <c r="U510" s="64">
        <f t="shared" si="297"/>
        <v>1</v>
      </c>
      <c r="V510" s="66"/>
      <c r="W510" s="64"/>
      <c r="X510" s="93"/>
      <c r="Y510" s="94"/>
      <c r="Z510" s="91" t="str">
        <f t="shared" si="298"/>
        <v>100%</v>
      </c>
      <c r="AA510" s="67"/>
      <c r="AB510" s="473"/>
      <c r="AC510" s="478" t="s">
        <v>2711</v>
      </c>
      <c r="AD510" s="67"/>
    </row>
    <row r="511" spans="2:30">
      <c r="B511" s="64" t="s">
        <v>107</v>
      </c>
      <c r="C511" s="65" t="s">
        <v>36</v>
      </c>
      <c r="D511" s="66">
        <v>8.41</v>
      </c>
      <c r="E511" s="67">
        <v>44693</v>
      </c>
      <c r="F511" s="64">
        <v>0</v>
      </c>
      <c r="G511" s="67">
        <v>44698</v>
      </c>
      <c r="H511" s="64">
        <v>0</v>
      </c>
      <c r="I511" s="67">
        <v>44711</v>
      </c>
      <c r="J511" s="64">
        <f t="shared" si="300"/>
        <v>0</v>
      </c>
      <c r="K511" s="67">
        <v>44698</v>
      </c>
      <c r="L511" s="64">
        <f t="shared" si="301"/>
        <v>0</v>
      </c>
      <c r="M511" s="64">
        <f t="shared" si="302"/>
        <v>0</v>
      </c>
      <c r="N511" s="67">
        <f t="shared" si="307"/>
        <v>44712</v>
      </c>
      <c r="O511" s="64">
        <f t="shared" si="303"/>
        <v>1</v>
      </c>
      <c r="P511" s="64">
        <f t="shared" si="304"/>
        <v>0</v>
      </c>
      <c r="Q511" s="91" t="str">
        <f t="shared" si="296"/>
        <v>Selesai</v>
      </c>
      <c r="R511" s="64">
        <f t="shared" si="305"/>
        <v>0</v>
      </c>
      <c r="S511" s="67">
        <v>44705</v>
      </c>
      <c r="T511" s="67">
        <v>44754</v>
      </c>
      <c r="U511" s="64">
        <f t="shared" si="297"/>
        <v>1</v>
      </c>
      <c r="V511" s="66"/>
      <c r="W511" s="64"/>
      <c r="X511" s="93"/>
      <c r="Y511" s="94"/>
      <c r="Z511" s="91" t="str">
        <f t="shared" si="298"/>
        <v>100%</v>
      </c>
      <c r="AA511" s="67"/>
      <c r="AB511" s="473"/>
      <c r="AC511" s="478" t="s">
        <v>2711</v>
      </c>
      <c r="AD511" s="67"/>
    </row>
    <row r="512" spans="2:30">
      <c r="B512" s="64" t="s">
        <v>107</v>
      </c>
      <c r="C512" s="65" t="s">
        <v>27</v>
      </c>
      <c r="D512" s="66">
        <v>6.98</v>
      </c>
      <c r="E512" s="67">
        <v>44724</v>
      </c>
      <c r="F512" s="64">
        <v>0</v>
      </c>
      <c r="G512" s="67">
        <v>44726</v>
      </c>
      <c r="H512" s="64">
        <v>0</v>
      </c>
      <c r="I512" s="67">
        <v>44736</v>
      </c>
      <c r="J512" s="64">
        <f t="shared" si="300"/>
        <v>0</v>
      </c>
      <c r="K512" s="67">
        <v>44638</v>
      </c>
      <c r="L512" s="64">
        <f t="shared" si="301"/>
        <v>0</v>
      </c>
      <c r="M512" s="64">
        <f t="shared" si="302"/>
        <v>0</v>
      </c>
      <c r="N512" s="67">
        <f t="shared" si="307"/>
        <v>44737</v>
      </c>
      <c r="O512" s="64">
        <f t="shared" si="303"/>
        <v>1</v>
      </c>
      <c r="P512" s="64">
        <f t="shared" si="304"/>
        <v>0</v>
      </c>
      <c r="Q512" s="91" t="str">
        <f t="shared" si="296"/>
        <v>Selesai</v>
      </c>
      <c r="R512" s="64">
        <f t="shared" si="305"/>
        <v>0</v>
      </c>
      <c r="S512" s="67">
        <v>44737</v>
      </c>
      <c r="T512" s="67">
        <v>44754</v>
      </c>
      <c r="U512" s="64">
        <f t="shared" si="297"/>
        <v>1</v>
      </c>
      <c r="V512" s="66"/>
      <c r="W512" s="64"/>
      <c r="X512" s="93"/>
      <c r="Y512" s="94"/>
      <c r="Z512" s="91" t="str">
        <f t="shared" si="298"/>
        <v>100%</v>
      </c>
      <c r="AA512" s="67"/>
      <c r="AB512" s="473"/>
      <c r="AC512" s="478" t="s">
        <v>2711</v>
      </c>
      <c r="AD512" s="67"/>
    </row>
    <row r="513" spans="2:30">
      <c r="B513" s="64" t="s">
        <v>107</v>
      </c>
      <c r="C513" s="65" t="s">
        <v>19</v>
      </c>
      <c r="D513" s="66">
        <v>9.15</v>
      </c>
      <c r="E513" s="67">
        <v>44698</v>
      </c>
      <c r="F513" s="64">
        <v>0</v>
      </c>
      <c r="G513" s="67">
        <v>44700</v>
      </c>
      <c r="H513" s="64">
        <v>0</v>
      </c>
      <c r="I513" s="67">
        <v>44722</v>
      </c>
      <c r="J513" s="64">
        <f t="shared" si="300"/>
        <v>0</v>
      </c>
      <c r="K513" s="67">
        <v>44705</v>
      </c>
      <c r="L513" s="64">
        <f t="shared" si="301"/>
        <v>0</v>
      </c>
      <c r="M513" s="64">
        <f t="shared" si="302"/>
        <v>0</v>
      </c>
      <c r="N513" s="67">
        <f t="shared" si="307"/>
        <v>44723</v>
      </c>
      <c r="O513" s="64">
        <f t="shared" si="303"/>
        <v>1</v>
      </c>
      <c r="P513" s="64">
        <f t="shared" si="304"/>
        <v>0</v>
      </c>
      <c r="Q513" s="91" t="str">
        <f t="shared" si="296"/>
        <v>Selesai</v>
      </c>
      <c r="R513" s="64">
        <f t="shared" si="305"/>
        <v>0</v>
      </c>
      <c r="S513" s="67">
        <v>44713</v>
      </c>
      <c r="T513" s="67">
        <v>44757</v>
      </c>
      <c r="U513" s="64">
        <f t="shared" si="297"/>
        <v>1</v>
      </c>
      <c r="V513" s="66"/>
      <c r="W513" s="64"/>
      <c r="X513" s="93"/>
      <c r="Y513" s="94"/>
      <c r="Z513" s="91" t="str">
        <f t="shared" si="298"/>
        <v>100%</v>
      </c>
      <c r="AA513" s="67"/>
      <c r="AB513" s="473"/>
      <c r="AC513" s="478" t="s">
        <v>2711</v>
      </c>
      <c r="AD513" s="67"/>
    </row>
    <row r="514" spans="2:30">
      <c r="B514" s="64" t="s">
        <v>116</v>
      </c>
      <c r="C514" s="65" t="s">
        <v>73</v>
      </c>
      <c r="D514" s="66">
        <v>8.2100000000000009</v>
      </c>
      <c r="E514" s="67">
        <v>44700</v>
      </c>
      <c r="F514" s="64">
        <v>0</v>
      </c>
      <c r="G514" s="67">
        <v>44716</v>
      </c>
      <c r="H514" s="64">
        <v>0</v>
      </c>
      <c r="I514" s="67">
        <v>44727</v>
      </c>
      <c r="J514" s="64">
        <f t="shared" si="300"/>
        <v>0</v>
      </c>
      <c r="K514" s="67">
        <v>44698</v>
      </c>
      <c r="L514" s="64">
        <f t="shared" si="301"/>
        <v>0</v>
      </c>
      <c r="M514" s="64">
        <f t="shared" si="302"/>
        <v>0</v>
      </c>
      <c r="N514" s="67">
        <f t="shared" si="307"/>
        <v>44728</v>
      </c>
      <c r="O514" s="64">
        <f t="shared" si="303"/>
        <v>1</v>
      </c>
      <c r="P514" s="64">
        <f t="shared" si="304"/>
        <v>0</v>
      </c>
      <c r="Q514" s="91" t="str">
        <f t="shared" si="296"/>
        <v>Selesai</v>
      </c>
      <c r="R514" s="64">
        <f t="shared" si="305"/>
        <v>0</v>
      </c>
      <c r="S514" s="67">
        <v>44725</v>
      </c>
      <c r="T514" s="67">
        <v>44757</v>
      </c>
      <c r="U514" s="64">
        <f t="shared" si="297"/>
        <v>1</v>
      </c>
      <c r="V514" s="66"/>
      <c r="W514" s="64"/>
      <c r="X514" s="93"/>
      <c r="Y514" s="94"/>
      <c r="Z514" s="91" t="str">
        <f t="shared" si="298"/>
        <v>100%</v>
      </c>
      <c r="AA514" s="67"/>
      <c r="AB514" s="473"/>
      <c r="AC514" s="478" t="s">
        <v>2711</v>
      </c>
      <c r="AD514" s="67"/>
    </row>
    <row r="515" spans="2:30">
      <c r="B515" s="64" t="s">
        <v>107</v>
      </c>
      <c r="C515" s="65" t="s">
        <v>30</v>
      </c>
      <c r="D515" s="66">
        <v>10.83</v>
      </c>
      <c r="E515" s="67">
        <v>44695</v>
      </c>
      <c r="F515" s="64">
        <v>0</v>
      </c>
      <c r="G515" s="67">
        <v>44699</v>
      </c>
      <c r="H515" s="64">
        <v>0</v>
      </c>
      <c r="I515" s="67">
        <v>44717</v>
      </c>
      <c r="J515" s="64">
        <f t="shared" si="300"/>
        <v>0</v>
      </c>
      <c r="K515" s="67">
        <v>44698</v>
      </c>
      <c r="L515" s="64">
        <f t="shared" si="301"/>
        <v>0</v>
      </c>
      <c r="M515" s="64">
        <f t="shared" si="302"/>
        <v>0</v>
      </c>
      <c r="N515" s="67">
        <f t="shared" si="307"/>
        <v>44718</v>
      </c>
      <c r="O515" s="64">
        <f t="shared" si="303"/>
        <v>1</v>
      </c>
      <c r="P515" s="64">
        <f t="shared" si="304"/>
        <v>0</v>
      </c>
      <c r="Q515" s="91" t="str">
        <f t="shared" si="296"/>
        <v>Selesai</v>
      </c>
      <c r="R515" s="64">
        <f t="shared" si="305"/>
        <v>0</v>
      </c>
      <c r="S515" s="67">
        <v>44710</v>
      </c>
      <c r="T515" s="67">
        <v>44759</v>
      </c>
      <c r="U515" s="64">
        <f t="shared" si="297"/>
        <v>1</v>
      </c>
      <c r="V515" s="66"/>
      <c r="W515" s="64"/>
      <c r="X515" s="93"/>
      <c r="Y515" s="94"/>
      <c r="Z515" s="91" t="str">
        <f t="shared" si="298"/>
        <v>100%</v>
      </c>
      <c r="AA515" s="67"/>
      <c r="AB515" s="473"/>
      <c r="AC515" s="478" t="s">
        <v>2711</v>
      </c>
      <c r="AD515" s="67"/>
    </row>
    <row r="516" spans="2:30">
      <c r="B516" s="64" t="s">
        <v>107</v>
      </c>
      <c r="C516" s="65" t="s">
        <v>33</v>
      </c>
      <c r="D516" s="66">
        <v>6.87</v>
      </c>
      <c r="E516" s="67">
        <v>44728</v>
      </c>
      <c r="F516" s="64">
        <v>0</v>
      </c>
      <c r="G516" s="67">
        <v>44730</v>
      </c>
      <c r="H516" s="64">
        <v>0</v>
      </c>
      <c r="I516" s="67">
        <v>44744</v>
      </c>
      <c r="J516" s="64">
        <f t="shared" si="300"/>
        <v>0</v>
      </c>
      <c r="K516" s="67">
        <v>44748</v>
      </c>
      <c r="L516" s="64">
        <f t="shared" si="301"/>
        <v>0</v>
      </c>
      <c r="M516" s="64">
        <f t="shared" si="302"/>
        <v>0</v>
      </c>
      <c r="N516" s="67">
        <f t="shared" si="307"/>
        <v>44749</v>
      </c>
      <c r="O516" s="64">
        <f t="shared" si="303"/>
        <v>1</v>
      </c>
      <c r="P516" s="64">
        <f t="shared" si="304"/>
        <v>0</v>
      </c>
      <c r="Q516" s="91" t="str">
        <f t="shared" si="296"/>
        <v>Selesai</v>
      </c>
      <c r="R516" s="64">
        <f t="shared" si="305"/>
        <v>0</v>
      </c>
      <c r="S516" s="67">
        <v>44749</v>
      </c>
      <c r="T516" s="67">
        <v>44765</v>
      </c>
      <c r="U516" s="64">
        <f t="shared" si="297"/>
        <v>1</v>
      </c>
      <c r="V516" s="66"/>
      <c r="W516" s="64"/>
      <c r="X516" s="93"/>
      <c r="Y516" s="94"/>
      <c r="Z516" s="91" t="str">
        <f t="shared" si="298"/>
        <v>100%</v>
      </c>
      <c r="AA516" s="67"/>
      <c r="AB516" s="473"/>
      <c r="AC516" s="478" t="s">
        <v>2711</v>
      </c>
      <c r="AD516" s="67"/>
    </row>
    <row r="517" spans="2:30">
      <c r="B517" s="64" t="s">
        <v>105</v>
      </c>
      <c r="C517" s="65" t="s">
        <v>53</v>
      </c>
      <c r="D517" s="66">
        <v>5.57</v>
      </c>
      <c r="E517" s="67">
        <v>44718</v>
      </c>
      <c r="F517" s="64">
        <v>0</v>
      </c>
      <c r="G517" s="67">
        <v>44721</v>
      </c>
      <c r="H517" s="64">
        <v>0</v>
      </c>
      <c r="I517" s="67">
        <v>44727</v>
      </c>
      <c r="J517" s="64">
        <f t="shared" si="300"/>
        <v>0</v>
      </c>
      <c r="K517" s="67">
        <v>44722</v>
      </c>
      <c r="L517" s="64">
        <f t="shared" si="301"/>
        <v>0</v>
      </c>
      <c r="M517" s="64">
        <f t="shared" si="302"/>
        <v>0</v>
      </c>
      <c r="N517" s="67">
        <f t="shared" si="307"/>
        <v>44728</v>
      </c>
      <c r="O517" s="64">
        <f t="shared" si="303"/>
        <v>1</v>
      </c>
      <c r="P517" s="64">
        <f t="shared" si="304"/>
        <v>0</v>
      </c>
      <c r="Q517" s="91" t="str">
        <f t="shared" si="296"/>
        <v>Selesai</v>
      </c>
      <c r="R517" s="64">
        <f t="shared" si="305"/>
        <v>0</v>
      </c>
      <c r="S517" s="67">
        <v>44723</v>
      </c>
      <c r="T517" s="67">
        <v>44765</v>
      </c>
      <c r="U517" s="64">
        <f t="shared" si="297"/>
        <v>1</v>
      </c>
      <c r="V517" s="66"/>
      <c r="W517" s="64"/>
      <c r="X517" s="93"/>
      <c r="Y517" s="94"/>
      <c r="Z517" s="91" t="str">
        <f t="shared" si="298"/>
        <v>100%</v>
      </c>
      <c r="AA517" s="67"/>
      <c r="AB517" s="473"/>
      <c r="AC517" s="478" t="s">
        <v>2711</v>
      </c>
      <c r="AD517" s="67"/>
    </row>
    <row r="518" spans="2:30">
      <c r="B518" s="64" t="s">
        <v>116</v>
      </c>
      <c r="C518" s="65" t="s">
        <v>579</v>
      </c>
      <c r="D518" s="66">
        <v>7.49</v>
      </c>
      <c r="E518" s="67">
        <v>44699</v>
      </c>
      <c r="F518" s="64">
        <v>0</v>
      </c>
      <c r="G518" s="67">
        <v>44714</v>
      </c>
      <c r="H518" s="64">
        <v>0</v>
      </c>
      <c r="I518" s="67">
        <v>44722</v>
      </c>
      <c r="J518" s="64">
        <f t="shared" si="300"/>
        <v>0</v>
      </c>
      <c r="K518" s="67">
        <v>44698</v>
      </c>
      <c r="L518" s="64">
        <f t="shared" si="301"/>
        <v>0</v>
      </c>
      <c r="M518" s="64">
        <f t="shared" si="302"/>
        <v>0</v>
      </c>
      <c r="N518" s="67">
        <f t="shared" si="307"/>
        <v>44723</v>
      </c>
      <c r="O518" s="64">
        <f t="shared" si="303"/>
        <v>1</v>
      </c>
      <c r="P518" s="64">
        <f t="shared" si="304"/>
        <v>0</v>
      </c>
      <c r="Q518" s="91" t="str">
        <f t="shared" si="296"/>
        <v>Selesai</v>
      </c>
      <c r="R518" s="64">
        <f t="shared" si="305"/>
        <v>0</v>
      </c>
      <c r="S518" s="67">
        <v>44715</v>
      </c>
      <c r="T518" s="67">
        <v>44767</v>
      </c>
      <c r="U518" s="64">
        <f t="shared" si="297"/>
        <v>1</v>
      </c>
      <c r="V518" s="66"/>
      <c r="W518" s="64"/>
      <c r="X518" s="93"/>
      <c r="Y518" s="94"/>
      <c r="Z518" s="91" t="str">
        <f t="shared" si="298"/>
        <v>100%</v>
      </c>
      <c r="AA518" s="67"/>
      <c r="AB518" s="473"/>
      <c r="AC518" s="478" t="s">
        <v>2711</v>
      </c>
      <c r="AD518" s="67"/>
    </row>
    <row r="519" spans="2:30">
      <c r="B519" s="64" t="s">
        <v>116</v>
      </c>
      <c r="C519" s="65" t="s">
        <v>76</v>
      </c>
      <c r="D519" s="66">
        <v>5</v>
      </c>
      <c r="E519" s="67">
        <v>44726</v>
      </c>
      <c r="F519" s="64">
        <v>0</v>
      </c>
      <c r="G519" s="67">
        <v>44732</v>
      </c>
      <c r="H519" s="64">
        <v>0</v>
      </c>
      <c r="I519" s="67">
        <v>44742</v>
      </c>
      <c r="J519" s="64">
        <f t="shared" si="300"/>
        <v>0</v>
      </c>
      <c r="K519" s="67">
        <v>44746</v>
      </c>
      <c r="L519" s="64">
        <f t="shared" si="301"/>
        <v>0</v>
      </c>
      <c r="M519" s="64">
        <f t="shared" si="302"/>
        <v>0</v>
      </c>
      <c r="N519" s="67">
        <f t="shared" si="307"/>
        <v>44747</v>
      </c>
      <c r="O519" s="64">
        <f t="shared" si="303"/>
        <v>1</v>
      </c>
      <c r="P519" s="64">
        <f t="shared" si="304"/>
        <v>0</v>
      </c>
      <c r="Q519" s="91" t="str">
        <f t="shared" si="296"/>
        <v>Selesai</v>
      </c>
      <c r="R519" s="64">
        <f t="shared" si="305"/>
        <v>0</v>
      </c>
      <c r="S519" s="67">
        <v>44749</v>
      </c>
      <c r="T519" s="67">
        <v>44771</v>
      </c>
      <c r="U519" s="64">
        <f t="shared" si="297"/>
        <v>1</v>
      </c>
      <c r="V519" s="66"/>
      <c r="W519" s="64"/>
      <c r="X519" s="93"/>
      <c r="Y519" s="94"/>
      <c r="Z519" s="91" t="str">
        <f t="shared" si="298"/>
        <v>100%</v>
      </c>
      <c r="AA519" s="67"/>
      <c r="AB519" s="473"/>
      <c r="AC519" s="478" t="s">
        <v>2711</v>
      </c>
      <c r="AD519" s="67"/>
    </row>
    <row r="520" spans="2:30">
      <c r="B520" s="64" t="s">
        <v>118</v>
      </c>
      <c r="C520" s="65" t="s">
        <v>77</v>
      </c>
      <c r="D520" s="66">
        <v>11.38</v>
      </c>
      <c r="E520" s="67">
        <v>44716</v>
      </c>
      <c r="F520" s="64">
        <v>0</v>
      </c>
      <c r="G520" s="67">
        <v>44716</v>
      </c>
      <c r="H520" s="64">
        <v>0</v>
      </c>
      <c r="I520" s="67">
        <v>44727</v>
      </c>
      <c r="J520" s="64">
        <f t="shared" si="300"/>
        <v>0</v>
      </c>
      <c r="K520" s="67">
        <v>44704</v>
      </c>
      <c r="L520" s="64">
        <f t="shared" si="301"/>
        <v>0</v>
      </c>
      <c r="M520" s="64">
        <f t="shared" si="302"/>
        <v>0</v>
      </c>
      <c r="N520" s="67">
        <f t="shared" si="307"/>
        <v>44728</v>
      </c>
      <c r="O520" s="64">
        <f t="shared" si="303"/>
        <v>1</v>
      </c>
      <c r="P520" s="64">
        <f t="shared" si="304"/>
        <v>0</v>
      </c>
      <c r="Q520" s="91" t="str">
        <f t="shared" si="296"/>
        <v>Selesai</v>
      </c>
      <c r="R520" s="64">
        <f t="shared" si="305"/>
        <v>0</v>
      </c>
      <c r="S520" s="67">
        <v>44721</v>
      </c>
      <c r="T520" s="67">
        <v>44771</v>
      </c>
      <c r="U520" s="64">
        <f t="shared" si="297"/>
        <v>1</v>
      </c>
      <c r="V520" s="66"/>
      <c r="W520" s="64"/>
      <c r="X520" s="93"/>
      <c r="Y520" s="94"/>
      <c r="Z520" s="91" t="str">
        <f t="shared" si="298"/>
        <v>100%</v>
      </c>
      <c r="AA520" s="67"/>
      <c r="AB520" s="473"/>
      <c r="AC520" s="478" t="s">
        <v>2711</v>
      </c>
      <c r="AD520" s="67"/>
    </row>
    <row r="521" spans="2:30">
      <c r="B521" s="64" t="s">
        <v>116</v>
      </c>
      <c r="C521" s="65" t="s">
        <v>28</v>
      </c>
      <c r="D521" s="66">
        <v>6.34</v>
      </c>
      <c r="E521" s="67">
        <v>44742</v>
      </c>
      <c r="F521" s="64">
        <v>0</v>
      </c>
      <c r="G521" s="67">
        <v>44743</v>
      </c>
      <c r="H521" s="64">
        <v>0</v>
      </c>
      <c r="I521" s="67">
        <v>44752</v>
      </c>
      <c r="J521" s="64">
        <f t="shared" si="300"/>
        <v>0</v>
      </c>
      <c r="K521" s="67">
        <v>44747</v>
      </c>
      <c r="L521" s="64">
        <f t="shared" si="301"/>
        <v>0</v>
      </c>
      <c r="M521" s="64">
        <f t="shared" si="302"/>
        <v>0</v>
      </c>
      <c r="N521" s="67">
        <f t="shared" si="307"/>
        <v>44753</v>
      </c>
      <c r="O521" s="64">
        <f t="shared" si="303"/>
        <v>1</v>
      </c>
      <c r="P521" s="64">
        <f t="shared" si="304"/>
        <v>0</v>
      </c>
      <c r="Q521" s="91" t="str">
        <f t="shared" ref="Q521:Q584" si="308">IF(T521&gt;0,"Selesai","Proses")</f>
        <v>Selesai</v>
      </c>
      <c r="R521" s="64">
        <f t="shared" si="305"/>
        <v>0</v>
      </c>
      <c r="S521" s="67">
        <v>44754</v>
      </c>
      <c r="T521" s="67">
        <v>44772</v>
      </c>
      <c r="U521" s="64">
        <f t="shared" ref="U521:U584" si="309">IF(T521&gt;0,1,0)</f>
        <v>1</v>
      </c>
      <c r="V521" s="66"/>
      <c r="W521" s="64"/>
      <c r="X521" s="93"/>
      <c r="Y521" s="94"/>
      <c r="Z521" s="91" t="str">
        <f t="shared" si="298"/>
        <v>100%</v>
      </c>
      <c r="AA521" s="67"/>
      <c r="AB521" s="473"/>
      <c r="AC521" s="478" t="s">
        <v>2711</v>
      </c>
      <c r="AD521" s="67"/>
    </row>
    <row r="522" spans="2:30">
      <c r="B522" s="64" t="s">
        <v>111</v>
      </c>
      <c r="C522" s="65" t="s">
        <v>66</v>
      </c>
      <c r="D522" s="66">
        <v>6.42</v>
      </c>
      <c r="E522" s="67">
        <v>44726</v>
      </c>
      <c r="F522" s="64">
        <v>0</v>
      </c>
      <c r="G522" s="67">
        <v>44742</v>
      </c>
      <c r="H522" s="64">
        <v>0</v>
      </c>
      <c r="I522" s="67">
        <v>44747</v>
      </c>
      <c r="J522" s="64">
        <f t="shared" si="300"/>
        <v>0</v>
      </c>
      <c r="K522" s="67">
        <v>44741</v>
      </c>
      <c r="L522" s="64">
        <f t="shared" si="301"/>
        <v>0</v>
      </c>
      <c r="M522" s="64">
        <f t="shared" si="302"/>
        <v>0</v>
      </c>
      <c r="N522" s="67">
        <f t="shared" si="307"/>
        <v>44748</v>
      </c>
      <c r="O522" s="64">
        <f t="shared" si="303"/>
        <v>1</v>
      </c>
      <c r="P522" s="64">
        <f t="shared" si="304"/>
        <v>0</v>
      </c>
      <c r="Q522" s="91" t="str">
        <f t="shared" si="308"/>
        <v>Selesai</v>
      </c>
      <c r="R522" s="64">
        <f t="shared" si="305"/>
        <v>0</v>
      </c>
      <c r="S522" s="67">
        <v>44748</v>
      </c>
      <c r="T522" s="67">
        <v>44772</v>
      </c>
      <c r="U522" s="64">
        <f t="shared" si="309"/>
        <v>1</v>
      </c>
      <c r="V522" s="66"/>
      <c r="W522" s="64"/>
      <c r="X522" s="93"/>
      <c r="Y522" s="94"/>
      <c r="Z522" s="91" t="str">
        <f t="shared" ref="Z522:Z585" si="310">IF(T522="","","100%")</f>
        <v>100%</v>
      </c>
      <c r="AA522" s="67"/>
      <c r="AB522" s="473"/>
      <c r="AC522" s="478" t="s">
        <v>2711</v>
      </c>
      <c r="AD522" s="67"/>
    </row>
    <row r="523" spans="2:30">
      <c r="B523" s="64" t="s">
        <v>118</v>
      </c>
      <c r="C523" s="65" t="s">
        <v>71</v>
      </c>
      <c r="D523" s="66">
        <v>3.44</v>
      </c>
      <c r="E523" s="67">
        <v>44719</v>
      </c>
      <c r="F523" s="64">
        <v>0</v>
      </c>
      <c r="G523" s="67">
        <v>44720</v>
      </c>
      <c r="H523" s="64">
        <v>0</v>
      </c>
      <c r="I523" s="67">
        <v>44732</v>
      </c>
      <c r="J523" s="64">
        <f t="shared" si="300"/>
        <v>0</v>
      </c>
      <c r="K523" s="67">
        <v>44725</v>
      </c>
      <c r="L523" s="64">
        <f t="shared" si="301"/>
        <v>0</v>
      </c>
      <c r="M523" s="64">
        <f t="shared" si="302"/>
        <v>0</v>
      </c>
      <c r="N523" s="67">
        <f t="shared" si="307"/>
        <v>44733</v>
      </c>
      <c r="O523" s="64">
        <f t="shared" si="303"/>
        <v>1</v>
      </c>
      <c r="P523" s="64">
        <f t="shared" si="304"/>
        <v>0</v>
      </c>
      <c r="Q523" s="91" t="str">
        <f t="shared" si="308"/>
        <v>Selesai</v>
      </c>
      <c r="R523" s="64">
        <f t="shared" si="305"/>
        <v>0</v>
      </c>
      <c r="S523" s="67">
        <v>44728</v>
      </c>
      <c r="T523" s="67">
        <v>44772</v>
      </c>
      <c r="U523" s="64">
        <f t="shared" si="309"/>
        <v>1</v>
      </c>
      <c r="V523" s="66"/>
      <c r="W523" s="64"/>
      <c r="X523" s="93"/>
      <c r="Y523" s="94"/>
      <c r="Z523" s="91" t="str">
        <f t="shared" si="310"/>
        <v>100%</v>
      </c>
      <c r="AA523" s="67"/>
      <c r="AB523" s="473"/>
      <c r="AC523" s="478" t="s">
        <v>2711</v>
      </c>
      <c r="AD523" s="67"/>
    </row>
    <row r="524" spans="2:30">
      <c r="B524" s="64" t="s">
        <v>118</v>
      </c>
      <c r="C524" s="65" t="s">
        <v>31</v>
      </c>
      <c r="D524" s="66">
        <v>7.14</v>
      </c>
      <c r="E524" s="67">
        <v>44747</v>
      </c>
      <c r="F524" s="64">
        <v>0</v>
      </c>
      <c r="G524" s="67">
        <v>44749</v>
      </c>
      <c r="H524" s="64">
        <v>0</v>
      </c>
      <c r="I524" s="67">
        <v>44756</v>
      </c>
      <c r="J524" s="64">
        <f t="shared" si="300"/>
        <v>0</v>
      </c>
      <c r="K524" s="67">
        <v>44750</v>
      </c>
      <c r="L524" s="64">
        <f t="shared" si="301"/>
        <v>0</v>
      </c>
      <c r="M524" s="64">
        <f t="shared" si="302"/>
        <v>0</v>
      </c>
      <c r="N524" s="67">
        <v>44757</v>
      </c>
      <c r="O524" s="64">
        <f t="shared" si="303"/>
        <v>1</v>
      </c>
      <c r="P524" s="64">
        <f t="shared" si="304"/>
        <v>0</v>
      </c>
      <c r="Q524" s="91" t="str">
        <f t="shared" si="308"/>
        <v>Selesai</v>
      </c>
      <c r="R524" s="64">
        <f t="shared" si="305"/>
        <v>0</v>
      </c>
      <c r="S524" s="67">
        <v>44760</v>
      </c>
      <c r="T524" s="67">
        <v>44772</v>
      </c>
      <c r="U524" s="64">
        <f t="shared" si="309"/>
        <v>1</v>
      </c>
      <c r="V524" s="66"/>
      <c r="W524" s="64"/>
      <c r="X524" s="93"/>
      <c r="Y524" s="94"/>
      <c r="Z524" s="91" t="str">
        <f t="shared" si="310"/>
        <v>100%</v>
      </c>
      <c r="AA524" s="67"/>
      <c r="AB524" s="473"/>
      <c r="AC524" s="478" t="s">
        <v>2711</v>
      </c>
      <c r="AD524" s="67"/>
    </row>
    <row r="525" spans="2:30">
      <c r="B525" s="64" t="s">
        <v>118</v>
      </c>
      <c r="C525" s="65" t="s">
        <v>72</v>
      </c>
      <c r="D525" s="66">
        <v>12.42</v>
      </c>
      <c r="E525" s="67">
        <v>44700</v>
      </c>
      <c r="F525" s="64">
        <v>0</v>
      </c>
      <c r="G525" s="67">
        <v>44701</v>
      </c>
      <c r="H525" s="64">
        <v>0</v>
      </c>
      <c r="I525" s="67">
        <v>44722</v>
      </c>
      <c r="J525" s="64">
        <f t="shared" si="300"/>
        <v>0</v>
      </c>
      <c r="K525" s="67">
        <v>44704</v>
      </c>
      <c r="L525" s="64">
        <f t="shared" si="301"/>
        <v>0</v>
      </c>
      <c r="M525" s="64">
        <f t="shared" si="302"/>
        <v>0</v>
      </c>
      <c r="N525" s="67">
        <f t="shared" ref="N525:N533" si="311">IF(AND(I525&gt;0,K525&gt;0),MAX(I525:K525)+1,"")</f>
        <v>44723</v>
      </c>
      <c r="O525" s="64">
        <f t="shared" si="303"/>
        <v>1</v>
      </c>
      <c r="P525" s="64">
        <f t="shared" si="304"/>
        <v>0</v>
      </c>
      <c r="Q525" s="91" t="str">
        <f t="shared" si="308"/>
        <v>Selesai</v>
      </c>
      <c r="R525" s="64">
        <f t="shared" si="305"/>
        <v>0</v>
      </c>
      <c r="S525" s="67">
        <v>44713</v>
      </c>
      <c r="T525" s="67">
        <v>44773</v>
      </c>
      <c r="U525" s="64">
        <f t="shared" si="309"/>
        <v>1</v>
      </c>
      <c r="V525" s="66"/>
      <c r="W525" s="64"/>
      <c r="X525" s="93"/>
      <c r="Y525" s="94"/>
      <c r="Z525" s="91" t="str">
        <f t="shared" si="310"/>
        <v>100%</v>
      </c>
      <c r="AA525" s="67"/>
      <c r="AB525" s="473"/>
      <c r="AC525" s="478" t="s">
        <v>2711</v>
      </c>
      <c r="AD525" s="67"/>
    </row>
    <row r="526" spans="2:30">
      <c r="B526" s="64" t="s">
        <v>113</v>
      </c>
      <c r="C526" s="65" t="s">
        <v>47</v>
      </c>
      <c r="D526" s="66">
        <v>8.4499999999999993</v>
      </c>
      <c r="E526" s="67">
        <v>44733</v>
      </c>
      <c r="F526" s="64">
        <v>0</v>
      </c>
      <c r="G526" s="67">
        <v>44734</v>
      </c>
      <c r="H526" s="64">
        <v>0</v>
      </c>
      <c r="I526" s="67">
        <v>44752</v>
      </c>
      <c r="J526" s="64">
        <f t="shared" si="300"/>
        <v>0</v>
      </c>
      <c r="K526" s="67">
        <v>44742</v>
      </c>
      <c r="L526" s="64">
        <f t="shared" si="301"/>
        <v>0</v>
      </c>
      <c r="M526" s="64">
        <f t="shared" si="302"/>
        <v>0</v>
      </c>
      <c r="N526" s="67">
        <f t="shared" si="311"/>
        <v>44753</v>
      </c>
      <c r="O526" s="64">
        <f t="shared" si="303"/>
        <v>1</v>
      </c>
      <c r="P526" s="64">
        <f t="shared" si="304"/>
        <v>0</v>
      </c>
      <c r="Q526" s="91" t="str">
        <f t="shared" si="308"/>
        <v>Selesai</v>
      </c>
      <c r="R526" s="64">
        <f t="shared" si="305"/>
        <v>0</v>
      </c>
      <c r="S526" s="67">
        <v>44745</v>
      </c>
      <c r="T526" s="67">
        <v>44773</v>
      </c>
      <c r="U526" s="64">
        <f t="shared" si="309"/>
        <v>1</v>
      </c>
      <c r="V526" s="66"/>
      <c r="W526" s="64"/>
      <c r="X526" s="93"/>
      <c r="Y526" s="94"/>
      <c r="Z526" s="91" t="str">
        <f t="shared" si="310"/>
        <v>100%</v>
      </c>
      <c r="AA526" s="67"/>
      <c r="AB526" s="473"/>
      <c r="AC526" s="478" t="s">
        <v>2711</v>
      </c>
      <c r="AD526" s="67"/>
    </row>
    <row r="527" spans="2:30">
      <c r="B527" s="64" t="s">
        <v>105</v>
      </c>
      <c r="C527" s="65" t="s">
        <v>50</v>
      </c>
      <c r="D527" s="66">
        <v>10.1</v>
      </c>
      <c r="E527" s="67">
        <v>44717</v>
      </c>
      <c r="F527" s="64">
        <v>0</v>
      </c>
      <c r="G527" s="67">
        <v>44718</v>
      </c>
      <c r="H527" s="64">
        <v>0</v>
      </c>
      <c r="I527" s="67">
        <v>44732</v>
      </c>
      <c r="J527" s="64">
        <f t="shared" si="300"/>
        <v>0</v>
      </c>
      <c r="K527" s="67">
        <v>44725</v>
      </c>
      <c r="L527" s="64">
        <f t="shared" si="301"/>
        <v>0</v>
      </c>
      <c r="M527" s="64">
        <f t="shared" si="302"/>
        <v>0</v>
      </c>
      <c r="N527" s="67">
        <f t="shared" si="311"/>
        <v>44733</v>
      </c>
      <c r="O527" s="64">
        <f t="shared" si="303"/>
        <v>1</v>
      </c>
      <c r="P527" s="64">
        <f t="shared" si="304"/>
        <v>0</v>
      </c>
      <c r="Q527" s="91" t="str">
        <f t="shared" si="308"/>
        <v>Selesai</v>
      </c>
      <c r="R527" s="64">
        <f t="shared" si="305"/>
        <v>0</v>
      </c>
      <c r="S527" s="67">
        <v>44727</v>
      </c>
      <c r="T527" s="67">
        <v>44773</v>
      </c>
      <c r="U527" s="64">
        <f t="shared" si="309"/>
        <v>1</v>
      </c>
      <c r="V527" s="66"/>
      <c r="W527" s="64"/>
      <c r="X527" s="93"/>
      <c r="Y527" s="94"/>
      <c r="Z527" s="91" t="str">
        <f t="shared" si="310"/>
        <v>100%</v>
      </c>
      <c r="AA527" s="67"/>
      <c r="AB527" s="473"/>
      <c r="AC527" s="478" t="s">
        <v>2711</v>
      </c>
      <c r="AD527" s="67"/>
    </row>
    <row r="528" spans="2:30">
      <c r="B528" s="64" t="s">
        <v>109</v>
      </c>
      <c r="C528" s="65" t="s">
        <v>56</v>
      </c>
      <c r="D528" s="66">
        <v>6.38</v>
      </c>
      <c r="E528" s="67">
        <v>44722</v>
      </c>
      <c r="F528" s="64">
        <v>0</v>
      </c>
      <c r="G528" s="67">
        <v>44723</v>
      </c>
      <c r="H528" s="64">
        <v>0</v>
      </c>
      <c r="I528" s="67">
        <v>44732</v>
      </c>
      <c r="J528" s="64">
        <f t="shared" ref="J528:J591" si="312">IF(I528&gt;0,0,1)</f>
        <v>0</v>
      </c>
      <c r="K528" s="67">
        <v>44725</v>
      </c>
      <c r="L528" s="64">
        <f t="shared" ref="L528:L591" si="313">IF(K528&gt;0,0,1)</f>
        <v>0</v>
      </c>
      <c r="M528" s="64">
        <f t="shared" ref="M528:M591" si="314">IF(AND(J528&gt;0,L528&gt;0),1,0)</f>
        <v>0</v>
      </c>
      <c r="N528" s="67">
        <f t="shared" si="311"/>
        <v>44733</v>
      </c>
      <c r="O528" s="64">
        <f t="shared" ref="O528:O591" si="315">IF(N528&gt;0,1,0)</f>
        <v>1</v>
      </c>
      <c r="P528" s="64">
        <f t="shared" ref="P528:P591" si="316">IF(O528&gt;0,0,1)</f>
        <v>0</v>
      </c>
      <c r="Q528" s="91" t="str">
        <f t="shared" si="308"/>
        <v>Selesai</v>
      </c>
      <c r="R528" s="64">
        <f t="shared" ref="R528:R591" si="317">IF(Q528="proses",1,0)</f>
        <v>0</v>
      </c>
      <c r="S528" s="67">
        <v>44726</v>
      </c>
      <c r="T528" s="67">
        <v>44773</v>
      </c>
      <c r="U528" s="64">
        <f t="shared" si="309"/>
        <v>1</v>
      </c>
      <c r="V528" s="66"/>
      <c r="W528" s="64"/>
      <c r="X528" s="93"/>
      <c r="Y528" s="94"/>
      <c r="Z528" s="91" t="str">
        <f t="shared" si="310"/>
        <v>100%</v>
      </c>
      <c r="AA528" s="67"/>
      <c r="AB528" s="473"/>
      <c r="AC528" s="478" t="s">
        <v>2711</v>
      </c>
      <c r="AD528" s="67"/>
    </row>
    <row r="529" spans="2:30">
      <c r="B529" s="64" t="s">
        <v>109</v>
      </c>
      <c r="C529" s="65" t="s">
        <v>58</v>
      </c>
      <c r="D529" s="66">
        <v>5.35</v>
      </c>
      <c r="E529" s="67">
        <v>44722</v>
      </c>
      <c r="F529" s="64">
        <v>0</v>
      </c>
      <c r="G529" s="67">
        <v>44723</v>
      </c>
      <c r="H529" s="64">
        <v>0</v>
      </c>
      <c r="I529" s="67">
        <v>44742</v>
      </c>
      <c r="J529" s="64">
        <f t="shared" si="312"/>
        <v>0</v>
      </c>
      <c r="K529" s="67">
        <v>44725</v>
      </c>
      <c r="L529" s="64">
        <f t="shared" si="313"/>
        <v>0</v>
      </c>
      <c r="M529" s="64">
        <f t="shared" si="314"/>
        <v>0</v>
      </c>
      <c r="N529" s="67">
        <f t="shared" si="311"/>
        <v>44743</v>
      </c>
      <c r="O529" s="64">
        <f t="shared" si="315"/>
        <v>1</v>
      </c>
      <c r="P529" s="64">
        <f t="shared" si="316"/>
        <v>0</v>
      </c>
      <c r="Q529" s="91" t="str">
        <f t="shared" si="308"/>
        <v>Selesai</v>
      </c>
      <c r="R529" s="64">
        <f t="shared" si="317"/>
        <v>0</v>
      </c>
      <c r="S529" s="67">
        <v>44735</v>
      </c>
      <c r="T529" s="67">
        <v>44773</v>
      </c>
      <c r="U529" s="64">
        <f t="shared" si="309"/>
        <v>1</v>
      </c>
      <c r="V529" s="66"/>
      <c r="W529" s="64"/>
      <c r="X529" s="93"/>
      <c r="Y529" s="94"/>
      <c r="Z529" s="91" t="str">
        <f t="shared" si="310"/>
        <v>100%</v>
      </c>
      <c r="AA529" s="67"/>
      <c r="AB529" s="473"/>
      <c r="AC529" s="478" t="s">
        <v>2711</v>
      </c>
      <c r="AD529" s="67"/>
    </row>
    <row r="530" spans="2:30">
      <c r="B530" s="64" t="s">
        <v>107</v>
      </c>
      <c r="C530" s="65" t="s">
        <v>8</v>
      </c>
      <c r="D530" s="66">
        <v>8.24</v>
      </c>
      <c r="E530" s="67">
        <v>44734</v>
      </c>
      <c r="F530" s="64">
        <v>0</v>
      </c>
      <c r="G530" s="67">
        <v>44741</v>
      </c>
      <c r="H530" s="64">
        <v>0</v>
      </c>
      <c r="I530" s="67">
        <v>44749</v>
      </c>
      <c r="J530" s="64">
        <f t="shared" si="312"/>
        <v>0</v>
      </c>
      <c r="K530" s="67">
        <v>44741</v>
      </c>
      <c r="L530" s="64">
        <f t="shared" si="313"/>
        <v>0</v>
      </c>
      <c r="M530" s="64">
        <f t="shared" si="314"/>
        <v>0</v>
      </c>
      <c r="N530" s="67">
        <f t="shared" si="311"/>
        <v>44750</v>
      </c>
      <c r="O530" s="64">
        <f t="shared" si="315"/>
        <v>1</v>
      </c>
      <c r="P530" s="64">
        <f t="shared" si="316"/>
        <v>0</v>
      </c>
      <c r="Q530" s="91" t="str">
        <f t="shared" si="308"/>
        <v>Selesai</v>
      </c>
      <c r="R530" s="64">
        <f t="shared" si="317"/>
        <v>0</v>
      </c>
      <c r="S530" s="67">
        <v>44753</v>
      </c>
      <c r="T530" s="67">
        <v>44787</v>
      </c>
      <c r="U530" s="64">
        <f t="shared" si="309"/>
        <v>1</v>
      </c>
      <c r="V530" s="66"/>
      <c r="W530" s="64"/>
      <c r="X530" s="93"/>
      <c r="Y530" s="94"/>
      <c r="Z530" s="91" t="str">
        <f t="shared" si="310"/>
        <v>100%</v>
      </c>
      <c r="AA530" s="67"/>
      <c r="AB530" s="473"/>
      <c r="AC530" s="478" t="s">
        <v>2711</v>
      </c>
      <c r="AD530" s="67"/>
    </row>
    <row r="531" spans="2:30" ht="14.1" customHeight="1">
      <c r="B531" s="64" t="s">
        <v>107</v>
      </c>
      <c r="C531" s="65" t="s">
        <v>21</v>
      </c>
      <c r="D531" s="66">
        <v>6.57</v>
      </c>
      <c r="E531" s="67">
        <v>44724</v>
      </c>
      <c r="F531" s="64">
        <v>0</v>
      </c>
      <c r="G531" s="67">
        <v>44727</v>
      </c>
      <c r="H531" s="64">
        <v>0</v>
      </c>
      <c r="I531" s="67">
        <v>44737</v>
      </c>
      <c r="J531" s="64">
        <f t="shared" si="312"/>
        <v>0</v>
      </c>
      <c r="K531" s="67">
        <v>44718</v>
      </c>
      <c r="L531" s="64">
        <f t="shared" si="313"/>
        <v>0</v>
      </c>
      <c r="M531" s="64">
        <f t="shared" si="314"/>
        <v>0</v>
      </c>
      <c r="N531" s="67">
        <f t="shared" si="311"/>
        <v>44738</v>
      </c>
      <c r="O531" s="64">
        <f t="shared" si="315"/>
        <v>1</v>
      </c>
      <c r="P531" s="64">
        <f t="shared" si="316"/>
        <v>0</v>
      </c>
      <c r="Q531" s="91" t="str">
        <f t="shared" si="308"/>
        <v>Selesai</v>
      </c>
      <c r="R531" s="64">
        <f t="shared" si="317"/>
        <v>0</v>
      </c>
      <c r="S531" s="67">
        <v>44732</v>
      </c>
      <c r="T531" s="67">
        <v>44782</v>
      </c>
      <c r="U531" s="64">
        <f t="shared" si="309"/>
        <v>1</v>
      </c>
      <c r="V531" s="66"/>
      <c r="W531" s="64"/>
      <c r="X531" s="93"/>
      <c r="Y531" s="94"/>
      <c r="Z531" s="91" t="str">
        <f t="shared" si="310"/>
        <v>100%</v>
      </c>
      <c r="AA531" s="67"/>
      <c r="AB531" s="473"/>
      <c r="AC531" s="478" t="s">
        <v>2711</v>
      </c>
      <c r="AD531" s="67"/>
    </row>
    <row r="532" spans="2:30">
      <c r="B532" s="64" t="s">
        <v>107</v>
      </c>
      <c r="C532" s="65" t="s">
        <v>10</v>
      </c>
      <c r="D532" s="66">
        <v>8.9</v>
      </c>
      <c r="E532" s="67">
        <v>44728</v>
      </c>
      <c r="F532" s="64">
        <v>0</v>
      </c>
      <c r="G532" s="67">
        <v>44730</v>
      </c>
      <c r="H532" s="64">
        <v>0</v>
      </c>
      <c r="I532" s="67">
        <v>44748</v>
      </c>
      <c r="J532" s="64">
        <f t="shared" si="312"/>
        <v>0</v>
      </c>
      <c r="K532" s="67">
        <v>44748</v>
      </c>
      <c r="L532" s="64">
        <f t="shared" si="313"/>
        <v>0</v>
      </c>
      <c r="M532" s="64">
        <f t="shared" si="314"/>
        <v>0</v>
      </c>
      <c r="N532" s="67">
        <f t="shared" si="311"/>
        <v>44749</v>
      </c>
      <c r="O532" s="64">
        <f t="shared" si="315"/>
        <v>1</v>
      </c>
      <c r="P532" s="64">
        <f t="shared" si="316"/>
        <v>0</v>
      </c>
      <c r="Q532" s="91" t="str">
        <f t="shared" si="308"/>
        <v>Selesai</v>
      </c>
      <c r="R532" s="64">
        <f t="shared" si="317"/>
        <v>0</v>
      </c>
      <c r="S532" s="67">
        <v>44753</v>
      </c>
      <c r="T532" s="67">
        <v>44782</v>
      </c>
      <c r="U532" s="64">
        <f t="shared" si="309"/>
        <v>1</v>
      </c>
      <c r="V532" s="66"/>
      <c r="W532" s="64"/>
      <c r="X532" s="93"/>
      <c r="Y532" s="94"/>
      <c r="Z532" s="91" t="str">
        <f t="shared" si="310"/>
        <v>100%</v>
      </c>
      <c r="AA532" s="67"/>
      <c r="AB532" s="473"/>
      <c r="AC532" s="478" t="s">
        <v>2711</v>
      </c>
      <c r="AD532" s="67"/>
    </row>
    <row r="533" spans="2:30">
      <c r="B533" s="64" t="s">
        <v>105</v>
      </c>
      <c r="C533" s="65" t="s">
        <v>38</v>
      </c>
      <c r="D533" s="66">
        <v>11.75</v>
      </c>
      <c r="E533" s="67">
        <v>44723</v>
      </c>
      <c r="F533" s="64">
        <v>0</v>
      </c>
      <c r="G533" s="67">
        <v>44725</v>
      </c>
      <c r="H533" s="64">
        <v>0</v>
      </c>
      <c r="I533" s="67">
        <v>44742</v>
      </c>
      <c r="J533" s="64">
        <f t="shared" si="312"/>
        <v>0</v>
      </c>
      <c r="K533" s="67">
        <v>44730</v>
      </c>
      <c r="L533" s="64">
        <f t="shared" si="313"/>
        <v>0</v>
      </c>
      <c r="M533" s="64">
        <f t="shared" si="314"/>
        <v>0</v>
      </c>
      <c r="N533" s="67">
        <f t="shared" si="311"/>
        <v>44743</v>
      </c>
      <c r="O533" s="64">
        <f t="shared" si="315"/>
        <v>1</v>
      </c>
      <c r="P533" s="64">
        <f t="shared" si="316"/>
        <v>0</v>
      </c>
      <c r="Q533" s="91" t="str">
        <f t="shared" si="308"/>
        <v>Selesai</v>
      </c>
      <c r="R533" s="64">
        <f t="shared" si="317"/>
        <v>0</v>
      </c>
      <c r="S533" s="67">
        <v>44735</v>
      </c>
      <c r="T533" s="67">
        <v>44781</v>
      </c>
      <c r="U533" s="64">
        <f t="shared" si="309"/>
        <v>1</v>
      </c>
      <c r="V533" s="66"/>
      <c r="W533" s="64"/>
      <c r="X533" s="93"/>
      <c r="Y533" s="94"/>
      <c r="Z533" s="91" t="str">
        <f t="shared" si="310"/>
        <v>100%</v>
      </c>
      <c r="AA533" s="67"/>
      <c r="AB533" s="473"/>
      <c r="AC533" s="478" t="s">
        <v>2711</v>
      </c>
      <c r="AD533" s="67"/>
    </row>
    <row r="534" spans="2:30">
      <c r="B534" s="64" t="s">
        <v>111</v>
      </c>
      <c r="C534" s="65" t="s">
        <v>23</v>
      </c>
      <c r="D534" s="66">
        <v>6.2</v>
      </c>
      <c r="E534" s="67">
        <v>44748</v>
      </c>
      <c r="F534" s="64">
        <v>0</v>
      </c>
      <c r="G534" s="67">
        <v>44750</v>
      </c>
      <c r="H534" s="64">
        <v>0</v>
      </c>
      <c r="I534" s="67">
        <f>+K534+5</f>
        <v>44758</v>
      </c>
      <c r="J534" s="64">
        <f t="shared" si="312"/>
        <v>0</v>
      </c>
      <c r="K534" s="67">
        <v>44753</v>
      </c>
      <c r="L534" s="64">
        <f t="shared" si="313"/>
        <v>0</v>
      </c>
      <c r="M534" s="64">
        <f t="shared" si="314"/>
        <v>0</v>
      </c>
      <c r="N534" s="67">
        <v>44756</v>
      </c>
      <c r="O534" s="64">
        <f t="shared" si="315"/>
        <v>1</v>
      </c>
      <c r="P534" s="64">
        <f t="shared" si="316"/>
        <v>0</v>
      </c>
      <c r="Q534" s="91" t="str">
        <f t="shared" si="308"/>
        <v>Selesai</v>
      </c>
      <c r="R534" s="64">
        <f t="shared" si="317"/>
        <v>0</v>
      </c>
      <c r="S534" s="67">
        <v>44774</v>
      </c>
      <c r="T534" s="67">
        <v>44782</v>
      </c>
      <c r="U534" s="64">
        <f t="shared" si="309"/>
        <v>1</v>
      </c>
      <c r="V534" s="66"/>
      <c r="W534" s="64"/>
      <c r="X534" s="93"/>
      <c r="Y534" s="94"/>
      <c r="Z534" s="91" t="str">
        <f t="shared" si="310"/>
        <v>100%</v>
      </c>
      <c r="AA534" s="67"/>
      <c r="AB534" s="473"/>
      <c r="AC534" s="478" t="s">
        <v>2711</v>
      </c>
      <c r="AD534" s="67"/>
    </row>
    <row r="535" spans="2:30">
      <c r="B535" s="64" t="s">
        <v>116</v>
      </c>
      <c r="C535" s="65" t="s">
        <v>75</v>
      </c>
      <c r="D535" s="66">
        <v>6.85</v>
      </c>
      <c r="E535" s="67">
        <v>44719</v>
      </c>
      <c r="F535" s="64">
        <v>0</v>
      </c>
      <c r="G535" s="67">
        <v>44720</v>
      </c>
      <c r="H535" s="64">
        <v>0</v>
      </c>
      <c r="I535" s="67">
        <v>44736</v>
      </c>
      <c r="J535" s="64">
        <f t="shared" si="312"/>
        <v>0</v>
      </c>
      <c r="K535" s="67">
        <v>44705</v>
      </c>
      <c r="L535" s="64">
        <f t="shared" si="313"/>
        <v>0</v>
      </c>
      <c r="M535" s="64">
        <f t="shared" si="314"/>
        <v>0</v>
      </c>
      <c r="N535" s="67">
        <f>IF(AND(I535&gt;0,K535&gt;0),MAX(I535:K535)+1,"")</f>
        <v>44737</v>
      </c>
      <c r="O535" s="64">
        <f t="shared" si="315"/>
        <v>1</v>
      </c>
      <c r="P535" s="64">
        <f t="shared" si="316"/>
        <v>0</v>
      </c>
      <c r="Q535" s="91" t="str">
        <f t="shared" si="308"/>
        <v>Selesai</v>
      </c>
      <c r="R535" s="64">
        <f t="shared" si="317"/>
        <v>0</v>
      </c>
      <c r="S535" s="67">
        <v>44737</v>
      </c>
      <c r="T535" s="67">
        <v>44780</v>
      </c>
      <c r="U535" s="64">
        <f t="shared" si="309"/>
        <v>1</v>
      </c>
      <c r="V535" s="66"/>
      <c r="W535" s="64"/>
      <c r="X535" s="93"/>
      <c r="Y535" s="94"/>
      <c r="Z535" s="91" t="str">
        <f t="shared" si="310"/>
        <v>100%</v>
      </c>
      <c r="AA535" s="67"/>
      <c r="AB535" s="473"/>
      <c r="AC535" s="478" t="s">
        <v>2711</v>
      </c>
      <c r="AD535" s="67"/>
    </row>
    <row r="536" spans="2:30">
      <c r="B536" s="64" t="s">
        <v>116</v>
      </c>
      <c r="C536" s="65" t="s">
        <v>74</v>
      </c>
      <c r="D536" s="66">
        <v>5.84</v>
      </c>
      <c r="E536" s="67">
        <v>44716</v>
      </c>
      <c r="F536" s="64">
        <v>0</v>
      </c>
      <c r="G536" s="67">
        <v>44718</v>
      </c>
      <c r="H536" s="64">
        <v>0</v>
      </c>
      <c r="I536" s="67">
        <v>44732</v>
      </c>
      <c r="J536" s="64">
        <f t="shared" si="312"/>
        <v>0</v>
      </c>
      <c r="K536" s="67">
        <v>44705</v>
      </c>
      <c r="L536" s="64">
        <f t="shared" si="313"/>
        <v>0</v>
      </c>
      <c r="M536" s="64">
        <f t="shared" si="314"/>
        <v>0</v>
      </c>
      <c r="N536" s="67">
        <f>IF(AND(I536&gt;0,K536&gt;0),MAX(I536:K536)+1,"")</f>
        <v>44733</v>
      </c>
      <c r="O536" s="64">
        <f t="shared" si="315"/>
        <v>1</v>
      </c>
      <c r="P536" s="64">
        <f t="shared" si="316"/>
        <v>0</v>
      </c>
      <c r="Q536" s="91" t="str">
        <f t="shared" si="308"/>
        <v>Selesai</v>
      </c>
      <c r="R536" s="64">
        <f t="shared" si="317"/>
        <v>0</v>
      </c>
      <c r="S536" s="67">
        <v>44726</v>
      </c>
      <c r="T536" s="67">
        <v>44776</v>
      </c>
      <c r="U536" s="64">
        <f t="shared" si="309"/>
        <v>1</v>
      </c>
      <c r="V536" s="66"/>
      <c r="W536" s="64"/>
      <c r="X536" s="93"/>
      <c r="Y536" s="94"/>
      <c r="Z536" s="91" t="str">
        <f t="shared" si="310"/>
        <v>100%</v>
      </c>
      <c r="AA536" s="67"/>
      <c r="AB536" s="473"/>
      <c r="AC536" s="478" t="s">
        <v>2711</v>
      </c>
      <c r="AD536" s="67"/>
    </row>
    <row r="537" spans="2:30">
      <c r="B537" s="64" t="s">
        <v>118</v>
      </c>
      <c r="C537" s="65" t="s">
        <v>34</v>
      </c>
      <c r="D537" s="66">
        <v>3.58</v>
      </c>
      <c r="E537" s="67">
        <v>44747</v>
      </c>
      <c r="F537" s="64">
        <v>0</v>
      </c>
      <c r="G537" s="67">
        <v>44750</v>
      </c>
      <c r="H537" s="64">
        <v>0</v>
      </c>
      <c r="I537" s="67">
        <f>K537+5</f>
        <v>44755</v>
      </c>
      <c r="J537" s="64">
        <f t="shared" si="312"/>
        <v>0</v>
      </c>
      <c r="K537" s="67">
        <v>44750</v>
      </c>
      <c r="L537" s="64">
        <f t="shared" si="313"/>
        <v>0</v>
      </c>
      <c r="M537" s="64">
        <f t="shared" si="314"/>
        <v>0</v>
      </c>
      <c r="N537" s="67">
        <v>44757</v>
      </c>
      <c r="O537" s="64">
        <f t="shared" si="315"/>
        <v>1</v>
      </c>
      <c r="P537" s="64">
        <f t="shared" si="316"/>
        <v>0</v>
      </c>
      <c r="Q537" s="91" t="str">
        <f t="shared" si="308"/>
        <v>Selesai</v>
      </c>
      <c r="R537" s="64">
        <f t="shared" si="317"/>
        <v>0</v>
      </c>
      <c r="S537" s="67">
        <v>44765</v>
      </c>
      <c r="T537" s="67">
        <v>44782</v>
      </c>
      <c r="U537" s="64">
        <f t="shared" si="309"/>
        <v>1</v>
      </c>
      <c r="V537" s="66"/>
      <c r="W537" s="64"/>
      <c r="X537" s="93"/>
      <c r="Y537" s="94"/>
      <c r="Z537" s="91" t="str">
        <f t="shared" si="310"/>
        <v>100%</v>
      </c>
      <c r="AA537" s="67"/>
      <c r="AB537" s="473"/>
      <c r="AC537" s="478" t="s">
        <v>2711</v>
      </c>
      <c r="AD537" s="67"/>
    </row>
    <row r="538" spans="2:30">
      <c r="B538" s="64" t="s">
        <v>105</v>
      </c>
      <c r="C538" s="65" t="s">
        <v>45</v>
      </c>
      <c r="D538" s="66">
        <v>8.17</v>
      </c>
      <c r="E538" s="67">
        <v>44727</v>
      </c>
      <c r="F538" s="64">
        <v>0</v>
      </c>
      <c r="G538" s="67">
        <v>44728</v>
      </c>
      <c r="H538" s="64">
        <v>0</v>
      </c>
      <c r="I538" s="67">
        <v>44742</v>
      </c>
      <c r="J538" s="64">
        <f t="shared" si="312"/>
        <v>0</v>
      </c>
      <c r="K538" s="67">
        <v>44730</v>
      </c>
      <c r="L538" s="64">
        <f t="shared" si="313"/>
        <v>0</v>
      </c>
      <c r="M538" s="64">
        <f t="shared" si="314"/>
        <v>0</v>
      </c>
      <c r="N538" s="67">
        <f>IF(AND(I538&gt;0,K538&gt;0),MAX(I538:K538)+1,"")</f>
        <v>44743</v>
      </c>
      <c r="O538" s="64">
        <f t="shared" si="315"/>
        <v>1</v>
      </c>
      <c r="P538" s="64">
        <f t="shared" si="316"/>
        <v>0</v>
      </c>
      <c r="Q538" s="91" t="str">
        <f t="shared" si="308"/>
        <v>Selesai</v>
      </c>
      <c r="R538" s="64">
        <f t="shared" si="317"/>
        <v>0</v>
      </c>
      <c r="S538" s="67">
        <v>44741</v>
      </c>
      <c r="T538" s="67">
        <v>44783</v>
      </c>
      <c r="U538" s="64">
        <f t="shared" si="309"/>
        <v>1</v>
      </c>
      <c r="V538" s="66"/>
      <c r="W538" s="64"/>
      <c r="X538" s="93"/>
      <c r="Y538" s="94"/>
      <c r="Z538" s="91" t="str">
        <f t="shared" si="310"/>
        <v>100%</v>
      </c>
      <c r="AA538" s="67"/>
      <c r="AB538" s="473"/>
      <c r="AC538" s="478" t="s">
        <v>2711</v>
      </c>
      <c r="AD538" s="67"/>
    </row>
    <row r="539" spans="2:30">
      <c r="B539" s="64" t="s">
        <v>105</v>
      </c>
      <c r="C539" s="65" t="s">
        <v>14</v>
      </c>
      <c r="D539" s="66">
        <v>10.039999999999999</v>
      </c>
      <c r="E539" s="67">
        <v>44746</v>
      </c>
      <c r="F539" s="64">
        <v>0</v>
      </c>
      <c r="G539" s="67">
        <v>44747</v>
      </c>
      <c r="H539" s="64">
        <v>0</v>
      </c>
      <c r="I539" s="67">
        <f>+K539+5</f>
        <v>44752</v>
      </c>
      <c r="J539" s="64">
        <f t="shared" si="312"/>
        <v>0</v>
      </c>
      <c r="K539" s="67">
        <v>44747</v>
      </c>
      <c r="L539" s="64">
        <f t="shared" si="313"/>
        <v>0</v>
      </c>
      <c r="M539" s="64">
        <f t="shared" si="314"/>
        <v>0</v>
      </c>
      <c r="N539" s="67">
        <f>IF(AND(I539&gt;0,K539&gt;0),MAX(I539:K539)+1,"")</f>
        <v>44753</v>
      </c>
      <c r="O539" s="64">
        <f t="shared" si="315"/>
        <v>1</v>
      </c>
      <c r="P539" s="64">
        <f t="shared" si="316"/>
        <v>0</v>
      </c>
      <c r="Q539" s="91" t="str">
        <f t="shared" si="308"/>
        <v>Selesai</v>
      </c>
      <c r="R539" s="64">
        <f t="shared" si="317"/>
        <v>0</v>
      </c>
      <c r="S539" s="67">
        <v>44767</v>
      </c>
      <c r="T539" s="67">
        <v>44784</v>
      </c>
      <c r="U539" s="64">
        <f t="shared" si="309"/>
        <v>1</v>
      </c>
      <c r="V539" s="66"/>
      <c r="W539" s="64"/>
      <c r="X539" s="93"/>
      <c r="Y539" s="94"/>
      <c r="Z539" s="91" t="str">
        <f t="shared" si="310"/>
        <v>100%</v>
      </c>
      <c r="AA539" s="67"/>
      <c r="AB539" s="473"/>
      <c r="AC539" s="478" t="s">
        <v>2711</v>
      </c>
      <c r="AD539" s="67"/>
    </row>
    <row r="540" spans="2:30">
      <c r="B540" s="64" t="s">
        <v>111</v>
      </c>
      <c r="C540" s="65" t="s">
        <v>63</v>
      </c>
      <c r="D540" s="66">
        <v>10.050000000000001</v>
      </c>
      <c r="E540" s="67">
        <v>44725</v>
      </c>
      <c r="F540" s="64">
        <v>0</v>
      </c>
      <c r="G540" s="67">
        <v>44729</v>
      </c>
      <c r="H540" s="64">
        <v>0</v>
      </c>
      <c r="I540" s="67">
        <v>44737</v>
      </c>
      <c r="J540" s="64">
        <f t="shared" si="312"/>
        <v>0</v>
      </c>
      <c r="K540" s="67">
        <v>44728</v>
      </c>
      <c r="L540" s="64">
        <f t="shared" si="313"/>
        <v>0</v>
      </c>
      <c r="M540" s="64">
        <f t="shared" si="314"/>
        <v>0</v>
      </c>
      <c r="N540" s="67">
        <f>IF(AND(I540&gt;0,K540&gt;0),MAX(I540:K540)+1,"")</f>
        <v>44738</v>
      </c>
      <c r="O540" s="64">
        <f t="shared" si="315"/>
        <v>1</v>
      </c>
      <c r="P540" s="64">
        <f t="shared" si="316"/>
        <v>0</v>
      </c>
      <c r="Q540" s="91" t="str">
        <f t="shared" si="308"/>
        <v>Selesai</v>
      </c>
      <c r="R540" s="64">
        <f t="shared" si="317"/>
        <v>0</v>
      </c>
      <c r="S540" s="67">
        <v>44730</v>
      </c>
      <c r="T540" s="67">
        <v>44784</v>
      </c>
      <c r="U540" s="64">
        <f t="shared" si="309"/>
        <v>1</v>
      </c>
      <c r="V540" s="66"/>
      <c r="W540" s="64"/>
      <c r="X540" s="93"/>
      <c r="Y540" s="94"/>
      <c r="Z540" s="91" t="str">
        <f t="shared" si="310"/>
        <v>100%</v>
      </c>
      <c r="AA540" s="67"/>
      <c r="AB540" s="473"/>
      <c r="AC540" s="478" t="s">
        <v>2711</v>
      </c>
      <c r="AD540" s="67"/>
    </row>
    <row r="541" spans="2:30">
      <c r="B541" s="64" t="s">
        <v>105</v>
      </c>
      <c r="C541" s="65" t="s">
        <v>24</v>
      </c>
      <c r="D541" s="66">
        <v>5.44</v>
      </c>
      <c r="E541" s="67">
        <v>44730</v>
      </c>
      <c r="F541" s="64">
        <v>0</v>
      </c>
      <c r="G541" s="67">
        <v>44732</v>
      </c>
      <c r="H541" s="64">
        <v>0</v>
      </c>
      <c r="I541" s="67">
        <v>44752</v>
      </c>
      <c r="J541" s="64">
        <f t="shared" si="312"/>
        <v>0</v>
      </c>
      <c r="K541" s="67">
        <v>44741</v>
      </c>
      <c r="L541" s="64">
        <f t="shared" si="313"/>
        <v>0</v>
      </c>
      <c r="M541" s="64">
        <f t="shared" si="314"/>
        <v>0</v>
      </c>
      <c r="N541" s="67">
        <f>IF(AND(I541&gt;0,K541&gt;0),MAX(I541:K541)+1,"")</f>
        <v>44753</v>
      </c>
      <c r="O541" s="64">
        <f t="shared" si="315"/>
        <v>1</v>
      </c>
      <c r="P541" s="64">
        <f t="shared" si="316"/>
        <v>0</v>
      </c>
      <c r="Q541" s="91" t="str">
        <f t="shared" si="308"/>
        <v>Selesai</v>
      </c>
      <c r="R541" s="64">
        <f t="shared" si="317"/>
        <v>0</v>
      </c>
      <c r="S541" s="67">
        <v>44748</v>
      </c>
      <c r="T541" s="67">
        <v>44787</v>
      </c>
      <c r="U541" s="64">
        <f t="shared" si="309"/>
        <v>1</v>
      </c>
      <c r="V541" s="66"/>
      <c r="W541" s="64"/>
      <c r="X541" s="93"/>
      <c r="Y541" s="94"/>
      <c r="Z541" s="91" t="str">
        <f t="shared" si="310"/>
        <v>100%</v>
      </c>
      <c r="AA541" s="67"/>
      <c r="AB541" s="473"/>
      <c r="AC541" s="478" t="s">
        <v>2711</v>
      </c>
      <c r="AD541" s="67"/>
    </row>
    <row r="542" spans="2:30">
      <c r="B542" s="64" t="s">
        <v>105</v>
      </c>
      <c r="C542" s="65" t="s">
        <v>11</v>
      </c>
      <c r="D542" s="66">
        <v>8.5399999999999991</v>
      </c>
      <c r="E542" s="67">
        <v>44743</v>
      </c>
      <c r="F542" s="64">
        <v>0</v>
      </c>
      <c r="G542" s="67">
        <v>44746</v>
      </c>
      <c r="H542" s="64">
        <v>0</v>
      </c>
      <c r="I542" s="67">
        <f>+K542+5</f>
        <v>44752</v>
      </c>
      <c r="J542" s="64">
        <f t="shared" si="312"/>
        <v>0</v>
      </c>
      <c r="K542" s="67">
        <v>44747</v>
      </c>
      <c r="L542" s="64">
        <f t="shared" si="313"/>
        <v>0</v>
      </c>
      <c r="M542" s="64">
        <f t="shared" si="314"/>
        <v>0</v>
      </c>
      <c r="N542" s="67">
        <f>IF(AND(I542&gt;0,K542&gt;0),MAX(I542:K542)+1,"")</f>
        <v>44753</v>
      </c>
      <c r="O542" s="64">
        <f t="shared" si="315"/>
        <v>1</v>
      </c>
      <c r="P542" s="64">
        <f t="shared" si="316"/>
        <v>0</v>
      </c>
      <c r="Q542" s="91" t="str">
        <f t="shared" si="308"/>
        <v>Selesai</v>
      </c>
      <c r="R542" s="64">
        <f t="shared" si="317"/>
        <v>0</v>
      </c>
      <c r="S542" s="67">
        <v>44764</v>
      </c>
      <c r="T542" s="67">
        <v>44788</v>
      </c>
      <c r="U542" s="64">
        <f t="shared" si="309"/>
        <v>1</v>
      </c>
      <c r="V542" s="66"/>
      <c r="W542" s="64"/>
      <c r="X542" s="93"/>
      <c r="Y542" s="94"/>
      <c r="Z542" s="91" t="str">
        <f t="shared" si="310"/>
        <v>100%</v>
      </c>
      <c r="AA542" s="67"/>
      <c r="AB542" s="473"/>
      <c r="AC542" s="478" t="s">
        <v>2711</v>
      </c>
      <c r="AD542" s="67"/>
    </row>
    <row r="543" spans="2:30">
      <c r="B543" s="64" t="s">
        <v>111</v>
      </c>
      <c r="C543" s="65" t="s">
        <v>20</v>
      </c>
      <c r="D543" s="66">
        <v>4.57</v>
      </c>
      <c r="E543" s="67">
        <v>44747</v>
      </c>
      <c r="F543" s="64">
        <v>0</v>
      </c>
      <c r="G543" s="67">
        <v>44748</v>
      </c>
      <c r="H543" s="64">
        <v>0</v>
      </c>
      <c r="I543" s="67">
        <v>44755</v>
      </c>
      <c r="J543" s="64">
        <f t="shared" si="312"/>
        <v>0</v>
      </c>
      <c r="K543" s="67">
        <v>44749</v>
      </c>
      <c r="L543" s="64">
        <f t="shared" si="313"/>
        <v>0</v>
      </c>
      <c r="M543" s="64">
        <f t="shared" si="314"/>
        <v>0</v>
      </c>
      <c r="N543" s="67">
        <v>44756</v>
      </c>
      <c r="O543" s="64">
        <f t="shared" si="315"/>
        <v>1</v>
      </c>
      <c r="P543" s="64">
        <f t="shared" si="316"/>
        <v>0</v>
      </c>
      <c r="Q543" s="91" t="str">
        <f t="shared" si="308"/>
        <v>Selesai</v>
      </c>
      <c r="R543" s="64">
        <f t="shared" si="317"/>
        <v>0</v>
      </c>
      <c r="S543" s="67">
        <v>44730</v>
      </c>
      <c r="T543" s="67">
        <v>44786</v>
      </c>
      <c r="U543" s="64">
        <f t="shared" si="309"/>
        <v>1</v>
      </c>
      <c r="V543" s="66"/>
      <c r="W543" s="64"/>
      <c r="X543" s="93"/>
      <c r="Y543" s="94"/>
      <c r="Z543" s="91" t="str">
        <f t="shared" si="310"/>
        <v>100%</v>
      </c>
      <c r="AA543" s="67"/>
      <c r="AB543" s="473"/>
      <c r="AC543" s="478" t="s">
        <v>2711</v>
      </c>
      <c r="AD543" s="67"/>
    </row>
    <row r="544" spans="2:30">
      <c r="B544" s="64" t="s">
        <v>111</v>
      </c>
      <c r="C544" s="65" t="s">
        <v>67</v>
      </c>
      <c r="D544" s="66">
        <v>9.3699999999999992</v>
      </c>
      <c r="E544" s="67">
        <v>44749</v>
      </c>
      <c r="F544" s="64">
        <v>0</v>
      </c>
      <c r="G544" s="67">
        <v>44751</v>
      </c>
      <c r="H544" s="64">
        <v>0</v>
      </c>
      <c r="I544" s="67">
        <f>+K544+5</f>
        <v>44758</v>
      </c>
      <c r="J544" s="64">
        <f t="shared" si="312"/>
        <v>0</v>
      </c>
      <c r="K544" s="67">
        <v>44753</v>
      </c>
      <c r="L544" s="64">
        <f t="shared" si="313"/>
        <v>0</v>
      </c>
      <c r="M544" s="64">
        <f t="shared" si="314"/>
        <v>0</v>
      </c>
      <c r="N544" s="67">
        <v>44756</v>
      </c>
      <c r="O544" s="64">
        <f t="shared" si="315"/>
        <v>1</v>
      </c>
      <c r="P544" s="64">
        <f t="shared" si="316"/>
        <v>0</v>
      </c>
      <c r="Q544" s="91" t="str">
        <f t="shared" si="308"/>
        <v>Selesai</v>
      </c>
      <c r="R544" s="64">
        <f t="shared" si="317"/>
        <v>0</v>
      </c>
      <c r="S544" s="67">
        <v>44772</v>
      </c>
      <c r="T544" s="67">
        <v>44789</v>
      </c>
      <c r="U544" s="64">
        <f t="shared" si="309"/>
        <v>1</v>
      </c>
      <c r="V544" s="66"/>
      <c r="W544" s="64"/>
      <c r="X544" s="93"/>
      <c r="Y544" s="94"/>
      <c r="Z544" s="91" t="str">
        <f t="shared" si="310"/>
        <v>100%</v>
      </c>
      <c r="AA544" s="67"/>
      <c r="AB544" s="473"/>
      <c r="AC544" s="478" t="s">
        <v>2711</v>
      </c>
      <c r="AD544" s="67"/>
    </row>
    <row r="545" spans="2:30">
      <c r="B545" s="64" t="s">
        <v>116</v>
      </c>
      <c r="C545" s="65" t="s">
        <v>26</v>
      </c>
      <c r="D545" s="66">
        <v>9.58</v>
      </c>
      <c r="E545" s="67">
        <v>44748</v>
      </c>
      <c r="F545" s="64">
        <v>0</v>
      </c>
      <c r="G545" s="67">
        <v>44749</v>
      </c>
      <c r="H545" s="64">
        <v>0</v>
      </c>
      <c r="I545" s="67">
        <f>K545+5</f>
        <v>44758</v>
      </c>
      <c r="J545" s="64">
        <f t="shared" si="312"/>
        <v>0</v>
      </c>
      <c r="K545" s="67">
        <v>44753</v>
      </c>
      <c r="L545" s="64">
        <f t="shared" si="313"/>
        <v>0</v>
      </c>
      <c r="M545" s="64">
        <f t="shared" si="314"/>
        <v>0</v>
      </c>
      <c r="N545" s="67">
        <f>IF(AND(I545&gt;0,K545&gt;0),MAX(I545:K545)+1,"")</f>
        <v>44759</v>
      </c>
      <c r="O545" s="64">
        <f t="shared" si="315"/>
        <v>1</v>
      </c>
      <c r="P545" s="64">
        <f t="shared" si="316"/>
        <v>0</v>
      </c>
      <c r="Q545" s="91" t="str">
        <f t="shared" si="308"/>
        <v>Selesai</v>
      </c>
      <c r="R545" s="64">
        <f t="shared" si="317"/>
        <v>0</v>
      </c>
      <c r="S545" s="67">
        <v>44761</v>
      </c>
      <c r="T545" s="67">
        <v>44785</v>
      </c>
      <c r="U545" s="64">
        <f t="shared" si="309"/>
        <v>1</v>
      </c>
      <c r="V545" s="66"/>
      <c r="W545" s="64"/>
      <c r="X545" s="93"/>
      <c r="Y545" s="94"/>
      <c r="Z545" s="91" t="str">
        <f t="shared" si="310"/>
        <v>100%</v>
      </c>
      <c r="AA545" s="67"/>
      <c r="AB545" s="473"/>
      <c r="AC545" s="478" t="s">
        <v>2711</v>
      </c>
      <c r="AD545" s="67"/>
    </row>
    <row r="546" spans="2:30">
      <c r="B546" s="102" t="s">
        <v>109</v>
      </c>
      <c r="C546" s="65" t="s">
        <v>580</v>
      </c>
      <c r="D546" s="66">
        <v>3.08</v>
      </c>
      <c r="E546" s="67">
        <v>44760</v>
      </c>
      <c r="F546" s="64">
        <v>0</v>
      </c>
      <c r="G546" s="67">
        <v>44764</v>
      </c>
      <c r="H546" s="64">
        <v>0</v>
      </c>
      <c r="I546" s="67">
        <f>+K546+5</f>
        <v>44783</v>
      </c>
      <c r="J546" s="64">
        <f t="shared" si="312"/>
        <v>0</v>
      </c>
      <c r="K546" s="67">
        <v>44778</v>
      </c>
      <c r="L546" s="64">
        <f t="shared" si="313"/>
        <v>0</v>
      </c>
      <c r="M546" s="64">
        <f t="shared" si="314"/>
        <v>0</v>
      </c>
      <c r="N546" s="67">
        <f>IF(AND(I546&gt;0,K546&gt;0),MAX(I546:K546)+1,"")</f>
        <v>44784</v>
      </c>
      <c r="O546" s="64">
        <f t="shared" si="315"/>
        <v>1</v>
      </c>
      <c r="P546" s="64">
        <f t="shared" si="316"/>
        <v>0</v>
      </c>
      <c r="Q546" s="91" t="str">
        <f t="shared" si="308"/>
        <v>Selesai</v>
      </c>
      <c r="R546" s="64">
        <f t="shared" si="317"/>
        <v>0</v>
      </c>
      <c r="S546" s="67">
        <v>44781</v>
      </c>
      <c r="T546" s="67">
        <v>44789</v>
      </c>
      <c r="U546" s="64">
        <f t="shared" si="309"/>
        <v>1</v>
      </c>
      <c r="V546" s="66"/>
      <c r="W546" s="64"/>
      <c r="X546" s="93"/>
      <c r="Y546" s="94"/>
      <c r="Z546" s="91" t="str">
        <f t="shared" si="310"/>
        <v>100%</v>
      </c>
      <c r="AA546" s="67"/>
      <c r="AB546" s="473"/>
      <c r="AC546" s="478" t="s">
        <v>2711</v>
      </c>
      <c r="AD546" s="67"/>
    </row>
    <row r="547" spans="2:30">
      <c r="B547" s="64" t="s">
        <v>118</v>
      </c>
      <c r="C547" s="65" t="s">
        <v>191</v>
      </c>
      <c r="D547" s="66">
        <v>7.56</v>
      </c>
      <c r="E547" s="67">
        <v>44763</v>
      </c>
      <c r="F547" s="64">
        <v>0</v>
      </c>
      <c r="G547" s="67">
        <v>44765</v>
      </c>
      <c r="H547" s="64">
        <v>0</v>
      </c>
      <c r="I547" s="67">
        <f>+K547+5</f>
        <v>44785</v>
      </c>
      <c r="J547" s="64">
        <f t="shared" si="312"/>
        <v>0</v>
      </c>
      <c r="K547" s="67">
        <v>44780</v>
      </c>
      <c r="L547" s="64">
        <f t="shared" si="313"/>
        <v>0</v>
      </c>
      <c r="M547" s="64">
        <f t="shared" si="314"/>
        <v>0</v>
      </c>
      <c r="N547" s="67">
        <v>44757</v>
      </c>
      <c r="O547" s="64">
        <f t="shared" si="315"/>
        <v>1</v>
      </c>
      <c r="P547" s="64">
        <f t="shared" si="316"/>
        <v>0</v>
      </c>
      <c r="Q547" s="91" t="str">
        <f t="shared" si="308"/>
        <v>Selesai</v>
      </c>
      <c r="R547" s="64">
        <f t="shared" si="317"/>
        <v>0</v>
      </c>
      <c r="S547" s="67">
        <v>44780</v>
      </c>
      <c r="T547" s="67">
        <v>44789</v>
      </c>
      <c r="U547" s="64">
        <f t="shared" si="309"/>
        <v>1</v>
      </c>
      <c r="V547" s="66"/>
      <c r="W547" s="64"/>
      <c r="X547" s="93"/>
      <c r="Y547" s="94"/>
      <c r="Z547" s="91" t="str">
        <f t="shared" si="310"/>
        <v>100%</v>
      </c>
      <c r="AA547" s="67"/>
      <c r="AB547" s="473"/>
      <c r="AC547" s="478" t="s">
        <v>2711</v>
      </c>
      <c r="AD547" s="67"/>
    </row>
    <row r="548" spans="2:30">
      <c r="B548" s="64" t="s">
        <v>105</v>
      </c>
      <c r="C548" s="65" t="s">
        <v>581</v>
      </c>
      <c r="D548" s="66">
        <v>3.91</v>
      </c>
      <c r="E548" s="67">
        <v>44771</v>
      </c>
      <c r="F548" s="64">
        <v>0</v>
      </c>
      <c r="G548" s="67">
        <v>44744</v>
      </c>
      <c r="H548" s="64">
        <v>0</v>
      </c>
      <c r="I548" s="67">
        <f>+K548+5</f>
        <v>44786</v>
      </c>
      <c r="J548" s="64">
        <f t="shared" si="312"/>
        <v>0</v>
      </c>
      <c r="K548" s="67">
        <v>44781</v>
      </c>
      <c r="L548" s="64">
        <f t="shared" si="313"/>
        <v>0</v>
      </c>
      <c r="M548" s="64">
        <f t="shared" si="314"/>
        <v>0</v>
      </c>
      <c r="N548" s="67">
        <f t="shared" ref="N548:N579" si="318">IF(AND(I548&gt;0,K548&gt;0),MAX(I548:K548)+1,"")</f>
        <v>44787</v>
      </c>
      <c r="O548" s="64">
        <f t="shared" si="315"/>
        <v>1</v>
      </c>
      <c r="P548" s="64">
        <f t="shared" si="316"/>
        <v>0</v>
      </c>
      <c r="Q548" s="91" t="str">
        <f t="shared" si="308"/>
        <v>Selesai</v>
      </c>
      <c r="R548" s="64">
        <f t="shared" si="317"/>
        <v>0</v>
      </c>
      <c r="S548" s="67">
        <v>44783</v>
      </c>
      <c r="T548" s="67">
        <v>44792</v>
      </c>
      <c r="U548" s="64">
        <f t="shared" si="309"/>
        <v>1</v>
      </c>
      <c r="V548" s="66"/>
      <c r="W548" s="64"/>
      <c r="X548" s="93"/>
      <c r="Y548" s="94"/>
      <c r="Z548" s="91" t="str">
        <f t="shared" si="310"/>
        <v>100%</v>
      </c>
      <c r="AA548" s="67"/>
      <c r="AB548" s="473"/>
      <c r="AC548" s="478" t="s">
        <v>2711</v>
      </c>
      <c r="AD548" s="67"/>
    </row>
    <row r="549" spans="2:30">
      <c r="B549" s="64" t="s">
        <v>105</v>
      </c>
      <c r="C549" s="65" t="s">
        <v>42</v>
      </c>
      <c r="D549" s="66">
        <v>7.07</v>
      </c>
      <c r="E549" s="67">
        <v>44727</v>
      </c>
      <c r="F549" s="64">
        <v>0</v>
      </c>
      <c r="G549" s="67">
        <v>44728</v>
      </c>
      <c r="H549" s="64">
        <v>0</v>
      </c>
      <c r="I549" s="67">
        <v>44742</v>
      </c>
      <c r="J549" s="64">
        <f t="shared" si="312"/>
        <v>0</v>
      </c>
      <c r="K549" s="67">
        <v>44730</v>
      </c>
      <c r="L549" s="64">
        <f t="shared" si="313"/>
        <v>0</v>
      </c>
      <c r="M549" s="64">
        <f t="shared" si="314"/>
        <v>0</v>
      </c>
      <c r="N549" s="67">
        <f t="shared" si="318"/>
        <v>44743</v>
      </c>
      <c r="O549" s="64">
        <f t="shared" si="315"/>
        <v>1</v>
      </c>
      <c r="P549" s="64">
        <f t="shared" si="316"/>
        <v>0</v>
      </c>
      <c r="Q549" s="91" t="str">
        <f t="shared" si="308"/>
        <v>Selesai</v>
      </c>
      <c r="R549" s="64">
        <f t="shared" si="317"/>
        <v>0</v>
      </c>
      <c r="S549" s="67">
        <v>44738</v>
      </c>
      <c r="T549" s="67">
        <v>44792</v>
      </c>
      <c r="U549" s="64">
        <f t="shared" si="309"/>
        <v>1</v>
      </c>
      <c r="V549" s="66"/>
      <c r="W549" s="64"/>
      <c r="X549" s="93"/>
      <c r="Y549" s="94"/>
      <c r="Z549" s="91" t="str">
        <f t="shared" si="310"/>
        <v>100%</v>
      </c>
      <c r="AA549" s="67"/>
      <c r="AB549" s="473"/>
      <c r="AC549" s="478" t="s">
        <v>2711</v>
      </c>
      <c r="AD549" s="67"/>
    </row>
    <row r="550" spans="2:30">
      <c r="B550" s="64" t="s">
        <v>113</v>
      </c>
      <c r="C550" s="65" t="s">
        <v>582</v>
      </c>
      <c r="D550" s="66">
        <v>8.14</v>
      </c>
      <c r="E550" s="67">
        <v>44753</v>
      </c>
      <c r="F550" s="64">
        <v>0</v>
      </c>
      <c r="G550" s="67">
        <v>44762</v>
      </c>
      <c r="H550" s="64">
        <v>0</v>
      </c>
      <c r="I550" s="67">
        <f>+K550+5</f>
        <v>44765</v>
      </c>
      <c r="J550" s="64">
        <f t="shared" si="312"/>
        <v>0</v>
      </c>
      <c r="K550" s="67">
        <v>44760</v>
      </c>
      <c r="L550" s="64">
        <f t="shared" si="313"/>
        <v>0</v>
      </c>
      <c r="M550" s="64">
        <f t="shared" si="314"/>
        <v>0</v>
      </c>
      <c r="N550" s="67">
        <f t="shared" si="318"/>
        <v>44766</v>
      </c>
      <c r="O550" s="64">
        <f t="shared" si="315"/>
        <v>1</v>
      </c>
      <c r="P550" s="64">
        <f t="shared" si="316"/>
        <v>0</v>
      </c>
      <c r="Q550" s="91" t="str">
        <f t="shared" si="308"/>
        <v>Selesai</v>
      </c>
      <c r="R550" s="64">
        <f t="shared" si="317"/>
        <v>0</v>
      </c>
      <c r="S550" s="67">
        <v>44771</v>
      </c>
      <c r="T550" s="67">
        <v>44792</v>
      </c>
      <c r="U550" s="64">
        <f t="shared" si="309"/>
        <v>1</v>
      </c>
      <c r="V550" s="66"/>
      <c r="W550" s="64"/>
      <c r="X550" s="93"/>
      <c r="Y550" s="94"/>
      <c r="Z550" s="91" t="str">
        <f t="shared" si="310"/>
        <v>100%</v>
      </c>
      <c r="AA550" s="67"/>
      <c r="AB550" s="473"/>
      <c r="AC550" s="478" t="s">
        <v>2711</v>
      </c>
      <c r="AD550" s="67"/>
    </row>
    <row r="551" spans="2:30">
      <c r="B551" s="64" t="s">
        <v>113</v>
      </c>
      <c r="C551" s="65" t="s">
        <v>583</v>
      </c>
      <c r="D551" s="66">
        <v>12.12</v>
      </c>
      <c r="E551" s="67">
        <v>44755</v>
      </c>
      <c r="F551" s="64">
        <v>0</v>
      </c>
      <c r="G551" s="67">
        <v>44757</v>
      </c>
      <c r="H551" s="64">
        <v>0</v>
      </c>
      <c r="I551" s="67">
        <f>+K551+5</f>
        <v>44768</v>
      </c>
      <c r="J551" s="64">
        <f t="shared" si="312"/>
        <v>0</v>
      </c>
      <c r="K551" s="67">
        <v>44763</v>
      </c>
      <c r="L551" s="64">
        <f t="shared" si="313"/>
        <v>0</v>
      </c>
      <c r="M551" s="64">
        <f t="shared" si="314"/>
        <v>0</v>
      </c>
      <c r="N551" s="67">
        <f t="shared" si="318"/>
        <v>44769</v>
      </c>
      <c r="O551" s="64">
        <f t="shared" si="315"/>
        <v>1</v>
      </c>
      <c r="P551" s="64">
        <f t="shared" si="316"/>
        <v>0</v>
      </c>
      <c r="Q551" s="91" t="str">
        <f t="shared" si="308"/>
        <v>Selesai</v>
      </c>
      <c r="R551" s="64">
        <f t="shared" si="317"/>
        <v>0</v>
      </c>
      <c r="S551" s="67">
        <v>44767</v>
      </c>
      <c r="T551" s="67">
        <v>44796</v>
      </c>
      <c r="U551" s="64">
        <f t="shared" si="309"/>
        <v>1</v>
      </c>
      <c r="V551" s="66"/>
      <c r="W551" s="64"/>
      <c r="X551" s="93"/>
      <c r="Y551" s="94"/>
      <c r="Z551" s="91" t="str">
        <f t="shared" si="310"/>
        <v>100%</v>
      </c>
      <c r="AA551" s="67"/>
      <c r="AB551" s="473"/>
      <c r="AC551" s="478" t="s">
        <v>2711</v>
      </c>
      <c r="AD551" s="67"/>
    </row>
    <row r="552" spans="2:30">
      <c r="B552" s="64" t="s">
        <v>118</v>
      </c>
      <c r="C552" s="65" t="s">
        <v>185</v>
      </c>
      <c r="D552" s="66">
        <v>8.93</v>
      </c>
      <c r="E552" s="67">
        <v>44763</v>
      </c>
      <c r="F552" s="64">
        <v>0</v>
      </c>
      <c r="G552" s="67">
        <v>44764</v>
      </c>
      <c r="H552" s="64">
        <v>0</v>
      </c>
      <c r="I552" s="67">
        <f>+K552+5</f>
        <v>44786</v>
      </c>
      <c r="J552" s="64">
        <f t="shared" si="312"/>
        <v>0</v>
      </c>
      <c r="K552" s="67">
        <v>44781</v>
      </c>
      <c r="L552" s="64">
        <f t="shared" si="313"/>
        <v>0</v>
      </c>
      <c r="M552" s="64">
        <f t="shared" si="314"/>
        <v>0</v>
      </c>
      <c r="N552" s="67">
        <f t="shared" si="318"/>
        <v>44787</v>
      </c>
      <c r="O552" s="64">
        <f t="shared" si="315"/>
        <v>1</v>
      </c>
      <c r="P552" s="64">
        <f t="shared" si="316"/>
        <v>0</v>
      </c>
      <c r="Q552" s="91" t="str">
        <f t="shared" si="308"/>
        <v>Selesai</v>
      </c>
      <c r="R552" s="64">
        <f t="shared" si="317"/>
        <v>0</v>
      </c>
      <c r="S552" s="67">
        <v>44783</v>
      </c>
      <c r="T552" s="67">
        <v>44792</v>
      </c>
      <c r="U552" s="64">
        <f t="shared" si="309"/>
        <v>1</v>
      </c>
      <c r="V552" s="66"/>
      <c r="W552" s="64"/>
      <c r="X552" s="93"/>
      <c r="Y552" s="94"/>
      <c r="Z552" s="91" t="str">
        <f t="shared" si="310"/>
        <v>100%</v>
      </c>
      <c r="AA552" s="67"/>
      <c r="AB552" s="473"/>
      <c r="AC552" s="478" t="s">
        <v>2711</v>
      </c>
      <c r="AD552" s="67"/>
    </row>
    <row r="553" spans="2:30">
      <c r="B553" s="64" t="s">
        <v>111</v>
      </c>
      <c r="C553" s="65" t="s">
        <v>62</v>
      </c>
      <c r="D553" s="66">
        <v>11.57</v>
      </c>
      <c r="E553" s="67">
        <v>44678</v>
      </c>
      <c r="F553" s="64">
        <v>0</v>
      </c>
      <c r="G553" s="67">
        <v>44719</v>
      </c>
      <c r="H553" s="64">
        <v>0</v>
      </c>
      <c r="I553" s="67">
        <v>44737</v>
      </c>
      <c r="J553" s="64">
        <f t="shared" si="312"/>
        <v>0</v>
      </c>
      <c r="K553" s="67">
        <v>44695</v>
      </c>
      <c r="L553" s="64">
        <f t="shared" si="313"/>
        <v>0</v>
      </c>
      <c r="M553" s="64">
        <f t="shared" si="314"/>
        <v>0</v>
      </c>
      <c r="N553" s="67">
        <f t="shared" si="318"/>
        <v>44738</v>
      </c>
      <c r="O553" s="64">
        <f t="shared" si="315"/>
        <v>1</v>
      </c>
      <c r="P553" s="64">
        <f t="shared" si="316"/>
        <v>0</v>
      </c>
      <c r="Q553" s="91" t="str">
        <f t="shared" si="308"/>
        <v>Selesai</v>
      </c>
      <c r="R553" s="64">
        <f t="shared" si="317"/>
        <v>0</v>
      </c>
      <c r="S553" s="67">
        <v>44732</v>
      </c>
      <c r="T553" s="67">
        <v>44798</v>
      </c>
      <c r="U553" s="64">
        <f t="shared" si="309"/>
        <v>1</v>
      </c>
      <c r="V553" s="66"/>
      <c r="W553" s="64"/>
      <c r="X553" s="93"/>
      <c r="Y553" s="94"/>
      <c r="Z553" s="91" t="str">
        <f t="shared" si="310"/>
        <v>100%</v>
      </c>
      <c r="AA553" s="67"/>
      <c r="AB553" s="473"/>
      <c r="AC553" s="478" t="s">
        <v>2711</v>
      </c>
      <c r="AD553" s="67"/>
    </row>
    <row r="554" spans="2:30">
      <c r="B554" s="64" t="s">
        <v>118</v>
      </c>
      <c r="C554" s="65" t="s">
        <v>584</v>
      </c>
      <c r="D554" s="66">
        <v>9.27</v>
      </c>
      <c r="E554" s="67">
        <v>44764</v>
      </c>
      <c r="F554" s="64">
        <v>0</v>
      </c>
      <c r="G554" s="67">
        <v>44772</v>
      </c>
      <c r="H554" s="64">
        <v>0</v>
      </c>
      <c r="I554" s="67">
        <f>+K554+5</f>
        <v>44786</v>
      </c>
      <c r="J554" s="64">
        <f t="shared" si="312"/>
        <v>0</v>
      </c>
      <c r="K554" s="67">
        <v>44781</v>
      </c>
      <c r="L554" s="64">
        <f t="shared" si="313"/>
        <v>0</v>
      </c>
      <c r="M554" s="64">
        <f t="shared" si="314"/>
        <v>0</v>
      </c>
      <c r="N554" s="67">
        <f t="shared" si="318"/>
        <v>44787</v>
      </c>
      <c r="O554" s="64">
        <f t="shared" si="315"/>
        <v>1</v>
      </c>
      <c r="P554" s="64">
        <f t="shared" si="316"/>
        <v>0</v>
      </c>
      <c r="Q554" s="91" t="str">
        <f t="shared" si="308"/>
        <v>Selesai</v>
      </c>
      <c r="R554" s="64">
        <f t="shared" si="317"/>
        <v>0</v>
      </c>
      <c r="S554" s="67">
        <v>44783</v>
      </c>
      <c r="T554" s="67">
        <v>44796</v>
      </c>
      <c r="U554" s="64">
        <f t="shared" si="309"/>
        <v>1</v>
      </c>
      <c r="V554" s="66"/>
      <c r="W554" s="64"/>
      <c r="X554" s="93"/>
      <c r="Y554" s="94"/>
      <c r="Z554" s="91" t="str">
        <f t="shared" si="310"/>
        <v>100%</v>
      </c>
      <c r="AA554" s="67"/>
      <c r="AB554" s="473"/>
      <c r="AC554" s="478" t="s">
        <v>2711</v>
      </c>
      <c r="AD554" s="67"/>
    </row>
    <row r="555" spans="2:30">
      <c r="B555" s="64" t="s">
        <v>113</v>
      </c>
      <c r="C555" s="65" t="s">
        <v>164</v>
      </c>
      <c r="D555" s="66">
        <v>4.9400000000000004</v>
      </c>
      <c r="E555" s="67">
        <v>44753</v>
      </c>
      <c r="F555" s="64">
        <v>0</v>
      </c>
      <c r="G555" s="67">
        <v>44755</v>
      </c>
      <c r="H555" s="64">
        <v>0</v>
      </c>
      <c r="I555" s="67">
        <f>K555+5</f>
        <v>44768</v>
      </c>
      <c r="J555" s="64">
        <f t="shared" si="312"/>
        <v>0</v>
      </c>
      <c r="K555" s="67">
        <v>44763</v>
      </c>
      <c r="L555" s="64">
        <f t="shared" si="313"/>
        <v>0</v>
      </c>
      <c r="M555" s="64">
        <f t="shared" si="314"/>
        <v>0</v>
      </c>
      <c r="N555" s="67">
        <f t="shared" si="318"/>
        <v>44769</v>
      </c>
      <c r="O555" s="64">
        <f t="shared" si="315"/>
        <v>1</v>
      </c>
      <c r="P555" s="64">
        <f t="shared" si="316"/>
        <v>0</v>
      </c>
      <c r="Q555" s="91" t="str">
        <f t="shared" si="308"/>
        <v>Selesai</v>
      </c>
      <c r="R555" s="64">
        <f t="shared" si="317"/>
        <v>0</v>
      </c>
      <c r="S555" s="67">
        <v>44770</v>
      </c>
      <c r="T555" s="67">
        <v>44802</v>
      </c>
      <c r="U555" s="64">
        <f t="shared" si="309"/>
        <v>1</v>
      </c>
      <c r="V555" s="66"/>
      <c r="W555" s="64"/>
      <c r="X555" s="93"/>
      <c r="Y555" s="94"/>
      <c r="Z555" s="91" t="str">
        <f t="shared" si="310"/>
        <v>100%</v>
      </c>
      <c r="AA555" s="67"/>
      <c r="AB555" s="473"/>
      <c r="AC555" s="478" t="s">
        <v>2711</v>
      </c>
      <c r="AD555" s="67"/>
    </row>
    <row r="556" spans="2:30">
      <c r="B556" s="64" t="s">
        <v>107</v>
      </c>
      <c r="C556" s="65" t="s">
        <v>585</v>
      </c>
      <c r="D556" s="66">
        <v>8.0399999999999991</v>
      </c>
      <c r="E556" s="67">
        <v>44756</v>
      </c>
      <c r="F556" s="64">
        <v>0</v>
      </c>
      <c r="G556" s="67">
        <v>44760</v>
      </c>
      <c r="H556" s="64">
        <v>0</v>
      </c>
      <c r="I556" s="67">
        <f>+K556+5</f>
        <v>44793</v>
      </c>
      <c r="J556" s="64">
        <f t="shared" si="312"/>
        <v>0</v>
      </c>
      <c r="K556" s="67">
        <v>44788</v>
      </c>
      <c r="L556" s="64">
        <f t="shared" si="313"/>
        <v>0</v>
      </c>
      <c r="M556" s="64">
        <f t="shared" si="314"/>
        <v>0</v>
      </c>
      <c r="N556" s="67">
        <f t="shared" si="318"/>
        <v>44794</v>
      </c>
      <c r="O556" s="64">
        <f t="shared" si="315"/>
        <v>1</v>
      </c>
      <c r="P556" s="64">
        <f t="shared" si="316"/>
        <v>0</v>
      </c>
      <c r="Q556" s="91" t="str">
        <f t="shared" si="308"/>
        <v>Selesai</v>
      </c>
      <c r="R556" s="64">
        <f t="shared" si="317"/>
        <v>0</v>
      </c>
      <c r="S556" s="67">
        <v>44783</v>
      </c>
      <c r="T556" s="67">
        <v>44804</v>
      </c>
      <c r="U556" s="64">
        <f t="shared" si="309"/>
        <v>1</v>
      </c>
      <c r="V556" s="66"/>
      <c r="W556" s="64"/>
      <c r="X556" s="93"/>
      <c r="Y556" s="94"/>
      <c r="Z556" s="91" t="str">
        <f t="shared" si="310"/>
        <v>100%</v>
      </c>
      <c r="AA556" s="67"/>
      <c r="AB556" s="473"/>
      <c r="AC556" s="478" t="s">
        <v>2711</v>
      </c>
      <c r="AD556" s="67"/>
    </row>
    <row r="557" spans="2:30">
      <c r="B557" s="64" t="s">
        <v>118</v>
      </c>
      <c r="C557" s="65" t="s">
        <v>586</v>
      </c>
      <c r="D557" s="66">
        <v>7.07</v>
      </c>
      <c r="E557" s="67">
        <v>44764</v>
      </c>
      <c r="F557" s="64">
        <v>0</v>
      </c>
      <c r="G557" s="67">
        <v>44771</v>
      </c>
      <c r="H557" s="64">
        <v>0</v>
      </c>
      <c r="I557" s="67">
        <f>+K557+5</f>
        <v>44791</v>
      </c>
      <c r="J557" s="64">
        <f t="shared" si="312"/>
        <v>0</v>
      </c>
      <c r="K557" s="67">
        <v>44786</v>
      </c>
      <c r="L557" s="64">
        <f t="shared" si="313"/>
        <v>0</v>
      </c>
      <c r="M557" s="64">
        <f t="shared" si="314"/>
        <v>0</v>
      </c>
      <c r="N557" s="67">
        <f t="shared" si="318"/>
        <v>44792</v>
      </c>
      <c r="O557" s="64">
        <f t="shared" si="315"/>
        <v>1</v>
      </c>
      <c r="P557" s="64">
        <f t="shared" si="316"/>
        <v>0</v>
      </c>
      <c r="Q557" s="91" t="str">
        <f t="shared" si="308"/>
        <v>Selesai</v>
      </c>
      <c r="R557" s="64">
        <f t="shared" si="317"/>
        <v>0</v>
      </c>
      <c r="S557" s="67">
        <v>44789</v>
      </c>
      <c r="T557" s="67">
        <v>44804</v>
      </c>
      <c r="U557" s="64">
        <f t="shared" si="309"/>
        <v>1</v>
      </c>
      <c r="V557" s="66"/>
      <c r="W557" s="64"/>
      <c r="X557" s="93"/>
      <c r="Y557" s="94"/>
      <c r="Z557" s="91" t="str">
        <f t="shared" si="310"/>
        <v>100%</v>
      </c>
      <c r="AA557" s="67"/>
      <c r="AB557" s="473"/>
      <c r="AC557" s="478" t="s">
        <v>2711</v>
      </c>
      <c r="AD557" s="67"/>
    </row>
    <row r="558" spans="2:30">
      <c r="B558" s="64" t="s">
        <v>118</v>
      </c>
      <c r="C558" s="65" t="s">
        <v>587</v>
      </c>
      <c r="D558" s="66">
        <v>3.24</v>
      </c>
      <c r="E558" s="67">
        <v>44775</v>
      </c>
      <c r="F558" s="64">
        <v>0</v>
      </c>
      <c r="G558" s="67">
        <v>44781</v>
      </c>
      <c r="H558" s="64">
        <v>0</v>
      </c>
      <c r="I558" s="67">
        <f>+K558+5</f>
        <v>44799</v>
      </c>
      <c r="J558" s="64">
        <f t="shared" si="312"/>
        <v>0</v>
      </c>
      <c r="K558" s="67">
        <v>44794</v>
      </c>
      <c r="L558" s="64">
        <f t="shared" si="313"/>
        <v>0</v>
      </c>
      <c r="M558" s="64">
        <f t="shared" si="314"/>
        <v>0</v>
      </c>
      <c r="N558" s="67">
        <f t="shared" si="318"/>
        <v>44800</v>
      </c>
      <c r="O558" s="64">
        <f t="shared" si="315"/>
        <v>1</v>
      </c>
      <c r="P558" s="64">
        <f t="shared" si="316"/>
        <v>0</v>
      </c>
      <c r="Q558" s="91" t="str">
        <f t="shared" si="308"/>
        <v>Selesai</v>
      </c>
      <c r="R558" s="64">
        <f t="shared" si="317"/>
        <v>0</v>
      </c>
      <c r="S558" s="67">
        <v>44797</v>
      </c>
      <c r="T558" s="67">
        <v>44804</v>
      </c>
      <c r="U558" s="64">
        <f t="shared" si="309"/>
        <v>1</v>
      </c>
      <c r="V558" s="66"/>
      <c r="W558" s="64"/>
      <c r="X558" s="93"/>
      <c r="Y558" s="94"/>
      <c r="Z558" s="91" t="str">
        <f t="shared" si="310"/>
        <v>100%</v>
      </c>
      <c r="AA558" s="67"/>
      <c r="AB558" s="473"/>
      <c r="AC558" s="478" t="s">
        <v>2711</v>
      </c>
      <c r="AD558" s="67"/>
    </row>
    <row r="559" spans="2:30">
      <c r="B559" s="64" t="s">
        <v>109</v>
      </c>
      <c r="C559" s="65" t="s">
        <v>588</v>
      </c>
      <c r="D559" s="66">
        <v>6.48</v>
      </c>
      <c r="E559" s="67">
        <v>44792</v>
      </c>
      <c r="F559" s="64">
        <v>0</v>
      </c>
      <c r="G559" s="67">
        <v>44793</v>
      </c>
      <c r="H559" s="64">
        <v>0</v>
      </c>
      <c r="I559" s="67">
        <f>+K559+5</f>
        <v>44803</v>
      </c>
      <c r="J559" s="64">
        <f t="shared" si="312"/>
        <v>0</v>
      </c>
      <c r="K559" s="67">
        <v>44798</v>
      </c>
      <c r="L559" s="64">
        <f t="shared" si="313"/>
        <v>0</v>
      </c>
      <c r="M559" s="64">
        <f t="shared" si="314"/>
        <v>0</v>
      </c>
      <c r="N559" s="67">
        <f t="shared" si="318"/>
        <v>44804</v>
      </c>
      <c r="O559" s="64">
        <f t="shared" si="315"/>
        <v>1</v>
      </c>
      <c r="P559" s="64">
        <f t="shared" si="316"/>
        <v>0</v>
      </c>
      <c r="Q559" s="91" t="str">
        <f t="shared" si="308"/>
        <v>Selesai</v>
      </c>
      <c r="R559" s="64">
        <f t="shared" si="317"/>
        <v>0</v>
      </c>
      <c r="S559" s="67">
        <v>44798</v>
      </c>
      <c r="T559" s="67">
        <v>44804</v>
      </c>
      <c r="U559" s="64">
        <f t="shared" si="309"/>
        <v>1</v>
      </c>
      <c r="V559" s="66"/>
      <c r="W559" s="64"/>
      <c r="X559" s="93"/>
      <c r="Y559" s="94"/>
      <c r="Z559" s="91" t="str">
        <f t="shared" si="310"/>
        <v>100%</v>
      </c>
      <c r="AA559" s="67"/>
      <c r="AB559" s="473"/>
      <c r="AC559" s="478" t="s">
        <v>2711</v>
      </c>
      <c r="AD559" s="67"/>
    </row>
    <row r="560" spans="2:30">
      <c r="B560" s="64" t="s">
        <v>118</v>
      </c>
      <c r="C560" s="65" t="s">
        <v>589</v>
      </c>
      <c r="D560" s="66">
        <v>5.94</v>
      </c>
      <c r="E560" s="67">
        <v>44775</v>
      </c>
      <c r="F560" s="64">
        <f t="shared" ref="F560:F591" si="319">IF(E560&gt;0,1,0)</f>
        <v>1</v>
      </c>
      <c r="G560" s="67">
        <v>44781</v>
      </c>
      <c r="H560" s="64">
        <f t="shared" ref="H560:H623" si="320">IF(G560&gt;0,1,0)</f>
        <v>1</v>
      </c>
      <c r="I560" s="67">
        <f>+K560+5</f>
        <v>44802</v>
      </c>
      <c r="J560" s="64">
        <f t="shared" si="312"/>
        <v>0</v>
      </c>
      <c r="K560" s="67">
        <v>44797</v>
      </c>
      <c r="L560" s="64">
        <f t="shared" si="313"/>
        <v>0</v>
      </c>
      <c r="M560" s="64">
        <f t="shared" si="314"/>
        <v>0</v>
      </c>
      <c r="N560" s="67">
        <f t="shared" si="318"/>
        <v>44803</v>
      </c>
      <c r="O560" s="64">
        <f t="shared" si="315"/>
        <v>1</v>
      </c>
      <c r="P560" s="64">
        <f t="shared" si="316"/>
        <v>0</v>
      </c>
      <c r="Q560" s="91" t="str">
        <f t="shared" si="308"/>
        <v>Selesai</v>
      </c>
      <c r="R560" s="64">
        <f t="shared" si="317"/>
        <v>0</v>
      </c>
      <c r="S560" s="67">
        <v>44799</v>
      </c>
      <c r="T560" s="67">
        <v>44812</v>
      </c>
      <c r="U560" s="64">
        <f t="shared" si="309"/>
        <v>1</v>
      </c>
      <c r="V560" s="66"/>
      <c r="W560" s="64"/>
      <c r="X560" s="93"/>
      <c r="Y560" s="94"/>
      <c r="Z560" s="91" t="str">
        <f t="shared" si="310"/>
        <v>100%</v>
      </c>
      <c r="AA560" s="67"/>
      <c r="AB560" s="473"/>
      <c r="AC560" s="478" t="s">
        <v>2711</v>
      </c>
      <c r="AD560" s="67"/>
    </row>
    <row r="561" spans="2:30">
      <c r="B561" s="64" t="s">
        <v>116</v>
      </c>
      <c r="C561" s="65" t="s">
        <v>69</v>
      </c>
      <c r="D561" s="66">
        <v>5.48</v>
      </c>
      <c r="E561" s="67">
        <v>44742</v>
      </c>
      <c r="F561" s="64">
        <f t="shared" si="319"/>
        <v>1</v>
      </c>
      <c r="G561" s="67">
        <v>44744</v>
      </c>
      <c r="H561" s="64">
        <f t="shared" si="320"/>
        <v>1</v>
      </c>
      <c r="I561" s="67">
        <v>44757</v>
      </c>
      <c r="J561" s="64">
        <f t="shared" si="312"/>
        <v>0</v>
      </c>
      <c r="K561" s="67">
        <v>44747</v>
      </c>
      <c r="L561" s="64">
        <f t="shared" si="313"/>
        <v>0</v>
      </c>
      <c r="M561" s="64">
        <f t="shared" si="314"/>
        <v>0</v>
      </c>
      <c r="N561" s="67">
        <f t="shared" si="318"/>
        <v>44758</v>
      </c>
      <c r="O561" s="64">
        <f t="shared" si="315"/>
        <v>1</v>
      </c>
      <c r="P561" s="64">
        <f t="shared" si="316"/>
        <v>0</v>
      </c>
      <c r="Q561" s="91" t="str">
        <f t="shared" si="308"/>
        <v>Selesai</v>
      </c>
      <c r="R561" s="64">
        <f t="shared" si="317"/>
        <v>0</v>
      </c>
      <c r="S561" s="67">
        <v>44750</v>
      </c>
      <c r="T561" s="67">
        <v>44812</v>
      </c>
      <c r="U561" s="64">
        <f t="shared" si="309"/>
        <v>1</v>
      </c>
      <c r="V561" s="66"/>
      <c r="W561" s="64"/>
      <c r="X561" s="93"/>
      <c r="Y561" s="94"/>
      <c r="Z561" s="91" t="str">
        <f t="shared" si="310"/>
        <v>100%</v>
      </c>
      <c r="AA561" s="67"/>
      <c r="AB561" s="473"/>
      <c r="AC561" s="478" t="s">
        <v>2711</v>
      </c>
      <c r="AD561" s="67"/>
    </row>
    <row r="562" spans="2:30">
      <c r="B562" s="64" t="s">
        <v>118</v>
      </c>
      <c r="C562" s="65" t="s">
        <v>590</v>
      </c>
      <c r="D562" s="66">
        <v>12.16</v>
      </c>
      <c r="E562" s="67">
        <v>44765</v>
      </c>
      <c r="F562" s="64">
        <f t="shared" si="319"/>
        <v>1</v>
      </c>
      <c r="G562" s="67">
        <v>44773</v>
      </c>
      <c r="H562" s="64">
        <f t="shared" si="320"/>
        <v>1</v>
      </c>
      <c r="I562" s="67">
        <f>+K562+5</f>
        <v>44802</v>
      </c>
      <c r="J562" s="64">
        <f t="shared" si="312"/>
        <v>0</v>
      </c>
      <c r="K562" s="67">
        <v>44797</v>
      </c>
      <c r="L562" s="64">
        <f t="shared" si="313"/>
        <v>0</v>
      </c>
      <c r="M562" s="64">
        <f t="shared" si="314"/>
        <v>0</v>
      </c>
      <c r="N562" s="67">
        <f t="shared" si="318"/>
        <v>44803</v>
      </c>
      <c r="O562" s="64">
        <f t="shared" si="315"/>
        <v>1</v>
      </c>
      <c r="P562" s="64">
        <f t="shared" si="316"/>
        <v>0</v>
      </c>
      <c r="Q562" s="91" t="str">
        <f t="shared" si="308"/>
        <v>Selesai</v>
      </c>
      <c r="R562" s="64">
        <f t="shared" si="317"/>
        <v>0</v>
      </c>
      <c r="S562" s="67">
        <v>44799</v>
      </c>
      <c r="T562" s="67">
        <v>44814</v>
      </c>
      <c r="U562" s="64">
        <f t="shared" si="309"/>
        <v>1</v>
      </c>
      <c r="V562" s="66"/>
      <c r="W562" s="64"/>
      <c r="X562" s="93"/>
      <c r="Y562" s="94"/>
      <c r="Z562" s="91" t="str">
        <f t="shared" si="310"/>
        <v>100%</v>
      </c>
      <c r="AA562" s="67"/>
      <c r="AB562" s="473"/>
      <c r="AC562" s="478" t="s">
        <v>2711</v>
      </c>
      <c r="AD562" s="67"/>
    </row>
    <row r="563" spans="2:30">
      <c r="B563" s="64" t="s">
        <v>105</v>
      </c>
      <c r="C563" s="65" t="s">
        <v>17</v>
      </c>
      <c r="D563" s="66">
        <v>11.4</v>
      </c>
      <c r="E563" s="67">
        <v>44743</v>
      </c>
      <c r="F563" s="64">
        <f t="shared" si="319"/>
        <v>1</v>
      </c>
      <c r="G563" s="67">
        <v>44746</v>
      </c>
      <c r="H563" s="64">
        <f t="shared" si="320"/>
        <v>1</v>
      </c>
      <c r="I563" s="67">
        <v>44762</v>
      </c>
      <c r="J563" s="64">
        <f t="shared" si="312"/>
        <v>0</v>
      </c>
      <c r="K563" s="67">
        <v>44747</v>
      </c>
      <c r="L563" s="64">
        <f t="shared" si="313"/>
        <v>0</v>
      </c>
      <c r="M563" s="64">
        <f t="shared" si="314"/>
        <v>0</v>
      </c>
      <c r="N563" s="67">
        <f t="shared" si="318"/>
        <v>44763</v>
      </c>
      <c r="O563" s="64">
        <f t="shared" si="315"/>
        <v>1</v>
      </c>
      <c r="P563" s="64">
        <f t="shared" si="316"/>
        <v>0</v>
      </c>
      <c r="Q563" s="91" t="str">
        <f t="shared" si="308"/>
        <v>Selesai</v>
      </c>
      <c r="R563" s="64">
        <f t="shared" si="317"/>
        <v>0</v>
      </c>
      <c r="S563" s="67">
        <v>44757</v>
      </c>
      <c r="T563" s="67">
        <v>44816</v>
      </c>
      <c r="U563" s="64">
        <f t="shared" si="309"/>
        <v>1</v>
      </c>
      <c r="V563" s="66"/>
      <c r="W563" s="64"/>
      <c r="X563" s="93"/>
      <c r="Y563" s="94"/>
      <c r="Z563" s="91" t="str">
        <f t="shared" si="310"/>
        <v>100%</v>
      </c>
      <c r="AA563" s="67"/>
      <c r="AB563" s="473"/>
      <c r="AC563" s="478" t="s">
        <v>2711</v>
      </c>
      <c r="AD563" s="67"/>
    </row>
    <row r="564" spans="2:30">
      <c r="B564" s="64" t="s">
        <v>116</v>
      </c>
      <c r="C564" s="65" t="s">
        <v>591</v>
      </c>
      <c r="D564" s="66">
        <v>2.41</v>
      </c>
      <c r="E564" s="67">
        <v>44777</v>
      </c>
      <c r="F564" s="64">
        <f t="shared" si="319"/>
        <v>1</v>
      </c>
      <c r="G564" s="67">
        <v>44788</v>
      </c>
      <c r="H564" s="64">
        <f t="shared" si="320"/>
        <v>1</v>
      </c>
      <c r="I564" s="67">
        <f>+K564+5</f>
        <v>44798</v>
      </c>
      <c r="J564" s="64">
        <f t="shared" si="312"/>
        <v>0</v>
      </c>
      <c r="K564" s="67">
        <v>44793</v>
      </c>
      <c r="L564" s="64">
        <f t="shared" si="313"/>
        <v>0</v>
      </c>
      <c r="M564" s="64">
        <f t="shared" si="314"/>
        <v>0</v>
      </c>
      <c r="N564" s="67">
        <f t="shared" si="318"/>
        <v>44799</v>
      </c>
      <c r="O564" s="64">
        <f t="shared" si="315"/>
        <v>1</v>
      </c>
      <c r="P564" s="64">
        <f t="shared" si="316"/>
        <v>0</v>
      </c>
      <c r="Q564" s="91" t="str">
        <f t="shared" si="308"/>
        <v>Selesai</v>
      </c>
      <c r="R564" s="64">
        <f t="shared" si="317"/>
        <v>0</v>
      </c>
      <c r="S564" s="67">
        <v>44798</v>
      </c>
      <c r="T564" s="67">
        <v>44819</v>
      </c>
      <c r="U564" s="64">
        <f t="shared" si="309"/>
        <v>1</v>
      </c>
      <c r="V564" s="66"/>
      <c r="W564" s="64"/>
      <c r="X564" s="93"/>
      <c r="Y564" s="94"/>
      <c r="Z564" s="91" t="str">
        <f t="shared" si="310"/>
        <v>100%</v>
      </c>
      <c r="AA564" s="67"/>
      <c r="AB564" s="473"/>
      <c r="AC564" s="478" t="s">
        <v>2711</v>
      </c>
      <c r="AD564" s="67"/>
    </row>
    <row r="565" spans="2:30">
      <c r="B565" s="64" t="s">
        <v>113</v>
      </c>
      <c r="C565" s="65" t="s">
        <v>592</v>
      </c>
      <c r="D565" s="66">
        <v>11.77</v>
      </c>
      <c r="E565" s="67">
        <v>44754</v>
      </c>
      <c r="F565" s="64">
        <f t="shared" si="319"/>
        <v>1</v>
      </c>
      <c r="G565" s="67">
        <v>44757</v>
      </c>
      <c r="H565" s="64">
        <f t="shared" si="320"/>
        <v>1</v>
      </c>
      <c r="I565" s="67">
        <f>K565+5</f>
        <v>44768</v>
      </c>
      <c r="J565" s="64">
        <f t="shared" si="312"/>
        <v>0</v>
      </c>
      <c r="K565" s="67">
        <v>44763</v>
      </c>
      <c r="L565" s="64">
        <f t="shared" si="313"/>
        <v>0</v>
      </c>
      <c r="M565" s="64">
        <f t="shared" si="314"/>
        <v>0</v>
      </c>
      <c r="N565" s="67">
        <f t="shared" si="318"/>
        <v>44769</v>
      </c>
      <c r="O565" s="64">
        <f t="shared" si="315"/>
        <v>1</v>
      </c>
      <c r="P565" s="64">
        <f t="shared" si="316"/>
        <v>0</v>
      </c>
      <c r="Q565" s="91" t="str">
        <f t="shared" si="308"/>
        <v>Selesai</v>
      </c>
      <c r="R565" s="64">
        <f t="shared" si="317"/>
        <v>0</v>
      </c>
      <c r="S565" s="67">
        <v>44769</v>
      </c>
      <c r="T565" s="67">
        <v>44825</v>
      </c>
      <c r="U565" s="64">
        <f t="shared" si="309"/>
        <v>1</v>
      </c>
      <c r="V565" s="66"/>
      <c r="W565" s="64"/>
      <c r="X565" s="93"/>
      <c r="Y565" s="94"/>
      <c r="Z565" s="91" t="str">
        <f t="shared" si="310"/>
        <v>100%</v>
      </c>
      <c r="AA565" s="67"/>
      <c r="AB565" s="473"/>
      <c r="AC565" s="478" t="s">
        <v>2711</v>
      </c>
      <c r="AD565" s="67"/>
    </row>
    <row r="566" spans="2:30">
      <c r="B566" s="64" t="s">
        <v>113</v>
      </c>
      <c r="C566" s="65" t="s">
        <v>181</v>
      </c>
      <c r="D566" s="66">
        <v>9.67</v>
      </c>
      <c r="E566" s="67">
        <v>44800</v>
      </c>
      <c r="F566" s="64">
        <f t="shared" si="319"/>
        <v>1</v>
      </c>
      <c r="G566" s="67">
        <v>44802</v>
      </c>
      <c r="H566" s="64">
        <f t="shared" si="320"/>
        <v>1</v>
      </c>
      <c r="I566" s="67">
        <f t="shared" ref="I566:I571" si="321">+K566+5</f>
        <v>44810</v>
      </c>
      <c r="J566" s="64">
        <f t="shared" si="312"/>
        <v>0</v>
      </c>
      <c r="K566" s="67">
        <v>44805</v>
      </c>
      <c r="L566" s="64">
        <f t="shared" si="313"/>
        <v>0</v>
      </c>
      <c r="M566" s="64">
        <f t="shared" si="314"/>
        <v>0</v>
      </c>
      <c r="N566" s="67">
        <f t="shared" si="318"/>
        <v>44811</v>
      </c>
      <c r="O566" s="64">
        <f t="shared" si="315"/>
        <v>1</v>
      </c>
      <c r="P566" s="64">
        <f t="shared" si="316"/>
        <v>0</v>
      </c>
      <c r="Q566" s="91" t="str">
        <f t="shared" si="308"/>
        <v>Selesai</v>
      </c>
      <c r="R566" s="64">
        <f t="shared" si="317"/>
        <v>0</v>
      </c>
      <c r="S566" s="67">
        <v>44788</v>
      </c>
      <c r="T566" s="67">
        <v>44825</v>
      </c>
      <c r="U566" s="64">
        <f t="shared" si="309"/>
        <v>1</v>
      </c>
      <c r="V566" s="66"/>
      <c r="W566" s="64"/>
      <c r="X566" s="93"/>
      <c r="Y566" s="94"/>
      <c r="Z566" s="91" t="str">
        <f t="shared" si="310"/>
        <v>100%</v>
      </c>
      <c r="AA566" s="67"/>
      <c r="AB566" s="473"/>
      <c r="AC566" s="478" t="s">
        <v>2711</v>
      </c>
      <c r="AD566" s="67"/>
    </row>
    <row r="567" spans="2:30">
      <c r="B567" s="64" t="s">
        <v>113</v>
      </c>
      <c r="C567" s="65" t="s">
        <v>174</v>
      </c>
      <c r="D567" s="66">
        <v>12.7</v>
      </c>
      <c r="E567" s="67">
        <v>44799</v>
      </c>
      <c r="F567" s="64">
        <f t="shared" si="319"/>
        <v>1</v>
      </c>
      <c r="G567" s="67">
        <v>44800</v>
      </c>
      <c r="H567" s="64">
        <f t="shared" si="320"/>
        <v>1</v>
      </c>
      <c r="I567" s="67">
        <f t="shared" si="321"/>
        <v>44807</v>
      </c>
      <c r="J567" s="64">
        <f t="shared" si="312"/>
        <v>0</v>
      </c>
      <c r="K567" s="67">
        <v>44802</v>
      </c>
      <c r="L567" s="64">
        <f t="shared" si="313"/>
        <v>0</v>
      </c>
      <c r="M567" s="64">
        <f t="shared" si="314"/>
        <v>0</v>
      </c>
      <c r="N567" s="67">
        <f t="shared" si="318"/>
        <v>44808</v>
      </c>
      <c r="O567" s="64">
        <f t="shared" si="315"/>
        <v>1</v>
      </c>
      <c r="P567" s="64">
        <f t="shared" si="316"/>
        <v>0</v>
      </c>
      <c r="Q567" s="91" t="str">
        <f t="shared" si="308"/>
        <v>Selesai</v>
      </c>
      <c r="R567" s="64">
        <f t="shared" si="317"/>
        <v>0</v>
      </c>
      <c r="S567" s="67">
        <v>44804</v>
      </c>
      <c r="T567" s="67">
        <v>44825</v>
      </c>
      <c r="U567" s="64">
        <f t="shared" si="309"/>
        <v>1</v>
      </c>
      <c r="V567" s="66"/>
      <c r="W567" s="64"/>
      <c r="X567" s="93"/>
      <c r="Y567" s="94"/>
      <c r="Z567" s="91" t="str">
        <f t="shared" si="310"/>
        <v>100%</v>
      </c>
      <c r="AA567" s="67"/>
      <c r="AB567" s="473"/>
      <c r="AC567" s="478" t="s">
        <v>2711</v>
      </c>
      <c r="AD567" s="67"/>
    </row>
    <row r="568" spans="2:30">
      <c r="B568" s="64" t="s">
        <v>109</v>
      </c>
      <c r="C568" s="65" t="s">
        <v>217</v>
      </c>
      <c r="D568" s="66">
        <v>10.029999999999999</v>
      </c>
      <c r="E568" s="67">
        <v>44803</v>
      </c>
      <c r="F568" s="64">
        <f t="shared" si="319"/>
        <v>1</v>
      </c>
      <c r="G568" s="67">
        <v>44804</v>
      </c>
      <c r="H568" s="64">
        <f t="shared" si="320"/>
        <v>1</v>
      </c>
      <c r="I568" s="67">
        <f t="shared" si="321"/>
        <v>44814</v>
      </c>
      <c r="J568" s="64">
        <f t="shared" si="312"/>
        <v>0</v>
      </c>
      <c r="K568" s="67">
        <v>44809</v>
      </c>
      <c r="L568" s="64">
        <f t="shared" si="313"/>
        <v>0</v>
      </c>
      <c r="M568" s="64">
        <f t="shared" si="314"/>
        <v>0</v>
      </c>
      <c r="N568" s="67">
        <f t="shared" si="318"/>
        <v>44815</v>
      </c>
      <c r="O568" s="64">
        <f t="shared" si="315"/>
        <v>1</v>
      </c>
      <c r="P568" s="64">
        <f t="shared" si="316"/>
        <v>0</v>
      </c>
      <c r="Q568" s="91" t="str">
        <f t="shared" si="308"/>
        <v>Selesai</v>
      </c>
      <c r="R568" s="64">
        <f t="shared" si="317"/>
        <v>0</v>
      </c>
      <c r="S568" s="67">
        <v>44812</v>
      </c>
      <c r="T568" s="67">
        <v>44826</v>
      </c>
      <c r="U568" s="64">
        <f t="shared" si="309"/>
        <v>1</v>
      </c>
      <c r="V568" s="66"/>
      <c r="W568" s="64"/>
      <c r="X568" s="93"/>
      <c r="Y568" s="94"/>
      <c r="Z568" s="91" t="str">
        <f t="shared" si="310"/>
        <v>100%</v>
      </c>
      <c r="AA568" s="67"/>
      <c r="AB568" s="473"/>
      <c r="AC568" s="478" t="s">
        <v>2711</v>
      </c>
      <c r="AD568" s="67"/>
    </row>
    <row r="569" spans="2:30">
      <c r="B569" s="64" t="s">
        <v>116</v>
      </c>
      <c r="C569" s="65" t="s">
        <v>593</v>
      </c>
      <c r="D569" s="66">
        <v>12.14</v>
      </c>
      <c r="E569" s="67">
        <v>44798</v>
      </c>
      <c r="F569" s="64">
        <f t="shared" si="319"/>
        <v>1</v>
      </c>
      <c r="G569" s="67">
        <v>44799</v>
      </c>
      <c r="H569" s="64">
        <f t="shared" si="320"/>
        <v>1</v>
      </c>
      <c r="I569" s="67">
        <f t="shared" si="321"/>
        <v>44805</v>
      </c>
      <c r="J569" s="64">
        <f t="shared" si="312"/>
        <v>0</v>
      </c>
      <c r="K569" s="67">
        <v>44800</v>
      </c>
      <c r="L569" s="64">
        <f t="shared" si="313"/>
        <v>0</v>
      </c>
      <c r="M569" s="64">
        <f t="shared" si="314"/>
        <v>0</v>
      </c>
      <c r="N569" s="67">
        <f t="shared" si="318"/>
        <v>44806</v>
      </c>
      <c r="O569" s="64">
        <f t="shared" si="315"/>
        <v>1</v>
      </c>
      <c r="P569" s="64">
        <f t="shared" si="316"/>
        <v>0</v>
      </c>
      <c r="Q569" s="91" t="str">
        <f t="shared" si="308"/>
        <v>Selesai</v>
      </c>
      <c r="R569" s="64">
        <f t="shared" si="317"/>
        <v>0</v>
      </c>
      <c r="S569" s="67">
        <v>44801</v>
      </c>
      <c r="T569" s="67">
        <v>44831</v>
      </c>
      <c r="U569" s="64">
        <f t="shared" si="309"/>
        <v>1</v>
      </c>
      <c r="V569" s="66"/>
      <c r="W569" s="64"/>
      <c r="X569" s="93"/>
      <c r="Y569" s="94"/>
      <c r="Z569" s="91" t="str">
        <f t="shared" si="310"/>
        <v>100%</v>
      </c>
      <c r="AA569" s="67"/>
      <c r="AB569" s="473"/>
      <c r="AC569" s="478" t="s">
        <v>2711</v>
      </c>
      <c r="AD569" s="67"/>
    </row>
    <row r="570" spans="2:30">
      <c r="B570" s="64" t="s">
        <v>107</v>
      </c>
      <c r="C570" s="65" t="s">
        <v>205</v>
      </c>
      <c r="D570" s="66">
        <v>5.05</v>
      </c>
      <c r="E570" s="67">
        <v>44810</v>
      </c>
      <c r="F570" s="64">
        <f t="shared" si="319"/>
        <v>1</v>
      </c>
      <c r="G570" s="67">
        <v>44811</v>
      </c>
      <c r="H570" s="64">
        <f t="shared" si="320"/>
        <v>1</v>
      </c>
      <c r="I570" s="67">
        <f t="shared" si="321"/>
        <v>44818</v>
      </c>
      <c r="J570" s="64">
        <f t="shared" si="312"/>
        <v>0</v>
      </c>
      <c r="K570" s="67">
        <v>44813</v>
      </c>
      <c r="L570" s="64">
        <f t="shared" si="313"/>
        <v>0</v>
      </c>
      <c r="M570" s="64">
        <f t="shared" si="314"/>
        <v>0</v>
      </c>
      <c r="N570" s="67">
        <f t="shared" si="318"/>
        <v>44819</v>
      </c>
      <c r="O570" s="64">
        <f t="shared" si="315"/>
        <v>1</v>
      </c>
      <c r="P570" s="64">
        <f t="shared" si="316"/>
        <v>0</v>
      </c>
      <c r="Q570" s="91" t="str">
        <f t="shared" si="308"/>
        <v>Selesai</v>
      </c>
      <c r="R570" s="64">
        <f t="shared" si="317"/>
        <v>0</v>
      </c>
      <c r="S570" s="67">
        <v>44818</v>
      </c>
      <c r="T570" s="67">
        <v>44831</v>
      </c>
      <c r="U570" s="64">
        <f t="shared" si="309"/>
        <v>1</v>
      </c>
      <c r="V570" s="66"/>
      <c r="W570" s="64"/>
      <c r="X570" s="93"/>
      <c r="Y570" s="94"/>
      <c r="Z570" s="91" t="str">
        <f t="shared" si="310"/>
        <v>100%</v>
      </c>
      <c r="AA570" s="67"/>
      <c r="AB570" s="473"/>
      <c r="AC570" s="478" t="s">
        <v>2711</v>
      </c>
      <c r="AD570" s="67"/>
    </row>
    <row r="571" spans="2:30">
      <c r="B571" s="64" t="s">
        <v>105</v>
      </c>
      <c r="C571" s="65" t="s">
        <v>594</v>
      </c>
      <c r="D571" s="66">
        <v>3.62</v>
      </c>
      <c r="E571" s="67">
        <v>44811</v>
      </c>
      <c r="F571" s="64">
        <f t="shared" si="319"/>
        <v>1</v>
      </c>
      <c r="G571" s="67">
        <v>44812</v>
      </c>
      <c r="H571" s="64">
        <f t="shared" si="320"/>
        <v>1</v>
      </c>
      <c r="I571" s="67">
        <f t="shared" si="321"/>
        <v>44818</v>
      </c>
      <c r="J571" s="64">
        <f t="shared" si="312"/>
        <v>0</v>
      </c>
      <c r="K571" s="67">
        <v>44813</v>
      </c>
      <c r="L571" s="64">
        <f t="shared" si="313"/>
        <v>0</v>
      </c>
      <c r="M571" s="64">
        <f t="shared" si="314"/>
        <v>0</v>
      </c>
      <c r="N571" s="67">
        <f t="shared" si="318"/>
        <v>44819</v>
      </c>
      <c r="O571" s="64">
        <f t="shared" si="315"/>
        <v>1</v>
      </c>
      <c r="P571" s="64">
        <f t="shared" si="316"/>
        <v>0</v>
      </c>
      <c r="Q571" s="91" t="str">
        <f t="shared" si="308"/>
        <v>Selesai</v>
      </c>
      <c r="R571" s="64">
        <f t="shared" si="317"/>
        <v>0</v>
      </c>
      <c r="S571" s="67">
        <v>44822</v>
      </c>
      <c r="T571" s="67">
        <v>44831</v>
      </c>
      <c r="U571" s="64">
        <f t="shared" si="309"/>
        <v>1</v>
      </c>
      <c r="V571" s="66"/>
      <c r="W571" s="64"/>
      <c r="X571" s="93"/>
      <c r="Y571" s="94"/>
      <c r="Z571" s="91" t="str">
        <f t="shared" si="310"/>
        <v>100%</v>
      </c>
      <c r="AA571" s="67"/>
      <c r="AB571" s="473"/>
      <c r="AC571" s="478" t="s">
        <v>2711</v>
      </c>
      <c r="AD571" s="67"/>
    </row>
    <row r="572" spans="2:30">
      <c r="B572" s="64" t="s">
        <v>116</v>
      </c>
      <c r="C572" s="65" t="s">
        <v>595</v>
      </c>
      <c r="D572" s="66">
        <v>7.04</v>
      </c>
      <c r="E572" s="67">
        <v>44777</v>
      </c>
      <c r="F572" s="64">
        <f t="shared" si="319"/>
        <v>1</v>
      </c>
      <c r="G572" s="67">
        <v>44788</v>
      </c>
      <c r="H572" s="64">
        <f t="shared" si="320"/>
        <v>1</v>
      </c>
      <c r="I572" s="67">
        <v>44803</v>
      </c>
      <c r="J572" s="64">
        <f t="shared" si="312"/>
        <v>0</v>
      </c>
      <c r="K572" s="67">
        <v>44782</v>
      </c>
      <c r="L572" s="64">
        <f t="shared" si="313"/>
        <v>0</v>
      </c>
      <c r="M572" s="64">
        <f t="shared" si="314"/>
        <v>0</v>
      </c>
      <c r="N572" s="67">
        <f t="shared" si="318"/>
        <v>44804</v>
      </c>
      <c r="O572" s="64">
        <f t="shared" si="315"/>
        <v>1</v>
      </c>
      <c r="P572" s="64">
        <f t="shared" si="316"/>
        <v>0</v>
      </c>
      <c r="Q572" s="91" t="str">
        <f t="shared" si="308"/>
        <v>Selesai</v>
      </c>
      <c r="R572" s="64">
        <f t="shared" si="317"/>
        <v>0</v>
      </c>
      <c r="S572" s="67">
        <v>44819</v>
      </c>
      <c r="T572" s="67">
        <v>44832</v>
      </c>
      <c r="U572" s="64">
        <f t="shared" si="309"/>
        <v>1</v>
      </c>
      <c r="V572" s="66"/>
      <c r="W572" s="64"/>
      <c r="X572" s="93"/>
      <c r="Y572" s="94"/>
      <c r="Z572" s="91" t="str">
        <f t="shared" si="310"/>
        <v>100%</v>
      </c>
      <c r="AA572" s="67"/>
      <c r="AB572" s="473"/>
      <c r="AC572" s="478" t="s">
        <v>2711</v>
      </c>
      <c r="AD572" s="67"/>
    </row>
    <row r="573" spans="2:30">
      <c r="B573" s="64" t="s">
        <v>118</v>
      </c>
      <c r="C573" s="65" t="s">
        <v>596</v>
      </c>
      <c r="D573" s="66">
        <v>11.01</v>
      </c>
      <c r="E573" s="67">
        <v>44785</v>
      </c>
      <c r="F573" s="64">
        <f t="shared" si="319"/>
        <v>1</v>
      </c>
      <c r="G573" s="67">
        <v>44786</v>
      </c>
      <c r="H573" s="64">
        <f t="shared" si="320"/>
        <v>1</v>
      </c>
      <c r="I573" s="67">
        <f>+K573+5</f>
        <v>44809</v>
      </c>
      <c r="J573" s="64">
        <f t="shared" si="312"/>
        <v>0</v>
      </c>
      <c r="K573" s="67">
        <v>44804</v>
      </c>
      <c r="L573" s="64">
        <f t="shared" si="313"/>
        <v>0</v>
      </c>
      <c r="M573" s="64">
        <f t="shared" si="314"/>
        <v>0</v>
      </c>
      <c r="N573" s="67">
        <f t="shared" si="318"/>
        <v>44810</v>
      </c>
      <c r="O573" s="64">
        <f t="shared" si="315"/>
        <v>1</v>
      </c>
      <c r="P573" s="64">
        <f t="shared" si="316"/>
        <v>0</v>
      </c>
      <c r="Q573" s="91" t="str">
        <f t="shared" si="308"/>
        <v>Selesai</v>
      </c>
      <c r="R573" s="64">
        <f t="shared" si="317"/>
        <v>0</v>
      </c>
      <c r="S573" s="67">
        <v>44804</v>
      </c>
      <c r="T573" s="67">
        <v>44832</v>
      </c>
      <c r="U573" s="64">
        <f t="shared" si="309"/>
        <v>1</v>
      </c>
      <c r="V573" s="66"/>
      <c r="W573" s="64"/>
      <c r="X573" s="93"/>
      <c r="Y573" s="94"/>
      <c r="Z573" s="91" t="str">
        <f t="shared" si="310"/>
        <v>100%</v>
      </c>
      <c r="AA573" s="67"/>
      <c r="AB573" s="473"/>
      <c r="AC573" s="478" t="s">
        <v>2711</v>
      </c>
      <c r="AD573" s="67"/>
    </row>
    <row r="574" spans="2:30">
      <c r="B574" s="64" t="s">
        <v>116</v>
      </c>
      <c r="C574" s="65" t="s">
        <v>597</v>
      </c>
      <c r="D574" s="66">
        <v>10.15</v>
      </c>
      <c r="E574" s="67">
        <v>44786</v>
      </c>
      <c r="F574" s="64">
        <f t="shared" si="319"/>
        <v>1</v>
      </c>
      <c r="G574" s="67">
        <v>44791</v>
      </c>
      <c r="H574" s="64">
        <f t="shared" si="320"/>
        <v>1</v>
      </c>
      <c r="I574" s="67">
        <f>+K574+5</f>
        <v>44834</v>
      </c>
      <c r="J574" s="64">
        <f t="shared" si="312"/>
        <v>0</v>
      </c>
      <c r="K574" s="67">
        <v>44829</v>
      </c>
      <c r="L574" s="64">
        <f t="shared" si="313"/>
        <v>0</v>
      </c>
      <c r="M574" s="64">
        <f t="shared" si="314"/>
        <v>0</v>
      </c>
      <c r="N574" s="67">
        <f t="shared" si="318"/>
        <v>44835</v>
      </c>
      <c r="O574" s="64">
        <f t="shared" si="315"/>
        <v>1</v>
      </c>
      <c r="P574" s="64">
        <f t="shared" si="316"/>
        <v>0</v>
      </c>
      <c r="Q574" s="91" t="str">
        <f t="shared" si="308"/>
        <v>Selesai</v>
      </c>
      <c r="R574" s="64">
        <f t="shared" si="317"/>
        <v>0</v>
      </c>
      <c r="S574" s="67">
        <v>44812</v>
      </c>
      <c r="T574" s="67">
        <v>44833</v>
      </c>
      <c r="U574" s="64">
        <f t="shared" si="309"/>
        <v>1</v>
      </c>
      <c r="V574" s="66"/>
      <c r="W574" s="64"/>
      <c r="X574" s="93"/>
      <c r="Y574" s="94"/>
      <c r="Z574" s="91" t="str">
        <f t="shared" si="310"/>
        <v>100%</v>
      </c>
      <c r="AA574" s="67"/>
      <c r="AB574" s="473"/>
      <c r="AC574" s="478" t="s">
        <v>2711</v>
      </c>
      <c r="AD574" s="67"/>
    </row>
    <row r="575" spans="2:30">
      <c r="B575" s="64" t="s">
        <v>107</v>
      </c>
      <c r="C575" s="65" t="s">
        <v>598</v>
      </c>
      <c r="D575" s="66">
        <v>6.27</v>
      </c>
      <c r="E575" s="67">
        <v>44810</v>
      </c>
      <c r="F575" s="64">
        <f t="shared" si="319"/>
        <v>1</v>
      </c>
      <c r="G575" s="67">
        <v>44811</v>
      </c>
      <c r="H575" s="64">
        <f t="shared" si="320"/>
        <v>1</v>
      </c>
      <c r="I575" s="67">
        <f>+K575+5</f>
        <v>44817</v>
      </c>
      <c r="J575" s="64">
        <f t="shared" si="312"/>
        <v>0</v>
      </c>
      <c r="K575" s="67">
        <v>44812</v>
      </c>
      <c r="L575" s="64">
        <f t="shared" si="313"/>
        <v>0</v>
      </c>
      <c r="M575" s="64">
        <f t="shared" si="314"/>
        <v>0</v>
      </c>
      <c r="N575" s="67">
        <f t="shared" si="318"/>
        <v>44818</v>
      </c>
      <c r="O575" s="64">
        <f t="shared" si="315"/>
        <v>1</v>
      </c>
      <c r="P575" s="64">
        <f t="shared" si="316"/>
        <v>0</v>
      </c>
      <c r="Q575" s="91" t="str">
        <f t="shared" si="308"/>
        <v>Selesai</v>
      </c>
      <c r="R575" s="64">
        <f t="shared" si="317"/>
        <v>0</v>
      </c>
      <c r="S575" s="67">
        <v>44815</v>
      </c>
      <c r="T575" s="67">
        <v>44834</v>
      </c>
      <c r="U575" s="64">
        <f t="shared" si="309"/>
        <v>1</v>
      </c>
      <c r="V575" s="66"/>
      <c r="W575" s="64"/>
      <c r="X575" s="93"/>
      <c r="Y575" s="94"/>
      <c r="Z575" s="91" t="str">
        <f t="shared" si="310"/>
        <v>100%</v>
      </c>
      <c r="AA575" s="67"/>
      <c r="AB575" s="473"/>
      <c r="AC575" s="478" t="s">
        <v>2711</v>
      </c>
      <c r="AD575" s="67"/>
    </row>
    <row r="576" spans="2:30">
      <c r="B576" s="64" t="s">
        <v>113</v>
      </c>
      <c r="C576" s="65" t="s">
        <v>599</v>
      </c>
      <c r="D576" s="66">
        <v>5.32</v>
      </c>
      <c r="E576" s="67">
        <v>44774</v>
      </c>
      <c r="F576" s="64">
        <f t="shared" si="319"/>
        <v>1</v>
      </c>
      <c r="G576" s="67">
        <v>44776</v>
      </c>
      <c r="H576" s="64">
        <f t="shared" si="320"/>
        <v>1</v>
      </c>
      <c r="I576" s="67">
        <f>+K576+5</f>
        <v>44798</v>
      </c>
      <c r="J576" s="64">
        <f t="shared" si="312"/>
        <v>0</v>
      </c>
      <c r="K576" s="67">
        <v>44793</v>
      </c>
      <c r="L576" s="64">
        <f t="shared" si="313"/>
        <v>0</v>
      </c>
      <c r="M576" s="64">
        <f t="shared" si="314"/>
        <v>0</v>
      </c>
      <c r="N576" s="67">
        <f t="shared" si="318"/>
        <v>44799</v>
      </c>
      <c r="O576" s="64">
        <f t="shared" si="315"/>
        <v>1</v>
      </c>
      <c r="P576" s="64">
        <f t="shared" si="316"/>
        <v>0</v>
      </c>
      <c r="Q576" s="91" t="str">
        <f t="shared" si="308"/>
        <v>Selesai</v>
      </c>
      <c r="R576" s="64">
        <f t="shared" si="317"/>
        <v>0</v>
      </c>
      <c r="S576" s="67">
        <v>44798</v>
      </c>
      <c r="T576" s="67">
        <v>44834</v>
      </c>
      <c r="U576" s="64">
        <f t="shared" si="309"/>
        <v>1</v>
      </c>
      <c r="V576" s="66"/>
      <c r="W576" s="64"/>
      <c r="X576" s="93"/>
      <c r="Y576" s="94"/>
      <c r="Z576" s="91" t="str">
        <f t="shared" si="310"/>
        <v>100%</v>
      </c>
      <c r="AA576" s="67"/>
      <c r="AB576" s="473"/>
      <c r="AC576" s="478" t="s">
        <v>2711</v>
      </c>
      <c r="AD576" s="67"/>
    </row>
    <row r="577" spans="2:30">
      <c r="B577" s="64" t="s">
        <v>116</v>
      </c>
      <c r="C577" s="65" t="s">
        <v>600</v>
      </c>
      <c r="D577" s="66">
        <v>5.85</v>
      </c>
      <c r="E577" s="67">
        <v>44786</v>
      </c>
      <c r="F577" s="64">
        <f t="shared" si="319"/>
        <v>1</v>
      </c>
      <c r="G577" s="67">
        <v>44791</v>
      </c>
      <c r="H577" s="64">
        <f t="shared" si="320"/>
        <v>1</v>
      </c>
      <c r="I577" s="67">
        <v>44803</v>
      </c>
      <c r="J577" s="64">
        <f t="shared" si="312"/>
        <v>0</v>
      </c>
      <c r="K577" s="67">
        <v>44803</v>
      </c>
      <c r="L577" s="64">
        <f t="shared" si="313"/>
        <v>0</v>
      </c>
      <c r="M577" s="64">
        <f t="shared" si="314"/>
        <v>0</v>
      </c>
      <c r="N577" s="67">
        <f t="shared" si="318"/>
        <v>44804</v>
      </c>
      <c r="O577" s="64">
        <f t="shared" si="315"/>
        <v>1</v>
      </c>
      <c r="P577" s="64">
        <f t="shared" si="316"/>
        <v>0</v>
      </c>
      <c r="Q577" s="91" t="str">
        <f t="shared" si="308"/>
        <v>Selesai</v>
      </c>
      <c r="R577" s="64">
        <f t="shared" si="317"/>
        <v>0</v>
      </c>
      <c r="S577" s="67">
        <v>44822</v>
      </c>
      <c r="T577" s="67">
        <v>44834</v>
      </c>
      <c r="U577" s="64">
        <f t="shared" si="309"/>
        <v>1</v>
      </c>
      <c r="V577" s="66"/>
      <c r="W577" s="64"/>
      <c r="X577" s="93"/>
      <c r="Y577" s="94"/>
      <c r="Z577" s="91" t="str">
        <f t="shared" si="310"/>
        <v>100%</v>
      </c>
      <c r="AA577" s="67"/>
      <c r="AB577" s="473"/>
      <c r="AC577" s="478" t="s">
        <v>2711</v>
      </c>
      <c r="AD577" s="67"/>
    </row>
    <row r="578" spans="2:30">
      <c r="B578" s="64" t="s">
        <v>105</v>
      </c>
      <c r="C578" s="65" t="s">
        <v>601</v>
      </c>
      <c r="D578" s="66">
        <v>6.93</v>
      </c>
      <c r="E578" s="67">
        <v>44811</v>
      </c>
      <c r="F578" s="64">
        <f t="shared" si="319"/>
        <v>1</v>
      </c>
      <c r="G578" s="67">
        <v>44812</v>
      </c>
      <c r="H578" s="64">
        <f t="shared" si="320"/>
        <v>1</v>
      </c>
      <c r="I578" s="67">
        <f t="shared" ref="I578:I591" si="322">+K578+5</f>
        <v>44818</v>
      </c>
      <c r="J578" s="64">
        <f t="shared" si="312"/>
        <v>0</v>
      </c>
      <c r="K578" s="67">
        <v>44813</v>
      </c>
      <c r="L578" s="64">
        <f t="shared" si="313"/>
        <v>0</v>
      </c>
      <c r="M578" s="64">
        <f t="shared" si="314"/>
        <v>0</v>
      </c>
      <c r="N578" s="67">
        <f t="shared" si="318"/>
        <v>44819</v>
      </c>
      <c r="O578" s="64">
        <f t="shared" si="315"/>
        <v>1</v>
      </c>
      <c r="P578" s="64">
        <f t="shared" si="316"/>
        <v>0</v>
      </c>
      <c r="Q578" s="91" t="str">
        <f t="shared" si="308"/>
        <v>Selesai</v>
      </c>
      <c r="R578" s="64">
        <f t="shared" si="317"/>
        <v>0</v>
      </c>
      <c r="S578" s="67">
        <v>44819</v>
      </c>
      <c r="T578" s="67">
        <v>44840</v>
      </c>
      <c r="U578" s="64">
        <f t="shared" si="309"/>
        <v>1</v>
      </c>
      <c r="V578" s="64"/>
      <c r="W578" s="64"/>
      <c r="X578" s="93"/>
      <c r="Y578" s="94"/>
      <c r="Z578" s="91" t="str">
        <f t="shared" si="310"/>
        <v>100%</v>
      </c>
      <c r="AA578" s="67"/>
      <c r="AB578" s="473"/>
      <c r="AC578" s="478" t="s">
        <v>2711</v>
      </c>
      <c r="AD578" s="67"/>
    </row>
    <row r="579" spans="2:30">
      <c r="B579" s="64" t="s">
        <v>107</v>
      </c>
      <c r="C579" s="65" t="s">
        <v>602</v>
      </c>
      <c r="D579" s="66">
        <v>5.73</v>
      </c>
      <c r="E579" s="67">
        <v>44782</v>
      </c>
      <c r="F579" s="64">
        <f t="shared" si="319"/>
        <v>1</v>
      </c>
      <c r="G579" s="67">
        <v>44784</v>
      </c>
      <c r="H579" s="64">
        <f t="shared" si="320"/>
        <v>1</v>
      </c>
      <c r="I579" s="67">
        <f t="shared" si="322"/>
        <v>44820</v>
      </c>
      <c r="J579" s="64">
        <f t="shared" si="312"/>
        <v>0</v>
      </c>
      <c r="K579" s="67">
        <v>44815</v>
      </c>
      <c r="L579" s="64">
        <f t="shared" si="313"/>
        <v>0</v>
      </c>
      <c r="M579" s="64">
        <f t="shared" si="314"/>
        <v>0</v>
      </c>
      <c r="N579" s="67">
        <f t="shared" si="318"/>
        <v>44821</v>
      </c>
      <c r="O579" s="64">
        <f t="shared" si="315"/>
        <v>1</v>
      </c>
      <c r="P579" s="64">
        <f t="shared" si="316"/>
        <v>0</v>
      </c>
      <c r="Q579" s="91" t="str">
        <f t="shared" si="308"/>
        <v>Selesai</v>
      </c>
      <c r="R579" s="64">
        <f t="shared" si="317"/>
        <v>0</v>
      </c>
      <c r="S579" s="67">
        <v>44815</v>
      </c>
      <c r="T579" s="67">
        <v>44853</v>
      </c>
      <c r="U579" s="64">
        <f t="shared" si="309"/>
        <v>1</v>
      </c>
      <c r="V579" s="64"/>
      <c r="W579" s="64"/>
      <c r="X579" s="93"/>
      <c r="Y579" s="94"/>
      <c r="Z579" s="91" t="str">
        <f t="shared" si="310"/>
        <v>100%</v>
      </c>
      <c r="AA579" s="67"/>
      <c r="AB579" s="473"/>
      <c r="AC579" s="478" t="s">
        <v>2711</v>
      </c>
      <c r="AD579" s="67"/>
    </row>
    <row r="580" spans="2:30">
      <c r="B580" s="64" t="s">
        <v>105</v>
      </c>
      <c r="C580" s="65" t="s">
        <v>188</v>
      </c>
      <c r="D580" s="66">
        <v>9.66</v>
      </c>
      <c r="E580" s="67">
        <v>44816</v>
      </c>
      <c r="F580" s="64">
        <f t="shared" si="319"/>
        <v>1</v>
      </c>
      <c r="G580" s="67">
        <v>44817</v>
      </c>
      <c r="H580" s="64">
        <f t="shared" si="320"/>
        <v>1</v>
      </c>
      <c r="I580" s="67">
        <f t="shared" si="322"/>
        <v>44823</v>
      </c>
      <c r="J580" s="64">
        <f t="shared" si="312"/>
        <v>0</v>
      </c>
      <c r="K580" s="67">
        <v>44818</v>
      </c>
      <c r="L580" s="64">
        <f t="shared" si="313"/>
        <v>0</v>
      </c>
      <c r="M580" s="64">
        <f t="shared" si="314"/>
        <v>0</v>
      </c>
      <c r="N580" s="67">
        <f t="shared" ref="N580:N611" si="323">IF(AND(I580&gt;0,K580&gt;0),MAX(I580:K580)+1,"")</f>
        <v>44824</v>
      </c>
      <c r="O580" s="64">
        <f t="shared" si="315"/>
        <v>1</v>
      </c>
      <c r="P580" s="64">
        <f t="shared" si="316"/>
        <v>0</v>
      </c>
      <c r="Q580" s="91" t="str">
        <f t="shared" si="308"/>
        <v>Selesai</v>
      </c>
      <c r="R580" s="64">
        <f t="shared" si="317"/>
        <v>0</v>
      </c>
      <c r="S580" s="67">
        <v>44827</v>
      </c>
      <c r="T580" s="67">
        <v>44848</v>
      </c>
      <c r="U580" s="64">
        <f t="shared" si="309"/>
        <v>1</v>
      </c>
      <c r="V580" s="64"/>
      <c r="W580" s="64"/>
      <c r="X580" s="93"/>
      <c r="Y580" s="94"/>
      <c r="Z580" s="91" t="str">
        <f t="shared" si="310"/>
        <v>100%</v>
      </c>
      <c r="AA580" s="67"/>
      <c r="AB580" s="473"/>
      <c r="AC580" s="478" t="s">
        <v>2711</v>
      </c>
      <c r="AD580" s="67"/>
    </row>
    <row r="581" spans="2:30">
      <c r="B581" s="64" t="s">
        <v>105</v>
      </c>
      <c r="C581" s="65" t="s">
        <v>603</v>
      </c>
      <c r="D581" s="66">
        <v>8.36</v>
      </c>
      <c r="E581" s="67">
        <v>44817</v>
      </c>
      <c r="F581" s="64">
        <f t="shared" si="319"/>
        <v>1</v>
      </c>
      <c r="G581" s="67">
        <v>44819</v>
      </c>
      <c r="H581" s="64">
        <f t="shared" si="320"/>
        <v>1</v>
      </c>
      <c r="I581" s="67">
        <f t="shared" si="322"/>
        <v>44827</v>
      </c>
      <c r="J581" s="64">
        <f t="shared" si="312"/>
        <v>0</v>
      </c>
      <c r="K581" s="67">
        <v>44822</v>
      </c>
      <c r="L581" s="64">
        <f t="shared" si="313"/>
        <v>0</v>
      </c>
      <c r="M581" s="64">
        <f t="shared" si="314"/>
        <v>0</v>
      </c>
      <c r="N581" s="67">
        <f t="shared" si="323"/>
        <v>44828</v>
      </c>
      <c r="O581" s="64">
        <f t="shared" si="315"/>
        <v>1</v>
      </c>
      <c r="P581" s="64">
        <f t="shared" si="316"/>
        <v>0</v>
      </c>
      <c r="Q581" s="91" t="str">
        <f t="shared" si="308"/>
        <v>Selesai</v>
      </c>
      <c r="R581" s="64">
        <f t="shared" si="317"/>
        <v>0</v>
      </c>
      <c r="S581" s="67">
        <v>44830</v>
      </c>
      <c r="T581" s="67">
        <v>44840</v>
      </c>
      <c r="U581" s="64">
        <f t="shared" si="309"/>
        <v>1</v>
      </c>
      <c r="V581" s="64"/>
      <c r="W581" s="64"/>
      <c r="X581" s="93"/>
      <c r="Y581" s="94"/>
      <c r="Z581" s="91" t="str">
        <f t="shared" si="310"/>
        <v>100%</v>
      </c>
      <c r="AA581" s="67"/>
      <c r="AB581" s="473"/>
      <c r="AC581" s="478" t="s">
        <v>2711</v>
      </c>
      <c r="AD581" s="67"/>
    </row>
    <row r="582" spans="2:30">
      <c r="B582" s="64" t="s">
        <v>107</v>
      </c>
      <c r="C582" s="65" t="s">
        <v>604</v>
      </c>
      <c r="D582" s="66">
        <v>10.93</v>
      </c>
      <c r="E582" s="67">
        <v>44760</v>
      </c>
      <c r="F582" s="64">
        <f t="shared" si="319"/>
        <v>1</v>
      </c>
      <c r="G582" s="67">
        <v>44773</v>
      </c>
      <c r="H582" s="64">
        <f t="shared" si="320"/>
        <v>1</v>
      </c>
      <c r="I582" s="67">
        <f t="shared" si="322"/>
        <v>44815</v>
      </c>
      <c r="J582" s="64">
        <f t="shared" si="312"/>
        <v>0</v>
      </c>
      <c r="K582" s="67">
        <v>44810</v>
      </c>
      <c r="L582" s="64">
        <f t="shared" si="313"/>
        <v>0</v>
      </c>
      <c r="M582" s="64">
        <f t="shared" si="314"/>
        <v>0</v>
      </c>
      <c r="N582" s="67">
        <f t="shared" si="323"/>
        <v>44816</v>
      </c>
      <c r="O582" s="64">
        <f t="shared" si="315"/>
        <v>1</v>
      </c>
      <c r="P582" s="64">
        <f t="shared" si="316"/>
        <v>0</v>
      </c>
      <c r="Q582" s="91" t="str">
        <f t="shared" si="308"/>
        <v>Selesai</v>
      </c>
      <c r="R582" s="64">
        <f t="shared" si="317"/>
        <v>0</v>
      </c>
      <c r="S582" s="67">
        <v>44811</v>
      </c>
      <c r="T582" s="67">
        <v>44840</v>
      </c>
      <c r="U582" s="64">
        <f t="shared" si="309"/>
        <v>1</v>
      </c>
      <c r="V582" s="64"/>
      <c r="W582" s="64"/>
      <c r="X582" s="93"/>
      <c r="Y582" s="94"/>
      <c r="Z582" s="91" t="str">
        <f t="shared" si="310"/>
        <v>100%</v>
      </c>
      <c r="AA582" s="67"/>
      <c r="AB582" s="473"/>
      <c r="AC582" s="478" t="s">
        <v>2711</v>
      </c>
      <c r="AD582" s="67"/>
    </row>
    <row r="583" spans="2:30">
      <c r="B583" s="64" t="s">
        <v>107</v>
      </c>
      <c r="C583" s="65" t="s">
        <v>605</v>
      </c>
      <c r="D583" s="66">
        <v>3.32</v>
      </c>
      <c r="E583" s="67">
        <v>44805</v>
      </c>
      <c r="F583" s="64">
        <f t="shared" si="319"/>
        <v>1</v>
      </c>
      <c r="G583" s="67">
        <v>44809</v>
      </c>
      <c r="H583" s="64">
        <f t="shared" si="320"/>
        <v>1</v>
      </c>
      <c r="I583" s="67">
        <f t="shared" si="322"/>
        <v>44810</v>
      </c>
      <c r="J583" s="64">
        <f t="shared" si="312"/>
        <v>0</v>
      </c>
      <c r="K583" s="67">
        <v>44805</v>
      </c>
      <c r="L583" s="64">
        <f t="shared" si="313"/>
        <v>0</v>
      </c>
      <c r="M583" s="64">
        <f t="shared" si="314"/>
        <v>0</v>
      </c>
      <c r="N583" s="67">
        <f t="shared" si="323"/>
        <v>44811</v>
      </c>
      <c r="O583" s="64">
        <f t="shared" si="315"/>
        <v>1</v>
      </c>
      <c r="P583" s="64">
        <f t="shared" si="316"/>
        <v>0</v>
      </c>
      <c r="Q583" s="91" t="str">
        <f t="shared" si="308"/>
        <v>Selesai</v>
      </c>
      <c r="R583" s="64">
        <f t="shared" si="317"/>
        <v>0</v>
      </c>
      <c r="S583" s="67">
        <v>44818</v>
      </c>
      <c r="T583" s="67">
        <v>44844</v>
      </c>
      <c r="U583" s="64">
        <f t="shared" si="309"/>
        <v>1</v>
      </c>
      <c r="V583" s="64"/>
      <c r="W583" s="64"/>
      <c r="X583" s="93"/>
      <c r="Y583" s="94"/>
      <c r="Z583" s="91" t="str">
        <f t="shared" si="310"/>
        <v>100%</v>
      </c>
      <c r="AA583" s="67"/>
      <c r="AB583" s="473"/>
      <c r="AC583" s="478" t="s">
        <v>2711</v>
      </c>
      <c r="AD583" s="67"/>
    </row>
    <row r="584" spans="2:30">
      <c r="B584" s="64" t="s">
        <v>118</v>
      </c>
      <c r="C584" s="65" t="s">
        <v>179</v>
      </c>
      <c r="D584" s="66">
        <v>10</v>
      </c>
      <c r="E584" s="67">
        <v>44802</v>
      </c>
      <c r="F584" s="64">
        <f t="shared" si="319"/>
        <v>1</v>
      </c>
      <c r="G584" s="67">
        <v>44803</v>
      </c>
      <c r="H584" s="64">
        <f t="shared" si="320"/>
        <v>1</v>
      </c>
      <c r="I584" s="67">
        <f t="shared" si="322"/>
        <v>44816</v>
      </c>
      <c r="J584" s="64">
        <f t="shared" si="312"/>
        <v>0</v>
      </c>
      <c r="K584" s="67">
        <v>44811</v>
      </c>
      <c r="L584" s="64">
        <f t="shared" si="313"/>
        <v>0</v>
      </c>
      <c r="M584" s="64">
        <f t="shared" si="314"/>
        <v>0</v>
      </c>
      <c r="N584" s="67">
        <f t="shared" si="323"/>
        <v>44817</v>
      </c>
      <c r="O584" s="64">
        <f t="shared" si="315"/>
        <v>1</v>
      </c>
      <c r="P584" s="64">
        <f t="shared" si="316"/>
        <v>0</v>
      </c>
      <c r="Q584" s="91" t="str">
        <f t="shared" si="308"/>
        <v>Selesai</v>
      </c>
      <c r="R584" s="64">
        <f t="shared" si="317"/>
        <v>0</v>
      </c>
      <c r="S584" s="67">
        <v>44824</v>
      </c>
      <c r="T584" s="67">
        <v>44848</v>
      </c>
      <c r="U584" s="64">
        <f t="shared" si="309"/>
        <v>1</v>
      </c>
      <c r="V584" s="64"/>
      <c r="W584" s="64"/>
      <c r="X584" s="93"/>
      <c r="Y584" s="94"/>
      <c r="Z584" s="91" t="str">
        <f t="shared" si="310"/>
        <v>100%</v>
      </c>
      <c r="AA584" s="67"/>
      <c r="AB584" s="473"/>
      <c r="AC584" s="478" t="s">
        <v>2711</v>
      </c>
      <c r="AD584" s="67"/>
    </row>
    <row r="585" spans="2:30">
      <c r="B585" s="64" t="s">
        <v>105</v>
      </c>
      <c r="C585" s="65" t="s">
        <v>606</v>
      </c>
      <c r="D585" s="66">
        <v>7.42</v>
      </c>
      <c r="E585" s="67">
        <v>44817</v>
      </c>
      <c r="F585" s="64">
        <f t="shared" si="319"/>
        <v>1</v>
      </c>
      <c r="G585" s="67">
        <v>44819</v>
      </c>
      <c r="H585" s="64">
        <f t="shared" si="320"/>
        <v>1</v>
      </c>
      <c r="I585" s="67">
        <f t="shared" si="322"/>
        <v>44827</v>
      </c>
      <c r="J585" s="64">
        <f t="shared" si="312"/>
        <v>0</v>
      </c>
      <c r="K585" s="67">
        <v>44822</v>
      </c>
      <c r="L585" s="64">
        <f t="shared" si="313"/>
        <v>0</v>
      </c>
      <c r="M585" s="64">
        <f t="shared" si="314"/>
        <v>0</v>
      </c>
      <c r="N585" s="67">
        <f t="shared" si="323"/>
        <v>44828</v>
      </c>
      <c r="O585" s="64">
        <f t="shared" si="315"/>
        <v>1</v>
      </c>
      <c r="P585" s="64">
        <f t="shared" si="316"/>
        <v>0</v>
      </c>
      <c r="Q585" s="91" t="str">
        <f t="shared" ref="Q585:Q648" si="324">IF(T585&gt;0,"Selesai","Proses")</f>
        <v>Selesai</v>
      </c>
      <c r="R585" s="64">
        <f t="shared" si="317"/>
        <v>0</v>
      </c>
      <c r="S585" s="67">
        <v>44825</v>
      </c>
      <c r="T585" s="67">
        <v>44848</v>
      </c>
      <c r="U585" s="64">
        <f t="shared" ref="U585:U648" si="325">IF(T585&gt;0,1,0)</f>
        <v>1</v>
      </c>
      <c r="V585" s="64"/>
      <c r="W585" s="64"/>
      <c r="X585" s="93"/>
      <c r="Y585" s="94"/>
      <c r="Z585" s="91" t="str">
        <f t="shared" si="310"/>
        <v>100%</v>
      </c>
      <c r="AA585" s="67"/>
      <c r="AB585" s="473"/>
      <c r="AC585" s="478" t="s">
        <v>2711</v>
      </c>
      <c r="AD585" s="67"/>
    </row>
    <row r="586" spans="2:30">
      <c r="B586" s="64" t="s">
        <v>107</v>
      </c>
      <c r="C586" s="65" t="s">
        <v>607</v>
      </c>
      <c r="D586" s="66">
        <v>3.47</v>
      </c>
      <c r="E586" s="67">
        <v>44782</v>
      </c>
      <c r="F586" s="64">
        <f t="shared" si="319"/>
        <v>1</v>
      </c>
      <c r="G586" s="67">
        <v>44784</v>
      </c>
      <c r="H586" s="64">
        <f t="shared" si="320"/>
        <v>1</v>
      </c>
      <c r="I586" s="67">
        <f t="shared" si="322"/>
        <v>44820</v>
      </c>
      <c r="J586" s="64">
        <f t="shared" si="312"/>
        <v>0</v>
      </c>
      <c r="K586" s="67">
        <v>44815</v>
      </c>
      <c r="L586" s="64">
        <f t="shared" si="313"/>
        <v>0</v>
      </c>
      <c r="M586" s="64">
        <f t="shared" si="314"/>
        <v>0</v>
      </c>
      <c r="N586" s="67">
        <f t="shared" si="323"/>
        <v>44821</v>
      </c>
      <c r="O586" s="64">
        <f t="shared" si="315"/>
        <v>1</v>
      </c>
      <c r="P586" s="64">
        <f t="shared" si="316"/>
        <v>0</v>
      </c>
      <c r="Q586" s="91" t="str">
        <f t="shared" si="324"/>
        <v>Selesai</v>
      </c>
      <c r="R586" s="64">
        <f t="shared" si="317"/>
        <v>0</v>
      </c>
      <c r="S586" s="67">
        <v>44815</v>
      </c>
      <c r="T586" s="67">
        <v>44844</v>
      </c>
      <c r="U586" s="64">
        <f t="shared" si="325"/>
        <v>1</v>
      </c>
      <c r="V586" s="64"/>
      <c r="W586" s="64"/>
      <c r="X586" s="93"/>
      <c r="Y586" s="94"/>
      <c r="Z586" s="91" t="str">
        <f t="shared" ref="Z586:Z649" si="326">IF(T586="","","100%")</f>
        <v>100%</v>
      </c>
      <c r="AA586" s="67"/>
      <c r="AB586" s="473"/>
      <c r="AC586" s="478" t="s">
        <v>2711</v>
      </c>
      <c r="AD586" s="67"/>
    </row>
    <row r="587" spans="2:30">
      <c r="B587" s="64" t="s">
        <v>111</v>
      </c>
      <c r="C587" s="65" t="s">
        <v>608</v>
      </c>
      <c r="D587" s="66">
        <v>4.38</v>
      </c>
      <c r="E587" s="67">
        <v>44809</v>
      </c>
      <c r="F587" s="64">
        <f t="shared" si="319"/>
        <v>1</v>
      </c>
      <c r="G587" s="67">
        <v>44813</v>
      </c>
      <c r="H587" s="64">
        <f t="shared" si="320"/>
        <v>1</v>
      </c>
      <c r="I587" s="67">
        <f t="shared" si="322"/>
        <v>44823</v>
      </c>
      <c r="J587" s="64">
        <f t="shared" si="312"/>
        <v>0</v>
      </c>
      <c r="K587" s="67">
        <v>44818</v>
      </c>
      <c r="L587" s="64">
        <f t="shared" si="313"/>
        <v>0</v>
      </c>
      <c r="M587" s="64">
        <f t="shared" si="314"/>
        <v>0</v>
      </c>
      <c r="N587" s="67">
        <f t="shared" si="323"/>
        <v>44824</v>
      </c>
      <c r="O587" s="64">
        <f t="shared" si="315"/>
        <v>1</v>
      </c>
      <c r="P587" s="64">
        <f t="shared" si="316"/>
        <v>0</v>
      </c>
      <c r="Q587" s="91" t="str">
        <f t="shared" si="324"/>
        <v>Selesai</v>
      </c>
      <c r="R587" s="64">
        <f t="shared" si="317"/>
        <v>0</v>
      </c>
      <c r="S587" s="67">
        <v>44830</v>
      </c>
      <c r="T587" s="67">
        <v>44848</v>
      </c>
      <c r="U587" s="64">
        <f t="shared" si="325"/>
        <v>1</v>
      </c>
      <c r="V587" s="64"/>
      <c r="W587" s="64"/>
      <c r="X587" s="93"/>
      <c r="Y587" s="94"/>
      <c r="Z587" s="91" t="str">
        <f t="shared" si="326"/>
        <v>100%</v>
      </c>
      <c r="AA587" s="67"/>
      <c r="AB587" s="473"/>
      <c r="AC587" s="478" t="s">
        <v>2711</v>
      </c>
      <c r="AD587" s="67"/>
    </row>
    <row r="588" spans="2:30">
      <c r="B588" s="64" t="s">
        <v>105</v>
      </c>
      <c r="C588" s="65" t="s">
        <v>609</v>
      </c>
      <c r="D588" s="66">
        <v>12.1</v>
      </c>
      <c r="E588" s="67">
        <v>44817</v>
      </c>
      <c r="F588" s="64">
        <f t="shared" si="319"/>
        <v>1</v>
      </c>
      <c r="G588" s="67">
        <v>44818</v>
      </c>
      <c r="H588" s="64">
        <f t="shared" si="320"/>
        <v>1</v>
      </c>
      <c r="I588" s="67">
        <f t="shared" si="322"/>
        <v>44824</v>
      </c>
      <c r="J588" s="64">
        <f t="shared" si="312"/>
        <v>0</v>
      </c>
      <c r="K588" s="67">
        <v>44819</v>
      </c>
      <c r="L588" s="64">
        <f t="shared" si="313"/>
        <v>0</v>
      </c>
      <c r="M588" s="64">
        <f t="shared" si="314"/>
        <v>0</v>
      </c>
      <c r="N588" s="67">
        <f t="shared" si="323"/>
        <v>44825</v>
      </c>
      <c r="O588" s="64">
        <f t="shared" si="315"/>
        <v>1</v>
      </c>
      <c r="P588" s="64">
        <f t="shared" si="316"/>
        <v>0</v>
      </c>
      <c r="Q588" s="91" t="str">
        <f t="shared" si="324"/>
        <v>Selesai</v>
      </c>
      <c r="R588" s="64">
        <f t="shared" si="317"/>
        <v>0</v>
      </c>
      <c r="S588" s="67">
        <v>44832</v>
      </c>
      <c r="T588" s="67">
        <v>44853</v>
      </c>
      <c r="U588" s="64">
        <f t="shared" si="325"/>
        <v>1</v>
      </c>
      <c r="V588" s="64"/>
      <c r="W588" s="64"/>
      <c r="X588" s="93"/>
      <c r="Y588" s="94"/>
      <c r="Z588" s="91" t="str">
        <f t="shared" si="326"/>
        <v>100%</v>
      </c>
      <c r="AA588" s="67"/>
      <c r="AB588" s="473"/>
      <c r="AC588" s="478" t="s">
        <v>2711</v>
      </c>
      <c r="AD588" s="67"/>
    </row>
    <row r="589" spans="2:30">
      <c r="B589" s="64" t="s">
        <v>118</v>
      </c>
      <c r="C589" s="65" t="s">
        <v>225</v>
      </c>
      <c r="D589" s="66">
        <v>3.26</v>
      </c>
      <c r="E589" s="67">
        <v>44820</v>
      </c>
      <c r="F589" s="64">
        <f t="shared" si="319"/>
        <v>1</v>
      </c>
      <c r="G589" s="67">
        <v>44822</v>
      </c>
      <c r="H589" s="64">
        <f t="shared" si="320"/>
        <v>1</v>
      </c>
      <c r="I589" s="67">
        <f t="shared" si="322"/>
        <v>44832</v>
      </c>
      <c r="J589" s="64">
        <f t="shared" si="312"/>
        <v>0</v>
      </c>
      <c r="K589" s="67">
        <v>44827</v>
      </c>
      <c r="L589" s="64">
        <f t="shared" si="313"/>
        <v>0</v>
      </c>
      <c r="M589" s="64">
        <f t="shared" si="314"/>
        <v>0</v>
      </c>
      <c r="N589" s="67">
        <f t="shared" si="323"/>
        <v>44833</v>
      </c>
      <c r="O589" s="64">
        <f t="shared" si="315"/>
        <v>1</v>
      </c>
      <c r="P589" s="64">
        <f t="shared" si="316"/>
        <v>0</v>
      </c>
      <c r="Q589" s="91" t="str">
        <f t="shared" si="324"/>
        <v>Selesai</v>
      </c>
      <c r="R589" s="64">
        <f t="shared" si="317"/>
        <v>0</v>
      </c>
      <c r="S589" s="67">
        <v>44833</v>
      </c>
      <c r="T589" s="67">
        <v>44853</v>
      </c>
      <c r="U589" s="64">
        <f t="shared" si="325"/>
        <v>1</v>
      </c>
      <c r="V589" s="64"/>
      <c r="W589" s="64"/>
      <c r="X589" s="93"/>
      <c r="Y589" s="94"/>
      <c r="Z589" s="91" t="str">
        <f t="shared" si="326"/>
        <v>100%</v>
      </c>
      <c r="AA589" s="67"/>
      <c r="AB589" s="473"/>
      <c r="AC589" s="478" t="s">
        <v>2711</v>
      </c>
      <c r="AD589" s="67"/>
    </row>
    <row r="590" spans="2:30">
      <c r="B590" s="64" t="s">
        <v>113</v>
      </c>
      <c r="C590" s="65" t="s">
        <v>610</v>
      </c>
      <c r="D590" s="66">
        <v>10.73</v>
      </c>
      <c r="E590" s="67">
        <v>44825</v>
      </c>
      <c r="F590" s="64">
        <f t="shared" si="319"/>
        <v>1</v>
      </c>
      <c r="G590" s="67">
        <v>44826</v>
      </c>
      <c r="H590" s="64">
        <f t="shared" si="320"/>
        <v>1</v>
      </c>
      <c r="I590" s="67">
        <f t="shared" si="322"/>
        <v>44835</v>
      </c>
      <c r="J590" s="64">
        <f t="shared" si="312"/>
        <v>0</v>
      </c>
      <c r="K590" s="67">
        <v>44830</v>
      </c>
      <c r="L590" s="64">
        <f t="shared" si="313"/>
        <v>0</v>
      </c>
      <c r="M590" s="64">
        <f t="shared" si="314"/>
        <v>0</v>
      </c>
      <c r="N590" s="67">
        <f t="shared" si="323"/>
        <v>44836</v>
      </c>
      <c r="O590" s="64">
        <f t="shared" si="315"/>
        <v>1</v>
      </c>
      <c r="P590" s="64">
        <f t="shared" si="316"/>
        <v>0</v>
      </c>
      <c r="Q590" s="91" t="str">
        <f t="shared" si="324"/>
        <v>Selesai</v>
      </c>
      <c r="R590" s="64">
        <f t="shared" si="317"/>
        <v>0</v>
      </c>
      <c r="S590" s="67">
        <v>44840</v>
      </c>
      <c r="T590" s="67">
        <v>44855</v>
      </c>
      <c r="U590" s="64">
        <f t="shared" si="325"/>
        <v>1</v>
      </c>
      <c r="V590" s="64"/>
      <c r="W590" s="64"/>
      <c r="X590" s="93"/>
      <c r="Y590" s="94"/>
      <c r="Z590" s="91" t="str">
        <f t="shared" si="326"/>
        <v>100%</v>
      </c>
      <c r="AA590" s="67"/>
      <c r="AB590" s="473"/>
      <c r="AC590" s="478" t="s">
        <v>2711</v>
      </c>
      <c r="AD590" s="67"/>
    </row>
    <row r="591" spans="2:30">
      <c r="B591" s="64" t="s">
        <v>107</v>
      </c>
      <c r="C591" s="65" t="s">
        <v>611</v>
      </c>
      <c r="D591" s="66">
        <v>3.18</v>
      </c>
      <c r="E591" s="67">
        <v>44818</v>
      </c>
      <c r="F591" s="64">
        <f t="shared" si="319"/>
        <v>1</v>
      </c>
      <c r="G591" s="67">
        <v>44820</v>
      </c>
      <c r="H591" s="64">
        <f t="shared" si="320"/>
        <v>1</v>
      </c>
      <c r="I591" s="67">
        <f t="shared" si="322"/>
        <v>44832</v>
      </c>
      <c r="J591" s="64">
        <f t="shared" si="312"/>
        <v>0</v>
      </c>
      <c r="K591" s="67">
        <v>44827</v>
      </c>
      <c r="L591" s="64">
        <f t="shared" si="313"/>
        <v>0</v>
      </c>
      <c r="M591" s="64">
        <f t="shared" si="314"/>
        <v>0</v>
      </c>
      <c r="N591" s="67">
        <f t="shared" si="323"/>
        <v>44833</v>
      </c>
      <c r="O591" s="64">
        <f t="shared" si="315"/>
        <v>1</v>
      </c>
      <c r="P591" s="64">
        <f t="shared" si="316"/>
        <v>0</v>
      </c>
      <c r="Q591" s="91" t="str">
        <f t="shared" si="324"/>
        <v>Selesai</v>
      </c>
      <c r="R591" s="64">
        <f t="shared" si="317"/>
        <v>0</v>
      </c>
      <c r="S591" s="67">
        <v>44841</v>
      </c>
      <c r="T591" s="67">
        <v>44859</v>
      </c>
      <c r="U591" s="64">
        <f t="shared" si="325"/>
        <v>1</v>
      </c>
      <c r="V591" s="64"/>
      <c r="W591" s="64"/>
      <c r="X591" s="93"/>
      <c r="Y591" s="94"/>
      <c r="Z591" s="91" t="str">
        <f t="shared" si="326"/>
        <v>100%</v>
      </c>
      <c r="AA591" s="67"/>
      <c r="AB591" s="473"/>
      <c r="AC591" s="478" t="s">
        <v>2711</v>
      </c>
      <c r="AD591" s="67"/>
    </row>
    <row r="592" spans="2:30">
      <c r="B592" s="64" t="s">
        <v>116</v>
      </c>
      <c r="C592" s="65" t="s">
        <v>612</v>
      </c>
      <c r="D592" s="66">
        <v>9.81</v>
      </c>
      <c r="E592" s="67">
        <v>44791</v>
      </c>
      <c r="F592" s="64">
        <f t="shared" ref="F592:F623" si="327">IF(E592&gt;0,1,0)</f>
        <v>1</v>
      </c>
      <c r="G592" s="67">
        <v>44798</v>
      </c>
      <c r="H592" s="64">
        <f t="shared" si="320"/>
        <v>1</v>
      </c>
      <c r="I592" s="67">
        <v>44805</v>
      </c>
      <c r="J592" s="64">
        <f t="shared" ref="J592:J655" si="328">IF(I592&gt;0,0,1)</f>
        <v>0</v>
      </c>
      <c r="K592" s="67">
        <v>44804</v>
      </c>
      <c r="L592" s="64">
        <f t="shared" ref="L592:L655" si="329">IF(K592&gt;0,0,1)</f>
        <v>0</v>
      </c>
      <c r="M592" s="64">
        <f t="shared" ref="M592:M655" si="330">IF(AND(J592&gt;0,L592&gt;0),1,0)</f>
        <v>0</v>
      </c>
      <c r="N592" s="67">
        <f t="shared" si="323"/>
        <v>44806</v>
      </c>
      <c r="O592" s="64">
        <f t="shared" ref="O592:O655" si="331">IF(N592&gt;0,1,0)</f>
        <v>1</v>
      </c>
      <c r="P592" s="64">
        <f t="shared" ref="P592:P655" si="332">IF(O592&gt;0,0,1)</f>
        <v>0</v>
      </c>
      <c r="Q592" s="91" t="str">
        <f t="shared" si="324"/>
        <v>Selesai</v>
      </c>
      <c r="R592" s="64">
        <f t="shared" ref="R592:R655" si="333">IF(Q592="proses",1,0)</f>
        <v>0</v>
      </c>
      <c r="S592" s="67">
        <v>44830</v>
      </c>
      <c r="T592" s="67">
        <v>44859</v>
      </c>
      <c r="U592" s="64">
        <f t="shared" si="325"/>
        <v>1</v>
      </c>
      <c r="V592" s="64"/>
      <c r="W592" s="64"/>
      <c r="X592" s="93"/>
      <c r="Y592" s="94"/>
      <c r="Z592" s="91" t="str">
        <f t="shared" si="326"/>
        <v>100%</v>
      </c>
      <c r="AA592" s="67"/>
      <c r="AB592" s="473"/>
      <c r="AC592" s="478" t="s">
        <v>2711</v>
      </c>
      <c r="AD592" s="67"/>
    </row>
    <row r="593" spans="2:30">
      <c r="B593" s="64" t="s">
        <v>116</v>
      </c>
      <c r="C593" s="65" t="s">
        <v>613</v>
      </c>
      <c r="D593" s="66">
        <v>5.15</v>
      </c>
      <c r="E593" s="67">
        <v>44782</v>
      </c>
      <c r="F593" s="64">
        <f t="shared" si="327"/>
        <v>1</v>
      </c>
      <c r="G593" s="67">
        <v>44784</v>
      </c>
      <c r="H593" s="64">
        <f t="shared" si="320"/>
        <v>1</v>
      </c>
      <c r="I593" s="67">
        <v>44795</v>
      </c>
      <c r="J593" s="64">
        <f t="shared" si="328"/>
        <v>0</v>
      </c>
      <c r="K593" s="67">
        <v>44804</v>
      </c>
      <c r="L593" s="64">
        <f t="shared" si="329"/>
        <v>0</v>
      </c>
      <c r="M593" s="64">
        <f t="shared" si="330"/>
        <v>0</v>
      </c>
      <c r="N593" s="67">
        <f t="shared" si="323"/>
        <v>44805</v>
      </c>
      <c r="O593" s="64">
        <f t="shared" si="331"/>
        <v>1</v>
      </c>
      <c r="P593" s="64">
        <f t="shared" si="332"/>
        <v>0</v>
      </c>
      <c r="Q593" s="91" t="str">
        <f t="shared" si="324"/>
        <v>Selesai</v>
      </c>
      <c r="R593" s="64">
        <f t="shared" si="333"/>
        <v>0</v>
      </c>
      <c r="S593" s="67">
        <v>44826</v>
      </c>
      <c r="T593" s="67">
        <v>44865</v>
      </c>
      <c r="U593" s="64">
        <f t="shared" si="325"/>
        <v>1</v>
      </c>
      <c r="V593" s="64"/>
      <c r="W593" s="64"/>
      <c r="X593" s="93"/>
      <c r="Y593" s="94"/>
      <c r="Z593" s="91" t="str">
        <f t="shared" si="326"/>
        <v>100%</v>
      </c>
      <c r="AA593" s="67"/>
      <c r="AB593" s="473"/>
      <c r="AC593" s="478" t="s">
        <v>2711</v>
      </c>
      <c r="AD593" s="67"/>
    </row>
    <row r="594" spans="2:30">
      <c r="B594" s="64" t="s">
        <v>113</v>
      </c>
      <c r="C594" s="65" t="s">
        <v>614</v>
      </c>
      <c r="D594" s="66">
        <v>5.12</v>
      </c>
      <c r="E594" s="67">
        <v>44825</v>
      </c>
      <c r="F594" s="64">
        <f t="shared" si="327"/>
        <v>1</v>
      </c>
      <c r="G594" s="67">
        <v>44826</v>
      </c>
      <c r="H594" s="64">
        <f t="shared" si="320"/>
        <v>1</v>
      </c>
      <c r="I594" s="67">
        <f>+K594+8</f>
        <v>44838</v>
      </c>
      <c r="J594" s="64">
        <f t="shared" si="328"/>
        <v>0</v>
      </c>
      <c r="K594" s="67">
        <v>44830</v>
      </c>
      <c r="L594" s="64">
        <f t="shared" si="329"/>
        <v>0</v>
      </c>
      <c r="M594" s="64">
        <f t="shared" si="330"/>
        <v>0</v>
      </c>
      <c r="N594" s="67">
        <f t="shared" si="323"/>
        <v>44839</v>
      </c>
      <c r="O594" s="64">
        <f t="shared" si="331"/>
        <v>1</v>
      </c>
      <c r="P594" s="64">
        <f t="shared" si="332"/>
        <v>0</v>
      </c>
      <c r="Q594" s="91" t="str">
        <f t="shared" si="324"/>
        <v>Selesai</v>
      </c>
      <c r="R594" s="64">
        <f t="shared" si="333"/>
        <v>0</v>
      </c>
      <c r="S594" s="67">
        <v>44846</v>
      </c>
      <c r="T594" s="67">
        <v>44865</v>
      </c>
      <c r="U594" s="64">
        <f t="shared" si="325"/>
        <v>1</v>
      </c>
      <c r="V594" s="64"/>
      <c r="W594" s="64"/>
      <c r="X594" s="93"/>
      <c r="Y594" s="94"/>
      <c r="Z594" s="91" t="str">
        <f t="shared" si="326"/>
        <v>100%</v>
      </c>
      <c r="AA594" s="67"/>
      <c r="AB594" s="473"/>
      <c r="AC594" s="478" t="s">
        <v>2711</v>
      </c>
      <c r="AD594" s="67"/>
    </row>
    <row r="595" spans="2:30">
      <c r="B595" s="64" t="s">
        <v>116</v>
      </c>
      <c r="C595" s="65" t="s">
        <v>197</v>
      </c>
      <c r="D595" s="66">
        <v>6.15</v>
      </c>
      <c r="E595" s="67">
        <v>44804</v>
      </c>
      <c r="F595" s="64">
        <f t="shared" si="327"/>
        <v>1</v>
      </c>
      <c r="G595" s="67">
        <v>44807</v>
      </c>
      <c r="H595" s="64">
        <f t="shared" si="320"/>
        <v>1</v>
      </c>
      <c r="I595" s="67">
        <f>+K595+5</f>
        <v>44813</v>
      </c>
      <c r="J595" s="64">
        <f t="shared" si="328"/>
        <v>0</v>
      </c>
      <c r="K595" s="67">
        <v>44808</v>
      </c>
      <c r="L595" s="64">
        <f t="shared" si="329"/>
        <v>0</v>
      </c>
      <c r="M595" s="64">
        <f t="shared" si="330"/>
        <v>0</v>
      </c>
      <c r="N595" s="67">
        <f t="shared" si="323"/>
        <v>44814</v>
      </c>
      <c r="O595" s="64">
        <f t="shared" si="331"/>
        <v>1</v>
      </c>
      <c r="P595" s="64">
        <f t="shared" si="332"/>
        <v>0</v>
      </c>
      <c r="Q595" s="91" t="str">
        <f t="shared" si="324"/>
        <v>Selesai</v>
      </c>
      <c r="R595" s="64">
        <f t="shared" si="333"/>
        <v>0</v>
      </c>
      <c r="S595" s="67">
        <v>44836</v>
      </c>
      <c r="T595" s="67">
        <v>44855</v>
      </c>
      <c r="U595" s="64">
        <f t="shared" si="325"/>
        <v>1</v>
      </c>
      <c r="V595" s="64"/>
      <c r="W595" s="64"/>
      <c r="X595" s="93"/>
      <c r="Y595" s="94"/>
      <c r="Z595" s="91" t="str">
        <f t="shared" si="326"/>
        <v>100%</v>
      </c>
      <c r="AA595" s="67"/>
      <c r="AB595" s="473"/>
      <c r="AC595" s="478" t="s">
        <v>2711</v>
      </c>
      <c r="AD595" s="67"/>
    </row>
    <row r="596" spans="2:30">
      <c r="B596" s="64" t="s">
        <v>107</v>
      </c>
      <c r="C596" s="65" t="s">
        <v>200</v>
      </c>
      <c r="D596" s="66">
        <v>9.7799999999999994</v>
      </c>
      <c r="E596" s="67">
        <v>44832</v>
      </c>
      <c r="F596" s="64">
        <f t="shared" si="327"/>
        <v>1</v>
      </c>
      <c r="G596" s="67">
        <v>44833</v>
      </c>
      <c r="H596" s="64">
        <f t="shared" si="320"/>
        <v>1</v>
      </c>
      <c r="I596" s="67">
        <f>+K596+5</f>
        <v>44851</v>
      </c>
      <c r="J596" s="64">
        <f t="shared" si="328"/>
        <v>0</v>
      </c>
      <c r="K596" s="67">
        <v>44846</v>
      </c>
      <c r="L596" s="64">
        <f t="shared" si="329"/>
        <v>0</v>
      </c>
      <c r="M596" s="64">
        <f t="shared" si="330"/>
        <v>0</v>
      </c>
      <c r="N596" s="67">
        <f t="shared" si="323"/>
        <v>44852</v>
      </c>
      <c r="O596" s="64">
        <f t="shared" si="331"/>
        <v>1</v>
      </c>
      <c r="P596" s="64">
        <f t="shared" si="332"/>
        <v>0</v>
      </c>
      <c r="Q596" s="91" t="str">
        <f t="shared" si="324"/>
        <v>Selesai</v>
      </c>
      <c r="R596" s="64">
        <f t="shared" si="333"/>
        <v>0</v>
      </c>
      <c r="S596" s="67">
        <v>44849</v>
      </c>
      <c r="T596" s="67">
        <v>44869</v>
      </c>
      <c r="U596" s="64">
        <f t="shared" si="325"/>
        <v>1</v>
      </c>
      <c r="V596" s="64"/>
      <c r="W596" s="64"/>
      <c r="X596" s="93"/>
      <c r="Y596" s="94"/>
      <c r="Z596" s="91" t="str">
        <f t="shared" si="326"/>
        <v>100%</v>
      </c>
      <c r="AA596" s="67"/>
      <c r="AB596" s="473"/>
      <c r="AC596" s="478" t="s">
        <v>2711</v>
      </c>
      <c r="AD596" s="67"/>
    </row>
    <row r="597" spans="2:30">
      <c r="B597" s="64" t="s">
        <v>107</v>
      </c>
      <c r="C597" s="65" t="s">
        <v>615</v>
      </c>
      <c r="D597" s="66">
        <v>5.91</v>
      </c>
      <c r="E597" s="67">
        <v>44818</v>
      </c>
      <c r="F597" s="64">
        <f t="shared" si="327"/>
        <v>1</v>
      </c>
      <c r="G597" s="67">
        <v>44820</v>
      </c>
      <c r="H597" s="64">
        <f t="shared" si="320"/>
        <v>1</v>
      </c>
      <c r="I597" s="67">
        <f>+K597+5</f>
        <v>44832</v>
      </c>
      <c r="J597" s="64">
        <f t="shared" si="328"/>
        <v>0</v>
      </c>
      <c r="K597" s="67">
        <v>44827</v>
      </c>
      <c r="L597" s="64">
        <f t="shared" si="329"/>
        <v>0</v>
      </c>
      <c r="M597" s="64">
        <f t="shared" si="330"/>
        <v>0</v>
      </c>
      <c r="N597" s="67">
        <f t="shared" si="323"/>
        <v>44833</v>
      </c>
      <c r="O597" s="64">
        <f t="shared" si="331"/>
        <v>1</v>
      </c>
      <c r="P597" s="64">
        <f t="shared" si="332"/>
        <v>0</v>
      </c>
      <c r="Q597" s="91" t="str">
        <f t="shared" si="324"/>
        <v>Selesai</v>
      </c>
      <c r="R597" s="64">
        <f t="shared" si="333"/>
        <v>0</v>
      </c>
      <c r="S597" s="67">
        <v>44839</v>
      </c>
      <c r="T597" s="67">
        <v>44869</v>
      </c>
      <c r="U597" s="64">
        <f t="shared" si="325"/>
        <v>1</v>
      </c>
      <c r="V597" s="64"/>
      <c r="W597" s="64"/>
      <c r="X597" s="93"/>
      <c r="Y597" s="94"/>
      <c r="Z597" s="91" t="str">
        <f t="shared" si="326"/>
        <v>100%</v>
      </c>
      <c r="AA597" s="67"/>
      <c r="AB597" s="473"/>
      <c r="AC597" s="478" t="s">
        <v>2711</v>
      </c>
      <c r="AD597" s="67"/>
    </row>
    <row r="598" spans="2:30">
      <c r="B598" s="64" t="s">
        <v>111</v>
      </c>
      <c r="C598" s="65" t="s">
        <v>616</v>
      </c>
      <c r="D598" s="66">
        <v>10.14</v>
      </c>
      <c r="E598" s="67">
        <v>44813</v>
      </c>
      <c r="F598" s="64">
        <f t="shared" si="327"/>
        <v>1</v>
      </c>
      <c r="G598" s="67">
        <v>44814</v>
      </c>
      <c r="H598" s="64">
        <f t="shared" si="320"/>
        <v>1</v>
      </c>
      <c r="I598" s="67">
        <f>+K598+8</f>
        <v>44823</v>
      </c>
      <c r="J598" s="64">
        <f t="shared" si="328"/>
        <v>0</v>
      </c>
      <c r="K598" s="67">
        <v>44815</v>
      </c>
      <c r="L598" s="64">
        <f t="shared" si="329"/>
        <v>0</v>
      </c>
      <c r="M598" s="64">
        <f t="shared" si="330"/>
        <v>0</v>
      </c>
      <c r="N598" s="67">
        <f t="shared" si="323"/>
        <v>44824</v>
      </c>
      <c r="O598" s="64">
        <f t="shared" si="331"/>
        <v>1</v>
      </c>
      <c r="P598" s="64">
        <f t="shared" si="332"/>
        <v>0</v>
      </c>
      <c r="Q598" s="91" t="str">
        <f t="shared" si="324"/>
        <v>Selesai</v>
      </c>
      <c r="R598" s="64">
        <f t="shared" si="333"/>
        <v>0</v>
      </c>
      <c r="S598" s="67">
        <v>44845</v>
      </c>
      <c r="T598" s="67">
        <v>44869</v>
      </c>
      <c r="U598" s="64">
        <f t="shared" si="325"/>
        <v>1</v>
      </c>
      <c r="V598" s="64"/>
      <c r="W598" s="64"/>
      <c r="X598" s="93"/>
      <c r="Y598" s="94"/>
      <c r="Z598" s="91" t="str">
        <f t="shared" si="326"/>
        <v>100%</v>
      </c>
      <c r="AA598" s="67"/>
      <c r="AB598" s="473"/>
      <c r="AC598" s="478" t="s">
        <v>2711</v>
      </c>
      <c r="AD598" s="67"/>
    </row>
    <row r="599" spans="2:30">
      <c r="B599" s="64" t="s">
        <v>116</v>
      </c>
      <c r="C599" s="65" t="s">
        <v>227</v>
      </c>
      <c r="D599" s="66">
        <v>6.46</v>
      </c>
      <c r="E599" s="67">
        <v>44804</v>
      </c>
      <c r="F599" s="64">
        <f t="shared" si="327"/>
        <v>1</v>
      </c>
      <c r="G599" s="67">
        <v>44821</v>
      </c>
      <c r="H599" s="64">
        <f t="shared" si="320"/>
        <v>1</v>
      </c>
      <c r="I599" s="67">
        <f>+K599+10</f>
        <v>44835</v>
      </c>
      <c r="J599" s="64">
        <f t="shared" si="328"/>
        <v>0</v>
      </c>
      <c r="K599" s="67">
        <v>44825</v>
      </c>
      <c r="L599" s="64">
        <f t="shared" si="329"/>
        <v>0</v>
      </c>
      <c r="M599" s="64">
        <f t="shared" si="330"/>
        <v>0</v>
      </c>
      <c r="N599" s="67">
        <f t="shared" si="323"/>
        <v>44836</v>
      </c>
      <c r="O599" s="64">
        <f t="shared" si="331"/>
        <v>1</v>
      </c>
      <c r="P599" s="64">
        <f t="shared" si="332"/>
        <v>0</v>
      </c>
      <c r="Q599" s="91" t="str">
        <f t="shared" si="324"/>
        <v>Selesai</v>
      </c>
      <c r="R599" s="64">
        <f t="shared" si="333"/>
        <v>0</v>
      </c>
      <c r="S599" s="67">
        <v>44855</v>
      </c>
      <c r="T599" s="67">
        <v>44869</v>
      </c>
      <c r="U599" s="64">
        <f t="shared" si="325"/>
        <v>1</v>
      </c>
      <c r="V599" s="64"/>
      <c r="W599" s="64"/>
      <c r="X599" s="93"/>
      <c r="Y599" s="94"/>
      <c r="Z599" s="91" t="str">
        <f t="shared" si="326"/>
        <v>100%</v>
      </c>
      <c r="AA599" s="67"/>
      <c r="AB599" s="473"/>
      <c r="AC599" s="478" t="s">
        <v>2711</v>
      </c>
      <c r="AD599" s="67"/>
    </row>
    <row r="600" spans="2:30">
      <c r="B600" s="64" t="s">
        <v>118</v>
      </c>
      <c r="C600" s="65" t="s">
        <v>180</v>
      </c>
      <c r="D600" s="66">
        <v>7.76</v>
      </c>
      <c r="E600" s="67">
        <v>44820</v>
      </c>
      <c r="F600" s="64">
        <f t="shared" si="327"/>
        <v>1</v>
      </c>
      <c r="G600" s="67">
        <v>44821</v>
      </c>
      <c r="H600" s="64">
        <f t="shared" si="320"/>
        <v>1</v>
      </c>
      <c r="I600" s="67">
        <f>+K600+5</f>
        <v>44831</v>
      </c>
      <c r="J600" s="64">
        <f t="shared" si="328"/>
        <v>0</v>
      </c>
      <c r="K600" s="67">
        <v>44826</v>
      </c>
      <c r="L600" s="64">
        <f t="shared" si="329"/>
        <v>0</v>
      </c>
      <c r="M600" s="64">
        <f t="shared" si="330"/>
        <v>0</v>
      </c>
      <c r="N600" s="67">
        <f t="shared" si="323"/>
        <v>44832</v>
      </c>
      <c r="O600" s="64">
        <f t="shared" si="331"/>
        <v>1</v>
      </c>
      <c r="P600" s="64">
        <f t="shared" si="332"/>
        <v>0</v>
      </c>
      <c r="Q600" s="91" t="str">
        <f t="shared" si="324"/>
        <v>Selesai</v>
      </c>
      <c r="R600" s="64">
        <f t="shared" si="333"/>
        <v>0</v>
      </c>
      <c r="S600" s="67">
        <v>44833</v>
      </c>
      <c r="T600" s="67">
        <v>44869</v>
      </c>
      <c r="U600" s="64">
        <f t="shared" si="325"/>
        <v>1</v>
      </c>
      <c r="V600" s="64"/>
      <c r="W600" s="64"/>
      <c r="X600" s="93"/>
      <c r="Y600" s="94"/>
      <c r="Z600" s="91" t="str">
        <f t="shared" si="326"/>
        <v>100%</v>
      </c>
      <c r="AA600" s="67"/>
      <c r="AB600" s="473"/>
      <c r="AC600" s="478" t="s">
        <v>2711</v>
      </c>
      <c r="AD600" s="67"/>
    </row>
    <row r="601" spans="2:30">
      <c r="B601" s="64" t="s">
        <v>109</v>
      </c>
      <c r="C601" s="65" t="s">
        <v>617</v>
      </c>
      <c r="D601" s="66">
        <v>7.46</v>
      </c>
      <c r="E601" s="67">
        <v>44844</v>
      </c>
      <c r="F601" s="64">
        <f t="shared" si="327"/>
        <v>1</v>
      </c>
      <c r="G601" s="67">
        <v>44846</v>
      </c>
      <c r="H601" s="64">
        <f t="shared" si="320"/>
        <v>1</v>
      </c>
      <c r="I601" s="67">
        <f>+K601+5</f>
        <v>44857</v>
      </c>
      <c r="J601" s="64">
        <f t="shared" si="328"/>
        <v>0</v>
      </c>
      <c r="K601" s="67">
        <v>44852</v>
      </c>
      <c r="L601" s="64">
        <f t="shared" si="329"/>
        <v>0</v>
      </c>
      <c r="M601" s="64">
        <f t="shared" si="330"/>
        <v>0</v>
      </c>
      <c r="N601" s="67">
        <f t="shared" si="323"/>
        <v>44858</v>
      </c>
      <c r="O601" s="64">
        <f t="shared" si="331"/>
        <v>1</v>
      </c>
      <c r="P601" s="64">
        <f t="shared" si="332"/>
        <v>0</v>
      </c>
      <c r="Q601" s="91" t="str">
        <f t="shared" si="324"/>
        <v>Selesai</v>
      </c>
      <c r="R601" s="64">
        <f t="shared" si="333"/>
        <v>0</v>
      </c>
      <c r="S601" s="67">
        <v>44862</v>
      </c>
      <c r="T601" s="67">
        <v>44881</v>
      </c>
      <c r="U601" s="64">
        <f t="shared" si="325"/>
        <v>1</v>
      </c>
      <c r="V601" s="64"/>
      <c r="W601" s="64"/>
      <c r="X601" s="93"/>
      <c r="Y601" s="94"/>
      <c r="Z601" s="91" t="str">
        <f t="shared" si="326"/>
        <v>100%</v>
      </c>
      <c r="AA601" s="67"/>
      <c r="AB601" s="473"/>
      <c r="AC601" s="478" t="s">
        <v>2711</v>
      </c>
      <c r="AD601" s="67"/>
    </row>
    <row r="602" spans="2:30">
      <c r="B602" s="64" t="s">
        <v>109</v>
      </c>
      <c r="C602" s="65" t="s">
        <v>618</v>
      </c>
      <c r="D602" s="66">
        <v>8</v>
      </c>
      <c r="E602" s="67">
        <v>44844</v>
      </c>
      <c r="F602" s="64">
        <f t="shared" si="327"/>
        <v>1</v>
      </c>
      <c r="G602" s="67">
        <v>44846</v>
      </c>
      <c r="H602" s="64">
        <f t="shared" si="320"/>
        <v>1</v>
      </c>
      <c r="I602" s="67">
        <f>+K602+6</f>
        <v>44858</v>
      </c>
      <c r="J602" s="64">
        <f t="shared" si="328"/>
        <v>0</v>
      </c>
      <c r="K602" s="67">
        <v>44852</v>
      </c>
      <c r="L602" s="64">
        <f t="shared" si="329"/>
        <v>0</v>
      </c>
      <c r="M602" s="64">
        <f t="shared" si="330"/>
        <v>0</v>
      </c>
      <c r="N602" s="67">
        <f t="shared" si="323"/>
        <v>44859</v>
      </c>
      <c r="O602" s="64">
        <f t="shared" si="331"/>
        <v>1</v>
      </c>
      <c r="P602" s="64">
        <f t="shared" si="332"/>
        <v>0</v>
      </c>
      <c r="Q602" s="91" t="str">
        <f t="shared" si="324"/>
        <v>Selesai</v>
      </c>
      <c r="R602" s="64">
        <f t="shared" si="333"/>
        <v>0</v>
      </c>
      <c r="S602" s="67">
        <v>44860</v>
      </c>
      <c r="T602" s="67">
        <v>44881</v>
      </c>
      <c r="U602" s="64">
        <f t="shared" si="325"/>
        <v>1</v>
      </c>
      <c r="V602" s="64"/>
      <c r="W602" s="64"/>
      <c r="X602" s="93"/>
      <c r="Y602" s="94"/>
      <c r="Z602" s="91" t="str">
        <f t="shared" si="326"/>
        <v>100%</v>
      </c>
      <c r="AA602" s="67"/>
      <c r="AB602" s="473"/>
      <c r="AC602" s="478" t="s">
        <v>2711</v>
      </c>
      <c r="AD602" s="67"/>
    </row>
    <row r="603" spans="2:30">
      <c r="B603" s="64" t="s">
        <v>118</v>
      </c>
      <c r="C603" s="65" t="s">
        <v>619</v>
      </c>
      <c r="D603" s="66">
        <v>11.93</v>
      </c>
      <c r="E603" s="67">
        <v>44805</v>
      </c>
      <c r="F603" s="64">
        <f t="shared" si="327"/>
        <v>1</v>
      </c>
      <c r="G603" s="67">
        <v>44810</v>
      </c>
      <c r="H603" s="64">
        <f t="shared" si="320"/>
        <v>1</v>
      </c>
      <c r="I603" s="67">
        <f>+K603+10</f>
        <v>44821</v>
      </c>
      <c r="J603" s="64">
        <f t="shared" si="328"/>
        <v>0</v>
      </c>
      <c r="K603" s="67">
        <v>44811</v>
      </c>
      <c r="L603" s="64">
        <f t="shared" si="329"/>
        <v>0</v>
      </c>
      <c r="M603" s="64">
        <f t="shared" si="330"/>
        <v>0</v>
      </c>
      <c r="N603" s="67">
        <f t="shared" si="323"/>
        <v>44822</v>
      </c>
      <c r="O603" s="64">
        <f t="shared" si="331"/>
        <v>1</v>
      </c>
      <c r="P603" s="64">
        <f t="shared" si="332"/>
        <v>0</v>
      </c>
      <c r="Q603" s="91" t="str">
        <f t="shared" si="324"/>
        <v>Selesai</v>
      </c>
      <c r="R603" s="64">
        <f t="shared" si="333"/>
        <v>0</v>
      </c>
      <c r="S603" s="67">
        <v>44847</v>
      </c>
      <c r="T603" s="67">
        <v>44878</v>
      </c>
      <c r="U603" s="64">
        <f t="shared" si="325"/>
        <v>1</v>
      </c>
      <c r="V603" s="64"/>
      <c r="W603" s="64"/>
      <c r="X603" s="93"/>
      <c r="Y603" s="94"/>
      <c r="Z603" s="91" t="str">
        <f t="shared" si="326"/>
        <v>100%</v>
      </c>
      <c r="AA603" s="67"/>
      <c r="AB603" s="473"/>
      <c r="AC603" s="478" t="s">
        <v>2711</v>
      </c>
      <c r="AD603" s="67"/>
    </row>
    <row r="604" spans="2:30">
      <c r="B604" s="64" t="s">
        <v>107</v>
      </c>
      <c r="C604" s="65" t="s">
        <v>193</v>
      </c>
      <c r="D604" s="66">
        <v>8.6199999999999992</v>
      </c>
      <c r="E604" s="67">
        <v>44847</v>
      </c>
      <c r="F604" s="64">
        <f t="shared" si="327"/>
        <v>1</v>
      </c>
      <c r="G604" s="67">
        <v>44848</v>
      </c>
      <c r="H604" s="64">
        <f t="shared" si="320"/>
        <v>1</v>
      </c>
      <c r="I604" s="67">
        <f>+K604+5</f>
        <v>44860</v>
      </c>
      <c r="J604" s="64">
        <f t="shared" si="328"/>
        <v>0</v>
      </c>
      <c r="K604" s="67">
        <v>44855</v>
      </c>
      <c r="L604" s="64">
        <f t="shared" si="329"/>
        <v>0</v>
      </c>
      <c r="M604" s="64">
        <f t="shared" si="330"/>
        <v>0</v>
      </c>
      <c r="N604" s="67">
        <f t="shared" si="323"/>
        <v>44861</v>
      </c>
      <c r="O604" s="64">
        <f t="shared" si="331"/>
        <v>1</v>
      </c>
      <c r="P604" s="64">
        <f t="shared" si="332"/>
        <v>0</v>
      </c>
      <c r="Q604" s="91" t="str">
        <f t="shared" si="324"/>
        <v>Selesai</v>
      </c>
      <c r="R604" s="64">
        <f t="shared" si="333"/>
        <v>0</v>
      </c>
      <c r="S604" s="67">
        <v>44870</v>
      </c>
      <c r="T604" s="67">
        <v>44881</v>
      </c>
      <c r="U604" s="64">
        <f t="shared" si="325"/>
        <v>1</v>
      </c>
      <c r="V604" s="64"/>
      <c r="W604" s="64"/>
      <c r="X604" s="93"/>
      <c r="Y604" s="94"/>
      <c r="Z604" s="91" t="str">
        <f t="shared" si="326"/>
        <v>100%</v>
      </c>
      <c r="AA604" s="67"/>
      <c r="AB604" s="473"/>
      <c r="AC604" s="478" t="s">
        <v>2711</v>
      </c>
      <c r="AD604" s="67"/>
    </row>
    <row r="605" spans="2:30">
      <c r="B605" s="64" t="s">
        <v>105</v>
      </c>
      <c r="C605" s="65" t="s">
        <v>620</v>
      </c>
      <c r="D605" s="66">
        <v>5.59</v>
      </c>
      <c r="E605" s="67">
        <v>44831</v>
      </c>
      <c r="F605" s="64">
        <f t="shared" si="327"/>
        <v>1</v>
      </c>
      <c r="G605" s="67">
        <v>44832</v>
      </c>
      <c r="H605" s="64">
        <f t="shared" si="320"/>
        <v>1</v>
      </c>
      <c r="I605" s="67">
        <f>+K605+5</f>
        <v>44857</v>
      </c>
      <c r="J605" s="64">
        <f t="shared" si="328"/>
        <v>0</v>
      </c>
      <c r="K605" s="67">
        <v>44852</v>
      </c>
      <c r="L605" s="64">
        <f t="shared" si="329"/>
        <v>0</v>
      </c>
      <c r="M605" s="64">
        <f t="shared" si="330"/>
        <v>0</v>
      </c>
      <c r="N605" s="67">
        <f t="shared" si="323"/>
        <v>44858</v>
      </c>
      <c r="O605" s="64">
        <f t="shared" si="331"/>
        <v>1</v>
      </c>
      <c r="P605" s="64">
        <f t="shared" si="332"/>
        <v>0</v>
      </c>
      <c r="Q605" s="91" t="str">
        <f t="shared" si="324"/>
        <v>Selesai</v>
      </c>
      <c r="R605" s="64">
        <f t="shared" si="333"/>
        <v>0</v>
      </c>
      <c r="S605" s="67">
        <v>44859</v>
      </c>
      <c r="T605" s="67">
        <v>44880</v>
      </c>
      <c r="U605" s="64">
        <f t="shared" si="325"/>
        <v>1</v>
      </c>
      <c r="V605" s="64"/>
      <c r="W605" s="64"/>
      <c r="X605" s="93"/>
      <c r="Y605" s="94"/>
      <c r="Z605" s="91" t="str">
        <f t="shared" si="326"/>
        <v>100%</v>
      </c>
      <c r="AA605" s="67"/>
      <c r="AB605" s="473"/>
      <c r="AC605" s="478" t="s">
        <v>2711</v>
      </c>
      <c r="AD605" s="67"/>
    </row>
    <row r="606" spans="2:30">
      <c r="B606" s="64" t="s">
        <v>107</v>
      </c>
      <c r="C606" s="65" t="s">
        <v>230</v>
      </c>
      <c r="D606" s="66">
        <v>11.64</v>
      </c>
      <c r="E606" s="67">
        <v>44832</v>
      </c>
      <c r="F606" s="64">
        <f t="shared" si="327"/>
        <v>1</v>
      </c>
      <c r="G606" s="67">
        <v>44834</v>
      </c>
      <c r="H606" s="64">
        <f t="shared" si="320"/>
        <v>1</v>
      </c>
      <c r="I606" s="67">
        <f>+K606+5</f>
        <v>44851</v>
      </c>
      <c r="J606" s="64">
        <f t="shared" si="328"/>
        <v>0</v>
      </c>
      <c r="K606" s="67">
        <v>44846</v>
      </c>
      <c r="L606" s="64">
        <f t="shared" si="329"/>
        <v>0</v>
      </c>
      <c r="M606" s="64">
        <f t="shared" si="330"/>
        <v>0</v>
      </c>
      <c r="N606" s="67">
        <f t="shared" si="323"/>
        <v>44852</v>
      </c>
      <c r="O606" s="64">
        <f t="shared" si="331"/>
        <v>1</v>
      </c>
      <c r="P606" s="64">
        <f t="shared" si="332"/>
        <v>0</v>
      </c>
      <c r="Q606" s="91" t="str">
        <f t="shared" si="324"/>
        <v>Selesai</v>
      </c>
      <c r="R606" s="64">
        <f t="shared" si="333"/>
        <v>0</v>
      </c>
      <c r="S606" s="67">
        <v>44854</v>
      </c>
      <c r="T606" s="67">
        <v>44883</v>
      </c>
      <c r="U606" s="64">
        <f t="shared" si="325"/>
        <v>1</v>
      </c>
      <c r="V606" s="64"/>
      <c r="W606" s="64"/>
      <c r="X606" s="93"/>
      <c r="Y606" s="94"/>
      <c r="Z606" s="91" t="str">
        <f t="shared" si="326"/>
        <v>100%</v>
      </c>
      <c r="AA606" s="67"/>
      <c r="AB606" s="473"/>
      <c r="AC606" s="478" t="s">
        <v>2711</v>
      </c>
      <c r="AD606" s="67"/>
    </row>
    <row r="607" spans="2:30">
      <c r="B607" s="64" t="s">
        <v>111</v>
      </c>
      <c r="C607" s="65" t="s">
        <v>621</v>
      </c>
      <c r="D607" s="66">
        <v>11.6</v>
      </c>
      <c r="E607" s="67">
        <v>44812</v>
      </c>
      <c r="F607" s="64">
        <f t="shared" si="327"/>
        <v>1</v>
      </c>
      <c r="G607" s="67">
        <v>44814</v>
      </c>
      <c r="H607" s="64">
        <f t="shared" si="320"/>
        <v>1</v>
      </c>
      <c r="I607" s="67">
        <f>+K607+7</f>
        <v>44822</v>
      </c>
      <c r="J607" s="64">
        <f t="shared" si="328"/>
        <v>0</v>
      </c>
      <c r="K607" s="67">
        <v>44815</v>
      </c>
      <c r="L607" s="64">
        <f t="shared" si="329"/>
        <v>0</v>
      </c>
      <c r="M607" s="64">
        <f t="shared" si="330"/>
        <v>0</v>
      </c>
      <c r="N607" s="67">
        <f t="shared" si="323"/>
        <v>44823</v>
      </c>
      <c r="O607" s="64">
        <f t="shared" si="331"/>
        <v>1</v>
      </c>
      <c r="P607" s="64">
        <f t="shared" si="332"/>
        <v>0</v>
      </c>
      <c r="Q607" s="91" t="str">
        <f t="shared" si="324"/>
        <v>Selesai</v>
      </c>
      <c r="R607" s="64">
        <f t="shared" si="333"/>
        <v>0</v>
      </c>
      <c r="S607" s="67">
        <v>44856</v>
      </c>
      <c r="T607" s="67">
        <v>44883</v>
      </c>
      <c r="U607" s="64">
        <f t="shared" si="325"/>
        <v>1</v>
      </c>
      <c r="V607" s="64"/>
      <c r="W607" s="64"/>
      <c r="X607" s="93"/>
      <c r="Y607" s="94"/>
      <c r="Z607" s="91" t="str">
        <f t="shared" si="326"/>
        <v>100%</v>
      </c>
      <c r="AA607" s="67"/>
      <c r="AB607" s="473"/>
      <c r="AC607" s="478" t="s">
        <v>2711</v>
      </c>
      <c r="AD607" s="67"/>
    </row>
    <row r="608" spans="2:30">
      <c r="B608" s="64" t="s">
        <v>118</v>
      </c>
      <c r="C608" s="65" t="s">
        <v>176</v>
      </c>
      <c r="D608" s="66">
        <v>6.08</v>
      </c>
      <c r="E608" s="67">
        <v>44819</v>
      </c>
      <c r="F608" s="64">
        <f t="shared" si="327"/>
        <v>1</v>
      </c>
      <c r="G608" s="67">
        <v>44822</v>
      </c>
      <c r="H608" s="64">
        <f t="shared" si="320"/>
        <v>1</v>
      </c>
      <c r="I608" s="67">
        <v>44838</v>
      </c>
      <c r="J608" s="64">
        <f t="shared" si="328"/>
        <v>0</v>
      </c>
      <c r="K608" s="67">
        <v>44825</v>
      </c>
      <c r="L608" s="64">
        <f t="shared" si="329"/>
        <v>0</v>
      </c>
      <c r="M608" s="64">
        <f t="shared" si="330"/>
        <v>0</v>
      </c>
      <c r="N608" s="67">
        <f t="shared" si="323"/>
        <v>44839</v>
      </c>
      <c r="O608" s="64">
        <f t="shared" si="331"/>
        <v>1</v>
      </c>
      <c r="P608" s="64">
        <f t="shared" si="332"/>
        <v>0</v>
      </c>
      <c r="Q608" s="91" t="str">
        <f t="shared" si="324"/>
        <v>Selesai</v>
      </c>
      <c r="R608" s="64">
        <f t="shared" si="333"/>
        <v>0</v>
      </c>
      <c r="S608" s="67">
        <v>44841</v>
      </c>
      <c r="T608" s="67">
        <v>44885</v>
      </c>
      <c r="U608" s="64">
        <f t="shared" si="325"/>
        <v>1</v>
      </c>
      <c r="V608" s="64"/>
      <c r="W608" s="64"/>
      <c r="X608" s="93"/>
      <c r="Y608" s="94"/>
      <c r="Z608" s="91" t="str">
        <f t="shared" si="326"/>
        <v>100%</v>
      </c>
      <c r="AA608" s="67"/>
      <c r="AB608" s="473"/>
      <c r="AC608" s="478" t="s">
        <v>2711</v>
      </c>
      <c r="AD608" s="67"/>
    </row>
    <row r="609" spans="2:30">
      <c r="B609" s="64" t="s">
        <v>118</v>
      </c>
      <c r="C609" s="65" t="s">
        <v>166</v>
      </c>
      <c r="D609" s="66">
        <v>5.05</v>
      </c>
      <c r="E609" s="67">
        <v>44831</v>
      </c>
      <c r="F609" s="64">
        <f t="shared" si="327"/>
        <v>1</v>
      </c>
      <c r="G609" s="67">
        <v>44832</v>
      </c>
      <c r="H609" s="64">
        <f t="shared" si="320"/>
        <v>1</v>
      </c>
      <c r="I609" s="67">
        <v>44841</v>
      </c>
      <c r="J609" s="64">
        <f t="shared" si="328"/>
        <v>0</v>
      </c>
      <c r="K609" s="67">
        <v>44845</v>
      </c>
      <c r="L609" s="64">
        <f t="shared" si="329"/>
        <v>0</v>
      </c>
      <c r="M609" s="64">
        <f t="shared" si="330"/>
        <v>0</v>
      </c>
      <c r="N609" s="67">
        <f t="shared" si="323"/>
        <v>44846</v>
      </c>
      <c r="O609" s="64">
        <f t="shared" si="331"/>
        <v>1</v>
      </c>
      <c r="P609" s="64">
        <f t="shared" si="332"/>
        <v>0</v>
      </c>
      <c r="Q609" s="91" t="str">
        <f t="shared" si="324"/>
        <v>Selesai</v>
      </c>
      <c r="R609" s="64">
        <f t="shared" si="333"/>
        <v>0</v>
      </c>
      <c r="S609" s="67">
        <v>44858</v>
      </c>
      <c r="T609" s="67">
        <v>44889</v>
      </c>
      <c r="U609" s="64">
        <f t="shared" si="325"/>
        <v>1</v>
      </c>
      <c r="V609" s="64"/>
      <c r="W609" s="64"/>
      <c r="X609" s="93"/>
      <c r="Y609" s="94"/>
      <c r="Z609" s="91" t="str">
        <f t="shared" si="326"/>
        <v>100%</v>
      </c>
      <c r="AA609" s="67"/>
      <c r="AB609" s="473"/>
      <c r="AC609" s="478" t="s">
        <v>2711</v>
      </c>
      <c r="AD609" s="67"/>
    </row>
    <row r="610" spans="2:30">
      <c r="B610" s="64" t="s">
        <v>107</v>
      </c>
      <c r="C610" s="65" t="s">
        <v>201</v>
      </c>
      <c r="D610" s="66">
        <v>7.93</v>
      </c>
      <c r="E610" s="67">
        <v>44847</v>
      </c>
      <c r="F610" s="64">
        <f t="shared" si="327"/>
        <v>1</v>
      </c>
      <c r="G610" s="67">
        <v>44848</v>
      </c>
      <c r="H610" s="64">
        <f t="shared" si="320"/>
        <v>1</v>
      </c>
      <c r="I610" s="67">
        <f>+K610+5</f>
        <v>44871</v>
      </c>
      <c r="J610" s="64">
        <f t="shared" si="328"/>
        <v>0</v>
      </c>
      <c r="K610" s="67">
        <v>44866</v>
      </c>
      <c r="L610" s="64">
        <f t="shared" si="329"/>
        <v>0</v>
      </c>
      <c r="M610" s="64">
        <f t="shared" si="330"/>
        <v>0</v>
      </c>
      <c r="N610" s="67">
        <f t="shared" si="323"/>
        <v>44872</v>
      </c>
      <c r="O610" s="64">
        <f t="shared" si="331"/>
        <v>1</v>
      </c>
      <c r="P610" s="64">
        <f t="shared" si="332"/>
        <v>0</v>
      </c>
      <c r="Q610" s="91" t="str">
        <f t="shared" si="324"/>
        <v>Selesai</v>
      </c>
      <c r="R610" s="64">
        <f t="shared" si="333"/>
        <v>0</v>
      </c>
      <c r="S610" s="67">
        <v>44873</v>
      </c>
      <c r="T610" s="67">
        <v>44890</v>
      </c>
      <c r="U610" s="64">
        <f t="shared" si="325"/>
        <v>1</v>
      </c>
      <c r="V610" s="64"/>
      <c r="W610" s="64"/>
      <c r="X610" s="93"/>
      <c r="Y610" s="94"/>
      <c r="Z610" s="91" t="str">
        <f t="shared" si="326"/>
        <v>100%</v>
      </c>
      <c r="AA610" s="67"/>
      <c r="AB610" s="473"/>
      <c r="AC610" s="478" t="s">
        <v>2711</v>
      </c>
      <c r="AD610" s="67"/>
    </row>
    <row r="611" spans="2:30">
      <c r="B611" s="64" t="s">
        <v>105</v>
      </c>
      <c r="C611" s="65" t="s">
        <v>192</v>
      </c>
      <c r="D611" s="66">
        <v>5.72</v>
      </c>
      <c r="E611" s="67">
        <v>44835</v>
      </c>
      <c r="F611" s="64">
        <f t="shared" si="327"/>
        <v>1</v>
      </c>
      <c r="G611" s="67">
        <v>44847</v>
      </c>
      <c r="H611" s="64">
        <f t="shared" si="320"/>
        <v>1</v>
      </c>
      <c r="I611" s="67">
        <f>+K611+15</f>
        <v>44862</v>
      </c>
      <c r="J611" s="64">
        <f t="shared" si="328"/>
        <v>0</v>
      </c>
      <c r="K611" s="67">
        <v>44847</v>
      </c>
      <c r="L611" s="64">
        <f t="shared" si="329"/>
        <v>0</v>
      </c>
      <c r="M611" s="64">
        <f t="shared" si="330"/>
        <v>0</v>
      </c>
      <c r="N611" s="67">
        <f t="shared" si="323"/>
        <v>44863</v>
      </c>
      <c r="O611" s="64">
        <f t="shared" si="331"/>
        <v>1</v>
      </c>
      <c r="P611" s="64">
        <f t="shared" si="332"/>
        <v>0</v>
      </c>
      <c r="Q611" s="91" t="str">
        <f t="shared" si="324"/>
        <v>Selesai</v>
      </c>
      <c r="R611" s="64">
        <f t="shared" si="333"/>
        <v>0</v>
      </c>
      <c r="S611" s="67">
        <v>44859</v>
      </c>
      <c r="T611" s="67">
        <v>44888</v>
      </c>
      <c r="U611" s="64">
        <f t="shared" si="325"/>
        <v>1</v>
      </c>
      <c r="V611" s="64"/>
      <c r="W611" s="64"/>
      <c r="X611" s="93"/>
      <c r="Y611" s="94"/>
      <c r="Z611" s="91" t="str">
        <f t="shared" si="326"/>
        <v>100%</v>
      </c>
      <c r="AA611" s="67"/>
      <c r="AB611" s="473"/>
      <c r="AC611" s="478" t="s">
        <v>2711</v>
      </c>
      <c r="AD611" s="67"/>
    </row>
    <row r="612" spans="2:30">
      <c r="B612" s="64" t="s">
        <v>105</v>
      </c>
      <c r="C612" s="65" t="s">
        <v>622</v>
      </c>
      <c r="D612" s="66">
        <v>6.6</v>
      </c>
      <c r="E612" s="67">
        <v>44833</v>
      </c>
      <c r="F612" s="64">
        <f t="shared" si="327"/>
        <v>1</v>
      </c>
      <c r="G612" s="67">
        <v>44834</v>
      </c>
      <c r="H612" s="64">
        <f t="shared" si="320"/>
        <v>1</v>
      </c>
      <c r="I612" s="67">
        <f>+K612+10</f>
        <v>44857</v>
      </c>
      <c r="J612" s="64">
        <f t="shared" si="328"/>
        <v>0</v>
      </c>
      <c r="K612" s="67">
        <v>44847</v>
      </c>
      <c r="L612" s="64">
        <f t="shared" si="329"/>
        <v>0</v>
      </c>
      <c r="M612" s="64">
        <f t="shared" si="330"/>
        <v>0</v>
      </c>
      <c r="N612" s="67">
        <f t="shared" ref="N612:N622" si="334">IF(AND(I612&gt;0,K612&gt;0),MAX(I612:K612)+1,"")</f>
        <v>44858</v>
      </c>
      <c r="O612" s="64">
        <f t="shared" si="331"/>
        <v>1</v>
      </c>
      <c r="P612" s="64">
        <f t="shared" si="332"/>
        <v>0</v>
      </c>
      <c r="Q612" s="91" t="str">
        <f t="shared" si="324"/>
        <v>Selesai</v>
      </c>
      <c r="R612" s="64">
        <f t="shared" si="333"/>
        <v>0</v>
      </c>
      <c r="S612" s="67">
        <v>44849</v>
      </c>
      <c r="T612" s="67">
        <v>44888</v>
      </c>
      <c r="U612" s="64">
        <f t="shared" si="325"/>
        <v>1</v>
      </c>
      <c r="V612" s="64"/>
      <c r="W612" s="64"/>
      <c r="X612" s="93"/>
      <c r="Y612" s="94"/>
      <c r="Z612" s="91" t="str">
        <f t="shared" si="326"/>
        <v>100%</v>
      </c>
      <c r="AA612" s="67"/>
      <c r="AB612" s="473"/>
      <c r="AC612" s="478" t="s">
        <v>2711</v>
      </c>
      <c r="AD612" s="67"/>
    </row>
    <row r="613" spans="2:30">
      <c r="B613" s="64" t="s">
        <v>107</v>
      </c>
      <c r="C613" s="65" t="s">
        <v>198</v>
      </c>
      <c r="D613" s="66">
        <v>6.52</v>
      </c>
      <c r="E613" s="67">
        <v>44847</v>
      </c>
      <c r="F613" s="64">
        <f t="shared" si="327"/>
        <v>1</v>
      </c>
      <c r="G613" s="67">
        <v>44848</v>
      </c>
      <c r="H613" s="64">
        <f t="shared" si="320"/>
        <v>1</v>
      </c>
      <c r="I613" s="67">
        <f>+K613+10</f>
        <v>44877</v>
      </c>
      <c r="J613" s="64">
        <f t="shared" si="328"/>
        <v>0</v>
      </c>
      <c r="K613" s="67">
        <v>44867</v>
      </c>
      <c r="L613" s="64">
        <f t="shared" si="329"/>
        <v>0</v>
      </c>
      <c r="M613" s="64">
        <f t="shared" si="330"/>
        <v>0</v>
      </c>
      <c r="N613" s="67">
        <f t="shared" si="334"/>
        <v>44878</v>
      </c>
      <c r="O613" s="64">
        <f t="shared" si="331"/>
        <v>1</v>
      </c>
      <c r="P613" s="64">
        <f t="shared" si="332"/>
        <v>0</v>
      </c>
      <c r="Q613" s="91" t="str">
        <f t="shared" si="324"/>
        <v>Selesai</v>
      </c>
      <c r="R613" s="64">
        <f t="shared" si="333"/>
        <v>0</v>
      </c>
      <c r="S613" s="67">
        <v>44869</v>
      </c>
      <c r="T613" s="67">
        <v>44894</v>
      </c>
      <c r="U613" s="64">
        <f t="shared" si="325"/>
        <v>1</v>
      </c>
      <c r="V613" s="64"/>
      <c r="W613" s="64"/>
      <c r="X613" s="93"/>
      <c r="Y613" s="94"/>
      <c r="Z613" s="91" t="str">
        <f t="shared" si="326"/>
        <v>100%</v>
      </c>
      <c r="AA613" s="67"/>
      <c r="AB613" s="473"/>
      <c r="AC613" s="478" t="s">
        <v>2711</v>
      </c>
      <c r="AD613" s="67"/>
    </row>
    <row r="614" spans="2:30">
      <c r="B614" s="64" t="s">
        <v>105</v>
      </c>
      <c r="C614" s="65" t="s">
        <v>623</v>
      </c>
      <c r="D614" s="66">
        <v>4.07</v>
      </c>
      <c r="E614" s="67">
        <v>44831</v>
      </c>
      <c r="F614" s="64">
        <f t="shared" si="327"/>
        <v>1</v>
      </c>
      <c r="G614" s="67">
        <v>44832</v>
      </c>
      <c r="H614" s="64">
        <f t="shared" si="320"/>
        <v>1</v>
      </c>
      <c r="I614" s="67">
        <f>+K614+5</f>
        <v>44857</v>
      </c>
      <c r="J614" s="64">
        <f t="shared" si="328"/>
        <v>0</v>
      </c>
      <c r="K614" s="67">
        <v>44852</v>
      </c>
      <c r="L614" s="64">
        <f t="shared" si="329"/>
        <v>0</v>
      </c>
      <c r="M614" s="64">
        <f t="shared" si="330"/>
        <v>0</v>
      </c>
      <c r="N614" s="67">
        <f t="shared" si="334"/>
        <v>44858</v>
      </c>
      <c r="O614" s="64">
        <f t="shared" si="331"/>
        <v>1</v>
      </c>
      <c r="P614" s="64">
        <f t="shared" si="332"/>
        <v>0</v>
      </c>
      <c r="Q614" s="91" t="str">
        <f t="shared" si="324"/>
        <v>Selesai</v>
      </c>
      <c r="R614" s="64">
        <f t="shared" si="333"/>
        <v>0</v>
      </c>
      <c r="S614" s="67">
        <v>44863</v>
      </c>
      <c r="T614" s="67">
        <v>44893</v>
      </c>
      <c r="U614" s="64">
        <f t="shared" si="325"/>
        <v>1</v>
      </c>
      <c r="V614" s="64"/>
      <c r="W614" s="64"/>
      <c r="X614" s="93"/>
      <c r="Y614" s="94"/>
      <c r="Z614" s="91" t="str">
        <f t="shared" si="326"/>
        <v>100%</v>
      </c>
      <c r="AA614" s="67"/>
      <c r="AB614" s="473"/>
      <c r="AC614" s="478" t="s">
        <v>2711</v>
      </c>
      <c r="AD614" s="67"/>
    </row>
    <row r="615" spans="2:30">
      <c r="B615" s="64" t="s">
        <v>116</v>
      </c>
      <c r="C615" s="65" t="s">
        <v>624</v>
      </c>
      <c r="D615" s="66">
        <v>6.17</v>
      </c>
      <c r="E615" s="67">
        <v>44849</v>
      </c>
      <c r="F615" s="64">
        <f t="shared" si="327"/>
        <v>1</v>
      </c>
      <c r="G615" s="67">
        <v>44852</v>
      </c>
      <c r="H615" s="64">
        <f t="shared" si="320"/>
        <v>1</v>
      </c>
      <c r="I615" s="67">
        <f>+K615+5</f>
        <v>44870</v>
      </c>
      <c r="J615" s="64">
        <f t="shared" si="328"/>
        <v>0</v>
      </c>
      <c r="K615" s="67">
        <v>44865</v>
      </c>
      <c r="L615" s="64">
        <f t="shared" si="329"/>
        <v>0</v>
      </c>
      <c r="M615" s="64">
        <f t="shared" si="330"/>
        <v>0</v>
      </c>
      <c r="N615" s="67">
        <f t="shared" si="334"/>
        <v>44871</v>
      </c>
      <c r="O615" s="64">
        <f t="shared" si="331"/>
        <v>1</v>
      </c>
      <c r="P615" s="64">
        <f t="shared" si="332"/>
        <v>0</v>
      </c>
      <c r="Q615" s="91" t="str">
        <f t="shared" si="324"/>
        <v>Selesai</v>
      </c>
      <c r="R615" s="64">
        <f t="shared" si="333"/>
        <v>0</v>
      </c>
      <c r="S615" s="67">
        <v>44882</v>
      </c>
      <c r="T615" s="67">
        <v>44894</v>
      </c>
      <c r="U615" s="64">
        <f t="shared" si="325"/>
        <v>1</v>
      </c>
      <c r="V615" s="64"/>
      <c r="W615" s="64"/>
      <c r="X615" s="93"/>
      <c r="Y615" s="94"/>
      <c r="Z615" s="91" t="str">
        <f t="shared" si="326"/>
        <v>100%</v>
      </c>
      <c r="AA615" s="67"/>
      <c r="AB615" s="473"/>
      <c r="AC615" s="478" t="s">
        <v>2711</v>
      </c>
      <c r="AD615" s="67"/>
    </row>
    <row r="616" spans="2:30">
      <c r="B616" s="64" t="s">
        <v>109</v>
      </c>
      <c r="C616" s="65" t="s">
        <v>625</v>
      </c>
      <c r="D616" s="66">
        <v>10.63</v>
      </c>
      <c r="E616" s="67">
        <v>44866</v>
      </c>
      <c r="F616" s="64">
        <f t="shared" si="327"/>
        <v>1</v>
      </c>
      <c r="G616" s="67">
        <v>44867</v>
      </c>
      <c r="H616" s="64">
        <f t="shared" si="320"/>
        <v>1</v>
      </c>
      <c r="I616" s="67">
        <f>+K616+5</f>
        <v>44877</v>
      </c>
      <c r="J616" s="64">
        <f t="shared" si="328"/>
        <v>0</v>
      </c>
      <c r="K616" s="67">
        <v>44872</v>
      </c>
      <c r="L616" s="64">
        <f t="shared" si="329"/>
        <v>0</v>
      </c>
      <c r="M616" s="64">
        <f t="shared" si="330"/>
        <v>0</v>
      </c>
      <c r="N616" s="67">
        <f t="shared" si="334"/>
        <v>44878</v>
      </c>
      <c r="O616" s="64">
        <f t="shared" si="331"/>
        <v>1</v>
      </c>
      <c r="P616" s="64">
        <f t="shared" si="332"/>
        <v>0</v>
      </c>
      <c r="Q616" s="91" t="str">
        <f t="shared" si="324"/>
        <v>Selesai</v>
      </c>
      <c r="R616" s="64">
        <f t="shared" si="333"/>
        <v>0</v>
      </c>
      <c r="S616" s="67">
        <v>44877</v>
      </c>
      <c r="T616" s="67">
        <v>44895</v>
      </c>
      <c r="U616" s="64">
        <f t="shared" si="325"/>
        <v>1</v>
      </c>
      <c r="V616" s="64"/>
      <c r="W616" s="64"/>
      <c r="X616" s="93"/>
      <c r="Y616" s="94"/>
      <c r="Z616" s="91" t="str">
        <f t="shared" si="326"/>
        <v>100%</v>
      </c>
      <c r="AA616" s="67"/>
      <c r="AB616" s="473"/>
      <c r="AC616" s="478" t="s">
        <v>2711</v>
      </c>
      <c r="AD616" s="67"/>
    </row>
    <row r="617" spans="2:30">
      <c r="B617" s="64" t="s">
        <v>116</v>
      </c>
      <c r="C617" s="65" t="s">
        <v>177</v>
      </c>
      <c r="D617" s="66">
        <v>7.88</v>
      </c>
      <c r="E617" s="67">
        <v>44826</v>
      </c>
      <c r="F617" s="64">
        <f t="shared" si="327"/>
        <v>1</v>
      </c>
      <c r="G617" s="67">
        <v>44828</v>
      </c>
      <c r="H617" s="64">
        <f t="shared" si="320"/>
        <v>1</v>
      </c>
      <c r="I617" s="67">
        <f>+K617+5</f>
        <v>44851</v>
      </c>
      <c r="J617" s="64">
        <f t="shared" si="328"/>
        <v>0</v>
      </c>
      <c r="K617" s="67">
        <v>44846</v>
      </c>
      <c r="L617" s="64">
        <f t="shared" si="329"/>
        <v>0</v>
      </c>
      <c r="M617" s="64">
        <f t="shared" si="330"/>
        <v>0</v>
      </c>
      <c r="N617" s="67">
        <f t="shared" si="334"/>
        <v>44852</v>
      </c>
      <c r="O617" s="64">
        <f t="shared" si="331"/>
        <v>1</v>
      </c>
      <c r="P617" s="64">
        <f t="shared" si="332"/>
        <v>0</v>
      </c>
      <c r="Q617" s="91" t="str">
        <f t="shared" si="324"/>
        <v>Selesai</v>
      </c>
      <c r="R617" s="64">
        <f t="shared" si="333"/>
        <v>0</v>
      </c>
      <c r="S617" s="67">
        <v>44869</v>
      </c>
      <c r="T617" s="67">
        <v>44894</v>
      </c>
      <c r="U617" s="64">
        <f t="shared" si="325"/>
        <v>1</v>
      </c>
      <c r="V617" s="64"/>
      <c r="W617" s="64"/>
      <c r="X617" s="93"/>
      <c r="Y617" s="94"/>
      <c r="Z617" s="91" t="str">
        <f t="shared" si="326"/>
        <v>100%</v>
      </c>
      <c r="AA617" s="67"/>
      <c r="AB617" s="473"/>
      <c r="AC617" s="478" t="s">
        <v>2711</v>
      </c>
      <c r="AD617" s="67"/>
    </row>
    <row r="618" spans="2:30">
      <c r="B618" s="64" t="s">
        <v>107</v>
      </c>
      <c r="C618" s="65" t="s">
        <v>626</v>
      </c>
      <c r="D618" s="66">
        <v>6.28</v>
      </c>
      <c r="E618" s="67">
        <v>44865</v>
      </c>
      <c r="F618" s="64">
        <f t="shared" si="327"/>
        <v>1</v>
      </c>
      <c r="G618" s="67">
        <v>44866</v>
      </c>
      <c r="H618" s="64">
        <f t="shared" si="320"/>
        <v>1</v>
      </c>
      <c r="I618" s="67">
        <f>+K618+7</f>
        <v>44877</v>
      </c>
      <c r="J618" s="64">
        <f t="shared" si="328"/>
        <v>0</v>
      </c>
      <c r="K618" s="67">
        <v>44870</v>
      </c>
      <c r="L618" s="64">
        <f t="shared" si="329"/>
        <v>0</v>
      </c>
      <c r="M618" s="64">
        <f t="shared" si="330"/>
        <v>0</v>
      </c>
      <c r="N618" s="67">
        <f t="shared" si="334"/>
        <v>44878</v>
      </c>
      <c r="O618" s="64">
        <f t="shared" si="331"/>
        <v>1</v>
      </c>
      <c r="P618" s="64">
        <f t="shared" si="332"/>
        <v>0</v>
      </c>
      <c r="Q618" s="91" t="str">
        <f t="shared" si="324"/>
        <v>Selesai</v>
      </c>
      <c r="R618" s="64">
        <f t="shared" si="333"/>
        <v>0</v>
      </c>
      <c r="S618" s="67">
        <v>44884</v>
      </c>
      <c r="T618" s="67">
        <v>44895</v>
      </c>
      <c r="U618" s="64">
        <f t="shared" si="325"/>
        <v>1</v>
      </c>
      <c r="V618" s="64"/>
      <c r="W618" s="64"/>
      <c r="X618" s="93"/>
      <c r="Y618" s="94"/>
      <c r="Z618" s="91" t="str">
        <f t="shared" si="326"/>
        <v>100%</v>
      </c>
      <c r="AA618" s="67"/>
      <c r="AB618" s="473"/>
      <c r="AC618" s="478" t="s">
        <v>2711</v>
      </c>
      <c r="AD618" s="67"/>
    </row>
    <row r="619" spans="2:30">
      <c r="B619" s="64" t="s">
        <v>116</v>
      </c>
      <c r="C619" s="65" t="s">
        <v>627</v>
      </c>
      <c r="D619" s="66">
        <v>8.27</v>
      </c>
      <c r="E619" s="67">
        <v>44834</v>
      </c>
      <c r="F619" s="64">
        <f t="shared" si="327"/>
        <v>1</v>
      </c>
      <c r="G619" s="67">
        <v>44844</v>
      </c>
      <c r="H619" s="64">
        <f t="shared" si="320"/>
        <v>1</v>
      </c>
      <c r="I619" s="67">
        <f>+K619+5</f>
        <v>44877</v>
      </c>
      <c r="J619" s="64">
        <f t="shared" si="328"/>
        <v>0</v>
      </c>
      <c r="K619" s="67">
        <v>44872</v>
      </c>
      <c r="L619" s="64">
        <f t="shared" si="329"/>
        <v>0</v>
      </c>
      <c r="M619" s="64">
        <f t="shared" si="330"/>
        <v>0</v>
      </c>
      <c r="N619" s="67">
        <f t="shared" si="334"/>
        <v>44878</v>
      </c>
      <c r="O619" s="64">
        <f t="shared" si="331"/>
        <v>1</v>
      </c>
      <c r="P619" s="64">
        <f t="shared" si="332"/>
        <v>0</v>
      </c>
      <c r="Q619" s="91" t="str">
        <f t="shared" si="324"/>
        <v>Selesai</v>
      </c>
      <c r="R619" s="64">
        <f t="shared" si="333"/>
        <v>0</v>
      </c>
      <c r="S619" s="67">
        <v>44876</v>
      </c>
      <c r="T619" s="67">
        <v>44895</v>
      </c>
      <c r="U619" s="64">
        <f t="shared" si="325"/>
        <v>1</v>
      </c>
      <c r="V619" s="64"/>
      <c r="W619" s="64"/>
      <c r="X619" s="93"/>
      <c r="Y619" s="94"/>
      <c r="Z619" s="91" t="str">
        <f t="shared" si="326"/>
        <v>100%</v>
      </c>
      <c r="AA619" s="67"/>
      <c r="AB619" s="473"/>
      <c r="AC619" s="478" t="s">
        <v>2711</v>
      </c>
      <c r="AD619" s="67"/>
    </row>
    <row r="620" spans="2:30">
      <c r="B620" s="64" t="s">
        <v>113</v>
      </c>
      <c r="C620" s="65" t="s">
        <v>628</v>
      </c>
      <c r="D620" s="66">
        <v>10.6</v>
      </c>
      <c r="E620" s="67">
        <v>44833</v>
      </c>
      <c r="F620" s="64">
        <f t="shared" si="327"/>
        <v>1</v>
      </c>
      <c r="G620" s="67">
        <v>44847</v>
      </c>
      <c r="H620" s="64">
        <f t="shared" si="320"/>
        <v>1</v>
      </c>
      <c r="I620" s="67">
        <f>+K620+5</f>
        <v>44854</v>
      </c>
      <c r="J620" s="64">
        <f t="shared" si="328"/>
        <v>0</v>
      </c>
      <c r="K620" s="67">
        <v>44849</v>
      </c>
      <c r="L620" s="64">
        <f t="shared" si="329"/>
        <v>0</v>
      </c>
      <c r="M620" s="64">
        <f t="shared" si="330"/>
        <v>0</v>
      </c>
      <c r="N620" s="67">
        <f t="shared" si="334"/>
        <v>44855</v>
      </c>
      <c r="O620" s="64">
        <f t="shared" si="331"/>
        <v>1</v>
      </c>
      <c r="P620" s="64">
        <f t="shared" si="332"/>
        <v>0</v>
      </c>
      <c r="Q620" s="91" t="str">
        <f t="shared" si="324"/>
        <v>Selesai</v>
      </c>
      <c r="R620" s="64">
        <f t="shared" si="333"/>
        <v>0</v>
      </c>
      <c r="S620" s="67">
        <v>44870</v>
      </c>
      <c r="T620" s="67">
        <v>44904</v>
      </c>
      <c r="U620" s="64">
        <f t="shared" si="325"/>
        <v>1</v>
      </c>
      <c r="V620" s="64"/>
      <c r="W620" s="64"/>
      <c r="X620" s="93"/>
      <c r="Y620" s="94"/>
      <c r="Z620" s="91" t="str">
        <f t="shared" si="326"/>
        <v>100%</v>
      </c>
      <c r="AA620" s="67"/>
      <c r="AB620" s="473"/>
      <c r="AC620" s="478" t="s">
        <v>2711</v>
      </c>
      <c r="AD620" s="67"/>
    </row>
    <row r="621" spans="2:30">
      <c r="B621" s="64" t="s">
        <v>116</v>
      </c>
      <c r="C621" s="65" t="s">
        <v>187</v>
      </c>
      <c r="D621" s="66">
        <v>12.77</v>
      </c>
      <c r="E621" s="67">
        <v>44848</v>
      </c>
      <c r="F621" s="64">
        <f t="shared" si="327"/>
        <v>1</v>
      </c>
      <c r="G621" s="67">
        <v>44849</v>
      </c>
      <c r="H621" s="64">
        <f t="shared" si="320"/>
        <v>1</v>
      </c>
      <c r="I621" s="67">
        <f>+K621+8</f>
        <v>44880</v>
      </c>
      <c r="J621" s="64">
        <f t="shared" si="328"/>
        <v>0</v>
      </c>
      <c r="K621" s="67">
        <v>44872</v>
      </c>
      <c r="L621" s="64">
        <f t="shared" si="329"/>
        <v>0</v>
      </c>
      <c r="M621" s="64">
        <f t="shared" si="330"/>
        <v>0</v>
      </c>
      <c r="N621" s="67">
        <f t="shared" si="334"/>
        <v>44881</v>
      </c>
      <c r="O621" s="64">
        <f t="shared" si="331"/>
        <v>1</v>
      </c>
      <c r="P621" s="64">
        <f t="shared" si="332"/>
        <v>0</v>
      </c>
      <c r="Q621" s="91" t="str">
        <f t="shared" si="324"/>
        <v>Selesai</v>
      </c>
      <c r="R621" s="64">
        <f t="shared" si="333"/>
        <v>0</v>
      </c>
      <c r="S621" s="67">
        <v>44888</v>
      </c>
      <c r="T621" s="67">
        <v>44901</v>
      </c>
      <c r="U621" s="64">
        <f t="shared" si="325"/>
        <v>1</v>
      </c>
      <c r="V621" s="64"/>
      <c r="W621" s="64"/>
      <c r="X621" s="93"/>
      <c r="Y621" s="94"/>
      <c r="Z621" s="91" t="str">
        <f t="shared" si="326"/>
        <v>100%</v>
      </c>
      <c r="AA621" s="67"/>
      <c r="AB621" s="473"/>
      <c r="AC621" s="478" t="s">
        <v>2711</v>
      </c>
      <c r="AD621" s="67"/>
    </row>
    <row r="622" spans="2:30">
      <c r="B622" s="64" t="s">
        <v>116</v>
      </c>
      <c r="C622" s="65" t="s">
        <v>173</v>
      </c>
      <c r="D622" s="66">
        <v>10.33</v>
      </c>
      <c r="E622" s="67">
        <v>44826</v>
      </c>
      <c r="F622" s="64">
        <f t="shared" si="327"/>
        <v>1</v>
      </c>
      <c r="G622" s="67">
        <v>44828</v>
      </c>
      <c r="H622" s="64">
        <f t="shared" si="320"/>
        <v>1</v>
      </c>
      <c r="I622" s="67">
        <f>+K622+7</f>
        <v>44853</v>
      </c>
      <c r="J622" s="64">
        <f t="shared" si="328"/>
        <v>0</v>
      </c>
      <c r="K622" s="67">
        <v>44846</v>
      </c>
      <c r="L622" s="64">
        <f t="shared" si="329"/>
        <v>0</v>
      </c>
      <c r="M622" s="64">
        <f t="shared" si="330"/>
        <v>0</v>
      </c>
      <c r="N622" s="67">
        <f t="shared" si="334"/>
        <v>44854</v>
      </c>
      <c r="O622" s="64">
        <f t="shared" si="331"/>
        <v>1</v>
      </c>
      <c r="P622" s="64">
        <f t="shared" si="332"/>
        <v>0</v>
      </c>
      <c r="Q622" s="91" t="str">
        <f t="shared" si="324"/>
        <v>Selesai</v>
      </c>
      <c r="R622" s="64">
        <f t="shared" si="333"/>
        <v>0</v>
      </c>
      <c r="S622" s="67">
        <v>44876</v>
      </c>
      <c r="T622" s="67">
        <v>44901</v>
      </c>
      <c r="U622" s="64">
        <f t="shared" si="325"/>
        <v>1</v>
      </c>
      <c r="V622" s="64"/>
      <c r="W622" s="64"/>
      <c r="X622" s="93"/>
      <c r="Y622" s="94"/>
      <c r="Z622" s="91" t="str">
        <f t="shared" si="326"/>
        <v>100%</v>
      </c>
      <c r="AA622" s="67"/>
      <c r="AB622" s="473"/>
      <c r="AC622" s="478" t="s">
        <v>2711</v>
      </c>
      <c r="AD622" s="67"/>
    </row>
    <row r="623" spans="2:30">
      <c r="B623" s="64" t="s">
        <v>111</v>
      </c>
      <c r="C623" s="65" t="s">
        <v>172</v>
      </c>
      <c r="D623" s="66">
        <v>7.5</v>
      </c>
      <c r="E623" s="67">
        <v>44849</v>
      </c>
      <c r="F623" s="64">
        <f t="shared" si="327"/>
        <v>1</v>
      </c>
      <c r="G623" s="67">
        <v>44851</v>
      </c>
      <c r="H623" s="64">
        <f t="shared" si="320"/>
        <v>1</v>
      </c>
      <c r="I623" s="67">
        <f>+K623+5</f>
        <v>44893</v>
      </c>
      <c r="J623" s="64">
        <f t="shared" si="328"/>
        <v>0</v>
      </c>
      <c r="K623" s="67">
        <v>44888</v>
      </c>
      <c r="L623" s="64">
        <f t="shared" si="329"/>
        <v>0</v>
      </c>
      <c r="M623" s="64">
        <f t="shared" si="330"/>
        <v>0</v>
      </c>
      <c r="N623" s="67">
        <v>44893</v>
      </c>
      <c r="O623" s="64">
        <f t="shared" si="331"/>
        <v>1</v>
      </c>
      <c r="P623" s="64">
        <f t="shared" si="332"/>
        <v>0</v>
      </c>
      <c r="Q623" s="91" t="str">
        <f t="shared" si="324"/>
        <v>Selesai</v>
      </c>
      <c r="R623" s="64">
        <f t="shared" si="333"/>
        <v>0</v>
      </c>
      <c r="S623" s="67">
        <v>44877</v>
      </c>
      <c r="T623" s="67">
        <v>44924</v>
      </c>
      <c r="U623" s="64">
        <f t="shared" si="325"/>
        <v>1</v>
      </c>
      <c r="V623" s="64"/>
      <c r="W623" s="64"/>
      <c r="X623" s="93"/>
      <c r="Y623" s="94"/>
      <c r="Z623" s="91" t="str">
        <f t="shared" si="326"/>
        <v>100%</v>
      </c>
      <c r="AA623" s="67"/>
      <c r="AB623" s="473"/>
      <c r="AC623" s="478" t="s">
        <v>2711</v>
      </c>
      <c r="AD623" s="67"/>
    </row>
    <row r="624" spans="2:30">
      <c r="B624" s="64" t="s">
        <v>113</v>
      </c>
      <c r="C624" s="65" t="s">
        <v>231</v>
      </c>
      <c r="D624" s="66">
        <v>4.3</v>
      </c>
      <c r="E624" s="67">
        <v>44887</v>
      </c>
      <c r="F624" s="64">
        <f t="shared" ref="F624:F655" si="335">IF(E624&gt;0,1,0)</f>
        <v>1</v>
      </c>
      <c r="G624" s="67">
        <v>44888</v>
      </c>
      <c r="H624" s="64">
        <f t="shared" ref="H624:H687" si="336">IF(G624&gt;0,1,0)</f>
        <v>1</v>
      </c>
      <c r="I624" s="67">
        <f>+K624+5</f>
        <v>44895</v>
      </c>
      <c r="J624" s="64">
        <f t="shared" si="328"/>
        <v>0</v>
      </c>
      <c r="K624" s="67">
        <v>44890</v>
      </c>
      <c r="L624" s="64">
        <f t="shared" si="329"/>
        <v>0</v>
      </c>
      <c r="M624" s="64">
        <f t="shared" si="330"/>
        <v>0</v>
      </c>
      <c r="N624" s="67">
        <f t="shared" ref="N624:N630" si="337">IF(AND(I624&gt;0,K624&gt;0),MAX(I624:K624)+1,"")</f>
        <v>44896</v>
      </c>
      <c r="O624" s="64">
        <f t="shared" si="331"/>
        <v>1</v>
      </c>
      <c r="P624" s="64">
        <f t="shared" si="332"/>
        <v>0</v>
      </c>
      <c r="Q624" s="91" t="str">
        <f t="shared" si="324"/>
        <v>Selesai</v>
      </c>
      <c r="R624" s="64">
        <f t="shared" si="333"/>
        <v>0</v>
      </c>
      <c r="S624" s="67">
        <v>44898</v>
      </c>
      <c r="T624" s="67">
        <v>44904</v>
      </c>
      <c r="U624" s="64">
        <f t="shared" si="325"/>
        <v>1</v>
      </c>
      <c r="V624" s="64"/>
      <c r="W624" s="64"/>
      <c r="X624" s="93"/>
      <c r="Y624" s="94"/>
      <c r="Z624" s="91" t="str">
        <f t="shared" si="326"/>
        <v>100%</v>
      </c>
      <c r="AA624" s="67"/>
      <c r="AB624" s="473"/>
      <c r="AC624" s="478" t="s">
        <v>2711</v>
      </c>
      <c r="AD624" s="67"/>
    </row>
    <row r="625" spans="2:30">
      <c r="B625" s="64" t="s">
        <v>116</v>
      </c>
      <c r="C625" s="65" t="s">
        <v>629</v>
      </c>
      <c r="D625" s="66">
        <v>9.1</v>
      </c>
      <c r="E625" s="67">
        <v>44826</v>
      </c>
      <c r="F625" s="64">
        <f t="shared" si="335"/>
        <v>1</v>
      </c>
      <c r="G625" s="67">
        <v>44831</v>
      </c>
      <c r="H625" s="64">
        <f t="shared" si="336"/>
        <v>1</v>
      </c>
      <c r="I625" s="67">
        <f>+K625+10</f>
        <v>44856</v>
      </c>
      <c r="J625" s="64">
        <f t="shared" si="328"/>
        <v>0</v>
      </c>
      <c r="K625" s="67">
        <v>44846</v>
      </c>
      <c r="L625" s="64">
        <f t="shared" si="329"/>
        <v>0</v>
      </c>
      <c r="M625" s="64">
        <f t="shared" si="330"/>
        <v>0</v>
      </c>
      <c r="N625" s="67">
        <f t="shared" si="337"/>
        <v>44857</v>
      </c>
      <c r="O625" s="64">
        <f t="shared" si="331"/>
        <v>1</v>
      </c>
      <c r="P625" s="64">
        <f t="shared" si="332"/>
        <v>0</v>
      </c>
      <c r="Q625" s="91" t="str">
        <f t="shared" si="324"/>
        <v>Selesai</v>
      </c>
      <c r="R625" s="64">
        <f t="shared" si="333"/>
        <v>0</v>
      </c>
      <c r="S625" s="67">
        <v>44874</v>
      </c>
      <c r="T625" s="67">
        <v>44906</v>
      </c>
      <c r="U625" s="64">
        <f t="shared" si="325"/>
        <v>1</v>
      </c>
      <c r="V625" s="64"/>
      <c r="W625" s="64"/>
      <c r="X625" s="93"/>
      <c r="Y625" s="94"/>
      <c r="Z625" s="91" t="str">
        <f t="shared" si="326"/>
        <v>100%</v>
      </c>
      <c r="AA625" s="67"/>
      <c r="AB625" s="473"/>
      <c r="AC625" s="478" t="s">
        <v>2711</v>
      </c>
      <c r="AD625" s="67"/>
    </row>
    <row r="626" spans="2:30">
      <c r="B626" s="64" t="s">
        <v>116</v>
      </c>
      <c r="C626" s="65" t="s">
        <v>630</v>
      </c>
      <c r="D626" s="66">
        <v>3.84</v>
      </c>
      <c r="E626" s="67">
        <v>44849</v>
      </c>
      <c r="F626" s="64">
        <f t="shared" si="335"/>
        <v>1</v>
      </c>
      <c r="G626" s="67">
        <v>44852</v>
      </c>
      <c r="H626" s="64">
        <f t="shared" si="336"/>
        <v>1</v>
      </c>
      <c r="I626" s="67">
        <f>+K626+7</f>
        <v>44886</v>
      </c>
      <c r="J626" s="64">
        <f t="shared" si="328"/>
        <v>0</v>
      </c>
      <c r="K626" s="67">
        <v>44879</v>
      </c>
      <c r="L626" s="64">
        <f t="shared" si="329"/>
        <v>0</v>
      </c>
      <c r="M626" s="64">
        <f t="shared" si="330"/>
        <v>0</v>
      </c>
      <c r="N626" s="67">
        <f t="shared" si="337"/>
        <v>44887</v>
      </c>
      <c r="O626" s="64">
        <f t="shared" si="331"/>
        <v>1</v>
      </c>
      <c r="P626" s="64">
        <f t="shared" si="332"/>
        <v>0</v>
      </c>
      <c r="Q626" s="91" t="str">
        <f t="shared" si="324"/>
        <v>Selesai</v>
      </c>
      <c r="R626" s="64">
        <f t="shared" si="333"/>
        <v>0</v>
      </c>
      <c r="S626" s="67">
        <v>44888</v>
      </c>
      <c r="T626" s="67">
        <v>44906</v>
      </c>
      <c r="U626" s="64">
        <f t="shared" si="325"/>
        <v>1</v>
      </c>
      <c r="V626" s="64"/>
      <c r="W626" s="64"/>
      <c r="X626" s="93"/>
      <c r="Y626" s="94"/>
      <c r="Z626" s="91" t="str">
        <f t="shared" si="326"/>
        <v>100%</v>
      </c>
      <c r="AA626" s="67"/>
      <c r="AB626" s="473"/>
      <c r="AC626" s="478" t="s">
        <v>2711</v>
      </c>
      <c r="AD626" s="67"/>
    </row>
    <row r="627" spans="2:30">
      <c r="B627" s="64" t="s">
        <v>118</v>
      </c>
      <c r="C627" s="65" t="s">
        <v>178</v>
      </c>
      <c r="D627" s="66">
        <v>6.26</v>
      </c>
      <c r="E627" s="67">
        <v>44851</v>
      </c>
      <c r="F627" s="64">
        <f t="shared" si="335"/>
        <v>1</v>
      </c>
      <c r="G627" s="67">
        <v>44863</v>
      </c>
      <c r="H627" s="64">
        <f t="shared" si="336"/>
        <v>1</v>
      </c>
      <c r="I627" s="67">
        <f>+K627+6</f>
        <v>44885</v>
      </c>
      <c r="J627" s="64">
        <f t="shared" si="328"/>
        <v>0</v>
      </c>
      <c r="K627" s="67">
        <v>44879</v>
      </c>
      <c r="L627" s="64">
        <f t="shared" si="329"/>
        <v>0</v>
      </c>
      <c r="M627" s="64">
        <f t="shared" si="330"/>
        <v>0</v>
      </c>
      <c r="N627" s="67">
        <f t="shared" si="337"/>
        <v>44886</v>
      </c>
      <c r="O627" s="64">
        <f t="shared" si="331"/>
        <v>1</v>
      </c>
      <c r="P627" s="64">
        <f t="shared" si="332"/>
        <v>0</v>
      </c>
      <c r="Q627" s="91" t="str">
        <f t="shared" si="324"/>
        <v>Selesai</v>
      </c>
      <c r="R627" s="64">
        <f t="shared" si="333"/>
        <v>0</v>
      </c>
      <c r="S627" s="67">
        <v>44894</v>
      </c>
      <c r="T627" s="67">
        <v>44906</v>
      </c>
      <c r="U627" s="64">
        <f t="shared" si="325"/>
        <v>1</v>
      </c>
      <c r="V627" s="64"/>
      <c r="W627" s="64"/>
      <c r="X627" s="93"/>
      <c r="Y627" s="94"/>
      <c r="Z627" s="91" t="str">
        <f t="shared" si="326"/>
        <v>100%</v>
      </c>
      <c r="AA627" s="67"/>
      <c r="AB627" s="473"/>
      <c r="AC627" s="478" t="s">
        <v>2711</v>
      </c>
      <c r="AD627" s="67"/>
    </row>
    <row r="628" spans="2:30">
      <c r="B628" s="64" t="s">
        <v>107</v>
      </c>
      <c r="C628" s="65" t="s">
        <v>631</v>
      </c>
      <c r="D628" s="66">
        <v>8.94</v>
      </c>
      <c r="E628" s="67">
        <v>44865</v>
      </c>
      <c r="F628" s="64">
        <f t="shared" si="335"/>
        <v>1</v>
      </c>
      <c r="G628" s="67">
        <v>44866</v>
      </c>
      <c r="H628" s="64">
        <f t="shared" si="336"/>
        <v>1</v>
      </c>
      <c r="I628" s="67">
        <f>+K628+8</f>
        <v>44878</v>
      </c>
      <c r="J628" s="64">
        <f t="shared" si="328"/>
        <v>0</v>
      </c>
      <c r="K628" s="67">
        <v>44870</v>
      </c>
      <c r="L628" s="64">
        <f t="shared" si="329"/>
        <v>0</v>
      </c>
      <c r="M628" s="64">
        <f t="shared" si="330"/>
        <v>0</v>
      </c>
      <c r="N628" s="67">
        <f t="shared" si="337"/>
        <v>44879</v>
      </c>
      <c r="O628" s="64">
        <f t="shared" si="331"/>
        <v>1</v>
      </c>
      <c r="P628" s="64">
        <f t="shared" si="332"/>
        <v>0</v>
      </c>
      <c r="Q628" s="91" t="str">
        <f t="shared" si="324"/>
        <v>Selesai</v>
      </c>
      <c r="R628" s="64">
        <f t="shared" si="333"/>
        <v>0</v>
      </c>
      <c r="S628" s="67">
        <v>44888</v>
      </c>
      <c r="T628" s="67">
        <v>44908</v>
      </c>
      <c r="U628" s="64">
        <f t="shared" si="325"/>
        <v>1</v>
      </c>
      <c r="V628" s="64"/>
      <c r="W628" s="64"/>
      <c r="X628" s="93"/>
      <c r="Y628" s="94"/>
      <c r="Z628" s="91" t="str">
        <f t="shared" si="326"/>
        <v>100%</v>
      </c>
      <c r="AA628" s="67"/>
      <c r="AB628" s="473"/>
      <c r="AC628" s="478" t="s">
        <v>2711</v>
      </c>
      <c r="AD628" s="67"/>
    </row>
    <row r="629" spans="2:30">
      <c r="B629" s="64" t="s">
        <v>118</v>
      </c>
      <c r="C629" s="65" t="s">
        <v>202</v>
      </c>
      <c r="D629" s="66">
        <v>5.87</v>
      </c>
      <c r="E629" s="67">
        <v>44848</v>
      </c>
      <c r="F629" s="64">
        <f t="shared" si="335"/>
        <v>1</v>
      </c>
      <c r="G629" s="67">
        <v>44849</v>
      </c>
      <c r="H629" s="64">
        <f t="shared" si="336"/>
        <v>1</v>
      </c>
      <c r="I629" s="67">
        <f>+K629+5</f>
        <v>44877</v>
      </c>
      <c r="J629" s="64">
        <f t="shared" si="328"/>
        <v>0</v>
      </c>
      <c r="K629" s="67">
        <v>44872</v>
      </c>
      <c r="L629" s="64">
        <f t="shared" si="329"/>
        <v>0</v>
      </c>
      <c r="M629" s="64">
        <f t="shared" si="330"/>
        <v>0</v>
      </c>
      <c r="N629" s="67">
        <f t="shared" si="337"/>
        <v>44878</v>
      </c>
      <c r="O629" s="64">
        <f t="shared" si="331"/>
        <v>1</v>
      </c>
      <c r="P629" s="64">
        <f t="shared" si="332"/>
        <v>0</v>
      </c>
      <c r="Q629" s="91" t="str">
        <f t="shared" si="324"/>
        <v>Selesai</v>
      </c>
      <c r="R629" s="64">
        <f t="shared" si="333"/>
        <v>0</v>
      </c>
      <c r="S629" s="67">
        <v>44876</v>
      </c>
      <c r="T629" s="67">
        <v>44908</v>
      </c>
      <c r="U629" s="64">
        <f t="shared" si="325"/>
        <v>1</v>
      </c>
      <c r="V629" s="64"/>
      <c r="W629" s="64"/>
      <c r="X629" s="93"/>
      <c r="Y629" s="94"/>
      <c r="Z629" s="91" t="str">
        <f t="shared" si="326"/>
        <v>100%</v>
      </c>
      <c r="AA629" s="67"/>
      <c r="AB629" s="473"/>
      <c r="AC629" s="478" t="s">
        <v>2711</v>
      </c>
      <c r="AD629" s="67"/>
    </row>
    <row r="630" spans="2:30">
      <c r="B630" s="64" t="s">
        <v>107</v>
      </c>
      <c r="C630" s="65" t="s">
        <v>211</v>
      </c>
      <c r="D630" s="66">
        <v>8.7200000000000006</v>
      </c>
      <c r="E630" s="67">
        <v>44888</v>
      </c>
      <c r="F630" s="64">
        <f t="shared" si="335"/>
        <v>1</v>
      </c>
      <c r="G630" s="67">
        <v>44889</v>
      </c>
      <c r="H630" s="64">
        <f t="shared" si="336"/>
        <v>1</v>
      </c>
      <c r="I630" s="67">
        <f>+K630+5</f>
        <v>44901</v>
      </c>
      <c r="J630" s="64">
        <f t="shared" si="328"/>
        <v>0</v>
      </c>
      <c r="K630" s="67">
        <v>44896</v>
      </c>
      <c r="L630" s="64">
        <f t="shared" si="329"/>
        <v>0</v>
      </c>
      <c r="M630" s="64">
        <f t="shared" si="330"/>
        <v>0</v>
      </c>
      <c r="N630" s="67">
        <f t="shared" si="337"/>
        <v>44902</v>
      </c>
      <c r="O630" s="64">
        <f t="shared" si="331"/>
        <v>1</v>
      </c>
      <c r="P630" s="64">
        <f t="shared" si="332"/>
        <v>0</v>
      </c>
      <c r="Q630" s="91" t="str">
        <f t="shared" si="324"/>
        <v>Selesai</v>
      </c>
      <c r="R630" s="64">
        <f t="shared" si="333"/>
        <v>0</v>
      </c>
      <c r="S630" s="67">
        <v>44903</v>
      </c>
      <c r="T630" s="67">
        <v>44909</v>
      </c>
      <c r="U630" s="64">
        <f t="shared" si="325"/>
        <v>1</v>
      </c>
      <c r="V630" s="64"/>
      <c r="W630" s="64"/>
      <c r="X630" s="93"/>
      <c r="Y630" s="94"/>
      <c r="Z630" s="91" t="str">
        <f t="shared" si="326"/>
        <v>100%</v>
      </c>
      <c r="AA630" s="67"/>
      <c r="AB630" s="473"/>
      <c r="AC630" s="478" t="s">
        <v>2711</v>
      </c>
      <c r="AD630" s="67"/>
    </row>
    <row r="631" spans="2:30">
      <c r="B631" s="64" t="s">
        <v>111</v>
      </c>
      <c r="C631" s="65" t="s">
        <v>168</v>
      </c>
      <c r="D631" s="66">
        <v>6.92</v>
      </c>
      <c r="E631" s="67">
        <v>44849</v>
      </c>
      <c r="F631" s="64">
        <f t="shared" si="335"/>
        <v>1</v>
      </c>
      <c r="G631" s="67">
        <v>44851</v>
      </c>
      <c r="H631" s="64">
        <f t="shared" si="336"/>
        <v>1</v>
      </c>
      <c r="I631" s="67">
        <f>+K631+8</f>
        <v>44896</v>
      </c>
      <c r="J631" s="64">
        <f t="shared" si="328"/>
        <v>0</v>
      </c>
      <c r="K631" s="67">
        <v>44888</v>
      </c>
      <c r="L631" s="64">
        <f t="shared" si="329"/>
        <v>0</v>
      </c>
      <c r="M631" s="64">
        <f t="shared" si="330"/>
        <v>0</v>
      </c>
      <c r="N631" s="67">
        <v>44893</v>
      </c>
      <c r="O631" s="64">
        <f t="shared" si="331"/>
        <v>1</v>
      </c>
      <c r="P631" s="64">
        <f t="shared" si="332"/>
        <v>0</v>
      </c>
      <c r="Q631" s="91" t="str">
        <f t="shared" si="324"/>
        <v>Selesai</v>
      </c>
      <c r="R631" s="64">
        <f t="shared" si="333"/>
        <v>0</v>
      </c>
      <c r="S631" s="67">
        <v>44901</v>
      </c>
      <c r="T631" s="67">
        <v>44909</v>
      </c>
      <c r="U631" s="64">
        <f t="shared" si="325"/>
        <v>1</v>
      </c>
      <c r="V631" s="64"/>
      <c r="W631" s="64"/>
      <c r="X631" s="93"/>
      <c r="Y631" s="94"/>
      <c r="Z631" s="91" t="str">
        <f t="shared" si="326"/>
        <v>100%</v>
      </c>
      <c r="AA631" s="67"/>
      <c r="AB631" s="473"/>
      <c r="AC631" s="478" t="s">
        <v>2711</v>
      </c>
      <c r="AD631" s="67"/>
    </row>
    <row r="632" spans="2:30">
      <c r="B632" s="64" t="s">
        <v>116</v>
      </c>
      <c r="C632" s="65" t="s">
        <v>632</v>
      </c>
      <c r="D632" s="66">
        <v>7.26</v>
      </c>
      <c r="E632" s="67">
        <v>44852</v>
      </c>
      <c r="F632" s="64">
        <f t="shared" si="335"/>
        <v>1</v>
      </c>
      <c r="G632" s="67">
        <v>44853</v>
      </c>
      <c r="H632" s="64">
        <f t="shared" si="336"/>
        <v>1</v>
      </c>
      <c r="I632" s="67">
        <f>+K632+7</f>
        <v>44874</v>
      </c>
      <c r="J632" s="64">
        <f t="shared" si="328"/>
        <v>0</v>
      </c>
      <c r="K632" s="67">
        <v>44867</v>
      </c>
      <c r="L632" s="64">
        <f t="shared" si="329"/>
        <v>0</v>
      </c>
      <c r="M632" s="64">
        <f t="shared" si="330"/>
        <v>0</v>
      </c>
      <c r="N632" s="67">
        <f>IF(AND(I632&gt;0,K632&gt;0),MAX(I632:K632)+1,"")</f>
        <v>44875</v>
      </c>
      <c r="O632" s="64">
        <f t="shared" si="331"/>
        <v>1</v>
      </c>
      <c r="P632" s="64">
        <f t="shared" si="332"/>
        <v>0</v>
      </c>
      <c r="Q632" s="91" t="str">
        <f t="shared" si="324"/>
        <v>Selesai</v>
      </c>
      <c r="R632" s="64">
        <f t="shared" si="333"/>
        <v>0</v>
      </c>
      <c r="S632" s="67">
        <v>44902</v>
      </c>
      <c r="T632" s="67">
        <v>44917</v>
      </c>
      <c r="U632" s="64">
        <f t="shared" si="325"/>
        <v>1</v>
      </c>
      <c r="V632" s="64"/>
      <c r="W632" s="64"/>
      <c r="X632" s="93"/>
      <c r="Y632" s="94"/>
      <c r="Z632" s="91" t="str">
        <f t="shared" si="326"/>
        <v>100%</v>
      </c>
      <c r="AA632" s="67"/>
      <c r="AB632" s="473"/>
      <c r="AC632" s="478" t="s">
        <v>2711</v>
      </c>
      <c r="AD632" s="67"/>
    </row>
    <row r="633" spans="2:30">
      <c r="B633" s="64" t="s">
        <v>111</v>
      </c>
      <c r="C633" s="65" t="s">
        <v>212</v>
      </c>
      <c r="D633" s="66">
        <v>8.18</v>
      </c>
      <c r="E633" s="67">
        <v>44880</v>
      </c>
      <c r="F633" s="64">
        <f t="shared" si="335"/>
        <v>1</v>
      </c>
      <c r="G633" s="67">
        <v>44881</v>
      </c>
      <c r="H633" s="64">
        <f t="shared" si="336"/>
        <v>1</v>
      </c>
      <c r="I633" s="67">
        <f>+K633+7</f>
        <v>44894</v>
      </c>
      <c r="J633" s="64">
        <f t="shared" si="328"/>
        <v>0</v>
      </c>
      <c r="K633" s="67">
        <v>44887</v>
      </c>
      <c r="L633" s="64">
        <f t="shared" si="329"/>
        <v>0</v>
      </c>
      <c r="M633" s="64">
        <f t="shared" si="330"/>
        <v>0</v>
      </c>
      <c r="N633" s="67">
        <f>IF(AND(I633&gt;0,K633&gt;0),MAX(I633:K633)+1,"")</f>
        <v>44895</v>
      </c>
      <c r="O633" s="64">
        <f t="shared" si="331"/>
        <v>1</v>
      </c>
      <c r="P633" s="64">
        <f t="shared" si="332"/>
        <v>0</v>
      </c>
      <c r="Q633" s="91" t="str">
        <f t="shared" si="324"/>
        <v>Selesai</v>
      </c>
      <c r="R633" s="64">
        <f t="shared" si="333"/>
        <v>0</v>
      </c>
      <c r="S633" s="67">
        <v>44814</v>
      </c>
      <c r="T633" s="67">
        <v>44919</v>
      </c>
      <c r="U633" s="64">
        <f t="shared" si="325"/>
        <v>1</v>
      </c>
      <c r="V633" s="64"/>
      <c r="W633" s="64"/>
      <c r="X633" s="93"/>
      <c r="Y633" s="94"/>
      <c r="Z633" s="91" t="str">
        <f t="shared" si="326"/>
        <v>100%</v>
      </c>
      <c r="AA633" s="67"/>
      <c r="AB633" s="473"/>
      <c r="AC633" s="478" t="s">
        <v>2711</v>
      </c>
      <c r="AD633" s="67"/>
    </row>
    <row r="634" spans="2:30">
      <c r="B634" s="64" t="s">
        <v>116</v>
      </c>
      <c r="C634" s="65" t="s">
        <v>633</v>
      </c>
      <c r="D634" s="66">
        <v>4.3</v>
      </c>
      <c r="E634" s="67">
        <v>44849</v>
      </c>
      <c r="F634" s="64">
        <f t="shared" si="335"/>
        <v>1</v>
      </c>
      <c r="G634" s="67">
        <v>44864</v>
      </c>
      <c r="H634" s="64">
        <f t="shared" si="336"/>
        <v>1</v>
      </c>
      <c r="I634" s="67">
        <f>+K634+6</f>
        <v>44889</v>
      </c>
      <c r="J634" s="64">
        <f t="shared" si="328"/>
        <v>0</v>
      </c>
      <c r="K634" s="67">
        <v>44883</v>
      </c>
      <c r="L634" s="64">
        <f t="shared" si="329"/>
        <v>0</v>
      </c>
      <c r="M634" s="64">
        <f t="shared" si="330"/>
        <v>0</v>
      </c>
      <c r="N634" s="67">
        <f>IF(AND(I634&gt;0,K634&gt;0),MAX(I634:K634)+1,"")</f>
        <v>44890</v>
      </c>
      <c r="O634" s="64">
        <f t="shared" si="331"/>
        <v>1</v>
      </c>
      <c r="P634" s="64">
        <f t="shared" si="332"/>
        <v>0</v>
      </c>
      <c r="Q634" s="91" t="str">
        <f t="shared" si="324"/>
        <v>Selesai</v>
      </c>
      <c r="R634" s="64">
        <f t="shared" si="333"/>
        <v>0</v>
      </c>
      <c r="S634" s="67">
        <v>44894</v>
      </c>
      <c r="T634" s="67">
        <v>44918</v>
      </c>
      <c r="U634" s="64">
        <f t="shared" si="325"/>
        <v>1</v>
      </c>
      <c r="V634" s="64"/>
      <c r="W634" s="64"/>
      <c r="X634" s="93"/>
      <c r="Y634" s="94"/>
      <c r="Z634" s="91" t="str">
        <f t="shared" si="326"/>
        <v>100%</v>
      </c>
      <c r="AA634" s="67"/>
      <c r="AB634" s="473"/>
      <c r="AC634" s="478" t="s">
        <v>2711</v>
      </c>
      <c r="AD634" s="67"/>
    </row>
    <row r="635" spans="2:30">
      <c r="B635" s="64" t="s">
        <v>116</v>
      </c>
      <c r="C635" s="65" t="s">
        <v>634</v>
      </c>
      <c r="D635" s="66">
        <v>8.1300000000000008</v>
      </c>
      <c r="E635" s="67">
        <v>44852</v>
      </c>
      <c r="F635" s="64">
        <f t="shared" si="335"/>
        <v>1</v>
      </c>
      <c r="G635" s="67">
        <v>44853</v>
      </c>
      <c r="H635" s="64">
        <f t="shared" si="336"/>
        <v>1</v>
      </c>
      <c r="I635" s="67">
        <f>+K635+5</f>
        <v>44874</v>
      </c>
      <c r="J635" s="64">
        <f t="shared" si="328"/>
        <v>0</v>
      </c>
      <c r="K635" s="67">
        <v>44869</v>
      </c>
      <c r="L635" s="64">
        <f t="shared" si="329"/>
        <v>0</v>
      </c>
      <c r="M635" s="64">
        <f t="shared" si="330"/>
        <v>0</v>
      </c>
      <c r="N635" s="67">
        <f>IF(AND(I635&gt;0,K635&gt;0),MAX(I635:K635)+1,"")</f>
        <v>44875</v>
      </c>
      <c r="O635" s="64">
        <f t="shared" si="331"/>
        <v>1</v>
      </c>
      <c r="P635" s="64">
        <f t="shared" si="332"/>
        <v>0</v>
      </c>
      <c r="Q635" s="91" t="str">
        <f t="shared" si="324"/>
        <v>Selesai</v>
      </c>
      <c r="R635" s="64">
        <f t="shared" si="333"/>
        <v>0</v>
      </c>
      <c r="S635" s="67">
        <v>44894</v>
      </c>
      <c r="T635" s="67">
        <v>44922</v>
      </c>
      <c r="U635" s="64">
        <f t="shared" si="325"/>
        <v>1</v>
      </c>
      <c r="V635" s="64"/>
      <c r="W635" s="64"/>
      <c r="X635" s="93"/>
      <c r="Y635" s="94"/>
      <c r="Z635" s="91" t="str">
        <f t="shared" si="326"/>
        <v>100%</v>
      </c>
      <c r="AA635" s="67"/>
      <c r="AB635" s="473"/>
      <c r="AC635" s="478" t="s">
        <v>2711</v>
      </c>
      <c r="AD635" s="67"/>
    </row>
    <row r="636" spans="2:30">
      <c r="B636" s="64" t="s">
        <v>107</v>
      </c>
      <c r="C636" s="65" t="s">
        <v>204</v>
      </c>
      <c r="D636" s="66">
        <v>5.97</v>
      </c>
      <c r="E636" s="67">
        <v>44887</v>
      </c>
      <c r="F636" s="64">
        <f t="shared" si="335"/>
        <v>1</v>
      </c>
      <c r="G636" s="67">
        <v>44888</v>
      </c>
      <c r="H636" s="64">
        <f t="shared" si="336"/>
        <v>1</v>
      </c>
      <c r="I636" s="67">
        <f>+K636+5</f>
        <v>44901</v>
      </c>
      <c r="J636" s="64">
        <f t="shared" si="328"/>
        <v>0</v>
      </c>
      <c r="K636" s="67">
        <v>44896</v>
      </c>
      <c r="L636" s="64">
        <f t="shared" si="329"/>
        <v>0</v>
      </c>
      <c r="M636" s="64">
        <f t="shared" si="330"/>
        <v>0</v>
      </c>
      <c r="N636" s="67">
        <v>44893</v>
      </c>
      <c r="O636" s="64">
        <f t="shared" si="331"/>
        <v>1</v>
      </c>
      <c r="P636" s="64">
        <f t="shared" si="332"/>
        <v>0</v>
      </c>
      <c r="Q636" s="91" t="str">
        <f t="shared" si="324"/>
        <v>Selesai</v>
      </c>
      <c r="R636" s="64">
        <f t="shared" si="333"/>
        <v>0</v>
      </c>
      <c r="S636" s="67">
        <v>44906</v>
      </c>
      <c r="T636" s="67">
        <v>44922</v>
      </c>
      <c r="U636" s="64">
        <f t="shared" si="325"/>
        <v>1</v>
      </c>
      <c r="V636" s="64"/>
      <c r="W636" s="64"/>
      <c r="X636" s="93"/>
      <c r="Y636" s="94"/>
      <c r="Z636" s="91" t="str">
        <f t="shared" si="326"/>
        <v>100%</v>
      </c>
      <c r="AA636" s="67"/>
      <c r="AB636" s="473"/>
      <c r="AC636" s="478" t="s">
        <v>2711</v>
      </c>
      <c r="AD636" s="67"/>
    </row>
    <row r="637" spans="2:30">
      <c r="B637" s="64" t="s">
        <v>116</v>
      </c>
      <c r="C637" s="65" t="s">
        <v>635</v>
      </c>
      <c r="D637" s="66">
        <v>7.83</v>
      </c>
      <c r="E637" s="67">
        <v>44851</v>
      </c>
      <c r="F637" s="64">
        <f t="shared" si="335"/>
        <v>1</v>
      </c>
      <c r="G637" s="67">
        <v>44863</v>
      </c>
      <c r="H637" s="64">
        <f t="shared" si="336"/>
        <v>1</v>
      </c>
      <c r="I637" s="67">
        <f>+K637+7</f>
        <v>44886</v>
      </c>
      <c r="J637" s="64">
        <f t="shared" si="328"/>
        <v>0</v>
      </c>
      <c r="K637" s="67">
        <v>44879</v>
      </c>
      <c r="L637" s="64">
        <f t="shared" si="329"/>
        <v>0</v>
      </c>
      <c r="M637" s="64">
        <f t="shared" si="330"/>
        <v>0</v>
      </c>
      <c r="N637" s="67">
        <f>IF(AND(I637&gt;0,K637&gt;0),MAX(I637:K637)+1,"")</f>
        <v>44887</v>
      </c>
      <c r="O637" s="64">
        <f t="shared" si="331"/>
        <v>1</v>
      </c>
      <c r="P637" s="64">
        <f t="shared" si="332"/>
        <v>0</v>
      </c>
      <c r="Q637" s="91" t="str">
        <f t="shared" si="324"/>
        <v>Selesai</v>
      </c>
      <c r="R637" s="64">
        <f t="shared" si="333"/>
        <v>0</v>
      </c>
      <c r="S637" s="67">
        <v>44907</v>
      </c>
      <c r="T637" s="67">
        <v>44926</v>
      </c>
      <c r="U637" s="64">
        <f t="shared" si="325"/>
        <v>1</v>
      </c>
      <c r="V637" s="64"/>
      <c r="W637" s="64"/>
      <c r="X637" s="93"/>
      <c r="Y637" s="94"/>
      <c r="Z637" s="91" t="str">
        <f t="shared" si="326"/>
        <v>100%</v>
      </c>
      <c r="AA637" s="67"/>
      <c r="AB637" s="473"/>
      <c r="AC637" s="478" t="s">
        <v>2711</v>
      </c>
      <c r="AD637" s="67"/>
    </row>
    <row r="638" spans="2:30">
      <c r="B638" s="64" t="s">
        <v>111</v>
      </c>
      <c r="C638" s="65" t="s">
        <v>170</v>
      </c>
      <c r="D638" s="66">
        <v>13.04</v>
      </c>
      <c r="E638" s="67">
        <v>44863</v>
      </c>
      <c r="F638" s="64">
        <f t="shared" si="335"/>
        <v>1</v>
      </c>
      <c r="G638" s="67">
        <v>44865</v>
      </c>
      <c r="H638" s="64">
        <f t="shared" si="336"/>
        <v>1</v>
      </c>
      <c r="I638" s="67">
        <f>+K638+7</f>
        <v>44895</v>
      </c>
      <c r="J638" s="64">
        <f t="shared" si="328"/>
        <v>0</v>
      </c>
      <c r="K638" s="67">
        <v>44888</v>
      </c>
      <c r="L638" s="64">
        <f t="shared" si="329"/>
        <v>0</v>
      </c>
      <c r="M638" s="64">
        <f t="shared" si="330"/>
        <v>0</v>
      </c>
      <c r="N638" s="67">
        <v>44893</v>
      </c>
      <c r="O638" s="64">
        <f t="shared" si="331"/>
        <v>1</v>
      </c>
      <c r="P638" s="64">
        <f t="shared" si="332"/>
        <v>0</v>
      </c>
      <c r="Q638" s="91" t="str">
        <f t="shared" si="324"/>
        <v>Selesai</v>
      </c>
      <c r="R638" s="64">
        <f t="shared" si="333"/>
        <v>0</v>
      </c>
      <c r="S638" s="67">
        <v>44910</v>
      </c>
      <c r="T638" s="67">
        <v>44925</v>
      </c>
      <c r="U638" s="64">
        <f t="shared" si="325"/>
        <v>1</v>
      </c>
      <c r="V638" s="64"/>
      <c r="W638" s="64"/>
      <c r="X638" s="93"/>
      <c r="Y638" s="94"/>
      <c r="Z638" s="91" t="str">
        <f t="shared" si="326"/>
        <v>100%</v>
      </c>
      <c r="AA638" s="67"/>
      <c r="AB638" s="473"/>
      <c r="AC638" s="478" t="s">
        <v>2711</v>
      </c>
      <c r="AD638" s="67"/>
    </row>
    <row r="639" spans="2:30">
      <c r="B639" s="64" t="s">
        <v>107</v>
      </c>
      <c r="C639" s="65" t="s">
        <v>636</v>
      </c>
      <c r="D639" s="66">
        <v>6</v>
      </c>
      <c r="E639" s="67">
        <v>44888</v>
      </c>
      <c r="F639" s="64">
        <f t="shared" si="335"/>
        <v>1</v>
      </c>
      <c r="G639" s="67">
        <v>44889</v>
      </c>
      <c r="H639" s="64">
        <f t="shared" si="336"/>
        <v>1</v>
      </c>
      <c r="I639" s="67">
        <f>+K639+7</f>
        <v>44907</v>
      </c>
      <c r="J639" s="64">
        <f t="shared" si="328"/>
        <v>0</v>
      </c>
      <c r="K639" s="67">
        <v>44900</v>
      </c>
      <c r="L639" s="64">
        <f t="shared" si="329"/>
        <v>0</v>
      </c>
      <c r="M639" s="64">
        <f t="shared" si="330"/>
        <v>0</v>
      </c>
      <c r="N639" s="67">
        <v>44893</v>
      </c>
      <c r="O639" s="64">
        <f t="shared" si="331"/>
        <v>1</v>
      </c>
      <c r="P639" s="64">
        <f t="shared" si="332"/>
        <v>0</v>
      </c>
      <c r="Q639" s="91" t="str">
        <f t="shared" si="324"/>
        <v>Selesai</v>
      </c>
      <c r="R639" s="64">
        <f t="shared" si="333"/>
        <v>0</v>
      </c>
      <c r="S639" s="67">
        <v>44915</v>
      </c>
      <c r="T639" s="67">
        <v>44926</v>
      </c>
      <c r="U639" s="64">
        <f t="shared" si="325"/>
        <v>1</v>
      </c>
      <c r="V639" s="64"/>
      <c r="W639" s="64"/>
      <c r="X639" s="93"/>
      <c r="Y639" s="94"/>
      <c r="Z639" s="91" t="str">
        <f t="shared" si="326"/>
        <v>100%</v>
      </c>
      <c r="AA639" s="67"/>
      <c r="AB639" s="473"/>
      <c r="AC639" s="478" t="s">
        <v>2711</v>
      </c>
      <c r="AD639" s="67"/>
    </row>
    <row r="640" spans="2:30">
      <c r="B640" s="64" t="s">
        <v>118</v>
      </c>
      <c r="C640" s="65" t="s">
        <v>637</v>
      </c>
      <c r="D640" s="66">
        <v>6.32</v>
      </c>
      <c r="E640" s="67">
        <v>44853</v>
      </c>
      <c r="F640" s="64">
        <f t="shared" si="335"/>
        <v>1</v>
      </c>
      <c r="G640" s="67">
        <v>44864</v>
      </c>
      <c r="H640" s="64">
        <f t="shared" si="336"/>
        <v>1</v>
      </c>
      <c r="I640" s="67">
        <f>+K640+15</f>
        <v>44882</v>
      </c>
      <c r="J640" s="64">
        <f t="shared" si="328"/>
        <v>0</v>
      </c>
      <c r="K640" s="67">
        <v>44867</v>
      </c>
      <c r="L640" s="64">
        <f t="shared" si="329"/>
        <v>0</v>
      </c>
      <c r="M640" s="64">
        <f t="shared" si="330"/>
        <v>0</v>
      </c>
      <c r="N640" s="67">
        <f>IF(AND(I640&gt;0,K640&gt;0),MAX(I640:K640)+1,"")</f>
        <v>44883</v>
      </c>
      <c r="O640" s="64">
        <f t="shared" si="331"/>
        <v>1</v>
      </c>
      <c r="P640" s="64">
        <f t="shared" si="332"/>
        <v>0</v>
      </c>
      <c r="Q640" s="91" t="str">
        <f t="shared" si="324"/>
        <v>Selesai</v>
      </c>
      <c r="R640" s="64">
        <f t="shared" si="333"/>
        <v>0</v>
      </c>
      <c r="S640" s="67">
        <v>44917</v>
      </c>
      <c r="T640" s="67">
        <v>44932</v>
      </c>
      <c r="U640" s="64">
        <f t="shared" si="325"/>
        <v>1</v>
      </c>
      <c r="V640" s="64"/>
      <c r="W640" s="64"/>
      <c r="X640" s="93"/>
      <c r="Y640" s="94"/>
      <c r="Z640" s="91" t="str">
        <f t="shared" si="326"/>
        <v>100%</v>
      </c>
      <c r="AA640" s="67"/>
      <c r="AB640" s="473"/>
      <c r="AC640" s="478" t="s">
        <v>2711</v>
      </c>
      <c r="AD640" s="67"/>
    </row>
    <row r="641" spans="2:30">
      <c r="B641" s="64" t="s">
        <v>111</v>
      </c>
      <c r="C641" s="65" t="s">
        <v>163</v>
      </c>
      <c r="D641" s="66">
        <v>9.31</v>
      </c>
      <c r="E641" s="67">
        <v>44888</v>
      </c>
      <c r="F641" s="64">
        <f t="shared" si="335"/>
        <v>1</v>
      </c>
      <c r="G641" s="67">
        <v>44895</v>
      </c>
      <c r="H641" s="64">
        <f t="shared" si="336"/>
        <v>1</v>
      </c>
      <c r="I641" s="67">
        <f>+K641+7</f>
        <v>44914</v>
      </c>
      <c r="J641" s="64">
        <f t="shared" si="328"/>
        <v>0</v>
      </c>
      <c r="K641" s="67">
        <v>44907</v>
      </c>
      <c r="L641" s="64">
        <f t="shared" si="329"/>
        <v>0</v>
      </c>
      <c r="M641" s="64">
        <f t="shared" si="330"/>
        <v>0</v>
      </c>
      <c r="N641" s="67">
        <f>IF(AND(I641&gt;0,K641&gt;0),MAX(I641:K641)+1,"")</f>
        <v>44915</v>
      </c>
      <c r="O641" s="64">
        <f t="shared" si="331"/>
        <v>1</v>
      </c>
      <c r="P641" s="64">
        <f t="shared" si="332"/>
        <v>0</v>
      </c>
      <c r="Q641" s="91" t="str">
        <f t="shared" si="324"/>
        <v>Selesai</v>
      </c>
      <c r="R641" s="64">
        <f t="shared" si="333"/>
        <v>0</v>
      </c>
      <c r="S641" s="67">
        <v>44916</v>
      </c>
      <c r="T641" s="67">
        <v>44935</v>
      </c>
      <c r="U641" s="64">
        <f t="shared" si="325"/>
        <v>1</v>
      </c>
      <c r="V641" s="64"/>
      <c r="W641" s="64"/>
      <c r="X641" s="93"/>
      <c r="Y641" s="94"/>
      <c r="Z641" s="91" t="str">
        <f t="shared" si="326"/>
        <v>100%</v>
      </c>
      <c r="AA641" s="67"/>
      <c r="AB641" s="473"/>
      <c r="AC641" s="478" t="s">
        <v>2711</v>
      </c>
      <c r="AD641" s="67"/>
    </row>
    <row r="642" spans="2:30">
      <c r="B642" s="64" t="s">
        <v>111</v>
      </c>
      <c r="C642" s="65" t="s">
        <v>203</v>
      </c>
      <c r="D642" s="66">
        <v>4.22</v>
      </c>
      <c r="E642" s="67">
        <v>44888</v>
      </c>
      <c r="F642" s="64">
        <f t="shared" si="335"/>
        <v>1</v>
      </c>
      <c r="G642" s="67">
        <v>44890</v>
      </c>
      <c r="H642" s="64">
        <f t="shared" si="336"/>
        <v>1</v>
      </c>
      <c r="I642" s="67">
        <f>+K642+7</f>
        <v>44908</v>
      </c>
      <c r="J642" s="64">
        <f t="shared" si="328"/>
        <v>0</v>
      </c>
      <c r="K642" s="67">
        <v>44901</v>
      </c>
      <c r="L642" s="64">
        <f t="shared" si="329"/>
        <v>0</v>
      </c>
      <c r="M642" s="64">
        <f t="shared" si="330"/>
        <v>0</v>
      </c>
      <c r="N642" s="67">
        <f>IF(AND(I642&gt;0,K642&gt;0),MAX(I642:K642)+1,"")</f>
        <v>44909</v>
      </c>
      <c r="O642" s="64">
        <f t="shared" si="331"/>
        <v>1</v>
      </c>
      <c r="P642" s="64">
        <f t="shared" si="332"/>
        <v>0</v>
      </c>
      <c r="Q642" s="91" t="str">
        <f t="shared" si="324"/>
        <v>Selesai</v>
      </c>
      <c r="R642" s="64">
        <f t="shared" si="333"/>
        <v>0</v>
      </c>
      <c r="S642" s="67">
        <v>44922</v>
      </c>
      <c r="T642" s="67">
        <v>44937</v>
      </c>
      <c r="U642" s="64">
        <f t="shared" si="325"/>
        <v>1</v>
      </c>
      <c r="V642" s="64"/>
      <c r="W642" s="64"/>
      <c r="X642" s="93"/>
      <c r="Y642" s="94"/>
      <c r="Z642" s="91" t="str">
        <f t="shared" si="326"/>
        <v>100%</v>
      </c>
      <c r="AA642" s="67"/>
      <c r="AB642" s="473"/>
      <c r="AC642" s="478" t="s">
        <v>2711</v>
      </c>
      <c r="AD642" s="67"/>
    </row>
    <row r="643" spans="2:30">
      <c r="B643" s="64" t="s">
        <v>116</v>
      </c>
      <c r="C643" s="65" t="s">
        <v>638</v>
      </c>
      <c r="D643" s="66">
        <v>6.33</v>
      </c>
      <c r="E643" s="67">
        <v>44851</v>
      </c>
      <c r="F643" s="64">
        <f t="shared" si="335"/>
        <v>1</v>
      </c>
      <c r="G643" s="67">
        <v>44863</v>
      </c>
      <c r="H643" s="64">
        <f t="shared" si="336"/>
        <v>1</v>
      </c>
      <c r="I643" s="67">
        <f>+K643+7</f>
        <v>44886</v>
      </c>
      <c r="J643" s="64">
        <f t="shared" si="328"/>
        <v>0</v>
      </c>
      <c r="K643" s="67">
        <v>44879</v>
      </c>
      <c r="L643" s="64">
        <f t="shared" si="329"/>
        <v>0</v>
      </c>
      <c r="M643" s="64">
        <f t="shared" si="330"/>
        <v>0</v>
      </c>
      <c r="N643" s="67">
        <f>IF(AND(I643&gt;0,K643&gt;0),MAX(I643:K643)+1,"")</f>
        <v>44887</v>
      </c>
      <c r="O643" s="64">
        <f t="shared" si="331"/>
        <v>1</v>
      </c>
      <c r="P643" s="64">
        <f t="shared" si="332"/>
        <v>0</v>
      </c>
      <c r="Q643" s="91" t="str">
        <f t="shared" si="324"/>
        <v>Selesai</v>
      </c>
      <c r="R643" s="64">
        <f t="shared" si="333"/>
        <v>0</v>
      </c>
      <c r="S643" s="67">
        <v>44910</v>
      </c>
      <c r="T643" s="67">
        <v>44937</v>
      </c>
      <c r="U643" s="64">
        <f t="shared" si="325"/>
        <v>1</v>
      </c>
      <c r="V643" s="64"/>
      <c r="W643" s="64"/>
      <c r="X643" s="93"/>
      <c r="Y643" s="94"/>
      <c r="Z643" s="91" t="str">
        <f t="shared" si="326"/>
        <v>100%</v>
      </c>
      <c r="AA643" s="67"/>
      <c r="AB643" s="473"/>
      <c r="AC643" s="478" t="s">
        <v>2711</v>
      </c>
      <c r="AD643" s="67"/>
    </row>
    <row r="644" spans="2:30">
      <c r="B644" s="64" t="s">
        <v>107</v>
      </c>
      <c r="C644" s="65" t="s">
        <v>209</v>
      </c>
      <c r="D644" s="66">
        <v>12.62</v>
      </c>
      <c r="E644" s="67">
        <v>44887</v>
      </c>
      <c r="F644" s="64">
        <f t="shared" si="335"/>
        <v>1</v>
      </c>
      <c r="G644" s="67">
        <v>44888</v>
      </c>
      <c r="H644" s="64">
        <f t="shared" si="336"/>
        <v>1</v>
      </c>
      <c r="I644" s="67">
        <f>+K644+65</f>
        <v>44975</v>
      </c>
      <c r="J644" s="64">
        <f t="shared" si="328"/>
        <v>0</v>
      </c>
      <c r="K644" s="67">
        <v>44910</v>
      </c>
      <c r="L644" s="64">
        <f t="shared" si="329"/>
        <v>0</v>
      </c>
      <c r="M644" s="64">
        <f t="shared" si="330"/>
        <v>0</v>
      </c>
      <c r="N644" s="67">
        <v>44893</v>
      </c>
      <c r="O644" s="64">
        <f t="shared" si="331"/>
        <v>1</v>
      </c>
      <c r="P644" s="64">
        <f t="shared" si="332"/>
        <v>0</v>
      </c>
      <c r="Q644" s="91" t="str">
        <f t="shared" si="324"/>
        <v>Selesai</v>
      </c>
      <c r="R644" s="64">
        <f t="shared" si="333"/>
        <v>0</v>
      </c>
      <c r="S644" s="67">
        <v>44921</v>
      </c>
      <c r="T644" s="67">
        <v>44941</v>
      </c>
      <c r="U644" s="64">
        <f t="shared" si="325"/>
        <v>1</v>
      </c>
      <c r="V644" s="64"/>
      <c r="W644" s="64"/>
      <c r="X644" s="93"/>
      <c r="Y644" s="94"/>
      <c r="Z644" s="91" t="str">
        <f t="shared" si="326"/>
        <v>100%</v>
      </c>
      <c r="AA644" s="67"/>
      <c r="AB644" s="473"/>
      <c r="AC644" s="478" t="s">
        <v>2711</v>
      </c>
      <c r="AD644" s="67"/>
    </row>
    <row r="645" spans="2:30">
      <c r="B645" s="64" t="s">
        <v>105</v>
      </c>
      <c r="C645" s="65" t="s">
        <v>639</v>
      </c>
      <c r="D645" s="66">
        <v>7.17</v>
      </c>
      <c r="E645" s="67">
        <v>44901</v>
      </c>
      <c r="F645" s="64">
        <f t="shared" si="335"/>
        <v>1</v>
      </c>
      <c r="G645" s="67">
        <v>44902</v>
      </c>
      <c r="H645" s="64">
        <f t="shared" si="336"/>
        <v>1</v>
      </c>
      <c r="I645" s="67">
        <f>+K645+2</f>
        <v>44921</v>
      </c>
      <c r="J645" s="64">
        <f t="shared" si="328"/>
        <v>0</v>
      </c>
      <c r="K645" s="67">
        <v>44919</v>
      </c>
      <c r="L645" s="64">
        <f t="shared" si="329"/>
        <v>0</v>
      </c>
      <c r="M645" s="64">
        <f t="shared" si="330"/>
        <v>0</v>
      </c>
      <c r="N645" s="67">
        <f>IF(AND(I645&gt;0,K645&gt;0),MAX(I645:K645)+1,"")</f>
        <v>44922</v>
      </c>
      <c r="O645" s="64">
        <f t="shared" si="331"/>
        <v>1</v>
      </c>
      <c r="P645" s="64">
        <f t="shared" si="332"/>
        <v>0</v>
      </c>
      <c r="Q645" s="91" t="str">
        <f t="shared" si="324"/>
        <v>Selesai</v>
      </c>
      <c r="R645" s="64">
        <f t="shared" si="333"/>
        <v>0</v>
      </c>
      <c r="S645" s="67">
        <v>44922</v>
      </c>
      <c r="T645" s="67">
        <v>44949</v>
      </c>
      <c r="U645" s="64">
        <f t="shared" si="325"/>
        <v>1</v>
      </c>
      <c r="V645" s="64"/>
      <c r="W645" s="64"/>
      <c r="X645" s="93"/>
      <c r="Y645" s="94"/>
      <c r="Z645" s="91" t="str">
        <f t="shared" si="326"/>
        <v>100%</v>
      </c>
      <c r="AA645" s="67"/>
      <c r="AB645" s="473"/>
      <c r="AC645" s="478" t="s">
        <v>2711</v>
      </c>
      <c r="AD645" s="67"/>
    </row>
    <row r="646" spans="2:30">
      <c r="B646" s="64" t="s">
        <v>105</v>
      </c>
      <c r="C646" s="65" t="s">
        <v>640</v>
      </c>
      <c r="D646" s="66">
        <v>5.81</v>
      </c>
      <c r="E646" s="67">
        <v>44901</v>
      </c>
      <c r="F646" s="64">
        <f t="shared" si="335"/>
        <v>1</v>
      </c>
      <c r="G646" s="67">
        <v>44902</v>
      </c>
      <c r="H646" s="64">
        <f t="shared" si="336"/>
        <v>1</v>
      </c>
      <c r="I646" s="67">
        <f>+K646+4</f>
        <v>44923</v>
      </c>
      <c r="J646" s="64">
        <f t="shared" si="328"/>
        <v>0</v>
      </c>
      <c r="K646" s="67">
        <v>44919</v>
      </c>
      <c r="L646" s="64">
        <f t="shared" si="329"/>
        <v>0</v>
      </c>
      <c r="M646" s="64">
        <f t="shared" si="330"/>
        <v>0</v>
      </c>
      <c r="N646" s="67">
        <f>IF(AND(I646&gt;0,K646&gt;0),MAX(I646:K646)+1,"")</f>
        <v>44924</v>
      </c>
      <c r="O646" s="64">
        <f t="shared" si="331"/>
        <v>1</v>
      </c>
      <c r="P646" s="64">
        <f t="shared" si="332"/>
        <v>0</v>
      </c>
      <c r="Q646" s="91" t="str">
        <f t="shared" si="324"/>
        <v>Selesai</v>
      </c>
      <c r="R646" s="64">
        <f t="shared" si="333"/>
        <v>0</v>
      </c>
      <c r="S646" s="67">
        <v>44923</v>
      </c>
      <c r="T646" s="67">
        <v>44944</v>
      </c>
      <c r="U646" s="64">
        <f t="shared" si="325"/>
        <v>1</v>
      </c>
      <c r="V646" s="64"/>
      <c r="W646" s="64"/>
      <c r="X646" s="93"/>
      <c r="Y646" s="94"/>
      <c r="Z646" s="91" t="str">
        <f t="shared" si="326"/>
        <v>100%</v>
      </c>
      <c r="AA646" s="67"/>
      <c r="AB646" s="473"/>
      <c r="AC646" s="478" t="s">
        <v>2711</v>
      </c>
      <c r="AD646" s="67"/>
    </row>
    <row r="647" spans="2:30">
      <c r="B647" s="64" t="s">
        <v>107</v>
      </c>
      <c r="C647" s="65" t="s">
        <v>223</v>
      </c>
      <c r="D647" s="66">
        <v>9.9</v>
      </c>
      <c r="E647" s="67">
        <v>44895</v>
      </c>
      <c r="F647" s="64">
        <f t="shared" si="335"/>
        <v>1</v>
      </c>
      <c r="G647" s="67">
        <v>44896</v>
      </c>
      <c r="H647" s="64">
        <f t="shared" si="336"/>
        <v>1</v>
      </c>
      <c r="I647" s="67">
        <f>+K647+7</f>
        <v>44930</v>
      </c>
      <c r="J647" s="64">
        <f t="shared" si="328"/>
        <v>0</v>
      </c>
      <c r="K647" s="67">
        <v>44923</v>
      </c>
      <c r="L647" s="64">
        <f t="shared" si="329"/>
        <v>0</v>
      </c>
      <c r="M647" s="64">
        <f t="shared" si="330"/>
        <v>0</v>
      </c>
      <c r="N647" s="67">
        <v>44893</v>
      </c>
      <c r="O647" s="64">
        <f t="shared" si="331"/>
        <v>1</v>
      </c>
      <c r="P647" s="64">
        <f t="shared" si="332"/>
        <v>0</v>
      </c>
      <c r="Q647" s="91" t="str">
        <f t="shared" si="324"/>
        <v>Selesai</v>
      </c>
      <c r="R647" s="64">
        <f t="shared" si="333"/>
        <v>0</v>
      </c>
      <c r="S647" s="67">
        <v>44932</v>
      </c>
      <c r="T647" s="67">
        <v>44950</v>
      </c>
      <c r="U647" s="64">
        <f t="shared" si="325"/>
        <v>1</v>
      </c>
      <c r="V647" s="64"/>
      <c r="W647" s="64"/>
      <c r="X647" s="93"/>
      <c r="Y647" s="94"/>
      <c r="Z647" s="91" t="str">
        <f t="shared" si="326"/>
        <v>100%</v>
      </c>
      <c r="AA647" s="67"/>
      <c r="AB647" s="473"/>
      <c r="AC647" s="478" t="s">
        <v>2711</v>
      </c>
      <c r="AD647" s="67"/>
    </row>
    <row r="648" spans="2:30">
      <c r="B648" s="64" t="s">
        <v>107</v>
      </c>
      <c r="C648" s="65" t="s">
        <v>641</v>
      </c>
      <c r="D648" s="66">
        <v>6.35</v>
      </c>
      <c r="E648" s="67">
        <v>44897</v>
      </c>
      <c r="F648" s="64">
        <f t="shared" si="335"/>
        <v>1</v>
      </c>
      <c r="G648" s="67">
        <v>44898</v>
      </c>
      <c r="H648" s="64">
        <f t="shared" si="336"/>
        <v>1</v>
      </c>
      <c r="I648" s="67">
        <f>+K648+14</f>
        <v>44917</v>
      </c>
      <c r="J648" s="64">
        <f t="shared" si="328"/>
        <v>0</v>
      </c>
      <c r="K648" s="67">
        <v>44903</v>
      </c>
      <c r="L648" s="64">
        <f t="shared" si="329"/>
        <v>0</v>
      </c>
      <c r="M648" s="64">
        <f t="shared" si="330"/>
        <v>0</v>
      </c>
      <c r="N648" s="67">
        <f>IF(AND(I648&gt;0,K648&gt;0),MAX(I648:K648)+1,"")</f>
        <v>44918</v>
      </c>
      <c r="O648" s="64">
        <f t="shared" si="331"/>
        <v>1</v>
      </c>
      <c r="P648" s="64">
        <f t="shared" si="332"/>
        <v>0</v>
      </c>
      <c r="Q648" s="91" t="str">
        <f t="shared" si="324"/>
        <v>Selesai</v>
      </c>
      <c r="R648" s="64">
        <f t="shared" si="333"/>
        <v>0</v>
      </c>
      <c r="S648" s="67">
        <v>44931</v>
      </c>
      <c r="T648" s="67">
        <v>44952</v>
      </c>
      <c r="U648" s="64">
        <f t="shared" si="325"/>
        <v>1</v>
      </c>
      <c r="V648" s="64"/>
      <c r="W648" s="64"/>
      <c r="X648" s="93"/>
      <c r="Y648" s="94"/>
      <c r="Z648" s="91" t="str">
        <f t="shared" si="326"/>
        <v>100%</v>
      </c>
      <c r="AA648" s="67"/>
      <c r="AB648" s="473"/>
      <c r="AC648" s="478" t="s">
        <v>2711</v>
      </c>
      <c r="AD648" s="67"/>
    </row>
    <row r="649" spans="2:30">
      <c r="B649" s="64" t="s">
        <v>116</v>
      </c>
      <c r="C649" s="65" t="s">
        <v>642</v>
      </c>
      <c r="D649" s="66">
        <v>13.21</v>
      </c>
      <c r="E649" s="67">
        <v>44872</v>
      </c>
      <c r="F649" s="64">
        <f t="shared" si="335"/>
        <v>1</v>
      </c>
      <c r="G649" s="67">
        <v>44887</v>
      </c>
      <c r="H649" s="64">
        <f t="shared" si="336"/>
        <v>1</v>
      </c>
      <c r="I649" s="67">
        <f>+K649+13</f>
        <v>44907</v>
      </c>
      <c r="J649" s="64">
        <f t="shared" si="328"/>
        <v>0</v>
      </c>
      <c r="K649" s="67">
        <v>44894</v>
      </c>
      <c r="L649" s="64">
        <f t="shared" si="329"/>
        <v>0</v>
      </c>
      <c r="M649" s="64">
        <f t="shared" si="330"/>
        <v>0</v>
      </c>
      <c r="N649" s="67">
        <f>IF(AND(I649&gt;0,K649&gt;0),MAX(I649:K649)+1,"")</f>
        <v>44908</v>
      </c>
      <c r="O649" s="64">
        <f t="shared" si="331"/>
        <v>1</v>
      </c>
      <c r="P649" s="64">
        <f t="shared" si="332"/>
        <v>0</v>
      </c>
      <c r="Q649" s="91" t="str">
        <f t="shared" ref="Q649:Q712" si="338">IF(T649&gt;0,"Selesai","Proses")</f>
        <v>Selesai</v>
      </c>
      <c r="R649" s="64">
        <f t="shared" si="333"/>
        <v>0</v>
      </c>
      <c r="S649" s="67">
        <v>44931</v>
      </c>
      <c r="T649" s="67">
        <v>44952</v>
      </c>
      <c r="U649" s="64">
        <f t="shared" ref="U649:U712" si="339">IF(T649&gt;0,1,0)</f>
        <v>1</v>
      </c>
      <c r="V649" s="64"/>
      <c r="W649" s="64"/>
      <c r="X649" s="93"/>
      <c r="Y649" s="94"/>
      <c r="Z649" s="91" t="str">
        <f t="shared" si="326"/>
        <v>100%</v>
      </c>
      <c r="AA649" s="67"/>
      <c r="AB649" s="473"/>
      <c r="AC649" s="478" t="s">
        <v>2711</v>
      </c>
      <c r="AD649" s="67"/>
    </row>
    <row r="650" spans="2:30">
      <c r="B650" s="64" t="s">
        <v>118</v>
      </c>
      <c r="C650" s="65" t="s">
        <v>183</v>
      </c>
      <c r="D650" s="66">
        <v>10.37</v>
      </c>
      <c r="E650" s="67">
        <v>44853</v>
      </c>
      <c r="F650" s="64">
        <f t="shared" si="335"/>
        <v>1</v>
      </c>
      <c r="G650" s="67">
        <v>44864</v>
      </c>
      <c r="H650" s="64">
        <f t="shared" si="336"/>
        <v>1</v>
      </c>
      <c r="I650" s="67">
        <f>+K650+15</f>
        <v>44882</v>
      </c>
      <c r="J650" s="64">
        <f t="shared" si="328"/>
        <v>0</v>
      </c>
      <c r="K650" s="67">
        <v>44867</v>
      </c>
      <c r="L650" s="64">
        <f t="shared" si="329"/>
        <v>0</v>
      </c>
      <c r="M650" s="64">
        <f t="shared" si="330"/>
        <v>0</v>
      </c>
      <c r="N650" s="67">
        <f>IF(AND(I650&gt;0,K650&gt;0),MAX(I650:K650)+1,"")</f>
        <v>44883</v>
      </c>
      <c r="O650" s="64">
        <f t="shared" si="331"/>
        <v>1</v>
      </c>
      <c r="P650" s="64">
        <f t="shared" si="332"/>
        <v>0</v>
      </c>
      <c r="Q650" s="91" t="str">
        <f t="shared" si="338"/>
        <v>Selesai</v>
      </c>
      <c r="R650" s="64">
        <f t="shared" si="333"/>
        <v>0</v>
      </c>
      <c r="S650" s="67">
        <v>44916</v>
      </c>
      <c r="T650" s="67">
        <v>44955</v>
      </c>
      <c r="U650" s="64">
        <f t="shared" si="339"/>
        <v>1</v>
      </c>
      <c r="V650" s="64"/>
      <c r="W650" s="64"/>
      <c r="X650" s="93"/>
      <c r="Y650" s="94"/>
      <c r="Z650" s="91" t="str">
        <f t="shared" ref="Z650:Z713" si="340">IF(T650="","","100%")</f>
        <v>100%</v>
      </c>
      <c r="AA650" s="67"/>
      <c r="AB650" s="473"/>
      <c r="AC650" s="478" t="s">
        <v>2711</v>
      </c>
      <c r="AD650" s="67"/>
    </row>
    <row r="651" spans="2:30">
      <c r="B651" s="64" t="s">
        <v>107</v>
      </c>
      <c r="C651" s="65" t="s">
        <v>643</v>
      </c>
      <c r="D651" s="66">
        <v>5.86</v>
      </c>
      <c r="E651" s="67">
        <v>44911</v>
      </c>
      <c r="F651" s="64">
        <f t="shared" si="335"/>
        <v>1</v>
      </c>
      <c r="G651" s="67">
        <v>44914</v>
      </c>
      <c r="H651" s="64">
        <f t="shared" si="336"/>
        <v>1</v>
      </c>
      <c r="I651" s="67">
        <f>+K651+7</f>
        <v>44928</v>
      </c>
      <c r="J651" s="64">
        <f t="shared" si="328"/>
        <v>0</v>
      </c>
      <c r="K651" s="67">
        <v>44921</v>
      </c>
      <c r="L651" s="64">
        <f t="shared" si="329"/>
        <v>0</v>
      </c>
      <c r="M651" s="64">
        <f t="shared" si="330"/>
        <v>0</v>
      </c>
      <c r="N651" s="67">
        <f>IF(AND(I651&gt;0,K651&gt;0),MAX(I651:K651)+1,"")</f>
        <v>44929</v>
      </c>
      <c r="O651" s="64">
        <f t="shared" si="331"/>
        <v>1</v>
      </c>
      <c r="P651" s="64">
        <f t="shared" si="332"/>
        <v>0</v>
      </c>
      <c r="Q651" s="91" t="str">
        <f t="shared" si="338"/>
        <v>Selesai</v>
      </c>
      <c r="R651" s="64">
        <f t="shared" si="333"/>
        <v>0</v>
      </c>
      <c r="S651" s="67">
        <v>44933</v>
      </c>
      <c r="T651" s="67">
        <v>44957</v>
      </c>
      <c r="U651" s="64">
        <f t="shared" si="339"/>
        <v>1</v>
      </c>
      <c r="V651" s="64"/>
      <c r="W651" s="64"/>
      <c r="X651" s="93"/>
      <c r="Y651" s="94"/>
      <c r="Z651" s="91" t="str">
        <f t="shared" si="340"/>
        <v>100%</v>
      </c>
      <c r="AA651" s="67"/>
      <c r="AB651" s="473"/>
      <c r="AC651" s="478" t="s">
        <v>2711</v>
      </c>
      <c r="AD651" s="67"/>
    </row>
    <row r="652" spans="2:30">
      <c r="B652" s="64" t="s">
        <v>113</v>
      </c>
      <c r="C652" s="65" t="s">
        <v>224</v>
      </c>
      <c r="D652" s="66">
        <v>6.92</v>
      </c>
      <c r="E652" s="67">
        <v>44911</v>
      </c>
      <c r="F652" s="64">
        <f t="shared" si="335"/>
        <v>1</v>
      </c>
      <c r="G652" s="67">
        <v>44915</v>
      </c>
      <c r="H652" s="64">
        <f t="shared" si="336"/>
        <v>1</v>
      </c>
      <c r="I652" s="67">
        <f>+K652+7</f>
        <v>44926</v>
      </c>
      <c r="J652" s="64">
        <f t="shared" si="328"/>
        <v>0</v>
      </c>
      <c r="K652" s="67">
        <v>44919</v>
      </c>
      <c r="L652" s="64">
        <f t="shared" si="329"/>
        <v>0</v>
      </c>
      <c r="M652" s="64">
        <f t="shared" si="330"/>
        <v>0</v>
      </c>
      <c r="N652" s="67">
        <v>44893</v>
      </c>
      <c r="O652" s="64">
        <f t="shared" si="331"/>
        <v>1</v>
      </c>
      <c r="P652" s="64">
        <f t="shared" si="332"/>
        <v>0</v>
      </c>
      <c r="Q652" s="91" t="str">
        <f t="shared" si="338"/>
        <v>Selesai</v>
      </c>
      <c r="R652" s="64">
        <f t="shared" si="333"/>
        <v>0</v>
      </c>
      <c r="S652" s="67">
        <v>44938</v>
      </c>
      <c r="T652" s="67">
        <v>44957</v>
      </c>
      <c r="U652" s="64">
        <f t="shared" si="339"/>
        <v>1</v>
      </c>
      <c r="V652" s="64"/>
      <c r="W652" s="64"/>
      <c r="X652" s="93"/>
      <c r="Y652" s="94"/>
      <c r="Z652" s="91" t="str">
        <f t="shared" si="340"/>
        <v>100%</v>
      </c>
      <c r="AA652" s="67"/>
      <c r="AB652" s="473"/>
      <c r="AC652" s="478" t="s">
        <v>2711</v>
      </c>
      <c r="AD652" s="67"/>
    </row>
    <row r="653" spans="2:30">
      <c r="B653" s="64" t="s">
        <v>118</v>
      </c>
      <c r="C653" s="65" t="s">
        <v>169</v>
      </c>
      <c r="D653" s="66">
        <v>9.3800000000000008</v>
      </c>
      <c r="E653" s="67">
        <v>44889</v>
      </c>
      <c r="F653" s="64">
        <f t="shared" si="335"/>
        <v>1</v>
      </c>
      <c r="G653" s="67">
        <v>44895</v>
      </c>
      <c r="H653" s="64">
        <f t="shared" si="336"/>
        <v>1</v>
      </c>
      <c r="I653" s="67">
        <f>+K653+22</f>
        <v>44923</v>
      </c>
      <c r="J653" s="64">
        <f t="shared" si="328"/>
        <v>0</v>
      </c>
      <c r="K653" s="67">
        <v>44901</v>
      </c>
      <c r="L653" s="64">
        <f t="shared" si="329"/>
        <v>0</v>
      </c>
      <c r="M653" s="64">
        <f t="shared" si="330"/>
        <v>0</v>
      </c>
      <c r="N653" s="67">
        <f>IF(AND(I653&gt;0,K653&gt;0),MAX(I653:K653)+1,"")</f>
        <v>44924</v>
      </c>
      <c r="O653" s="64">
        <f t="shared" si="331"/>
        <v>1</v>
      </c>
      <c r="P653" s="64">
        <f t="shared" si="332"/>
        <v>0</v>
      </c>
      <c r="Q653" s="91" t="str">
        <f t="shared" si="338"/>
        <v>Selesai</v>
      </c>
      <c r="R653" s="64">
        <f t="shared" si="333"/>
        <v>0</v>
      </c>
      <c r="S653" s="67">
        <v>44942</v>
      </c>
      <c r="T653" s="67">
        <v>44957</v>
      </c>
      <c r="U653" s="64">
        <f t="shared" si="339"/>
        <v>1</v>
      </c>
      <c r="V653" s="64"/>
      <c r="W653" s="64"/>
      <c r="X653" s="93"/>
      <c r="Y653" s="94"/>
      <c r="Z653" s="91" t="str">
        <f t="shared" si="340"/>
        <v>100%</v>
      </c>
      <c r="AA653" s="67"/>
      <c r="AB653" s="473"/>
      <c r="AC653" s="478" t="s">
        <v>2711</v>
      </c>
      <c r="AD653" s="67"/>
    </row>
    <row r="654" spans="2:30">
      <c r="B654" s="64" t="s">
        <v>118</v>
      </c>
      <c r="C654" s="65" t="s">
        <v>206</v>
      </c>
      <c r="D654" s="66">
        <v>9.02</v>
      </c>
      <c r="E654" s="67">
        <v>44867</v>
      </c>
      <c r="F654" s="64">
        <f t="shared" si="335"/>
        <v>1</v>
      </c>
      <c r="G654" s="67">
        <v>44886</v>
      </c>
      <c r="H654" s="64">
        <f t="shared" si="336"/>
        <v>1</v>
      </c>
      <c r="I654" s="67">
        <f>+K654+15</f>
        <v>44894</v>
      </c>
      <c r="J654" s="64">
        <f t="shared" si="328"/>
        <v>0</v>
      </c>
      <c r="K654" s="67">
        <v>44879</v>
      </c>
      <c r="L654" s="64">
        <f t="shared" si="329"/>
        <v>0</v>
      </c>
      <c r="M654" s="64">
        <f t="shared" si="330"/>
        <v>0</v>
      </c>
      <c r="N654" s="67">
        <f>IF(AND(I654&gt;0,K654&gt;0),MAX(I654:K654)+1,"")</f>
        <v>44895</v>
      </c>
      <c r="O654" s="64">
        <f t="shared" si="331"/>
        <v>1</v>
      </c>
      <c r="P654" s="64">
        <f t="shared" si="332"/>
        <v>0</v>
      </c>
      <c r="Q654" s="91" t="str">
        <f t="shared" si="338"/>
        <v>Selesai</v>
      </c>
      <c r="R654" s="64">
        <f t="shared" si="333"/>
        <v>0</v>
      </c>
      <c r="S654" s="67">
        <v>44932</v>
      </c>
      <c r="T654" s="67">
        <v>44958</v>
      </c>
      <c r="U654" s="64">
        <f t="shared" si="339"/>
        <v>1</v>
      </c>
      <c r="V654" s="64"/>
      <c r="W654" s="64"/>
      <c r="X654" s="93"/>
      <c r="Y654" s="94"/>
      <c r="Z654" s="91" t="str">
        <f t="shared" si="340"/>
        <v>100%</v>
      </c>
      <c r="AA654" s="67"/>
      <c r="AB654" s="473"/>
      <c r="AC654" s="478" t="s">
        <v>2711</v>
      </c>
      <c r="AD654" s="67"/>
    </row>
    <row r="655" spans="2:30">
      <c r="B655" s="64" t="s">
        <v>107</v>
      </c>
      <c r="C655" s="65" t="s">
        <v>272</v>
      </c>
      <c r="D655" s="66">
        <v>2.9</v>
      </c>
      <c r="E655" s="67">
        <v>44925</v>
      </c>
      <c r="F655" s="64">
        <f t="shared" si="335"/>
        <v>1</v>
      </c>
      <c r="G655" s="67">
        <v>44929</v>
      </c>
      <c r="H655" s="64">
        <f t="shared" si="336"/>
        <v>1</v>
      </c>
      <c r="I655" s="67">
        <f>+K655+5</f>
        <v>44943</v>
      </c>
      <c r="J655" s="64">
        <f t="shared" si="328"/>
        <v>0</v>
      </c>
      <c r="K655" s="67">
        <v>44938</v>
      </c>
      <c r="L655" s="64">
        <f t="shared" si="329"/>
        <v>0</v>
      </c>
      <c r="M655" s="64">
        <f t="shared" si="330"/>
        <v>0</v>
      </c>
      <c r="N655" s="67">
        <f>IF(AND(I655&gt;0,K655&gt;0),MAX(I655:K655)+1,"")</f>
        <v>44944</v>
      </c>
      <c r="O655" s="64">
        <f t="shared" si="331"/>
        <v>1</v>
      </c>
      <c r="P655" s="64">
        <f t="shared" si="332"/>
        <v>0</v>
      </c>
      <c r="Q655" s="91" t="str">
        <f t="shared" si="338"/>
        <v>Selesai</v>
      </c>
      <c r="R655" s="64">
        <f t="shared" si="333"/>
        <v>0</v>
      </c>
      <c r="S655" s="67">
        <v>44957</v>
      </c>
      <c r="T655" s="67">
        <v>44961</v>
      </c>
      <c r="U655" s="64">
        <f t="shared" si="339"/>
        <v>1</v>
      </c>
      <c r="V655" s="64"/>
      <c r="W655" s="64"/>
      <c r="X655" s="93"/>
      <c r="Y655" s="94"/>
      <c r="Z655" s="91" t="str">
        <f t="shared" si="340"/>
        <v>100%</v>
      </c>
      <c r="AA655" s="67"/>
      <c r="AB655" s="473"/>
      <c r="AC655" s="478" t="s">
        <v>2711</v>
      </c>
      <c r="AD655" s="67"/>
    </row>
    <row r="656" spans="2:30">
      <c r="B656" s="64" t="s">
        <v>113</v>
      </c>
      <c r="C656" s="65" t="s">
        <v>220</v>
      </c>
      <c r="D656" s="66">
        <v>10.96</v>
      </c>
      <c r="E656" s="67">
        <v>44908</v>
      </c>
      <c r="F656" s="64">
        <f t="shared" ref="F656:F686" si="341">IF(E656&gt;0,1,0)</f>
        <v>1</v>
      </c>
      <c r="G656" s="67">
        <v>44914</v>
      </c>
      <c r="H656" s="64">
        <f t="shared" si="336"/>
        <v>1</v>
      </c>
      <c r="I656" s="67">
        <f>+K656+7</f>
        <v>45207</v>
      </c>
      <c r="J656" s="64">
        <f t="shared" ref="J656:J719" si="342">IF(I656&gt;0,0,1)</f>
        <v>0</v>
      </c>
      <c r="K656" s="67">
        <v>45200</v>
      </c>
      <c r="L656" s="64">
        <f t="shared" ref="L656:L719" si="343">IF(K656&gt;0,0,1)</f>
        <v>0</v>
      </c>
      <c r="M656" s="64">
        <f t="shared" ref="M656:M719" si="344">IF(AND(J656&gt;0,L656&gt;0),1,0)</f>
        <v>0</v>
      </c>
      <c r="N656" s="67">
        <v>44893</v>
      </c>
      <c r="O656" s="64">
        <f t="shared" ref="O656:O719" si="345">IF(N656&gt;0,1,0)</f>
        <v>1</v>
      </c>
      <c r="P656" s="64">
        <f t="shared" ref="P656:P719" si="346">IF(O656&gt;0,0,1)</f>
        <v>0</v>
      </c>
      <c r="Q656" s="91" t="str">
        <f t="shared" si="338"/>
        <v>Selesai</v>
      </c>
      <c r="R656" s="64">
        <f t="shared" ref="R656:R719" si="347">IF(Q656="proses",1,0)</f>
        <v>0</v>
      </c>
      <c r="S656" s="67">
        <v>44938</v>
      </c>
      <c r="T656" s="67">
        <v>44967</v>
      </c>
      <c r="U656" s="64">
        <f t="shared" si="339"/>
        <v>1</v>
      </c>
      <c r="V656" s="64"/>
      <c r="W656" s="64"/>
      <c r="X656" s="93"/>
      <c r="Y656" s="94"/>
      <c r="Z656" s="91" t="str">
        <f t="shared" si="340"/>
        <v>100%</v>
      </c>
      <c r="AA656" s="67"/>
      <c r="AB656" s="473"/>
      <c r="AC656" s="478" t="s">
        <v>2711</v>
      </c>
      <c r="AD656" s="67"/>
    </row>
    <row r="657" spans="2:30">
      <c r="B657" s="64" t="s">
        <v>105</v>
      </c>
      <c r="C657" s="65" t="s">
        <v>241</v>
      </c>
      <c r="D657" s="66">
        <v>12.68</v>
      </c>
      <c r="E657" s="67">
        <v>44922</v>
      </c>
      <c r="F657" s="64">
        <f t="shared" si="341"/>
        <v>1</v>
      </c>
      <c r="G657" s="67">
        <v>44923</v>
      </c>
      <c r="H657" s="64">
        <f t="shared" si="336"/>
        <v>1</v>
      </c>
      <c r="I657" s="67">
        <f>+K657+5</f>
        <v>44935</v>
      </c>
      <c r="J657" s="64">
        <f t="shared" si="342"/>
        <v>0</v>
      </c>
      <c r="K657" s="67">
        <v>44930</v>
      </c>
      <c r="L657" s="64">
        <f t="shared" si="343"/>
        <v>0</v>
      </c>
      <c r="M657" s="64">
        <f t="shared" si="344"/>
        <v>0</v>
      </c>
      <c r="N657" s="67">
        <f t="shared" ref="N657:N720" si="348">IF(AND(I657&gt;0,K657&gt;0),MAX(I657:K657)+1,"")</f>
        <v>44936</v>
      </c>
      <c r="O657" s="64">
        <f t="shared" si="345"/>
        <v>1</v>
      </c>
      <c r="P657" s="64">
        <f t="shared" si="346"/>
        <v>0</v>
      </c>
      <c r="Q657" s="91" t="str">
        <f t="shared" si="338"/>
        <v>Selesai</v>
      </c>
      <c r="R657" s="64">
        <f t="shared" si="347"/>
        <v>0</v>
      </c>
      <c r="S657" s="67">
        <v>44950</v>
      </c>
      <c r="T657" s="67">
        <v>44967</v>
      </c>
      <c r="U657" s="64">
        <f t="shared" si="339"/>
        <v>1</v>
      </c>
      <c r="V657" s="64"/>
      <c r="W657" s="64"/>
      <c r="X657" s="93"/>
      <c r="Y657" s="94"/>
      <c r="Z657" s="91" t="str">
        <f t="shared" si="340"/>
        <v>100%</v>
      </c>
      <c r="AA657" s="67"/>
      <c r="AB657" s="473"/>
      <c r="AC657" s="478" t="s">
        <v>2711</v>
      </c>
      <c r="AD657" s="67"/>
    </row>
    <row r="658" spans="2:30">
      <c r="B658" s="64" t="s">
        <v>105</v>
      </c>
      <c r="C658" s="65" t="s">
        <v>218</v>
      </c>
      <c r="D658" s="66">
        <v>10.38</v>
      </c>
      <c r="E658" s="67">
        <v>44922</v>
      </c>
      <c r="F658" s="64">
        <f t="shared" si="341"/>
        <v>1</v>
      </c>
      <c r="G658" s="67">
        <v>44923</v>
      </c>
      <c r="H658" s="64">
        <f t="shared" si="336"/>
        <v>1</v>
      </c>
      <c r="I658" s="67">
        <f>+K658+7</f>
        <v>44937</v>
      </c>
      <c r="J658" s="64">
        <f t="shared" si="342"/>
        <v>0</v>
      </c>
      <c r="K658" s="67">
        <v>44930</v>
      </c>
      <c r="L658" s="64">
        <f t="shared" si="343"/>
        <v>0</v>
      </c>
      <c r="M658" s="64">
        <f t="shared" si="344"/>
        <v>0</v>
      </c>
      <c r="N658" s="67">
        <f t="shared" si="348"/>
        <v>44938</v>
      </c>
      <c r="O658" s="64">
        <f t="shared" si="345"/>
        <v>1</v>
      </c>
      <c r="P658" s="64">
        <f t="shared" si="346"/>
        <v>0</v>
      </c>
      <c r="Q658" s="91" t="str">
        <f t="shared" si="338"/>
        <v>Selesai</v>
      </c>
      <c r="R658" s="64">
        <f t="shared" si="347"/>
        <v>0</v>
      </c>
      <c r="S658" s="67">
        <v>44939</v>
      </c>
      <c r="T658" s="67">
        <v>44967</v>
      </c>
      <c r="U658" s="64">
        <f t="shared" si="339"/>
        <v>1</v>
      </c>
      <c r="V658" s="64"/>
      <c r="W658" s="64"/>
      <c r="X658" s="93"/>
      <c r="Y658" s="94"/>
      <c r="Z658" s="91" t="str">
        <f t="shared" si="340"/>
        <v>100%</v>
      </c>
      <c r="AA658" s="67"/>
      <c r="AB658" s="473"/>
      <c r="AC658" s="478" t="s">
        <v>2711</v>
      </c>
      <c r="AD658" s="67"/>
    </row>
    <row r="659" spans="2:30">
      <c r="B659" s="64" t="s">
        <v>113</v>
      </c>
      <c r="C659" s="65" t="s">
        <v>644</v>
      </c>
      <c r="D659" s="66">
        <v>6.85</v>
      </c>
      <c r="E659" s="67">
        <v>44902</v>
      </c>
      <c r="F659" s="64">
        <f t="shared" si="341"/>
        <v>1</v>
      </c>
      <c r="G659" s="67">
        <v>44904</v>
      </c>
      <c r="H659" s="64">
        <f t="shared" si="336"/>
        <v>1</v>
      </c>
      <c r="I659" s="67">
        <f>+K659+8</f>
        <v>44938</v>
      </c>
      <c r="J659" s="64">
        <f t="shared" si="342"/>
        <v>0</v>
      </c>
      <c r="K659" s="67">
        <v>44930</v>
      </c>
      <c r="L659" s="64">
        <f t="shared" si="343"/>
        <v>0</v>
      </c>
      <c r="M659" s="64">
        <f t="shared" si="344"/>
        <v>0</v>
      </c>
      <c r="N659" s="67">
        <f t="shared" si="348"/>
        <v>44939</v>
      </c>
      <c r="O659" s="64">
        <f t="shared" si="345"/>
        <v>1</v>
      </c>
      <c r="P659" s="64">
        <f t="shared" si="346"/>
        <v>0</v>
      </c>
      <c r="Q659" s="91" t="str">
        <f t="shared" si="338"/>
        <v>Selesai</v>
      </c>
      <c r="R659" s="64">
        <f t="shared" si="347"/>
        <v>0</v>
      </c>
      <c r="S659" s="67">
        <v>44958</v>
      </c>
      <c r="T659" s="67">
        <v>44977</v>
      </c>
      <c r="U659" s="64">
        <f t="shared" si="339"/>
        <v>1</v>
      </c>
      <c r="V659" s="64"/>
      <c r="W659" s="64"/>
      <c r="X659" s="93"/>
      <c r="Y659" s="94"/>
      <c r="Z659" s="91" t="str">
        <f t="shared" si="340"/>
        <v>100%</v>
      </c>
      <c r="AA659" s="67"/>
      <c r="AB659" s="473"/>
      <c r="AC659" s="478" t="s">
        <v>2711</v>
      </c>
      <c r="AD659" s="67"/>
    </row>
    <row r="660" spans="2:30">
      <c r="B660" s="64" t="s">
        <v>116</v>
      </c>
      <c r="C660" s="65" t="s">
        <v>215</v>
      </c>
      <c r="D660" s="66">
        <v>6.78</v>
      </c>
      <c r="E660" s="67">
        <v>44904</v>
      </c>
      <c r="F660" s="64">
        <f t="shared" si="341"/>
        <v>1</v>
      </c>
      <c r="G660" s="67">
        <v>44906</v>
      </c>
      <c r="H660" s="64">
        <f t="shared" si="336"/>
        <v>1</v>
      </c>
      <c r="I660" s="67">
        <f>+K660+10</f>
        <v>44932</v>
      </c>
      <c r="J660" s="64">
        <f t="shared" si="342"/>
        <v>0</v>
      </c>
      <c r="K660" s="67">
        <v>44922</v>
      </c>
      <c r="L660" s="64">
        <f t="shared" si="343"/>
        <v>0</v>
      </c>
      <c r="M660" s="64">
        <f t="shared" si="344"/>
        <v>0</v>
      </c>
      <c r="N660" s="67">
        <f t="shared" si="348"/>
        <v>44933</v>
      </c>
      <c r="O660" s="64">
        <f t="shared" si="345"/>
        <v>1</v>
      </c>
      <c r="P660" s="64">
        <f t="shared" si="346"/>
        <v>0</v>
      </c>
      <c r="Q660" s="91" t="str">
        <f t="shared" si="338"/>
        <v>Selesai</v>
      </c>
      <c r="R660" s="64">
        <f t="shared" si="347"/>
        <v>0</v>
      </c>
      <c r="S660" s="67">
        <v>44952</v>
      </c>
      <c r="T660" s="67">
        <v>44977</v>
      </c>
      <c r="U660" s="64">
        <f t="shared" si="339"/>
        <v>1</v>
      </c>
      <c r="V660" s="64"/>
      <c r="W660" s="64"/>
      <c r="X660" s="93"/>
      <c r="Y660" s="94"/>
      <c r="Z660" s="91" t="str">
        <f t="shared" si="340"/>
        <v>100%</v>
      </c>
      <c r="AA660" s="67"/>
      <c r="AB660" s="473"/>
      <c r="AC660" s="478" t="s">
        <v>2711</v>
      </c>
      <c r="AD660" s="67"/>
    </row>
    <row r="661" spans="2:30">
      <c r="B661" s="64" t="s">
        <v>118</v>
      </c>
      <c r="C661" s="65" t="s">
        <v>645</v>
      </c>
      <c r="D661" s="66">
        <v>5.67</v>
      </c>
      <c r="E661" s="67">
        <v>44890</v>
      </c>
      <c r="F661" s="64">
        <f t="shared" si="341"/>
        <v>1</v>
      </c>
      <c r="G661" s="67">
        <v>44896</v>
      </c>
      <c r="H661" s="64">
        <f t="shared" si="336"/>
        <v>1</v>
      </c>
      <c r="I661" s="67">
        <f>+K661+15</f>
        <v>44918</v>
      </c>
      <c r="J661" s="64">
        <f t="shared" si="342"/>
        <v>0</v>
      </c>
      <c r="K661" s="67">
        <v>44903</v>
      </c>
      <c r="L661" s="64">
        <f t="shared" si="343"/>
        <v>0</v>
      </c>
      <c r="M661" s="64">
        <f t="shared" si="344"/>
        <v>0</v>
      </c>
      <c r="N661" s="67">
        <f t="shared" si="348"/>
        <v>44919</v>
      </c>
      <c r="O661" s="64">
        <f t="shared" si="345"/>
        <v>1</v>
      </c>
      <c r="P661" s="64">
        <f t="shared" si="346"/>
        <v>0</v>
      </c>
      <c r="Q661" s="91" t="str">
        <f t="shared" si="338"/>
        <v>Selesai</v>
      </c>
      <c r="R661" s="64">
        <f t="shared" si="347"/>
        <v>0</v>
      </c>
      <c r="S661" s="67">
        <v>44958</v>
      </c>
      <c r="T661" s="67">
        <v>44977</v>
      </c>
      <c r="U661" s="64">
        <f t="shared" si="339"/>
        <v>1</v>
      </c>
      <c r="V661" s="64"/>
      <c r="W661" s="64"/>
      <c r="X661" s="93"/>
      <c r="Y661" s="94"/>
      <c r="Z661" s="91" t="str">
        <f t="shared" si="340"/>
        <v>100%</v>
      </c>
      <c r="AA661" s="67"/>
      <c r="AB661" s="473"/>
      <c r="AC661" s="478" t="s">
        <v>2711</v>
      </c>
      <c r="AD661" s="67"/>
    </row>
    <row r="662" spans="2:30">
      <c r="B662" s="64" t="s">
        <v>105</v>
      </c>
      <c r="C662" s="65" t="s">
        <v>219</v>
      </c>
      <c r="D662" s="66">
        <v>7.61</v>
      </c>
      <c r="E662" s="67">
        <v>45290</v>
      </c>
      <c r="F662" s="64">
        <f t="shared" si="341"/>
        <v>1</v>
      </c>
      <c r="G662" s="67">
        <v>45291</v>
      </c>
      <c r="H662" s="64">
        <f t="shared" si="336"/>
        <v>1</v>
      </c>
      <c r="I662" s="67">
        <f>+K662+7</f>
        <v>44964</v>
      </c>
      <c r="J662" s="64">
        <f t="shared" si="342"/>
        <v>0</v>
      </c>
      <c r="K662" s="67">
        <v>44957</v>
      </c>
      <c r="L662" s="64">
        <f t="shared" si="343"/>
        <v>0</v>
      </c>
      <c r="M662" s="64">
        <f t="shared" si="344"/>
        <v>0</v>
      </c>
      <c r="N662" s="67">
        <f t="shared" si="348"/>
        <v>44965</v>
      </c>
      <c r="O662" s="64">
        <f t="shared" si="345"/>
        <v>1</v>
      </c>
      <c r="P662" s="64">
        <f t="shared" si="346"/>
        <v>0</v>
      </c>
      <c r="Q662" s="91" t="str">
        <f t="shared" si="338"/>
        <v>Selesai</v>
      </c>
      <c r="R662" s="64">
        <f t="shared" si="347"/>
        <v>0</v>
      </c>
      <c r="S662" s="67">
        <v>44968</v>
      </c>
      <c r="T662" s="67">
        <v>44985</v>
      </c>
      <c r="U662" s="64">
        <f t="shared" si="339"/>
        <v>1</v>
      </c>
      <c r="V662" s="64"/>
      <c r="W662" s="64"/>
      <c r="X662" s="93"/>
      <c r="Y662" s="94"/>
      <c r="Z662" s="91" t="str">
        <f t="shared" si="340"/>
        <v>100%</v>
      </c>
      <c r="AA662" s="67"/>
      <c r="AB662" s="473"/>
      <c r="AC662" s="478" t="s">
        <v>2711</v>
      </c>
      <c r="AD662" s="67"/>
    </row>
    <row r="663" spans="2:30">
      <c r="B663" s="64" t="s">
        <v>113</v>
      </c>
      <c r="C663" s="65" t="s">
        <v>646</v>
      </c>
      <c r="D663" s="66">
        <v>9.4</v>
      </c>
      <c r="E663" s="67">
        <v>44931</v>
      </c>
      <c r="F663" s="64">
        <f t="shared" si="341"/>
        <v>1</v>
      </c>
      <c r="G663" s="67">
        <v>44932</v>
      </c>
      <c r="H663" s="64">
        <f t="shared" si="336"/>
        <v>1</v>
      </c>
      <c r="I663" s="67">
        <f>+K663+5</f>
        <v>44943</v>
      </c>
      <c r="J663" s="64">
        <f t="shared" si="342"/>
        <v>0</v>
      </c>
      <c r="K663" s="67">
        <v>44938</v>
      </c>
      <c r="L663" s="64">
        <f t="shared" si="343"/>
        <v>0</v>
      </c>
      <c r="M663" s="64">
        <f t="shared" si="344"/>
        <v>0</v>
      </c>
      <c r="N663" s="67">
        <f t="shared" si="348"/>
        <v>44944</v>
      </c>
      <c r="O663" s="64">
        <f t="shared" si="345"/>
        <v>1</v>
      </c>
      <c r="P663" s="64">
        <f t="shared" si="346"/>
        <v>0</v>
      </c>
      <c r="Q663" s="91" t="str">
        <f t="shared" si="338"/>
        <v>Selesai</v>
      </c>
      <c r="R663" s="64">
        <f t="shared" si="347"/>
        <v>0</v>
      </c>
      <c r="S663" s="67">
        <v>44958</v>
      </c>
      <c r="T663" s="67">
        <v>44985</v>
      </c>
      <c r="U663" s="64">
        <f t="shared" si="339"/>
        <v>1</v>
      </c>
      <c r="V663" s="64"/>
      <c r="W663" s="64"/>
      <c r="X663" s="93"/>
      <c r="Y663" s="94"/>
      <c r="Z663" s="91" t="str">
        <f t="shared" si="340"/>
        <v>100%</v>
      </c>
      <c r="AA663" s="67"/>
      <c r="AB663" s="473"/>
      <c r="AC663" s="478" t="s">
        <v>2711</v>
      </c>
      <c r="AD663" s="67"/>
    </row>
    <row r="664" spans="2:30">
      <c r="B664" s="64" t="s">
        <v>113</v>
      </c>
      <c r="C664" s="65" t="s">
        <v>246</v>
      </c>
      <c r="D664" s="66">
        <v>8.6199999999999992</v>
      </c>
      <c r="E664" s="67">
        <v>44911</v>
      </c>
      <c r="F664" s="64">
        <f t="shared" si="341"/>
        <v>1</v>
      </c>
      <c r="G664" s="67">
        <v>44922</v>
      </c>
      <c r="H664" s="64">
        <f t="shared" si="336"/>
        <v>1</v>
      </c>
      <c r="I664" s="67">
        <f>+K664+5</f>
        <v>44941</v>
      </c>
      <c r="J664" s="64">
        <f t="shared" si="342"/>
        <v>0</v>
      </c>
      <c r="K664" s="67">
        <v>44936</v>
      </c>
      <c r="L664" s="64">
        <f t="shared" si="343"/>
        <v>0</v>
      </c>
      <c r="M664" s="64">
        <f t="shared" si="344"/>
        <v>0</v>
      </c>
      <c r="N664" s="67">
        <f t="shared" si="348"/>
        <v>44942</v>
      </c>
      <c r="O664" s="64">
        <f t="shared" si="345"/>
        <v>1</v>
      </c>
      <c r="P664" s="64">
        <f t="shared" si="346"/>
        <v>0</v>
      </c>
      <c r="Q664" s="91" t="str">
        <f t="shared" si="338"/>
        <v>Selesai</v>
      </c>
      <c r="R664" s="64">
        <f t="shared" si="347"/>
        <v>0</v>
      </c>
      <c r="S664" s="67">
        <v>44950</v>
      </c>
      <c r="T664" s="67">
        <v>44985</v>
      </c>
      <c r="U664" s="64">
        <f t="shared" si="339"/>
        <v>1</v>
      </c>
      <c r="V664" s="64"/>
      <c r="W664" s="64"/>
      <c r="X664" s="93"/>
      <c r="Y664" s="94"/>
      <c r="Z664" s="91" t="str">
        <f t="shared" si="340"/>
        <v>100%</v>
      </c>
      <c r="AA664" s="67"/>
      <c r="AB664" s="473"/>
      <c r="AC664" s="478" t="s">
        <v>2711</v>
      </c>
      <c r="AD664" s="67"/>
    </row>
    <row r="665" spans="2:30">
      <c r="B665" s="64" t="s">
        <v>113</v>
      </c>
      <c r="C665" s="65" t="s">
        <v>221</v>
      </c>
      <c r="D665" s="66">
        <v>3.8</v>
      </c>
      <c r="E665" s="67">
        <v>45290</v>
      </c>
      <c r="F665" s="64">
        <f t="shared" si="341"/>
        <v>1</v>
      </c>
      <c r="G665" s="67">
        <v>45291</v>
      </c>
      <c r="H665" s="64">
        <f t="shared" si="336"/>
        <v>1</v>
      </c>
      <c r="I665" s="67">
        <f>+K665+8</f>
        <v>44965</v>
      </c>
      <c r="J665" s="64">
        <f t="shared" si="342"/>
        <v>0</v>
      </c>
      <c r="K665" s="67">
        <v>44957</v>
      </c>
      <c r="L665" s="64">
        <f t="shared" si="343"/>
        <v>0</v>
      </c>
      <c r="M665" s="64">
        <f t="shared" si="344"/>
        <v>0</v>
      </c>
      <c r="N665" s="67">
        <f t="shared" si="348"/>
        <v>44966</v>
      </c>
      <c r="O665" s="64">
        <f t="shared" si="345"/>
        <v>1</v>
      </c>
      <c r="P665" s="64">
        <f t="shared" si="346"/>
        <v>0</v>
      </c>
      <c r="Q665" s="91" t="str">
        <f t="shared" si="338"/>
        <v>Selesai</v>
      </c>
      <c r="R665" s="64">
        <f t="shared" si="347"/>
        <v>0</v>
      </c>
      <c r="S665" s="67">
        <v>44970</v>
      </c>
      <c r="T665" s="67">
        <v>44985</v>
      </c>
      <c r="U665" s="64">
        <f t="shared" si="339"/>
        <v>1</v>
      </c>
      <c r="V665" s="64"/>
      <c r="W665" s="64"/>
      <c r="X665" s="93"/>
      <c r="Y665" s="94"/>
      <c r="Z665" s="91" t="str">
        <f t="shared" si="340"/>
        <v>100%</v>
      </c>
      <c r="AA665" s="67"/>
      <c r="AB665" s="473"/>
      <c r="AC665" s="478" t="s">
        <v>2711</v>
      </c>
      <c r="AD665" s="67"/>
    </row>
    <row r="666" spans="2:30">
      <c r="B666" s="64" t="s">
        <v>109</v>
      </c>
      <c r="C666" s="65" t="s">
        <v>647</v>
      </c>
      <c r="D666" s="66">
        <v>10.16</v>
      </c>
      <c r="E666" s="67">
        <v>44896</v>
      </c>
      <c r="F666" s="64">
        <f t="shared" si="341"/>
        <v>1</v>
      </c>
      <c r="G666" s="67">
        <v>44914</v>
      </c>
      <c r="H666" s="64">
        <f t="shared" si="336"/>
        <v>1</v>
      </c>
      <c r="I666" s="67">
        <f>+K666+15</f>
        <v>44940</v>
      </c>
      <c r="J666" s="64">
        <f t="shared" si="342"/>
        <v>0</v>
      </c>
      <c r="K666" s="67">
        <v>44925</v>
      </c>
      <c r="L666" s="64">
        <f t="shared" si="343"/>
        <v>0</v>
      </c>
      <c r="M666" s="64">
        <f t="shared" si="344"/>
        <v>0</v>
      </c>
      <c r="N666" s="67">
        <f t="shared" si="348"/>
        <v>44941</v>
      </c>
      <c r="O666" s="64">
        <f t="shared" si="345"/>
        <v>1</v>
      </c>
      <c r="P666" s="64">
        <f t="shared" si="346"/>
        <v>0</v>
      </c>
      <c r="Q666" s="91" t="str">
        <f t="shared" si="338"/>
        <v>Selesai</v>
      </c>
      <c r="R666" s="64">
        <f t="shared" si="347"/>
        <v>0</v>
      </c>
      <c r="S666" s="67">
        <v>44963</v>
      </c>
      <c r="T666" s="67">
        <v>44985</v>
      </c>
      <c r="U666" s="64">
        <f t="shared" si="339"/>
        <v>1</v>
      </c>
      <c r="V666" s="64"/>
      <c r="W666" s="64"/>
      <c r="X666" s="93"/>
      <c r="Y666" s="94"/>
      <c r="Z666" s="91" t="str">
        <f t="shared" si="340"/>
        <v>100%</v>
      </c>
      <c r="AA666" s="67"/>
      <c r="AB666" s="473"/>
      <c r="AC666" s="478" t="s">
        <v>2711</v>
      </c>
      <c r="AD666" s="67"/>
    </row>
    <row r="667" spans="2:30">
      <c r="B667" s="64" t="s">
        <v>118</v>
      </c>
      <c r="C667" s="65" t="s">
        <v>648</v>
      </c>
      <c r="D667" s="66">
        <v>12.02</v>
      </c>
      <c r="E667" s="67">
        <v>44889</v>
      </c>
      <c r="F667" s="64">
        <f t="shared" si="341"/>
        <v>1</v>
      </c>
      <c r="G667" s="67">
        <v>44890</v>
      </c>
      <c r="H667" s="64">
        <f t="shared" si="336"/>
        <v>1</v>
      </c>
      <c r="I667" s="67">
        <f>+K667+15</f>
        <v>44918</v>
      </c>
      <c r="J667" s="64">
        <f t="shared" si="342"/>
        <v>0</v>
      </c>
      <c r="K667" s="67">
        <v>44903</v>
      </c>
      <c r="L667" s="64">
        <f t="shared" si="343"/>
        <v>0</v>
      </c>
      <c r="M667" s="64">
        <f t="shared" si="344"/>
        <v>0</v>
      </c>
      <c r="N667" s="67">
        <f t="shared" si="348"/>
        <v>44919</v>
      </c>
      <c r="O667" s="64">
        <f t="shared" si="345"/>
        <v>1</v>
      </c>
      <c r="P667" s="64">
        <f t="shared" si="346"/>
        <v>0</v>
      </c>
      <c r="Q667" s="91" t="str">
        <f t="shared" si="338"/>
        <v>Selesai</v>
      </c>
      <c r="R667" s="64">
        <f t="shared" si="347"/>
        <v>0</v>
      </c>
      <c r="S667" s="67">
        <v>44951</v>
      </c>
      <c r="T667" s="67">
        <v>44985</v>
      </c>
      <c r="U667" s="64">
        <f t="shared" si="339"/>
        <v>1</v>
      </c>
      <c r="V667" s="64"/>
      <c r="W667" s="64"/>
      <c r="X667" s="93"/>
      <c r="Y667" s="94"/>
      <c r="Z667" s="91" t="str">
        <f t="shared" si="340"/>
        <v>100%</v>
      </c>
      <c r="AA667" s="67"/>
      <c r="AB667" s="473"/>
      <c r="AC667" s="478" t="s">
        <v>2711</v>
      </c>
      <c r="AD667" s="67"/>
    </row>
    <row r="668" spans="2:30">
      <c r="B668" s="64" t="s">
        <v>118</v>
      </c>
      <c r="C668" s="65" t="s">
        <v>649</v>
      </c>
      <c r="D668" s="66">
        <v>8.73</v>
      </c>
      <c r="E668" s="67">
        <v>44890</v>
      </c>
      <c r="F668" s="64">
        <f t="shared" si="341"/>
        <v>1</v>
      </c>
      <c r="G668" s="67">
        <v>44896</v>
      </c>
      <c r="H668" s="64">
        <f t="shared" si="336"/>
        <v>1</v>
      </c>
      <c r="I668" s="67">
        <f>+K668+7</f>
        <v>44937</v>
      </c>
      <c r="J668" s="64">
        <f t="shared" si="342"/>
        <v>0</v>
      </c>
      <c r="K668" s="67">
        <v>44930</v>
      </c>
      <c r="L668" s="64">
        <f t="shared" si="343"/>
        <v>0</v>
      </c>
      <c r="M668" s="64">
        <f t="shared" si="344"/>
        <v>0</v>
      </c>
      <c r="N668" s="67">
        <f t="shared" si="348"/>
        <v>44938</v>
      </c>
      <c r="O668" s="64">
        <f t="shared" si="345"/>
        <v>1</v>
      </c>
      <c r="P668" s="64">
        <f t="shared" si="346"/>
        <v>0</v>
      </c>
      <c r="Q668" s="91" t="str">
        <f t="shared" si="338"/>
        <v>Selesai</v>
      </c>
      <c r="R668" s="64">
        <f t="shared" si="347"/>
        <v>0</v>
      </c>
      <c r="S668" s="67">
        <v>44965</v>
      </c>
      <c r="T668" s="67">
        <v>44985</v>
      </c>
      <c r="U668" s="64">
        <f t="shared" si="339"/>
        <v>1</v>
      </c>
      <c r="V668" s="64"/>
      <c r="W668" s="64"/>
      <c r="X668" s="93"/>
      <c r="Y668" s="94"/>
      <c r="Z668" s="91" t="str">
        <f t="shared" si="340"/>
        <v>100%</v>
      </c>
      <c r="AA668" s="67"/>
      <c r="AB668" s="473"/>
      <c r="AC668" s="478" t="s">
        <v>2711</v>
      </c>
      <c r="AD668" s="67"/>
    </row>
    <row r="669" spans="2:30">
      <c r="B669" s="64" t="s">
        <v>118</v>
      </c>
      <c r="C669" s="65" t="s">
        <v>650</v>
      </c>
      <c r="D669" s="66">
        <v>8.02</v>
      </c>
      <c r="E669" s="67">
        <v>44903</v>
      </c>
      <c r="F669" s="64">
        <f t="shared" si="341"/>
        <v>1</v>
      </c>
      <c r="G669" s="67">
        <v>44896</v>
      </c>
      <c r="H669" s="64">
        <f t="shared" si="336"/>
        <v>1</v>
      </c>
      <c r="I669" s="67">
        <f>+K669+12</f>
        <v>44944</v>
      </c>
      <c r="J669" s="64">
        <f t="shared" si="342"/>
        <v>0</v>
      </c>
      <c r="K669" s="67">
        <v>44932</v>
      </c>
      <c r="L669" s="64">
        <f t="shared" si="343"/>
        <v>0</v>
      </c>
      <c r="M669" s="64">
        <f t="shared" si="344"/>
        <v>0</v>
      </c>
      <c r="N669" s="67">
        <f t="shared" si="348"/>
        <v>44945</v>
      </c>
      <c r="O669" s="64">
        <f t="shared" si="345"/>
        <v>1</v>
      </c>
      <c r="P669" s="64">
        <f t="shared" si="346"/>
        <v>0</v>
      </c>
      <c r="Q669" s="91" t="str">
        <f t="shared" si="338"/>
        <v>Selesai</v>
      </c>
      <c r="R669" s="64">
        <f t="shared" si="347"/>
        <v>0</v>
      </c>
      <c r="S669" s="67">
        <v>44970</v>
      </c>
      <c r="T669" s="67">
        <v>44991</v>
      </c>
      <c r="U669" s="64">
        <f t="shared" si="339"/>
        <v>1</v>
      </c>
      <c r="V669" s="64"/>
      <c r="W669" s="64"/>
      <c r="X669" s="93"/>
      <c r="Y669" s="94"/>
      <c r="Z669" s="91" t="str">
        <f t="shared" si="340"/>
        <v>100%</v>
      </c>
      <c r="AA669" s="67"/>
      <c r="AB669" s="473"/>
      <c r="AC669" s="478" t="s">
        <v>2711</v>
      </c>
      <c r="AD669" s="67"/>
    </row>
    <row r="670" spans="2:30">
      <c r="B670" s="64" t="s">
        <v>113</v>
      </c>
      <c r="C670" s="65" t="s">
        <v>240</v>
      </c>
      <c r="D670" s="66">
        <v>4.38</v>
      </c>
      <c r="E670" s="67">
        <v>45290</v>
      </c>
      <c r="F670" s="64">
        <f t="shared" si="341"/>
        <v>1</v>
      </c>
      <c r="G670" s="67">
        <v>45291</v>
      </c>
      <c r="H670" s="64">
        <f t="shared" si="336"/>
        <v>1</v>
      </c>
      <c r="I670" s="67">
        <f>+K670+6</f>
        <v>44963</v>
      </c>
      <c r="J670" s="64">
        <f t="shared" si="342"/>
        <v>0</v>
      </c>
      <c r="K670" s="67">
        <v>44957</v>
      </c>
      <c r="L670" s="64">
        <f t="shared" si="343"/>
        <v>0</v>
      </c>
      <c r="M670" s="64">
        <f t="shared" si="344"/>
        <v>0</v>
      </c>
      <c r="N670" s="67">
        <f t="shared" si="348"/>
        <v>44964</v>
      </c>
      <c r="O670" s="64">
        <f t="shared" si="345"/>
        <v>1</v>
      </c>
      <c r="P670" s="64">
        <f t="shared" si="346"/>
        <v>0</v>
      </c>
      <c r="Q670" s="91" t="str">
        <f t="shared" si="338"/>
        <v>Selesai</v>
      </c>
      <c r="R670" s="64">
        <f t="shared" si="347"/>
        <v>0</v>
      </c>
      <c r="S670" s="67">
        <v>44973</v>
      </c>
      <c r="T670" s="67">
        <v>44989</v>
      </c>
      <c r="U670" s="64">
        <f t="shared" si="339"/>
        <v>1</v>
      </c>
      <c r="V670" s="64"/>
      <c r="W670" s="64"/>
      <c r="X670" s="93"/>
      <c r="Y670" s="94"/>
      <c r="Z670" s="91" t="str">
        <f t="shared" si="340"/>
        <v>100%</v>
      </c>
      <c r="AA670" s="67"/>
      <c r="AB670" s="473"/>
      <c r="AC670" s="478" t="s">
        <v>2711</v>
      </c>
      <c r="AD670" s="67"/>
    </row>
    <row r="671" spans="2:30">
      <c r="B671" s="64" t="s">
        <v>105</v>
      </c>
      <c r="C671" s="65" t="s">
        <v>235</v>
      </c>
      <c r="D671" s="66">
        <v>4.03</v>
      </c>
      <c r="E671" s="67">
        <v>44942</v>
      </c>
      <c r="F671" s="64">
        <f t="shared" si="341"/>
        <v>1</v>
      </c>
      <c r="G671" s="67">
        <v>44953</v>
      </c>
      <c r="H671" s="64">
        <f t="shared" si="336"/>
        <v>1</v>
      </c>
      <c r="I671" s="67">
        <f>+K671+5</f>
        <v>44972</v>
      </c>
      <c r="J671" s="64">
        <f t="shared" si="342"/>
        <v>0</v>
      </c>
      <c r="K671" s="67">
        <v>44967</v>
      </c>
      <c r="L671" s="64">
        <f t="shared" si="343"/>
        <v>0</v>
      </c>
      <c r="M671" s="64">
        <f t="shared" si="344"/>
        <v>0</v>
      </c>
      <c r="N671" s="67">
        <f t="shared" si="348"/>
        <v>44973</v>
      </c>
      <c r="O671" s="64">
        <f t="shared" si="345"/>
        <v>1</v>
      </c>
      <c r="P671" s="64">
        <f t="shared" si="346"/>
        <v>0</v>
      </c>
      <c r="Q671" s="91" t="str">
        <f t="shared" si="338"/>
        <v>Selesai</v>
      </c>
      <c r="R671" s="64">
        <f t="shared" si="347"/>
        <v>0</v>
      </c>
      <c r="S671" s="67">
        <v>44974</v>
      </c>
      <c r="T671" s="67">
        <v>45000</v>
      </c>
      <c r="U671" s="64">
        <f t="shared" si="339"/>
        <v>1</v>
      </c>
      <c r="V671" s="64"/>
      <c r="W671" s="64"/>
      <c r="X671" s="93"/>
      <c r="Y671" s="94"/>
      <c r="Z671" s="91" t="str">
        <f t="shared" si="340"/>
        <v>100%</v>
      </c>
      <c r="AA671" s="67"/>
      <c r="AB671" s="473"/>
      <c r="AC671" s="478" t="s">
        <v>2711</v>
      </c>
      <c r="AD671" s="67"/>
    </row>
    <row r="672" spans="2:30">
      <c r="B672" s="64" t="s">
        <v>113</v>
      </c>
      <c r="C672" s="65" t="s">
        <v>232</v>
      </c>
      <c r="D672" s="66">
        <v>8.36</v>
      </c>
      <c r="E672" s="67">
        <v>44926</v>
      </c>
      <c r="F672" s="64">
        <f t="shared" si="341"/>
        <v>1</v>
      </c>
      <c r="G672" s="67">
        <v>44930</v>
      </c>
      <c r="H672" s="64">
        <f t="shared" si="336"/>
        <v>1</v>
      </c>
      <c r="I672" s="67">
        <f>+K672+7</f>
        <v>44974</v>
      </c>
      <c r="J672" s="64">
        <f t="shared" si="342"/>
        <v>0</v>
      </c>
      <c r="K672" s="67">
        <v>44967</v>
      </c>
      <c r="L672" s="64">
        <f t="shared" si="343"/>
        <v>0</v>
      </c>
      <c r="M672" s="64">
        <f t="shared" si="344"/>
        <v>0</v>
      </c>
      <c r="N672" s="67">
        <f t="shared" si="348"/>
        <v>44975</v>
      </c>
      <c r="O672" s="64">
        <f t="shared" si="345"/>
        <v>1</v>
      </c>
      <c r="P672" s="64">
        <f t="shared" si="346"/>
        <v>0</v>
      </c>
      <c r="Q672" s="91" t="str">
        <f t="shared" si="338"/>
        <v>Selesai</v>
      </c>
      <c r="R672" s="64">
        <f t="shared" si="347"/>
        <v>0</v>
      </c>
      <c r="S672" s="67">
        <v>44978</v>
      </c>
      <c r="T672" s="67">
        <v>45000</v>
      </c>
      <c r="U672" s="64">
        <f t="shared" si="339"/>
        <v>1</v>
      </c>
      <c r="V672" s="64"/>
      <c r="W672" s="64"/>
      <c r="X672" s="93"/>
      <c r="Y672" s="94"/>
      <c r="Z672" s="91" t="str">
        <f t="shared" si="340"/>
        <v>100%</v>
      </c>
      <c r="AA672" s="67"/>
      <c r="AB672" s="473"/>
      <c r="AC672" s="478" t="s">
        <v>2711</v>
      </c>
      <c r="AD672" s="67"/>
    </row>
    <row r="673" spans="2:30">
      <c r="B673" s="64" t="s">
        <v>113</v>
      </c>
      <c r="C673" s="65" t="s">
        <v>651</v>
      </c>
      <c r="D673" s="66">
        <v>6.39</v>
      </c>
      <c r="E673" s="67">
        <v>44902</v>
      </c>
      <c r="F673" s="64">
        <f t="shared" si="341"/>
        <v>1</v>
      </c>
      <c r="G673" s="67">
        <v>44904</v>
      </c>
      <c r="H673" s="64">
        <f t="shared" si="336"/>
        <v>1</v>
      </c>
      <c r="I673" s="67">
        <f>+K673+8</f>
        <v>44938</v>
      </c>
      <c r="J673" s="64">
        <f t="shared" si="342"/>
        <v>0</v>
      </c>
      <c r="K673" s="67">
        <v>44930</v>
      </c>
      <c r="L673" s="64">
        <f t="shared" si="343"/>
        <v>0</v>
      </c>
      <c r="M673" s="64">
        <f t="shared" si="344"/>
        <v>0</v>
      </c>
      <c r="N673" s="67">
        <f t="shared" si="348"/>
        <v>44939</v>
      </c>
      <c r="O673" s="64">
        <f t="shared" si="345"/>
        <v>1</v>
      </c>
      <c r="P673" s="64">
        <f t="shared" si="346"/>
        <v>0</v>
      </c>
      <c r="Q673" s="91" t="str">
        <f t="shared" si="338"/>
        <v>Selesai</v>
      </c>
      <c r="R673" s="64">
        <f t="shared" si="347"/>
        <v>0</v>
      </c>
      <c r="S673" s="67">
        <v>44967</v>
      </c>
      <c r="T673" s="67">
        <v>45000</v>
      </c>
      <c r="U673" s="64">
        <f t="shared" si="339"/>
        <v>1</v>
      </c>
      <c r="V673" s="64"/>
      <c r="W673" s="64"/>
      <c r="X673" s="93"/>
      <c r="Y673" s="94"/>
      <c r="Z673" s="91" t="str">
        <f t="shared" si="340"/>
        <v>100%</v>
      </c>
      <c r="AA673" s="67"/>
      <c r="AB673" s="473"/>
      <c r="AC673" s="478" t="s">
        <v>2711</v>
      </c>
      <c r="AD673" s="67"/>
    </row>
    <row r="674" spans="2:30">
      <c r="B674" s="64" t="s">
        <v>116</v>
      </c>
      <c r="C674" s="65" t="s">
        <v>189</v>
      </c>
      <c r="D674" s="66">
        <v>9.23</v>
      </c>
      <c r="E674" s="67">
        <v>44940</v>
      </c>
      <c r="F674" s="64">
        <f t="shared" si="341"/>
        <v>1</v>
      </c>
      <c r="G674" s="67">
        <v>44942</v>
      </c>
      <c r="H674" s="64">
        <f t="shared" si="336"/>
        <v>1</v>
      </c>
      <c r="I674" s="67">
        <f>+K674+8</f>
        <v>44972</v>
      </c>
      <c r="J674" s="64">
        <f t="shared" si="342"/>
        <v>0</v>
      </c>
      <c r="K674" s="67">
        <v>44964</v>
      </c>
      <c r="L674" s="64">
        <f t="shared" si="343"/>
        <v>0</v>
      </c>
      <c r="M674" s="64">
        <f t="shared" si="344"/>
        <v>0</v>
      </c>
      <c r="N674" s="67">
        <f t="shared" si="348"/>
        <v>44973</v>
      </c>
      <c r="O674" s="64">
        <f t="shared" si="345"/>
        <v>1</v>
      </c>
      <c r="P674" s="64">
        <f t="shared" si="346"/>
        <v>0</v>
      </c>
      <c r="Q674" s="91" t="str">
        <f t="shared" si="338"/>
        <v>Selesai</v>
      </c>
      <c r="R674" s="64">
        <f t="shared" si="347"/>
        <v>0</v>
      </c>
      <c r="S674" s="67">
        <v>44982</v>
      </c>
      <c r="T674" s="67">
        <v>45007</v>
      </c>
      <c r="U674" s="64">
        <f t="shared" si="339"/>
        <v>1</v>
      </c>
      <c r="V674" s="64"/>
      <c r="W674" s="64"/>
      <c r="X674" s="93"/>
      <c r="Y674" s="94"/>
      <c r="Z674" s="91" t="str">
        <f t="shared" si="340"/>
        <v>100%</v>
      </c>
      <c r="AA674" s="67"/>
      <c r="AB674" s="473"/>
      <c r="AC674" s="478" t="s">
        <v>2711</v>
      </c>
      <c r="AD674" s="67"/>
    </row>
    <row r="675" spans="2:30">
      <c r="B675" s="64" t="s">
        <v>105</v>
      </c>
      <c r="C675" s="65" t="s">
        <v>234</v>
      </c>
      <c r="D675" s="66">
        <v>6.05</v>
      </c>
      <c r="E675" s="67">
        <v>44942</v>
      </c>
      <c r="F675" s="64">
        <f t="shared" si="341"/>
        <v>1</v>
      </c>
      <c r="G675" s="67">
        <v>44953</v>
      </c>
      <c r="H675" s="64">
        <f t="shared" si="336"/>
        <v>1</v>
      </c>
      <c r="I675" s="67">
        <f>+K675+7</f>
        <v>44974</v>
      </c>
      <c r="J675" s="64">
        <f t="shared" si="342"/>
        <v>0</v>
      </c>
      <c r="K675" s="67">
        <v>44967</v>
      </c>
      <c r="L675" s="64">
        <f t="shared" si="343"/>
        <v>0</v>
      </c>
      <c r="M675" s="64">
        <f t="shared" si="344"/>
        <v>0</v>
      </c>
      <c r="N675" s="67">
        <f t="shared" si="348"/>
        <v>44975</v>
      </c>
      <c r="O675" s="64">
        <f t="shared" si="345"/>
        <v>1</v>
      </c>
      <c r="P675" s="64">
        <f t="shared" si="346"/>
        <v>0</v>
      </c>
      <c r="Q675" s="91" t="str">
        <f t="shared" si="338"/>
        <v>Selesai</v>
      </c>
      <c r="R675" s="64">
        <f t="shared" si="347"/>
        <v>0</v>
      </c>
      <c r="S675" s="67">
        <v>44978</v>
      </c>
      <c r="T675" s="67">
        <v>45012</v>
      </c>
      <c r="U675" s="64">
        <f t="shared" si="339"/>
        <v>1</v>
      </c>
      <c r="V675" s="64"/>
      <c r="W675" s="64"/>
      <c r="X675" s="93"/>
      <c r="Y675" s="94"/>
      <c r="Z675" s="91" t="str">
        <f t="shared" si="340"/>
        <v>100%</v>
      </c>
      <c r="AA675" s="67"/>
      <c r="AB675" s="473"/>
      <c r="AC675" s="478" t="s">
        <v>2711</v>
      </c>
      <c r="AD675" s="67"/>
    </row>
    <row r="676" spans="2:30">
      <c r="B676" s="64" t="s">
        <v>107</v>
      </c>
      <c r="C676" s="65" t="s">
        <v>652</v>
      </c>
      <c r="D676" s="66">
        <v>5.0599999999999996</v>
      </c>
      <c r="E676" s="67">
        <v>44962</v>
      </c>
      <c r="F676" s="64">
        <f t="shared" si="341"/>
        <v>1</v>
      </c>
      <c r="G676" s="67">
        <v>44963</v>
      </c>
      <c r="H676" s="64">
        <f t="shared" si="336"/>
        <v>1</v>
      </c>
      <c r="I676" s="67">
        <f>+K676+7</f>
        <v>44996</v>
      </c>
      <c r="J676" s="64">
        <f t="shared" si="342"/>
        <v>0</v>
      </c>
      <c r="K676" s="67">
        <v>44989</v>
      </c>
      <c r="L676" s="64">
        <f t="shared" si="343"/>
        <v>0</v>
      </c>
      <c r="M676" s="64">
        <f t="shared" si="344"/>
        <v>0</v>
      </c>
      <c r="N676" s="67">
        <f t="shared" si="348"/>
        <v>44997</v>
      </c>
      <c r="O676" s="64">
        <f t="shared" si="345"/>
        <v>1</v>
      </c>
      <c r="P676" s="64">
        <f t="shared" si="346"/>
        <v>0</v>
      </c>
      <c r="Q676" s="91" t="str">
        <f t="shared" si="338"/>
        <v>Selesai</v>
      </c>
      <c r="R676" s="64">
        <f t="shared" si="347"/>
        <v>0</v>
      </c>
      <c r="S676" s="67">
        <v>45002</v>
      </c>
      <c r="T676" s="67">
        <v>45015</v>
      </c>
      <c r="U676" s="64">
        <f t="shared" si="339"/>
        <v>1</v>
      </c>
      <c r="V676" s="64"/>
      <c r="W676" s="64"/>
      <c r="X676" s="93"/>
      <c r="Y676" s="94"/>
      <c r="Z676" s="91" t="str">
        <f t="shared" si="340"/>
        <v>100%</v>
      </c>
      <c r="AA676" s="67"/>
      <c r="AB676" s="473"/>
      <c r="AC676" s="478" t="s">
        <v>2711</v>
      </c>
      <c r="AD676" s="67"/>
    </row>
    <row r="677" spans="2:30">
      <c r="B677" s="64" t="s">
        <v>111</v>
      </c>
      <c r="C677" s="65" t="s">
        <v>207</v>
      </c>
      <c r="D677" s="66">
        <v>7.2</v>
      </c>
      <c r="E677" s="67">
        <v>44964</v>
      </c>
      <c r="F677" s="64">
        <f t="shared" si="341"/>
        <v>1</v>
      </c>
      <c r="G677" s="67">
        <v>44967</v>
      </c>
      <c r="H677" s="64">
        <f t="shared" si="336"/>
        <v>1</v>
      </c>
      <c r="I677" s="67">
        <f>+K677+2</f>
        <v>44995</v>
      </c>
      <c r="J677" s="64">
        <f t="shared" si="342"/>
        <v>0</v>
      </c>
      <c r="K677" s="67">
        <v>44993</v>
      </c>
      <c r="L677" s="64">
        <f t="shared" si="343"/>
        <v>0</v>
      </c>
      <c r="M677" s="64">
        <f t="shared" si="344"/>
        <v>0</v>
      </c>
      <c r="N677" s="67">
        <f t="shared" si="348"/>
        <v>44996</v>
      </c>
      <c r="O677" s="64">
        <f t="shared" si="345"/>
        <v>1</v>
      </c>
      <c r="P677" s="64">
        <f t="shared" si="346"/>
        <v>0</v>
      </c>
      <c r="Q677" s="91" t="str">
        <f t="shared" si="338"/>
        <v>Selesai</v>
      </c>
      <c r="R677" s="64">
        <f t="shared" si="347"/>
        <v>0</v>
      </c>
      <c r="S677" s="67">
        <v>44995</v>
      </c>
      <c r="T677" s="67">
        <v>45014</v>
      </c>
      <c r="U677" s="64">
        <f t="shared" si="339"/>
        <v>1</v>
      </c>
      <c r="V677" s="64"/>
      <c r="W677" s="64"/>
      <c r="X677" s="93"/>
      <c r="Y677" s="94"/>
      <c r="Z677" s="91" t="str">
        <f t="shared" si="340"/>
        <v>100%</v>
      </c>
      <c r="AA677" s="67"/>
      <c r="AB677" s="473"/>
      <c r="AC677" s="478" t="s">
        <v>2711</v>
      </c>
      <c r="AD677" s="67"/>
    </row>
    <row r="678" spans="2:30">
      <c r="B678" s="64" t="s">
        <v>116</v>
      </c>
      <c r="C678" s="65" t="s">
        <v>653</v>
      </c>
      <c r="D678" s="66">
        <v>8.15</v>
      </c>
      <c r="E678" s="67">
        <v>44900</v>
      </c>
      <c r="F678" s="64">
        <f t="shared" si="341"/>
        <v>1</v>
      </c>
      <c r="G678" s="67">
        <v>44901</v>
      </c>
      <c r="H678" s="64">
        <f t="shared" si="336"/>
        <v>1</v>
      </c>
      <c r="I678" s="67">
        <f>+K678+8</f>
        <v>44938</v>
      </c>
      <c r="J678" s="64">
        <f t="shared" si="342"/>
        <v>0</v>
      </c>
      <c r="K678" s="67">
        <v>44930</v>
      </c>
      <c r="L678" s="64">
        <f t="shared" si="343"/>
        <v>0</v>
      </c>
      <c r="M678" s="64">
        <f t="shared" si="344"/>
        <v>0</v>
      </c>
      <c r="N678" s="67">
        <f t="shared" si="348"/>
        <v>44939</v>
      </c>
      <c r="O678" s="64">
        <f t="shared" si="345"/>
        <v>1</v>
      </c>
      <c r="P678" s="64">
        <f t="shared" si="346"/>
        <v>0</v>
      </c>
      <c r="Q678" s="91" t="str">
        <f t="shared" si="338"/>
        <v>Selesai</v>
      </c>
      <c r="R678" s="64">
        <f t="shared" si="347"/>
        <v>0</v>
      </c>
      <c r="S678" s="67">
        <v>44973</v>
      </c>
      <c r="T678" s="67">
        <v>45014</v>
      </c>
      <c r="U678" s="64">
        <f t="shared" si="339"/>
        <v>1</v>
      </c>
      <c r="V678" s="64"/>
      <c r="W678" s="64"/>
      <c r="X678" s="93"/>
      <c r="Y678" s="94"/>
      <c r="Z678" s="91" t="str">
        <f t="shared" si="340"/>
        <v>100%</v>
      </c>
      <c r="AA678" s="67"/>
      <c r="AB678" s="473"/>
      <c r="AC678" s="478" t="s">
        <v>2711</v>
      </c>
      <c r="AD678" s="67"/>
    </row>
    <row r="679" spans="2:30">
      <c r="B679" s="64" t="s">
        <v>118</v>
      </c>
      <c r="C679" s="65" t="s">
        <v>208</v>
      </c>
      <c r="D679" s="66">
        <v>11.16</v>
      </c>
      <c r="E679" s="67">
        <v>44930</v>
      </c>
      <c r="F679" s="64">
        <f t="shared" si="341"/>
        <v>1</v>
      </c>
      <c r="G679" s="67">
        <v>44931</v>
      </c>
      <c r="H679" s="64">
        <f t="shared" si="336"/>
        <v>1</v>
      </c>
      <c r="I679" s="67">
        <f>+K679+8</f>
        <v>44946</v>
      </c>
      <c r="J679" s="64">
        <f t="shared" si="342"/>
        <v>0</v>
      </c>
      <c r="K679" s="67">
        <v>44938</v>
      </c>
      <c r="L679" s="64">
        <f t="shared" si="343"/>
        <v>0</v>
      </c>
      <c r="M679" s="64">
        <f t="shared" si="344"/>
        <v>0</v>
      </c>
      <c r="N679" s="67">
        <f t="shared" si="348"/>
        <v>44947</v>
      </c>
      <c r="O679" s="64">
        <f t="shared" si="345"/>
        <v>1</v>
      </c>
      <c r="P679" s="64">
        <f t="shared" si="346"/>
        <v>0</v>
      </c>
      <c r="Q679" s="91" t="str">
        <f t="shared" si="338"/>
        <v>Selesai</v>
      </c>
      <c r="R679" s="64">
        <f t="shared" si="347"/>
        <v>0</v>
      </c>
      <c r="S679" s="67">
        <v>44980</v>
      </c>
      <c r="T679" s="67">
        <v>45014</v>
      </c>
      <c r="U679" s="64">
        <f t="shared" si="339"/>
        <v>1</v>
      </c>
      <c r="V679" s="64"/>
      <c r="W679" s="64"/>
      <c r="X679" s="93"/>
      <c r="Y679" s="94"/>
      <c r="Z679" s="91" t="str">
        <f t="shared" si="340"/>
        <v>100%</v>
      </c>
      <c r="AA679" s="67"/>
      <c r="AB679" s="473"/>
      <c r="AC679" s="478" t="s">
        <v>2711</v>
      </c>
      <c r="AD679" s="67"/>
    </row>
    <row r="680" spans="2:30">
      <c r="B680" s="64" t="s">
        <v>107</v>
      </c>
      <c r="C680" s="65" t="s">
        <v>213</v>
      </c>
      <c r="D680" s="66">
        <v>6.88</v>
      </c>
      <c r="E680" s="67">
        <v>44963</v>
      </c>
      <c r="F680" s="64">
        <f t="shared" si="341"/>
        <v>1</v>
      </c>
      <c r="G680" s="67">
        <v>44965</v>
      </c>
      <c r="H680" s="64">
        <f t="shared" si="336"/>
        <v>1</v>
      </c>
      <c r="I680" s="67">
        <f>+K680+7</f>
        <v>44992</v>
      </c>
      <c r="J680" s="64">
        <f t="shared" si="342"/>
        <v>0</v>
      </c>
      <c r="K680" s="67">
        <v>44985</v>
      </c>
      <c r="L680" s="64">
        <f t="shared" si="343"/>
        <v>0</v>
      </c>
      <c r="M680" s="64">
        <f t="shared" si="344"/>
        <v>0</v>
      </c>
      <c r="N680" s="67">
        <f t="shared" si="348"/>
        <v>44993</v>
      </c>
      <c r="O680" s="64">
        <f t="shared" si="345"/>
        <v>1</v>
      </c>
      <c r="P680" s="64">
        <f t="shared" si="346"/>
        <v>0</v>
      </c>
      <c r="Q680" s="91" t="str">
        <f t="shared" si="338"/>
        <v>Selesai</v>
      </c>
      <c r="R680" s="64">
        <f t="shared" si="347"/>
        <v>0</v>
      </c>
      <c r="S680" s="67">
        <v>44998</v>
      </c>
      <c r="T680" s="67">
        <v>45016</v>
      </c>
      <c r="U680" s="64">
        <f t="shared" si="339"/>
        <v>1</v>
      </c>
      <c r="V680" s="64"/>
      <c r="W680" s="64"/>
      <c r="X680" s="93"/>
      <c r="Y680" s="94"/>
      <c r="Z680" s="91" t="str">
        <f t="shared" si="340"/>
        <v>100%</v>
      </c>
      <c r="AA680" s="67"/>
      <c r="AB680" s="473"/>
      <c r="AC680" s="478" t="s">
        <v>2711</v>
      </c>
      <c r="AD680" s="67"/>
    </row>
    <row r="681" spans="2:30">
      <c r="B681" s="64" t="s">
        <v>107</v>
      </c>
      <c r="C681" s="65" t="s">
        <v>654</v>
      </c>
      <c r="D681" s="66">
        <v>4.04</v>
      </c>
      <c r="E681" s="67">
        <v>44962</v>
      </c>
      <c r="F681" s="64">
        <f t="shared" si="341"/>
        <v>1</v>
      </c>
      <c r="G681" s="67">
        <v>44963</v>
      </c>
      <c r="H681" s="64">
        <f t="shared" si="336"/>
        <v>1</v>
      </c>
      <c r="I681" s="67">
        <f>+K681+7</f>
        <v>44996</v>
      </c>
      <c r="J681" s="64">
        <f t="shared" si="342"/>
        <v>0</v>
      </c>
      <c r="K681" s="67">
        <v>44989</v>
      </c>
      <c r="L681" s="64">
        <f t="shared" si="343"/>
        <v>0</v>
      </c>
      <c r="M681" s="64">
        <f t="shared" si="344"/>
        <v>0</v>
      </c>
      <c r="N681" s="67">
        <f t="shared" si="348"/>
        <v>44997</v>
      </c>
      <c r="O681" s="64">
        <f t="shared" si="345"/>
        <v>1</v>
      </c>
      <c r="P681" s="64">
        <f t="shared" si="346"/>
        <v>0</v>
      </c>
      <c r="Q681" s="91" t="str">
        <f t="shared" si="338"/>
        <v>Selesai</v>
      </c>
      <c r="R681" s="64">
        <f t="shared" si="347"/>
        <v>0</v>
      </c>
      <c r="S681" s="67">
        <v>45000</v>
      </c>
      <c r="T681" s="67">
        <v>45016</v>
      </c>
      <c r="U681" s="64">
        <f t="shared" si="339"/>
        <v>1</v>
      </c>
      <c r="V681" s="64"/>
      <c r="W681" s="64"/>
      <c r="X681" s="93"/>
      <c r="Y681" s="94"/>
      <c r="Z681" s="91" t="str">
        <f t="shared" si="340"/>
        <v>100%</v>
      </c>
      <c r="AA681" s="67"/>
      <c r="AB681" s="473"/>
      <c r="AC681" s="478" t="s">
        <v>2711</v>
      </c>
      <c r="AD681" s="67"/>
    </row>
    <row r="682" spans="2:30">
      <c r="B682" s="64" t="s">
        <v>105</v>
      </c>
      <c r="C682" s="65" t="s">
        <v>655</v>
      </c>
      <c r="D682" s="66">
        <v>12.77</v>
      </c>
      <c r="E682" s="67">
        <v>44973</v>
      </c>
      <c r="F682" s="64">
        <f t="shared" si="341"/>
        <v>1</v>
      </c>
      <c r="G682" s="67">
        <v>44985</v>
      </c>
      <c r="H682" s="64">
        <f t="shared" si="336"/>
        <v>1</v>
      </c>
      <c r="I682" s="67">
        <f>+K682+2</f>
        <v>44995</v>
      </c>
      <c r="J682" s="64">
        <f t="shared" si="342"/>
        <v>0</v>
      </c>
      <c r="K682" s="67">
        <v>44993</v>
      </c>
      <c r="L682" s="64">
        <f t="shared" si="343"/>
        <v>0</v>
      </c>
      <c r="M682" s="64">
        <f t="shared" si="344"/>
        <v>0</v>
      </c>
      <c r="N682" s="67">
        <f t="shared" si="348"/>
        <v>44996</v>
      </c>
      <c r="O682" s="64">
        <f t="shared" si="345"/>
        <v>1</v>
      </c>
      <c r="P682" s="64">
        <f t="shared" si="346"/>
        <v>0</v>
      </c>
      <c r="Q682" s="91" t="str">
        <f t="shared" si="338"/>
        <v>Selesai</v>
      </c>
      <c r="R682" s="64">
        <f t="shared" si="347"/>
        <v>0</v>
      </c>
      <c r="S682" s="67">
        <v>44995</v>
      </c>
      <c r="T682" s="67">
        <v>45016</v>
      </c>
      <c r="U682" s="64">
        <f t="shared" si="339"/>
        <v>1</v>
      </c>
      <c r="V682" s="64"/>
      <c r="W682" s="64"/>
      <c r="X682" s="93"/>
      <c r="Y682" s="94"/>
      <c r="Z682" s="91" t="str">
        <f t="shared" si="340"/>
        <v>100%</v>
      </c>
      <c r="AA682" s="67"/>
      <c r="AB682" s="473"/>
      <c r="AC682" s="478" t="s">
        <v>2711</v>
      </c>
      <c r="AD682" s="67"/>
    </row>
    <row r="683" spans="2:30">
      <c r="B683" s="64" t="s">
        <v>105</v>
      </c>
      <c r="C683" s="65" t="s">
        <v>656</v>
      </c>
      <c r="D683" s="66">
        <v>4.58</v>
      </c>
      <c r="E683" s="67">
        <v>44999</v>
      </c>
      <c r="F683" s="64">
        <f t="shared" si="341"/>
        <v>1</v>
      </c>
      <c r="G683" s="67">
        <v>45002</v>
      </c>
      <c r="H683" s="64">
        <f t="shared" si="336"/>
        <v>1</v>
      </c>
      <c r="I683" s="67">
        <f>+K683+7</f>
        <v>45005</v>
      </c>
      <c r="J683" s="64">
        <f t="shared" si="342"/>
        <v>0</v>
      </c>
      <c r="K683" s="67">
        <v>44998</v>
      </c>
      <c r="L683" s="64">
        <f t="shared" si="343"/>
        <v>0</v>
      </c>
      <c r="M683" s="64">
        <f t="shared" si="344"/>
        <v>0</v>
      </c>
      <c r="N683" s="67">
        <f t="shared" si="348"/>
        <v>45006</v>
      </c>
      <c r="O683" s="64">
        <f t="shared" si="345"/>
        <v>1</v>
      </c>
      <c r="P683" s="64">
        <f t="shared" si="346"/>
        <v>0</v>
      </c>
      <c r="Q683" s="91" t="str">
        <f t="shared" si="338"/>
        <v>Selesai</v>
      </c>
      <c r="R683" s="64">
        <f t="shared" si="347"/>
        <v>0</v>
      </c>
      <c r="S683" s="67">
        <v>45005</v>
      </c>
      <c r="T683" s="67">
        <v>45016</v>
      </c>
      <c r="U683" s="64">
        <f t="shared" si="339"/>
        <v>1</v>
      </c>
      <c r="V683" s="64"/>
      <c r="W683" s="64"/>
      <c r="X683" s="93"/>
      <c r="Y683" s="94"/>
      <c r="Z683" s="91" t="str">
        <f t="shared" si="340"/>
        <v>100%</v>
      </c>
      <c r="AA683" s="67"/>
      <c r="AB683" s="473"/>
      <c r="AC683" s="478" t="s">
        <v>2711</v>
      </c>
      <c r="AD683" s="67"/>
    </row>
    <row r="684" spans="2:30">
      <c r="B684" s="64" t="s">
        <v>116</v>
      </c>
      <c r="C684" s="65" t="s">
        <v>657</v>
      </c>
      <c r="D684" s="66">
        <v>7.73</v>
      </c>
      <c r="E684" s="67">
        <v>44967</v>
      </c>
      <c r="F684" s="64">
        <f t="shared" si="341"/>
        <v>1</v>
      </c>
      <c r="G684" s="67">
        <v>44972</v>
      </c>
      <c r="H684" s="64">
        <f t="shared" si="336"/>
        <v>1</v>
      </c>
      <c r="I684" s="67">
        <f>+K684+7</f>
        <v>45005</v>
      </c>
      <c r="J684" s="64">
        <f t="shared" si="342"/>
        <v>0</v>
      </c>
      <c r="K684" s="67">
        <v>44998</v>
      </c>
      <c r="L684" s="64">
        <f t="shared" si="343"/>
        <v>0</v>
      </c>
      <c r="M684" s="64">
        <f t="shared" si="344"/>
        <v>0</v>
      </c>
      <c r="N684" s="67">
        <f t="shared" si="348"/>
        <v>45006</v>
      </c>
      <c r="O684" s="64">
        <f t="shared" si="345"/>
        <v>1</v>
      </c>
      <c r="P684" s="64">
        <f t="shared" si="346"/>
        <v>0</v>
      </c>
      <c r="Q684" s="91" t="str">
        <f t="shared" si="338"/>
        <v>Selesai</v>
      </c>
      <c r="R684" s="64">
        <f t="shared" si="347"/>
        <v>0</v>
      </c>
      <c r="S684" s="67">
        <v>45003</v>
      </c>
      <c r="T684" s="67">
        <v>45016</v>
      </c>
      <c r="U684" s="64">
        <f t="shared" si="339"/>
        <v>1</v>
      </c>
      <c r="V684" s="64"/>
      <c r="W684" s="64"/>
      <c r="X684" s="93"/>
      <c r="Y684" s="94"/>
      <c r="Z684" s="91" t="str">
        <f t="shared" si="340"/>
        <v>100%</v>
      </c>
      <c r="AA684" s="67"/>
      <c r="AB684" s="473"/>
      <c r="AC684" s="478" t="s">
        <v>2711</v>
      </c>
      <c r="AD684" s="67"/>
    </row>
    <row r="685" spans="2:30">
      <c r="B685" s="64" t="s">
        <v>107</v>
      </c>
      <c r="C685" s="65" t="s">
        <v>658</v>
      </c>
      <c r="D685" s="66">
        <v>7.35</v>
      </c>
      <c r="E685" s="67">
        <v>44958</v>
      </c>
      <c r="F685" s="64">
        <f t="shared" si="341"/>
        <v>1</v>
      </c>
      <c r="G685" s="67">
        <v>44963</v>
      </c>
      <c r="H685" s="64">
        <f t="shared" si="336"/>
        <v>1</v>
      </c>
      <c r="I685" s="67">
        <f>+K685+5</f>
        <v>44994</v>
      </c>
      <c r="J685" s="64">
        <f t="shared" si="342"/>
        <v>0</v>
      </c>
      <c r="K685" s="67">
        <v>44989</v>
      </c>
      <c r="L685" s="64">
        <f t="shared" si="343"/>
        <v>0</v>
      </c>
      <c r="M685" s="64">
        <f t="shared" si="344"/>
        <v>0</v>
      </c>
      <c r="N685" s="67">
        <f t="shared" si="348"/>
        <v>44995</v>
      </c>
      <c r="O685" s="64">
        <f t="shared" si="345"/>
        <v>1</v>
      </c>
      <c r="P685" s="64">
        <f t="shared" si="346"/>
        <v>0</v>
      </c>
      <c r="Q685" s="91" t="str">
        <f t="shared" si="338"/>
        <v>Selesai</v>
      </c>
      <c r="R685" s="64">
        <f t="shared" si="347"/>
        <v>0</v>
      </c>
      <c r="S685" s="67">
        <v>44995</v>
      </c>
      <c r="T685" s="67">
        <v>45024</v>
      </c>
      <c r="U685" s="64">
        <f t="shared" si="339"/>
        <v>1</v>
      </c>
      <c r="V685" s="64"/>
      <c r="W685" s="64"/>
      <c r="X685" s="93"/>
      <c r="Y685" s="94"/>
      <c r="Z685" s="91" t="str">
        <f t="shared" si="340"/>
        <v>100%</v>
      </c>
      <c r="AA685" s="67"/>
      <c r="AB685" s="473"/>
      <c r="AC685" s="478" t="s">
        <v>2711</v>
      </c>
      <c r="AD685" s="67"/>
    </row>
    <row r="686" spans="2:30">
      <c r="B686" s="64" t="s">
        <v>116</v>
      </c>
      <c r="C686" s="65" t="s">
        <v>659</v>
      </c>
      <c r="D686" s="66">
        <v>5.7</v>
      </c>
      <c r="E686" s="67">
        <v>44967</v>
      </c>
      <c r="F686" s="64">
        <f t="shared" si="341"/>
        <v>1</v>
      </c>
      <c r="G686" s="67">
        <v>44972</v>
      </c>
      <c r="H686" s="64">
        <f t="shared" si="336"/>
        <v>1</v>
      </c>
      <c r="I686" s="67">
        <f>+K686+7</f>
        <v>45005</v>
      </c>
      <c r="J686" s="64">
        <f t="shared" si="342"/>
        <v>0</v>
      </c>
      <c r="K686" s="67">
        <v>44998</v>
      </c>
      <c r="L686" s="64">
        <f t="shared" si="343"/>
        <v>0</v>
      </c>
      <c r="M686" s="64">
        <f t="shared" si="344"/>
        <v>0</v>
      </c>
      <c r="N686" s="67">
        <f t="shared" si="348"/>
        <v>45006</v>
      </c>
      <c r="O686" s="64">
        <f t="shared" si="345"/>
        <v>1</v>
      </c>
      <c r="P686" s="64">
        <f t="shared" si="346"/>
        <v>0</v>
      </c>
      <c r="Q686" s="91" t="str">
        <f t="shared" si="338"/>
        <v>Selesai</v>
      </c>
      <c r="R686" s="64">
        <f t="shared" si="347"/>
        <v>0</v>
      </c>
      <c r="S686" s="67">
        <v>45010</v>
      </c>
      <c r="T686" s="67">
        <v>45024</v>
      </c>
      <c r="U686" s="64">
        <f t="shared" si="339"/>
        <v>1</v>
      </c>
      <c r="V686" s="64"/>
      <c r="W686" s="64"/>
      <c r="X686" s="93"/>
      <c r="Y686" s="94"/>
      <c r="Z686" s="91" t="str">
        <f t="shared" si="340"/>
        <v>100%</v>
      </c>
      <c r="AA686" s="67"/>
      <c r="AB686" s="473"/>
      <c r="AC686" s="478" t="s">
        <v>2711</v>
      </c>
      <c r="AD686" s="67"/>
    </row>
    <row r="687" spans="2:30">
      <c r="B687" s="64" t="s">
        <v>107</v>
      </c>
      <c r="C687" s="65" t="s">
        <v>660</v>
      </c>
      <c r="D687" s="66">
        <v>3.27</v>
      </c>
      <c r="E687" s="67">
        <v>45003</v>
      </c>
      <c r="F687" s="64"/>
      <c r="G687" s="67">
        <v>45004</v>
      </c>
      <c r="H687" s="64">
        <f t="shared" si="336"/>
        <v>1</v>
      </c>
      <c r="I687" s="67">
        <f>+K687+5</f>
        <v>45011</v>
      </c>
      <c r="J687" s="64">
        <f t="shared" si="342"/>
        <v>0</v>
      </c>
      <c r="K687" s="67">
        <v>45006</v>
      </c>
      <c r="L687" s="64">
        <f t="shared" si="343"/>
        <v>0</v>
      </c>
      <c r="M687" s="64">
        <f t="shared" si="344"/>
        <v>0</v>
      </c>
      <c r="N687" s="67">
        <f t="shared" si="348"/>
        <v>45012</v>
      </c>
      <c r="O687" s="64">
        <f t="shared" si="345"/>
        <v>1</v>
      </c>
      <c r="P687" s="64">
        <f t="shared" si="346"/>
        <v>0</v>
      </c>
      <c r="Q687" s="91" t="str">
        <f t="shared" si="338"/>
        <v>Selesai</v>
      </c>
      <c r="R687" s="64">
        <f t="shared" si="347"/>
        <v>0</v>
      </c>
      <c r="S687" s="67">
        <v>45014</v>
      </c>
      <c r="T687" s="67">
        <v>45044</v>
      </c>
      <c r="U687" s="64">
        <f t="shared" si="339"/>
        <v>1</v>
      </c>
      <c r="V687" s="64"/>
      <c r="W687" s="64"/>
      <c r="X687" s="93"/>
      <c r="Y687" s="94"/>
      <c r="Z687" s="91" t="str">
        <f t="shared" si="340"/>
        <v>100%</v>
      </c>
      <c r="AA687" s="67"/>
      <c r="AB687" s="473"/>
      <c r="AC687" s="478" t="s">
        <v>2711</v>
      </c>
      <c r="AD687" s="67"/>
    </row>
    <row r="688" spans="2:30">
      <c r="B688" s="64" t="s">
        <v>109</v>
      </c>
      <c r="C688" s="65" t="s">
        <v>239</v>
      </c>
      <c r="D688" s="66">
        <v>6.16</v>
      </c>
      <c r="E688" s="67">
        <v>44999</v>
      </c>
      <c r="F688" s="64">
        <f>IF(E688&gt;0,1,0)</f>
        <v>1</v>
      </c>
      <c r="G688" s="67">
        <v>44999</v>
      </c>
      <c r="H688" s="64">
        <f t="shared" ref="H688:H751" si="349">IF(G688&gt;0,1,0)</f>
        <v>1</v>
      </c>
      <c r="I688" s="67">
        <f>+K688+12</f>
        <v>44997</v>
      </c>
      <c r="J688" s="64">
        <f t="shared" si="342"/>
        <v>0</v>
      </c>
      <c r="K688" s="67">
        <v>44985</v>
      </c>
      <c r="L688" s="64">
        <f t="shared" si="343"/>
        <v>0</v>
      </c>
      <c r="M688" s="64">
        <f t="shared" si="344"/>
        <v>0</v>
      </c>
      <c r="N688" s="67">
        <f t="shared" si="348"/>
        <v>44998</v>
      </c>
      <c r="O688" s="64">
        <f t="shared" si="345"/>
        <v>1</v>
      </c>
      <c r="P688" s="64">
        <f t="shared" si="346"/>
        <v>0</v>
      </c>
      <c r="Q688" s="91" t="str">
        <f t="shared" si="338"/>
        <v>Selesai</v>
      </c>
      <c r="R688" s="64">
        <f t="shared" si="347"/>
        <v>0</v>
      </c>
      <c r="S688" s="67">
        <v>45005</v>
      </c>
      <c r="T688" s="67">
        <v>45029</v>
      </c>
      <c r="U688" s="64">
        <f t="shared" si="339"/>
        <v>1</v>
      </c>
      <c r="V688" s="64"/>
      <c r="W688" s="64"/>
      <c r="X688" s="93"/>
      <c r="Y688" s="94"/>
      <c r="Z688" s="91" t="str">
        <f t="shared" si="340"/>
        <v>100%</v>
      </c>
      <c r="AA688" s="67"/>
      <c r="AB688" s="473"/>
      <c r="AC688" s="478" t="s">
        <v>2711</v>
      </c>
      <c r="AD688" s="67"/>
    </row>
    <row r="689" spans="2:30">
      <c r="B689" s="64" t="s">
        <v>107</v>
      </c>
      <c r="C689" s="65" t="s">
        <v>661</v>
      </c>
      <c r="D689" s="66">
        <v>6.96</v>
      </c>
      <c r="E689" s="67">
        <v>44958</v>
      </c>
      <c r="F689" s="64">
        <f>IF(E689&gt;0,1,0)</f>
        <v>1</v>
      </c>
      <c r="G689" s="67">
        <v>44961</v>
      </c>
      <c r="H689" s="64">
        <f t="shared" si="349"/>
        <v>1</v>
      </c>
      <c r="I689" s="67">
        <f>+K689+8</f>
        <v>44997</v>
      </c>
      <c r="J689" s="64">
        <f t="shared" si="342"/>
        <v>0</v>
      </c>
      <c r="K689" s="67">
        <v>44989</v>
      </c>
      <c r="L689" s="64">
        <f t="shared" si="343"/>
        <v>0</v>
      </c>
      <c r="M689" s="64">
        <f t="shared" si="344"/>
        <v>0</v>
      </c>
      <c r="N689" s="67">
        <f t="shared" si="348"/>
        <v>44998</v>
      </c>
      <c r="O689" s="64">
        <f t="shared" si="345"/>
        <v>1</v>
      </c>
      <c r="P689" s="64">
        <f t="shared" si="346"/>
        <v>0</v>
      </c>
      <c r="Q689" s="91" t="str">
        <f t="shared" si="338"/>
        <v>Selesai</v>
      </c>
      <c r="R689" s="64">
        <f t="shared" si="347"/>
        <v>0</v>
      </c>
      <c r="S689" s="67">
        <v>45012</v>
      </c>
      <c r="T689" s="67">
        <v>45044</v>
      </c>
      <c r="U689" s="64">
        <f t="shared" si="339"/>
        <v>1</v>
      </c>
      <c r="V689" s="64"/>
      <c r="W689" s="64"/>
      <c r="X689" s="93"/>
      <c r="Y689" s="94"/>
      <c r="Z689" s="91" t="str">
        <f t="shared" si="340"/>
        <v>100%</v>
      </c>
      <c r="AA689" s="67"/>
      <c r="AB689" s="473"/>
      <c r="AC689" s="478" t="s">
        <v>2711</v>
      </c>
      <c r="AD689" s="67"/>
    </row>
    <row r="690" spans="2:30">
      <c r="B690" s="64" t="s">
        <v>107</v>
      </c>
      <c r="C690" s="65" t="s">
        <v>662</v>
      </c>
      <c r="D690" s="66">
        <v>2.4</v>
      </c>
      <c r="E690" s="67">
        <v>45003</v>
      </c>
      <c r="F690" s="64"/>
      <c r="G690" s="67">
        <v>45004</v>
      </c>
      <c r="H690" s="64">
        <f t="shared" si="349"/>
        <v>1</v>
      </c>
      <c r="I690" s="67">
        <f>+K690+5</f>
        <v>45011</v>
      </c>
      <c r="J690" s="64">
        <f t="shared" si="342"/>
        <v>0</v>
      </c>
      <c r="K690" s="67">
        <v>45006</v>
      </c>
      <c r="L690" s="64">
        <f t="shared" si="343"/>
        <v>0</v>
      </c>
      <c r="M690" s="64">
        <f t="shared" si="344"/>
        <v>0</v>
      </c>
      <c r="N690" s="67">
        <f t="shared" si="348"/>
        <v>45012</v>
      </c>
      <c r="O690" s="64">
        <f t="shared" si="345"/>
        <v>1</v>
      </c>
      <c r="P690" s="64">
        <f t="shared" si="346"/>
        <v>0</v>
      </c>
      <c r="Q690" s="91" t="str">
        <f t="shared" si="338"/>
        <v>Selesai</v>
      </c>
      <c r="R690" s="64">
        <f t="shared" si="347"/>
        <v>0</v>
      </c>
      <c r="S690" s="67">
        <v>45015</v>
      </c>
      <c r="T690" s="67">
        <v>45061</v>
      </c>
      <c r="U690" s="64">
        <f t="shared" si="339"/>
        <v>1</v>
      </c>
      <c r="V690" s="64"/>
      <c r="W690" s="64"/>
      <c r="X690" s="93"/>
      <c r="Y690" s="94"/>
      <c r="Z690" s="91" t="str">
        <f t="shared" si="340"/>
        <v>100%</v>
      </c>
      <c r="AA690" s="67"/>
      <c r="AB690" s="473"/>
      <c r="AC690" s="478" t="s">
        <v>2711</v>
      </c>
      <c r="AD690" s="67"/>
    </row>
    <row r="691" spans="2:30">
      <c r="B691" s="64" t="s">
        <v>116</v>
      </c>
      <c r="C691" s="65" t="s">
        <v>196</v>
      </c>
      <c r="D691" s="66">
        <v>11.66</v>
      </c>
      <c r="E691" s="67">
        <v>44972</v>
      </c>
      <c r="F691" s="64">
        <f t="shared" ref="F691:F700" si="350">IF(E691&gt;0,1,0)</f>
        <v>1</v>
      </c>
      <c r="G691" s="67">
        <v>44973</v>
      </c>
      <c r="H691" s="64">
        <f t="shared" si="349"/>
        <v>1</v>
      </c>
      <c r="I691" s="67">
        <f>+K691+5</f>
        <v>45008</v>
      </c>
      <c r="J691" s="64">
        <f t="shared" si="342"/>
        <v>0</v>
      </c>
      <c r="K691" s="67">
        <v>45003</v>
      </c>
      <c r="L691" s="64">
        <f t="shared" si="343"/>
        <v>0</v>
      </c>
      <c r="M691" s="64">
        <f t="shared" si="344"/>
        <v>0</v>
      </c>
      <c r="N691" s="67">
        <f t="shared" si="348"/>
        <v>45009</v>
      </c>
      <c r="O691" s="64">
        <f t="shared" si="345"/>
        <v>1</v>
      </c>
      <c r="P691" s="64">
        <f t="shared" si="346"/>
        <v>0</v>
      </c>
      <c r="Q691" s="91" t="str">
        <f t="shared" si="338"/>
        <v>Selesai</v>
      </c>
      <c r="R691" s="64">
        <f t="shared" si="347"/>
        <v>0</v>
      </c>
      <c r="S691" s="67">
        <v>45015</v>
      </c>
      <c r="T691" s="67">
        <v>45053</v>
      </c>
      <c r="U691" s="64">
        <f t="shared" si="339"/>
        <v>1</v>
      </c>
      <c r="V691" s="64"/>
      <c r="W691" s="64"/>
      <c r="X691" s="93"/>
      <c r="Y691" s="94"/>
      <c r="Z691" s="91" t="str">
        <f t="shared" si="340"/>
        <v>100%</v>
      </c>
      <c r="AA691" s="67"/>
      <c r="AB691" s="473"/>
      <c r="AC691" s="478" t="s">
        <v>2711</v>
      </c>
      <c r="AD691" s="67"/>
    </row>
    <row r="692" spans="2:30">
      <c r="B692" s="64" t="s">
        <v>105</v>
      </c>
      <c r="C692" s="65" t="s">
        <v>663</v>
      </c>
      <c r="D692" s="66">
        <v>8.1300000000000008</v>
      </c>
      <c r="E692" s="67">
        <v>44999</v>
      </c>
      <c r="F692" s="64">
        <f t="shared" si="350"/>
        <v>1</v>
      </c>
      <c r="G692" s="67">
        <v>45002</v>
      </c>
      <c r="H692" s="64">
        <f t="shared" si="349"/>
        <v>1</v>
      </c>
      <c r="I692" s="67">
        <f>+K692+8</f>
        <v>45006</v>
      </c>
      <c r="J692" s="64">
        <f t="shared" si="342"/>
        <v>0</v>
      </c>
      <c r="K692" s="67">
        <v>44998</v>
      </c>
      <c r="L692" s="64">
        <f t="shared" si="343"/>
        <v>0</v>
      </c>
      <c r="M692" s="64">
        <f t="shared" si="344"/>
        <v>0</v>
      </c>
      <c r="N692" s="67">
        <f t="shared" si="348"/>
        <v>45007</v>
      </c>
      <c r="O692" s="64">
        <f t="shared" si="345"/>
        <v>1</v>
      </c>
      <c r="P692" s="64">
        <f t="shared" si="346"/>
        <v>0</v>
      </c>
      <c r="Q692" s="91" t="str">
        <f t="shared" si="338"/>
        <v>Selesai</v>
      </c>
      <c r="R692" s="64">
        <f t="shared" si="347"/>
        <v>0</v>
      </c>
      <c r="S692" s="67">
        <v>45009</v>
      </c>
      <c r="T692" s="67">
        <v>45061</v>
      </c>
      <c r="U692" s="64">
        <f t="shared" si="339"/>
        <v>1</v>
      </c>
      <c r="V692" s="64"/>
      <c r="W692" s="64"/>
      <c r="X692" s="93"/>
      <c r="Y692" s="94"/>
      <c r="Z692" s="91" t="str">
        <f t="shared" si="340"/>
        <v>100%</v>
      </c>
      <c r="AA692" s="67"/>
      <c r="AB692" s="473"/>
      <c r="AC692" s="478" t="s">
        <v>2711</v>
      </c>
      <c r="AD692" s="67"/>
    </row>
    <row r="693" spans="2:30">
      <c r="B693" s="64" t="s">
        <v>118</v>
      </c>
      <c r="C693" s="65" t="s">
        <v>248</v>
      </c>
      <c r="D693" s="66">
        <v>7.8</v>
      </c>
      <c r="E693" s="67">
        <v>45000</v>
      </c>
      <c r="F693" s="64">
        <f t="shared" si="350"/>
        <v>1</v>
      </c>
      <c r="G693" s="67">
        <v>45002</v>
      </c>
      <c r="H693" s="64">
        <f t="shared" si="349"/>
        <v>1</v>
      </c>
      <c r="I693" s="67">
        <f>+K693+7</f>
        <v>45010</v>
      </c>
      <c r="J693" s="64">
        <f t="shared" si="342"/>
        <v>0</v>
      </c>
      <c r="K693" s="67">
        <v>45003</v>
      </c>
      <c r="L693" s="64">
        <f t="shared" si="343"/>
        <v>0</v>
      </c>
      <c r="M693" s="64">
        <f t="shared" si="344"/>
        <v>0</v>
      </c>
      <c r="N693" s="67">
        <f t="shared" si="348"/>
        <v>45011</v>
      </c>
      <c r="O693" s="64">
        <f t="shared" si="345"/>
        <v>1</v>
      </c>
      <c r="P693" s="64">
        <f t="shared" si="346"/>
        <v>0</v>
      </c>
      <c r="Q693" s="91" t="str">
        <f t="shared" si="338"/>
        <v>Selesai</v>
      </c>
      <c r="R693" s="64">
        <f t="shared" si="347"/>
        <v>0</v>
      </c>
      <c r="S693" s="67">
        <v>45021</v>
      </c>
      <c r="T693" s="67">
        <v>45061</v>
      </c>
      <c r="U693" s="64">
        <f t="shared" si="339"/>
        <v>1</v>
      </c>
      <c r="V693" s="64"/>
      <c r="W693" s="64"/>
      <c r="X693" s="93"/>
      <c r="Y693" s="94"/>
      <c r="Z693" s="91" t="str">
        <f t="shared" si="340"/>
        <v>100%</v>
      </c>
      <c r="AA693" s="67"/>
      <c r="AB693" s="473"/>
      <c r="AC693" s="478" t="s">
        <v>2711</v>
      </c>
      <c r="AD693" s="67"/>
    </row>
    <row r="694" spans="2:30">
      <c r="B694" s="64" t="s">
        <v>118</v>
      </c>
      <c r="C694" s="65" t="s">
        <v>167</v>
      </c>
      <c r="D694" s="66">
        <v>9.32</v>
      </c>
      <c r="E694" s="67">
        <v>44964</v>
      </c>
      <c r="F694" s="64">
        <f t="shared" si="350"/>
        <v>1</v>
      </c>
      <c r="G694" s="67">
        <v>44967</v>
      </c>
      <c r="H694" s="64">
        <f t="shared" si="349"/>
        <v>1</v>
      </c>
      <c r="I694" s="67">
        <f>+K694+12</f>
        <v>44984</v>
      </c>
      <c r="J694" s="64">
        <f t="shared" si="342"/>
        <v>0</v>
      </c>
      <c r="K694" s="67">
        <v>44972</v>
      </c>
      <c r="L694" s="64">
        <f t="shared" si="343"/>
        <v>0</v>
      </c>
      <c r="M694" s="64">
        <f t="shared" si="344"/>
        <v>0</v>
      </c>
      <c r="N694" s="67">
        <f t="shared" si="348"/>
        <v>44985</v>
      </c>
      <c r="O694" s="64">
        <f t="shared" si="345"/>
        <v>1</v>
      </c>
      <c r="P694" s="64">
        <f t="shared" si="346"/>
        <v>0</v>
      </c>
      <c r="Q694" s="91" t="str">
        <f t="shared" si="338"/>
        <v>Selesai</v>
      </c>
      <c r="R694" s="64">
        <f t="shared" si="347"/>
        <v>0</v>
      </c>
      <c r="S694" s="67">
        <v>45000</v>
      </c>
      <c r="T694" s="67">
        <v>45050</v>
      </c>
      <c r="U694" s="64">
        <f t="shared" si="339"/>
        <v>1</v>
      </c>
      <c r="V694" s="64"/>
      <c r="W694" s="64"/>
      <c r="X694" s="93"/>
      <c r="Y694" s="94"/>
      <c r="Z694" s="91" t="str">
        <f t="shared" si="340"/>
        <v>100%</v>
      </c>
      <c r="AA694" s="67"/>
      <c r="AB694" s="473"/>
      <c r="AC694" s="478" t="s">
        <v>2711</v>
      </c>
      <c r="AD694" s="67"/>
    </row>
    <row r="695" spans="2:30">
      <c r="B695" s="64" t="s">
        <v>116</v>
      </c>
      <c r="C695" s="65" t="s">
        <v>186</v>
      </c>
      <c r="D695" s="66">
        <v>6.93</v>
      </c>
      <c r="E695" s="67">
        <v>44972</v>
      </c>
      <c r="F695" s="64">
        <f t="shared" si="350"/>
        <v>1</v>
      </c>
      <c r="G695" s="67">
        <v>44973</v>
      </c>
      <c r="H695" s="64">
        <f t="shared" si="349"/>
        <v>1</v>
      </c>
      <c r="I695" s="67">
        <f>+K695+5</f>
        <v>45008</v>
      </c>
      <c r="J695" s="64">
        <f t="shared" si="342"/>
        <v>0</v>
      </c>
      <c r="K695" s="67">
        <v>45003</v>
      </c>
      <c r="L695" s="64">
        <f t="shared" si="343"/>
        <v>0</v>
      </c>
      <c r="M695" s="64">
        <f t="shared" si="344"/>
        <v>0</v>
      </c>
      <c r="N695" s="67">
        <f t="shared" si="348"/>
        <v>45009</v>
      </c>
      <c r="O695" s="64">
        <f t="shared" si="345"/>
        <v>1</v>
      </c>
      <c r="P695" s="64">
        <f t="shared" si="346"/>
        <v>0</v>
      </c>
      <c r="Q695" s="91" t="str">
        <f t="shared" si="338"/>
        <v>Selesai</v>
      </c>
      <c r="R695" s="64">
        <f t="shared" si="347"/>
        <v>0</v>
      </c>
      <c r="S695" s="67">
        <v>45009</v>
      </c>
      <c r="T695" s="67">
        <v>45053</v>
      </c>
      <c r="U695" s="64">
        <f t="shared" si="339"/>
        <v>1</v>
      </c>
      <c r="V695" s="64"/>
      <c r="W695" s="64"/>
      <c r="X695" s="93"/>
      <c r="Y695" s="94"/>
      <c r="Z695" s="91" t="str">
        <f t="shared" si="340"/>
        <v>100%</v>
      </c>
      <c r="AA695" s="67"/>
      <c r="AB695" s="473"/>
      <c r="AC695" s="478" t="s">
        <v>2711</v>
      </c>
      <c r="AD695" s="67"/>
    </row>
    <row r="696" spans="2:30">
      <c r="B696" s="64" t="s">
        <v>116</v>
      </c>
      <c r="C696" s="65" t="s">
        <v>664</v>
      </c>
      <c r="D696" s="66">
        <v>8.8800000000000008</v>
      </c>
      <c r="E696" s="67">
        <v>45002</v>
      </c>
      <c r="F696" s="64">
        <f t="shared" si="350"/>
        <v>1</v>
      </c>
      <c r="G696" s="67">
        <v>45003</v>
      </c>
      <c r="H696" s="64">
        <f t="shared" si="349"/>
        <v>1</v>
      </c>
      <c r="I696" s="67">
        <f>+K696+7</f>
        <v>45010</v>
      </c>
      <c r="J696" s="64">
        <f t="shared" si="342"/>
        <v>0</v>
      </c>
      <c r="K696" s="67">
        <v>45003</v>
      </c>
      <c r="L696" s="64">
        <f t="shared" si="343"/>
        <v>0</v>
      </c>
      <c r="M696" s="64">
        <f t="shared" si="344"/>
        <v>0</v>
      </c>
      <c r="N696" s="67">
        <f t="shared" si="348"/>
        <v>45011</v>
      </c>
      <c r="O696" s="64">
        <f t="shared" si="345"/>
        <v>1</v>
      </c>
      <c r="P696" s="64">
        <f t="shared" si="346"/>
        <v>0</v>
      </c>
      <c r="Q696" s="91" t="str">
        <f t="shared" si="338"/>
        <v>Selesai</v>
      </c>
      <c r="R696" s="64">
        <f t="shared" si="347"/>
        <v>0</v>
      </c>
      <c r="S696" s="67">
        <v>45027</v>
      </c>
      <c r="T696" s="67">
        <v>45061</v>
      </c>
      <c r="U696" s="64">
        <f t="shared" si="339"/>
        <v>1</v>
      </c>
      <c r="V696" s="64"/>
      <c r="W696" s="64"/>
      <c r="X696" s="93"/>
      <c r="Y696" s="94"/>
      <c r="Z696" s="91" t="str">
        <f t="shared" si="340"/>
        <v>100%</v>
      </c>
      <c r="AA696" s="67"/>
      <c r="AB696" s="473"/>
      <c r="AC696" s="478" t="s">
        <v>2711</v>
      </c>
      <c r="AD696" s="67"/>
    </row>
    <row r="697" spans="2:30">
      <c r="B697" s="64" t="s">
        <v>113</v>
      </c>
      <c r="C697" s="65" t="s">
        <v>271</v>
      </c>
      <c r="D697" s="66">
        <v>1.91</v>
      </c>
      <c r="E697" s="67">
        <v>45045</v>
      </c>
      <c r="F697" s="64">
        <f t="shared" si="350"/>
        <v>1</v>
      </c>
      <c r="G697" s="67">
        <v>45046</v>
      </c>
      <c r="H697" s="64">
        <f t="shared" si="349"/>
        <v>1</v>
      </c>
      <c r="I697" s="67">
        <f>+K697+5</f>
        <v>45057</v>
      </c>
      <c r="J697" s="64">
        <f t="shared" si="342"/>
        <v>0</v>
      </c>
      <c r="K697" s="67">
        <v>45052</v>
      </c>
      <c r="L697" s="64">
        <f t="shared" si="343"/>
        <v>0</v>
      </c>
      <c r="M697" s="64">
        <f t="shared" si="344"/>
        <v>0</v>
      </c>
      <c r="N697" s="67">
        <f t="shared" si="348"/>
        <v>45058</v>
      </c>
      <c r="O697" s="64">
        <f t="shared" si="345"/>
        <v>1</v>
      </c>
      <c r="P697" s="64">
        <f t="shared" si="346"/>
        <v>0</v>
      </c>
      <c r="Q697" s="91" t="str">
        <f t="shared" si="338"/>
        <v>Selesai</v>
      </c>
      <c r="R697" s="64">
        <f t="shared" si="347"/>
        <v>0</v>
      </c>
      <c r="S697" s="67">
        <v>45057</v>
      </c>
      <c r="T697" s="67">
        <v>45069</v>
      </c>
      <c r="U697" s="64">
        <f t="shared" si="339"/>
        <v>1</v>
      </c>
      <c r="V697" s="64"/>
      <c r="W697" s="64"/>
      <c r="X697" s="93"/>
      <c r="Y697" s="94"/>
      <c r="Z697" s="91" t="str">
        <f t="shared" si="340"/>
        <v>100%</v>
      </c>
      <c r="AA697" s="67"/>
      <c r="AB697" s="473"/>
      <c r="AC697" s="478" t="s">
        <v>2711</v>
      </c>
      <c r="AD697" s="67"/>
    </row>
    <row r="698" spans="2:30">
      <c r="B698" s="64" t="s">
        <v>113</v>
      </c>
      <c r="C698" s="65" t="s">
        <v>265</v>
      </c>
      <c r="D698" s="66">
        <v>3.93</v>
      </c>
      <c r="E698" s="67">
        <v>45034</v>
      </c>
      <c r="F698" s="64">
        <f t="shared" si="350"/>
        <v>1</v>
      </c>
      <c r="G698" s="67">
        <v>45034</v>
      </c>
      <c r="H698" s="64">
        <f t="shared" si="349"/>
        <v>1</v>
      </c>
      <c r="I698" s="67">
        <f>+K698+5</f>
        <v>45050</v>
      </c>
      <c r="J698" s="64">
        <f t="shared" si="342"/>
        <v>0</v>
      </c>
      <c r="K698" s="67">
        <v>45045</v>
      </c>
      <c r="L698" s="64">
        <f t="shared" si="343"/>
        <v>0</v>
      </c>
      <c r="M698" s="64">
        <f t="shared" si="344"/>
        <v>0</v>
      </c>
      <c r="N698" s="67">
        <f t="shared" si="348"/>
        <v>45051</v>
      </c>
      <c r="O698" s="64">
        <f t="shared" si="345"/>
        <v>1</v>
      </c>
      <c r="P698" s="64">
        <f t="shared" si="346"/>
        <v>0</v>
      </c>
      <c r="Q698" s="91" t="str">
        <f t="shared" si="338"/>
        <v>Selesai</v>
      </c>
      <c r="R698" s="64">
        <f t="shared" si="347"/>
        <v>0</v>
      </c>
      <c r="S698" s="67">
        <v>45050</v>
      </c>
      <c r="T698" s="67">
        <v>45069</v>
      </c>
      <c r="U698" s="64">
        <f t="shared" si="339"/>
        <v>1</v>
      </c>
      <c r="V698" s="64"/>
      <c r="W698" s="64"/>
      <c r="X698" s="93"/>
      <c r="Y698" s="94"/>
      <c r="Z698" s="91" t="str">
        <f t="shared" si="340"/>
        <v>100%</v>
      </c>
      <c r="AA698" s="67"/>
      <c r="AB698" s="473"/>
      <c r="AC698" s="478" t="s">
        <v>2711</v>
      </c>
      <c r="AD698" s="67"/>
    </row>
    <row r="699" spans="2:30">
      <c r="B699" s="64" t="s">
        <v>113</v>
      </c>
      <c r="C699" s="65" t="s">
        <v>251</v>
      </c>
      <c r="D699" s="66">
        <v>7.87</v>
      </c>
      <c r="E699" s="67">
        <v>45043</v>
      </c>
      <c r="F699" s="64">
        <f t="shared" si="350"/>
        <v>1</v>
      </c>
      <c r="G699" s="67">
        <v>45044</v>
      </c>
      <c r="H699" s="64">
        <f t="shared" si="349"/>
        <v>1</v>
      </c>
      <c r="I699" s="67">
        <f>+K699+5</f>
        <v>45050</v>
      </c>
      <c r="J699" s="64">
        <f t="shared" si="342"/>
        <v>0</v>
      </c>
      <c r="K699" s="67">
        <v>45045</v>
      </c>
      <c r="L699" s="64">
        <f t="shared" si="343"/>
        <v>0</v>
      </c>
      <c r="M699" s="64">
        <f t="shared" si="344"/>
        <v>0</v>
      </c>
      <c r="N699" s="67">
        <f t="shared" si="348"/>
        <v>45051</v>
      </c>
      <c r="O699" s="64">
        <f t="shared" si="345"/>
        <v>1</v>
      </c>
      <c r="P699" s="64">
        <f t="shared" si="346"/>
        <v>0</v>
      </c>
      <c r="Q699" s="91" t="str">
        <f t="shared" si="338"/>
        <v>Selesai</v>
      </c>
      <c r="R699" s="64">
        <f t="shared" si="347"/>
        <v>0</v>
      </c>
      <c r="S699" s="67">
        <v>45045</v>
      </c>
      <c r="T699" s="67">
        <v>45069</v>
      </c>
      <c r="U699" s="64">
        <f t="shared" si="339"/>
        <v>1</v>
      </c>
      <c r="V699" s="64"/>
      <c r="W699" s="64"/>
      <c r="X699" s="93"/>
      <c r="Y699" s="94"/>
      <c r="Z699" s="91" t="str">
        <f t="shared" si="340"/>
        <v>100%</v>
      </c>
      <c r="AA699" s="67"/>
      <c r="AB699" s="473"/>
      <c r="AC699" s="478" t="s">
        <v>2711</v>
      </c>
      <c r="AD699" s="67"/>
    </row>
    <row r="700" spans="2:30">
      <c r="B700" s="64" t="s">
        <v>105</v>
      </c>
      <c r="C700" s="65" t="s">
        <v>253</v>
      </c>
      <c r="D700" s="66">
        <v>3.64</v>
      </c>
      <c r="E700" s="67">
        <v>45043</v>
      </c>
      <c r="F700" s="64">
        <f t="shared" si="350"/>
        <v>1</v>
      </c>
      <c r="G700" s="67">
        <v>45044</v>
      </c>
      <c r="H700" s="64">
        <f t="shared" si="349"/>
        <v>1</v>
      </c>
      <c r="I700" s="67">
        <f>+K700+12</f>
        <v>45039</v>
      </c>
      <c r="J700" s="64">
        <f t="shared" si="342"/>
        <v>0</v>
      </c>
      <c r="K700" s="67">
        <v>45027</v>
      </c>
      <c r="L700" s="64">
        <f t="shared" si="343"/>
        <v>0</v>
      </c>
      <c r="M700" s="64">
        <f t="shared" si="344"/>
        <v>0</v>
      </c>
      <c r="N700" s="67">
        <f t="shared" si="348"/>
        <v>45040</v>
      </c>
      <c r="O700" s="64">
        <f t="shared" si="345"/>
        <v>1</v>
      </c>
      <c r="P700" s="64">
        <f t="shared" si="346"/>
        <v>0</v>
      </c>
      <c r="Q700" s="91" t="str">
        <f t="shared" si="338"/>
        <v>Selesai</v>
      </c>
      <c r="R700" s="64">
        <f t="shared" si="347"/>
        <v>0</v>
      </c>
      <c r="S700" s="67">
        <v>45050</v>
      </c>
      <c r="T700" s="67">
        <v>45069</v>
      </c>
      <c r="U700" s="64">
        <f t="shared" si="339"/>
        <v>1</v>
      </c>
      <c r="V700" s="64"/>
      <c r="W700" s="64"/>
      <c r="X700" s="93"/>
      <c r="Y700" s="94"/>
      <c r="Z700" s="91" t="str">
        <f t="shared" si="340"/>
        <v>100%</v>
      </c>
      <c r="AA700" s="67"/>
      <c r="AB700" s="473"/>
      <c r="AC700" s="478" t="s">
        <v>2711</v>
      </c>
      <c r="AD700" s="67"/>
    </row>
    <row r="701" spans="2:30">
      <c r="B701" s="64" t="s">
        <v>105</v>
      </c>
      <c r="C701" s="65" t="s">
        <v>216</v>
      </c>
      <c r="D701" s="66">
        <v>9.1999999999999993</v>
      </c>
      <c r="E701" s="67">
        <v>45009</v>
      </c>
      <c r="F701" s="64"/>
      <c r="G701" s="67">
        <v>45018</v>
      </c>
      <c r="H701" s="64">
        <f t="shared" si="349"/>
        <v>1</v>
      </c>
      <c r="I701" s="67">
        <f>+K701+1</f>
        <v>45020</v>
      </c>
      <c r="J701" s="64">
        <f t="shared" si="342"/>
        <v>0</v>
      </c>
      <c r="K701" s="67">
        <v>45019</v>
      </c>
      <c r="L701" s="64">
        <f t="shared" si="343"/>
        <v>0</v>
      </c>
      <c r="M701" s="64">
        <f t="shared" si="344"/>
        <v>0</v>
      </c>
      <c r="N701" s="67">
        <f t="shared" si="348"/>
        <v>45021</v>
      </c>
      <c r="O701" s="64">
        <f t="shared" si="345"/>
        <v>1</v>
      </c>
      <c r="P701" s="64">
        <f t="shared" si="346"/>
        <v>0</v>
      </c>
      <c r="Q701" s="91" t="str">
        <f t="shared" si="338"/>
        <v>Selesai</v>
      </c>
      <c r="R701" s="64">
        <f t="shared" si="347"/>
        <v>0</v>
      </c>
      <c r="S701" s="67">
        <v>45021</v>
      </c>
      <c r="T701" s="67">
        <v>45069</v>
      </c>
      <c r="U701" s="64">
        <f t="shared" si="339"/>
        <v>1</v>
      </c>
      <c r="V701" s="64"/>
      <c r="W701" s="64"/>
      <c r="X701" s="93"/>
      <c r="Y701" s="94"/>
      <c r="Z701" s="91" t="str">
        <f t="shared" si="340"/>
        <v>100%</v>
      </c>
      <c r="AA701" s="67"/>
      <c r="AB701" s="473"/>
      <c r="AC701" s="478" t="s">
        <v>2711</v>
      </c>
      <c r="AD701" s="67"/>
    </row>
    <row r="702" spans="2:30">
      <c r="B702" s="64" t="s">
        <v>118</v>
      </c>
      <c r="C702" s="65" t="s">
        <v>257</v>
      </c>
      <c r="D702" s="66">
        <v>8.0299999999999994</v>
      </c>
      <c r="E702" s="67">
        <v>45028</v>
      </c>
      <c r="F702" s="64">
        <f t="shared" ref="F702:F733" si="351">IF(E702&gt;0,1,0)</f>
        <v>1</v>
      </c>
      <c r="G702" s="67">
        <v>45029</v>
      </c>
      <c r="H702" s="64">
        <f t="shared" si="349"/>
        <v>1</v>
      </c>
      <c r="I702" s="67">
        <f>+K702+8</f>
        <v>45038</v>
      </c>
      <c r="J702" s="64">
        <f t="shared" si="342"/>
        <v>0</v>
      </c>
      <c r="K702" s="67">
        <v>45030</v>
      </c>
      <c r="L702" s="64">
        <f t="shared" si="343"/>
        <v>0</v>
      </c>
      <c r="M702" s="64">
        <f t="shared" si="344"/>
        <v>0</v>
      </c>
      <c r="N702" s="67">
        <f t="shared" si="348"/>
        <v>45039</v>
      </c>
      <c r="O702" s="64">
        <f t="shared" si="345"/>
        <v>1</v>
      </c>
      <c r="P702" s="64">
        <f t="shared" si="346"/>
        <v>0</v>
      </c>
      <c r="Q702" s="91" t="str">
        <f t="shared" si="338"/>
        <v>Selesai</v>
      </c>
      <c r="R702" s="64">
        <f t="shared" si="347"/>
        <v>0</v>
      </c>
      <c r="S702" s="67">
        <v>45049</v>
      </c>
      <c r="T702" s="67">
        <v>45069</v>
      </c>
      <c r="U702" s="64">
        <f t="shared" si="339"/>
        <v>1</v>
      </c>
      <c r="V702" s="64"/>
      <c r="W702" s="64"/>
      <c r="X702" s="93"/>
      <c r="Y702" s="94"/>
      <c r="Z702" s="91" t="str">
        <f t="shared" si="340"/>
        <v>100%</v>
      </c>
      <c r="AA702" s="67"/>
      <c r="AB702" s="473"/>
      <c r="AC702" s="478" t="s">
        <v>2711</v>
      </c>
      <c r="AD702" s="67"/>
    </row>
    <row r="703" spans="2:30">
      <c r="B703" s="64" t="s">
        <v>118</v>
      </c>
      <c r="C703" s="65" t="s">
        <v>182</v>
      </c>
      <c r="D703" s="66">
        <v>8.41</v>
      </c>
      <c r="E703" s="67">
        <v>45000</v>
      </c>
      <c r="F703" s="64">
        <f t="shared" si="351"/>
        <v>1</v>
      </c>
      <c r="G703" s="67">
        <v>45000</v>
      </c>
      <c r="H703" s="64">
        <f t="shared" si="349"/>
        <v>1</v>
      </c>
      <c r="I703" s="67">
        <f>+K703+7</f>
        <v>45009</v>
      </c>
      <c r="J703" s="64">
        <f t="shared" si="342"/>
        <v>0</v>
      </c>
      <c r="K703" s="67">
        <v>45002</v>
      </c>
      <c r="L703" s="64">
        <f t="shared" si="343"/>
        <v>0</v>
      </c>
      <c r="M703" s="64">
        <f t="shared" si="344"/>
        <v>0</v>
      </c>
      <c r="N703" s="67">
        <f t="shared" si="348"/>
        <v>45010</v>
      </c>
      <c r="O703" s="64">
        <f t="shared" si="345"/>
        <v>1</v>
      </c>
      <c r="P703" s="64">
        <f t="shared" si="346"/>
        <v>0</v>
      </c>
      <c r="Q703" s="91" t="str">
        <f t="shared" si="338"/>
        <v>Selesai</v>
      </c>
      <c r="R703" s="64">
        <f t="shared" si="347"/>
        <v>0</v>
      </c>
      <c r="S703" s="67">
        <v>45027</v>
      </c>
      <c r="T703" s="67">
        <v>45069</v>
      </c>
      <c r="U703" s="64">
        <f t="shared" si="339"/>
        <v>1</v>
      </c>
      <c r="V703" s="64"/>
      <c r="W703" s="64"/>
      <c r="X703" s="93"/>
      <c r="Y703" s="94"/>
      <c r="Z703" s="91" t="str">
        <f t="shared" si="340"/>
        <v>100%</v>
      </c>
      <c r="AA703" s="67"/>
      <c r="AB703" s="473"/>
      <c r="AC703" s="478" t="s">
        <v>2711</v>
      </c>
      <c r="AD703" s="67"/>
    </row>
    <row r="704" spans="2:30">
      <c r="B704" s="64" t="s">
        <v>118</v>
      </c>
      <c r="C704" s="65" t="s">
        <v>665</v>
      </c>
      <c r="D704" s="66">
        <v>4.68</v>
      </c>
      <c r="E704" s="67">
        <v>45033</v>
      </c>
      <c r="F704" s="64">
        <f t="shared" si="351"/>
        <v>1</v>
      </c>
      <c r="G704" s="67">
        <v>45034</v>
      </c>
      <c r="H704" s="64">
        <f t="shared" si="349"/>
        <v>1</v>
      </c>
      <c r="I704" s="67">
        <f>+K704+5</f>
        <v>45062</v>
      </c>
      <c r="J704" s="64">
        <f t="shared" si="342"/>
        <v>0</v>
      </c>
      <c r="K704" s="67">
        <v>45057</v>
      </c>
      <c r="L704" s="64">
        <f t="shared" si="343"/>
        <v>0</v>
      </c>
      <c r="M704" s="64">
        <f t="shared" si="344"/>
        <v>0</v>
      </c>
      <c r="N704" s="67">
        <f t="shared" si="348"/>
        <v>45063</v>
      </c>
      <c r="O704" s="64">
        <f t="shared" si="345"/>
        <v>1</v>
      </c>
      <c r="P704" s="64">
        <f t="shared" si="346"/>
        <v>0</v>
      </c>
      <c r="Q704" s="91" t="str">
        <f t="shared" si="338"/>
        <v>Selesai</v>
      </c>
      <c r="R704" s="64">
        <f t="shared" si="347"/>
        <v>0</v>
      </c>
      <c r="S704" s="67">
        <v>45061</v>
      </c>
      <c r="T704" s="67">
        <v>45074</v>
      </c>
      <c r="U704" s="64">
        <f t="shared" si="339"/>
        <v>1</v>
      </c>
      <c r="V704" s="64"/>
      <c r="W704" s="64"/>
      <c r="X704" s="93"/>
      <c r="Y704" s="94"/>
      <c r="Z704" s="91" t="str">
        <f t="shared" si="340"/>
        <v>100%</v>
      </c>
      <c r="AA704" s="67"/>
      <c r="AB704" s="473"/>
      <c r="AC704" s="478" t="s">
        <v>2711</v>
      </c>
      <c r="AD704" s="67"/>
    </row>
    <row r="705" spans="2:30">
      <c r="B705" s="64" t="s">
        <v>107</v>
      </c>
      <c r="C705" s="65" t="s">
        <v>666</v>
      </c>
      <c r="D705" s="66">
        <v>6.58</v>
      </c>
      <c r="E705" s="67">
        <v>45045</v>
      </c>
      <c r="F705" s="64">
        <f t="shared" si="351"/>
        <v>1</v>
      </c>
      <c r="G705" s="67">
        <v>45046</v>
      </c>
      <c r="H705" s="64">
        <f t="shared" si="349"/>
        <v>1</v>
      </c>
      <c r="I705" s="67">
        <f>+K705+5</f>
        <v>45053</v>
      </c>
      <c r="J705" s="64">
        <f t="shared" si="342"/>
        <v>0</v>
      </c>
      <c r="K705" s="67">
        <v>45048</v>
      </c>
      <c r="L705" s="64">
        <f t="shared" si="343"/>
        <v>0</v>
      </c>
      <c r="M705" s="64">
        <f t="shared" si="344"/>
        <v>0</v>
      </c>
      <c r="N705" s="67">
        <f t="shared" si="348"/>
        <v>45054</v>
      </c>
      <c r="O705" s="64">
        <f t="shared" si="345"/>
        <v>1</v>
      </c>
      <c r="P705" s="64">
        <f t="shared" si="346"/>
        <v>0</v>
      </c>
      <c r="Q705" s="91" t="str">
        <f t="shared" si="338"/>
        <v>Selesai</v>
      </c>
      <c r="R705" s="64">
        <f t="shared" si="347"/>
        <v>0</v>
      </c>
      <c r="S705" s="67">
        <v>45054</v>
      </c>
      <c r="T705" s="67">
        <v>45076</v>
      </c>
      <c r="U705" s="64">
        <f t="shared" si="339"/>
        <v>1</v>
      </c>
      <c r="V705" s="64"/>
      <c r="W705" s="64"/>
      <c r="X705" s="93"/>
      <c r="Y705" s="94"/>
      <c r="Z705" s="91" t="str">
        <f t="shared" si="340"/>
        <v>100%</v>
      </c>
      <c r="AA705" s="67"/>
      <c r="AB705" s="473"/>
      <c r="AC705" s="478" t="s">
        <v>2711</v>
      </c>
      <c r="AD705" s="67"/>
    </row>
    <row r="706" spans="2:30">
      <c r="B706" s="64" t="s">
        <v>113</v>
      </c>
      <c r="C706" s="65" t="s">
        <v>667</v>
      </c>
      <c r="D706" s="66">
        <v>6.71</v>
      </c>
      <c r="E706" s="67">
        <v>45051</v>
      </c>
      <c r="F706" s="64">
        <f t="shared" si="351"/>
        <v>1</v>
      </c>
      <c r="G706" s="67">
        <v>45052</v>
      </c>
      <c r="H706" s="64">
        <f t="shared" si="349"/>
        <v>1</v>
      </c>
      <c r="I706" s="67">
        <f>+K706+14</f>
        <v>45070</v>
      </c>
      <c r="J706" s="64">
        <f t="shared" si="342"/>
        <v>0</v>
      </c>
      <c r="K706" s="67">
        <v>45056</v>
      </c>
      <c r="L706" s="64">
        <f t="shared" si="343"/>
        <v>0</v>
      </c>
      <c r="M706" s="64">
        <f t="shared" si="344"/>
        <v>0</v>
      </c>
      <c r="N706" s="67">
        <f t="shared" si="348"/>
        <v>45071</v>
      </c>
      <c r="O706" s="64">
        <f t="shared" si="345"/>
        <v>1</v>
      </c>
      <c r="P706" s="64">
        <f t="shared" si="346"/>
        <v>0</v>
      </c>
      <c r="Q706" s="91" t="str">
        <f t="shared" si="338"/>
        <v>Selesai</v>
      </c>
      <c r="R706" s="64">
        <f t="shared" si="347"/>
        <v>0</v>
      </c>
      <c r="S706" s="67">
        <v>45059</v>
      </c>
      <c r="T706" s="67">
        <v>45076</v>
      </c>
      <c r="U706" s="64">
        <f t="shared" si="339"/>
        <v>1</v>
      </c>
      <c r="V706" s="64"/>
      <c r="W706" s="64"/>
      <c r="X706" s="93"/>
      <c r="Y706" s="94"/>
      <c r="Z706" s="91" t="str">
        <f t="shared" si="340"/>
        <v>100%</v>
      </c>
      <c r="AA706" s="67"/>
      <c r="AB706" s="473"/>
      <c r="AC706" s="478" t="s">
        <v>2711</v>
      </c>
      <c r="AD706" s="67"/>
    </row>
    <row r="707" spans="2:30">
      <c r="B707" s="64" t="s">
        <v>113</v>
      </c>
      <c r="C707" s="65" t="s">
        <v>237</v>
      </c>
      <c r="D707" s="66">
        <v>9.3699999999999992</v>
      </c>
      <c r="E707" s="67">
        <v>45052</v>
      </c>
      <c r="F707" s="64">
        <f t="shared" si="351"/>
        <v>1</v>
      </c>
      <c r="G707" s="67">
        <v>45052</v>
      </c>
      <c r="H707" s="64">
        <f t="shared" si="349"/>
        <v>1</v>
      </c>
      <c r="I707" s="67">
        <f>+K707+7</f>
        <v>45063</v>
      </c>
      <c r="J707" s="64">
        <f t="shared" si="342"/>
        <v>0</v>
      </c>
      <c r="K707" s="67">
        <v>45056</v>
      </c>
      <c r="L707" s="64">
        <f t="shared" si="343"/>
        <v>0</v>
      </c>
      <c r="M707" s="64">
        <f t="shared" si="344"/>
        <v>0</v>
      </c>
      <c r="N707" s="67">
        <f t="shared" si="348"/>
        <v>45064</v>
      </c>
      <c r="O707" s="64">
        <f t="shared" si="345"/>
        <v>1</v>
      </c>
      <c r="P707" s="64">
        <f t="shared" si="346"/>
        <v>0</v>
      </c>
      <c r="Q707" s="91" t="str">
        <f t="shared" si="338"/>
        <v>Selesai</v>
      </c>
      <c r="R707" s="64">
        <f t="shared" si="347"/>
        <v>0</v>
      </c>
      <c r="S707" s="67">
        <v>45062</v>
      </c>
      <c r="T707" s="67">
        <v>45077</v>
      </c>
      <c r="U707" s="64">
        <f t="shared" si="339"/>
        <v>1</v>
      </c>
      <c r="V707" s="64"/>
      <c r="W707" s="64"/>
      <c r="X707" s="93"/>
      <c r="Y707" s="94"/>
      <c r="Z707" s="91" t="str">
        <f t="shared" si="340"/>
        <v>100%</v>
      </c>
      <c r="AA707" s="67"/>
      <c r="AB707" s="473"/>
      <c r="AC707" s="478" t="s">
        <v>2711</v>
      </c>
      <c r="AD707" s="67"/>
    </row>
    <row r="708" spans="2:30">
      <c r="B708" s="64" t="s">
        <v>105</v>
      </c>
      <c r="C708" s="65" t="s">
        <v>247</v>
      </c>
      <c r="D708" s="66">
        <v>6.69</v>
      </c>
      <c r="E708" s="67">
        <v>45049</v>
      </c>
      <c r="F708" s="64">
        <f t="shared" si="351"/>
        <v>1</v>
      </c>
      <c r="G708" s="67">
        <v>45050</v>
      </c>
      <c r="H708" s="64">
        <f t="shared" si="349"/>
        <v>1</v>
      </c>
      <c r="I708" s="67">
        <f>+K708+3</f>
        <v>45059</v>
      </c>
      <c r="J708" s="64">
        <f t="shared" si="342"/>
        <v>0</v>
      </c>
      <c r="K708" s="67">
        <v>45056</v>
      </c>
      <c r="L708" s="64">
        <f t="shared" si="343"/>
        <v>0</v>
      </c>
      <c r="M708" s="64">
        <f t="shared" si="344"/>
        <v>0</v>
      </c>
      <c r="N708" s="67">
        <f t="shared" si="348"/>
        <v>45060</v>
      </c>
      <c r="O708" s="64">
        <f t="shared" si="345"/>
        <v>1</v>
      </c>
      <c r="P708" s="64">
        <f t="shared" si="346"/>
        <v>0</v>
      </c>
      <c r="Q708" s="91" t="str">
        <f t="shared" si="338"/>
        <v>Selesai</v>
      </c>
      <c r="R708" s="64">
        <f t="shared" si="347"/>
        <v>0</v>
      </c>
      <c r="S708" s="67">
        <v>45058</v>
      </c>
      <c r="T708" s="67">
        <v>45077</v>
      </c>
      <c r="U708" s="64">
        <f t="shared" si="339"/>
        <v>1</v>
      </c>
      <c r="V708" s="64"/>
      <c r="W708" s="64"/>
      <c r="X708" s="93"/>
      <c r="Y708" s="94"/>
      <c r="Z708" s="91" t="str">
        <f t="shared" si="340"/>
        <v>100%</v>
      </c>
      <c r="AA708" s="67"/>
      <c r="AB708" s="473"/>
      <c r="AC708" s="478" t="s">
        <v>2711</v>
      </c>
      <c r="AD708" s="67"/>
    </row>
    <row r="709" spans="2:30">
      <c r="B709" s="64" t="s">
        <v>113</v>
      </c>
      <c r="C709" s="65" t="s">
        <v>668</v>
      </c>
      <c r="D709" s="66">
        <v>6.84</v>
      </c>
      <c r="E709" s="67">
        <v>45051</v>
      </c>
      <c r="F709" s="64">
        <f t="shared" si="351"/>
        <v>1</v>
      </c>
      <c r="G709" s="67">
        <v>45052</v>
      </c>
      <c r="H709" s="64">
        <f t="shared" si="349"/>
        <v>1</v>
      </c>
      <c r="I709" s="67">
        <f>+K709+3</f>
        <v>45059</v>
      </c>
      <c r="J709" s="64">
        <f t="shared" si="342"/>
        <v>0</v>
      </c>
      <c r="K709" s="67">
        <v>45056</v>
      </c>
      <c r="L709" s="64">
        <f t="shared" si="343"/>
        <v>0</v>
      </c>
      <c r="M709" s="64">
        <f t="shared" si="344"/>
        <v>0</v>
      </c>
      <c r="N709" s="67">
        <f t="shared" si="348"/>
        <v>45060</v>
      </c>
      <c r="O709" s="64">
        <f t="shared" si="345"/>
        <v>1</v>
      </c>
      <c r="P709" s="64">
        <f t="shared" si="346"/>
        <v>0</v>
      </c>
      <c r="Q709" s="91" t="str">
        <f t="shared" si="338"/>
        <v>Selesai</v>
      </c>
      <c r="R709" s="64">
        <f t="shared" si="347"/>
        <v>0</v>
      </c>
      <c r="S709" s="67">
        <v>45058</v>
      </c>
      <c r="T709" s="67">
        <v>45083</v>
      </c>
      <c r="U709" s="64">
        <f t="shared" si="339"/>
        <v>1</v>
      </c>
      <c r="V709" s="66"/>
      <c r="W709" s="64"/>
      <c r="X709" s="93"/>
      <c r="Y709" s="94"/>
      <c r="Z709" s="91" t="str">
        <f t="shared" si="340"/>
        <v>100%</v>
      </c>
      <c r="AA709" s="67"/>
      <c r="AB709" s="473"/>
      <c r="AC709" s="478" t="s">
        <v>2711</v>
      </c>
      <c r="AD709" s="67"/>
    </row>
    <row r="710" spans="2:30">
      <c r="B710" s="64" t="s">
        <v>118</v>
      </c>
      <c r="C710" s="65" t="s">
        <v>669</v>
      </c>
      <c r="D710" s="66">
        <v>10.039999999999999</v>
      </c>
      <c r="E710" s="67">
        <v>45033</v>
      </c>
      <c r="F710" s="64">
        <f t="shared" si="351"/>
        <v>1</v>
      </c>
      <c r="G710" s="67">
        <v>45034</v>
      </c>
      <c r="H710" s="64">
        <f t="shared" si="349"/>
        <v>1</v>
      </c>
      <c r="I710" s="67">
        <f>+K710+3</f>
        <v>45059</v>
      </c>
      <c r="J710" s="64">
        <f t="shared" si="342"/>
        <v>0</v>
      </c>
      <c r="K710" s="67">
        <v>45056</v>
      </c>
      <c r="L710" s="64">
        <f t="shared" si="343"/>
        <v>0</v>
      </c>
      <c r="M710" s="64">
        <f t="shared" si="344"/>
        <v>0</v>
      </c>
      <c r="N710" s="67">
        <f t="shared" si="348"/>
        <v>45060</v>
      </c>
      <c r="O710" s="64">
        <f t="shared" si="345"/>
        <v>1</v>
      </c>
      <c r="P710" s="64">
        <f t="shared" si="346"/>
        <v>0</v>
      </c>
      <c r="Q710" s="91" t="str">
        <f t="shared" si="338"/>
        <v>Selesai</v>
      </c>
      <c r="R710" s="64">
        <f t="shared" si="347"/>
        <v>0</v>
      </c>
      <c r="S710" s="67">
        <v>45058</v>
      </c>
      <c r="T710" s="67">
        <v>45083</v>
      </c>
      <c r="U710" s="64">
        <f t="shared" si="339"/>
        <v>1</v>
      </c>
      <c r="V710" s="66"/>
      <c r="W710" s="64"/>
      <c r="X710" s="93"/>
      <c r="Y710" s="94"/>
      <c r="Z710" s="91" t="str">
        <f t="shared" si="340"/>
        <v>100%</v>
      </c>
      <c r="AA710" s="67"/>
      <c r="AB710" s="473"/>
      <c r="AC710" s="478" t="s">
        <v>2711</v>
      </c>
      <c r="AD710" s="67"/>
    </row>
    <row r="711" spans="2:30">
      <c r="B711" s="64" t="s">
        <v>105</v>
      </c>
      <c r="C711" s="65" t="s">
        <v>670</v>
      </c>
      <c r="D711" s="66">
        <v>4.7</v>
      </c>
      <c r="E711" s="67">
        <v>45058</v>
      </c>
      <c r="F711" s="64">
        <f t="shared" si="351"/>
        <v>1</v>
      </c>
      <c r="G711" s="67">
        <v>45060</v>
      </c>
      <c r="H711" s="64">
        <f t="shared" si="349"/>
        <v>1</v>
      </c>
      <c r="I711" s="67">
        <f>+K711+7</f>
        <v>45070</v>
      </c>
      <c r="J711" s="64">
        <f t="shared" si="342"/>
        <v>0</v>
      </c>
      <c r="K711" s="67">
        <v>45063</v>
      </c>
      <c r="L711" s="64">
        <f t="shared" si="343"/>
        <v>0</v>
      </c>
      <c r="M711" s="64">
        <f t="shared" si="344"/>
        <v>0</v>
      </c>
      <c r="N711" s="67">
        <f t="shared" si="348"/>
        <v>45071</v>
      </c>
      <c r="O711" s="64">
        <f t="shared" si="345"/>
        <v>1</v>
      </c>
      <c r="P711" s="64">
        <f t="shared" si="346"/>
        <v>0</v>
      </c>
      <c r="Q711" s="91" t="str">
        <f t="shared" si="338"/>
        <v>Selesai</v>
      </c>
      <c r="R711" s="64">
        <f t="shared" si="347"/>
        <v>0</v>
      </c>
      <c r="S711" s="67">
        <v>45071</v>
      </c>
      <c r="T711" s="67">
        <v>45083</v>
      </c>
      <c r="U711" s="64">
        <f t="shared" si="339"/>
        <v>1</v>
      </c>
      <c r="V711" s="66"/>
      <c r="W711" s="64"/>
      <c r="X711" s="93"/>
      <c r="Y711" s="94"/>
      <c r="Z711" s="91" t="str">
        <f t="shared" si="340"/>
        <v>100%</v>
      </c>
      <c r="AA711" s="67"/>
      <c r="AB711" s="473"/>
      <c r="AC711" s="478" t="s">
        <v>2711</v>
      </c>
      <c r="AD711" s="67"/>
    </row>
    <row r="712" spans="2:30">
      <c r="B712" s="64" t="s">
        <v>105</v>
      </c>
      <c r="C712" s="65" t="s">
        <v>671</v>
      </c>
      <c r="D712" s="66">
        <v>7.82</v>
      </c>
      <c r="E712" s="67">
        <v>45058</v>
      </c>
      <c r="F712" s="64">
        <f t="shared" si="351"/>
        <v>1</v>
      </c>
      <c r="G712" s="67">
        <v>45060</v>
      </c>
      <c r="H712" s="64">
        <f t="shared" si="349"/>
        <v>1</v>
      </c>
      <c r="I712" s="67">
        <f>+K712+7</f>
        <v>45070</v>
      </c>
      <c r="J712" s="64">
        <f t="shared" si="342"/>
        <v>0</v>
      </c>
      <c r="K712" s="67">
        <v>45063</v>
      </c>
      <c r="L712" s="64">
        <f t="shared" si="343"/>
        <v>0</v>
      </c>
      <c r="M712" s="64">
        <f t="shared" si="344"/>
        <v>0</v>
      </c>
      <c r="N712" s="67">
        <f t="shared" si="348"/>
        <v>45071</v>
      </c>
      <c r="O712" s="64">
        <f t="shared" si="345"/>
        <v>1</v>
      </c>
      <c r="P712" s="64">
        <f t="shared" si="346"/>
        <v>0</v>
      </c>
      <c r="Q712" s="91" t="str">
        <f t="shared" si="338"/>
        <v>Selesai</v>
      </c>
      <c r="R712" s="64">
        <f t="shared" si="347"/>
        <v>0</v>
      </c>
      <c r="S712" s="67">
        <v>45067</v>
      </c>
      <c r="T712" s="67">
        <v>45083</v>
      </c>
      <c r="U712" s="64">
        <f t="shared" si="339"/>
        <v>1</v>
      </c>
      <c r="V712" s="66"/>
      <c r="W712" s="64"/>
      <c r="X712" s="93"/>
      <c r="Y712" s="94"/>
      <c r="Z712" s="91" t="str">
        <f t="shared" si="340"/>
        <v>100%</v>
      </c>
      <c r="AA712" s="67"/>
      <c r="AB712" s="473"/>
      <c r="AC712" s="478" t="s">
        <v>2711</v>
      </c>
      <c r="AD712" s="67"/>
    </row>
    <row r="713" spans="2:30">
      <c r="B713" s="64" t="s">
        <v>107</v>
      </c>
      <c r="C713" s="65" t="s">
        <v>672</v>
      </c>
      <c r="D713" s="66">
        <v>0.44</v>
      </c>
      <c r="E713" s="67">
        <v>45059</v>
      </c>
      <c r="F713" s="64">
        <f t="shared" si="351"/>
        <v>1</v>
      </c>
      <c r="G713" s="67">
        <v>45064</v>
      </c>
      <c r="H713" s="64">
        <f t="shared" si="349"/>
        <v>1</v>
      </c>
      <c r="I713" s="67">
        <f>+K713+9</f>
        <v>45078</v>
      </c>
      <c r="J713" s="64">
        <f t="shared" si="342"/>
        <v>0</v>
      </c>
      <c r="K713" s="67">
        <v>45069</v>
      </c>
      <c r="L713" s="64">
        <f t="shared" si="343"/>
        <v>0</v>
      </c>
      <c r="M713" s="64">
        <f t="shared" si="344"/>
        <v>0</v>
      </c>
      <c r="N713" s="67">
        <f t="shared" si="348"/>
        <v>45079</v>
      </c>
      <c r="O713" s="64">
        <f t="shared" si="345"/>
        <v>1</v>
      </c>
      <c r="P713" s="64">
        <f t="shared" si="346"/>
        <v>0</v>
      </c>
      <c r="Q713" s="91" t="str">
        <f t="shared" ref="Q713:Q776" si="352">IF(T713&gt;0,"Selesai","Proses")</f>
        <v>Selesai</v>
      </c>
      <c r="R713" s="64">
        <f t="shared" si="347"/>
        <v>0</v>
      </c>
      <c r="S713" s="67">
        <v>45088</v>
      </c>
      <c r="T713" s="67">
        <v>45092</v>
      </c>
      <c r="U713" s="64">
        <f t="shared" ref="U713:U776" si="353">IF(T713&gt;0,1,0)</f>
        <v>1</v>
      </c>
      <c r="V713" s="66"/>
      <c r="W713" s="64"/>
      <c r="X713" s="93"/>
      <c r="Y713" s="94"/>
      <c r="Z713" s="91" t="str">
        <f t="shared" si="340"/>
        <v>100%</v>
      </c>
      <c r="AA713" s="67"/>
      <c r="AB713" s="473"/>
      <c r="AC713" s="478" t="s">
        <v>2711</v>
      </c>
      <c r="AD713" s="67"/>
    </row>
    <row r="714" spans="2:30">
      <c r="B714" s="64" t="s">
        <v>113</v>
      </c>
      <c r="C714" s="65" t="s">
        <v>673</v>
      </c>
      <c r="D714" s="66">
        <v>2.64</v>
      </c>
      <c r="E714" s="67">
        <v>45052</v>
      </c>
      <c r="F714" s="64">
        <f t="shared" si="351"/>
        <v>1</v>
      </c>
      <c r="G714" s="67">
        <v>45057</v>
      </c>
      <c r="H714" s="64">
        <f t="shared" si="349"/>
        <v>1</v>
      </c>
      <c r="I714" s="67">
        <f>+K714+7</f>
        <v>45075</v>
      </c>
      <c r="J714" s="64">
        <f t="shared" si="342"/>
        <v>0</v>
      </c>
      <c r="K714" s="67">
        <v>45068</v>
      </c>
      <c r="L714" s="64">
        <f t="shared" si="343"/>
        <v>0</v>
      </c>
      <c r="M714" s="64">
        <f t="shared" si="344"/>
        <v>0</v>
      </c>
      <c r="N714" s="67">
        <f t="shared" si="348"/>
        <v>45076</v>
      </c>
      <c r="O714" s="64">
        <f t="shared" si="345"/>
        <v>1</v>
      </c>
      <c r="P714" s="64">
        <f t="shared" si="346"/>
        <v>0</v>
      </c>
      <c r="Q714" s="91" t="str">
        <f t="shared" si="352"/>
        <v>Selesai</v>
      </c>
      <c r="R714" s="64">
        <f t="shared" si="347"/>
        <v>0</v>
      </c>
      <c r="S714" s="67">
        <v>45071</v>
      </c>
      <c r="T714" s="67">
        <v>45091</v>
      </c>
      <c r="U714" s="64">
        <f t="shared" si="353"/>
        <v>1</v>
      </c>
      <c r="V714" s="66"/>
      <c r="W714" s="64"/>
      <c r="X714" s="93"/>
      <c r="Y714" s="94"/>
      <c r="Z714" s="91" t="str">
        <f t="shared" ref="Z714:Z777" si="354">IF(T714="","","100%")</f>
        <v>100%</v>
      </c>
      <c r="AA714" s="67"/>
      <c r="AB714" s="473"/>
      <c r="AC714" s="478" t="s">
        <v>2711</v>
      </c>
      <c r="AD714" s="67"/>
    </row>
    <row r="715" spans="2:30">
      <c r="B715" s="64" t="s">
        <v>118</v>
      </c>
      <c r="C715" s="65" t="s">
        <v>233</v>
      </c>
      <c r="D715" s="66">
        <v>9.6999999999999993</v>
      </c>
      <c r="E715" s="67">
        <v>45044</v>
      </c>
      <c r="F715" s="64">
        <f t="shared" si="351"/>
        <v>1</v>
      </c>
      <c r="G715" s="67">
        <v>45045</v>
      </c>
      <c r="H715" s="64">
        <f t="shared" si="349"/>
        <v>1</v>
      </c>
      <c r="I715" s="67">
        <f>+K715+3</f>
        <v>45061</v>
      </c>
      <c r="J715" s="64">
        <f t="shared" si="342"/>
        <v>0</v>
      </c>
      <c r="K715" s="67">
        <v>45058</v>
      </c>
      <c r="L715" s="64">
        <f t="shared" si="343"/>
        <v>0</v>
      </c>
      <c r="M715" s="64">
        <f t="shared" si="344"/>
        <v>0</v>
      </c>
      <c r="N715" s="67">
        <f t="shared" si="348"/>
        <v>45062</v>
      </c>
      <c r="O715" s="64">
        <f t="shared" si="345"/>
        <v>1</v>
      </c>
      <c r="P715" s="64">
        <f t="shared" si="346"/>
        <v>0</v>
      </c>
      <c r="Q715" s="91" t="str">
        <f t="shared" si="352"/>
        <v>Selesai</v>
      </c>
      <c r="R715" s="64">
        <f t="shared" si="347"/>
        <v>0</v>
      </c>
      <c r="S715" s="67">
        <v>45060</v>
      </c>
      <c r="T715" s="67">
        <v>45090</v>
      </c>
      <c r="U715" s="64">
        <f t="shared" si="353"/>
        <v>1</v>
      </c>
      <c r="V715" s="66"/>
      <c r="W715" s="64"/>
      <c r="X715" s="93"/>
      <c r="Y715" s="94"/>
      <c r="Z715" s="91" t="str">
        <f t="shared" si="354"/>
        <v>100%</v>
      </c>
      <c r="AA715" s="67"/>
      <c r="AB715" s="473"/>
      <c r="AC715" s="478" t="s">
        <v>2711</v>
      </c>
      <c r="AD715" s="67"/>
    </row>
    <row r="716" spans="2:30">
      <c r="B716" s="64" t="s">
        <v>113</v>
      </c>
      <c r="C716" s="65" t="s">
        <v>674</v>
      </c>
      <c r="D716" s="66">
        <v>6.78</v>
      </c>
      <c r="E716" s="67">
        <v>45052</v>
      </c>
      <c r="F716" s="64">
        <f t="shared" si="351"/>
        <v>1</v>
      </c>
      <c r="G716" s="67">
        <v>45057</v>
      </c>
      <c r="H716" s="64">
        <f t="shared" si="349"/>
        <v>1</v>
      </c>
      <c r="I716" s="67">
        <f>+K716+7</f>
        <v>45077</v>
      </c>
      <c r="J716" s="64">
        <f t="shared" si="342"/>
        <v>0</v>
      </c>
      <c r="K716" s="67">
        <v>45070</v>
      </c>
      <c r="L716" s="64">
        <f t="shared" si="343"/>
        <v>0</v>
      </c>
      <c r="M716" s="64">
        <f t="shared" si="344"/>
        <v>0</v>
      </c>
      <c r="N716" s="67">
        <f t="shared" si="348"/>
        <v>45078</v>
      </c>
      <c r="O716" s="64">
        <f t="shared" si="345"/>
        <v>1</v>
      </c>
      <c r="P716" s="64">
        <f t="shared" si="346"/>
        <v>0</v>
      </c>
      <c r="Q716" s="91" t="str">
        <f t="shared" si="352"/>
        <v>Selesai</v>
      </c>
      <c r="R716" s="64">
        <f t="shared" si="347"/>
        <v>0</v>
      </c>
      <c r="S716" s="67">
        <v>45072</v>
      </c>
      <c r="T716" s="67">
        <v>45099</v>
      </c>
      <c r="U716" s="64">
        <f t="shared" si="353"/>
        <v>1</v>
      </c>
      <c r="V716" s="66"/>
      <c r="W716" s="64"/>
      <c r="X716" s="93"/>
      <c r="Y716" s="94"/>
      <c r="Z716" s="91" t="str">
        <f t="shared" si="354"/>
        <v>100%</v>
      </c>
      <c r="AA716" s="67"/>
      <c r="AB716" s="473"/>
      <c r="AC716" s="478" t="s">
        <v>2711</v>
      </c>
      <c r="AD716" s="67"/>
    </row>
    <row r="717" spans="2:30">
      <c r="B717" s="64" t="s">
        <v>113</v>
      </c>
      <c r="C717" s="65" t="s">
        <v>268</v>
      </c>
      <c r="D717" s="66">
        <v>7.84</v>
      </c>
      <c r="E717" s="67">
        <v>45057</v>
      </c>
      <c r="F717" s="64">
        <f t="shared" si="351"/>
        <v>1</v>
      </c>
      <c r="G717" s="67">
        <v>45058</v>
      </c>
      <c r="H717" s="64">
        <f t="shared" si="349"/>
        <v>1</v>
      </c>
      <c r="I717" s="67">
        <f>+K717+5</f>
        <v>45076</v>
      </c>
      <c r="J717" s="64">
        <f t="shared" si="342"/>
        <v>0</v>
      </c>
      <c r="K717" s="67">
        <v>45071</v>
      </c>
      <c r="L717" s="64">
        <f t="shared" si="343"/>
        <v>0</v>
      </c>
      <c r="M717" s="64">
        <f t="shared" si="344"/>
        <v>0</v>
      </c>
      <c r="N717" s="67">
        <f t="shared" si="348"/>
        <v>45077</v>
      </c>
      <c r="O717" s="64">
        <f t="shared" si="345"/>
        <v>1</v>
      </c>
      <c r="P717" s="64">
        <f t="shared" si="346"/>
        <v>0</v>
      </c>
      <c r="Q717" s="91" t="str">
        <f t="shared" si="352"/>
        <v>Selesai</v>
      </c>
      <c r="R717" s="64">
        <f t="shared" si="347"/>
        <v>0</v>
      </c>
      <c r="S717" s="67">
        <v>45075</v>
      </c>
      <c r="T717" s="67">
        <v>45097</v>
      </c>
      <c r="U717" s="64">
        <f t="shared" si="353"/>
        <v>1</v>
      </c>
      <c r="V717" s="66"/>
      <c r="W717" s="64"/>
      <c r="X717" s="93"/>
      <c r="Y717" s="94"/>
      <c r="Z717" s="91" t="str">
        <f t="shared" si="354"/>
        <v>100%</v>
      </c>
      <c r="AA717" s="67"/>
      <c r="AB717" s="473"/>
      <c r="AC717" s="478" t="s">
        <v>2711</v>
      </c>
      <c r="AD717" s="67"/>
    </row>
    <row r="718" spans="2:30">
      <c r="B718" s="64" t="s">
        <v>116</v>
      </c>
      <c r="C718" s="65" t="s">
        <v>675</v>
      </c>
      <c r="D718" s="66">
        <v>8.02</v>
      </c>
      <c r="E718" s="67">
        <v>45031</v>
      </c>
      <c r="F718" s="64">
        <f t="shared" si="351"/>
        <v>1</v>
      </c>
      <c r="G718" s="67">
        <v>45033</v>
      </c>
      <c r="H718" s="64">
        <f t="shared" si="349"/>
        <v>1</v>
      </c>
      <c r="I718" s="67">
        <f>+K718+9</f>
        <v>45059</v>
      </c>
      <c r="J718" s="64">
        <f t="shared" si="342"/>
        <v>0</v>
      </c>
      <c r="K718" s="67">
        <v>45050</v>
      </c>
      <c r="L718" s="64">
        <f t="shared" si="343"/>
        <v>0</v>
      </c>
      <c r="M718" s="64">
        <f t="shared" si="344"/>
        <v>0</v>
      </c>
      <c r="N718" s="67">
        <f t="shared" si="348"/>
        <v>45060</v>
      </c>
      <c r="O718" s="64">
        <f t="shared" si="345"/>
        <v>1</v>
      </c>
      <c r="P718" s="64">
        <f t="shared" si="346"/>
        <v>0</v>
      </c>
      <c r="Q718" s="91" t="str">
        <f t="shared" si="352"/>
        <v>Selesai</v>
      </c>
      <c r="R718" s="64">
        <f t="shared" si="347"/>
        <v>0</v>
      </c>
      <c r="S718" s="67">
        <v>45073</v>
      </c>
      <c r="T718" s="67">
        <v>45098</v>
      </c>
      <c r="U718" s="64">
        <f t="shared" si="353"/>
        <v>1</v>
      </c>
      <c r="V718" s="66"/>
      <c r="W718" s="64"/>
      <c r="X718" s="93"/>
      <c r="Y718" s="94"/>
      <c r="Z718" s="91" t="str">
        <f t="shared" si="354"/>
        <v>100%</v>
      </c>
      <c r="AA718" s="67"/>
      <c r="AB718" s="473"/>
      <c r="AC718" s="478" t="s">
        <v>2711</v>
      </c>
      <c r="AD718" s="67"/>
    </row>
    <row r="719" spans="2:30">
      <c r="B719" s="64" t="s">
        <v>118</v>
      </c>
      <c r="C719" s="65" t="s">
        <v>263</v>
      </c>
      <c r="D719" s="66">
        <v>7.64</v>
      </c>
      <c r="E719" s="67">
        <v>45031</v>
      </c>
      <c r="F719" s="64">
        <f t="shared" si="351"/>
        <v>1</v>
      </c>
      <c r="G719" s="67">
        <v>45034</v>
      </c>
      <c r="H719" s="64">
        <f t="shared" si="349"/>
        <v>1</v>
      </c>
      <c r="I719" s="67">
        <f>+K719+10</f>
        <v>45071</v>
      </c>
      <c r="J719" s="64">
        <f t="shared" si="342"/>
        <v>0</v>
      </c>
      <c r="K719" s="67">
        <v>45061</v>
      </c>
      <c r="L719" s="64">
        <f t="shared" si="343"/>
        <v>0</v>
      </c>
      <c r="M719" s="64">
        <f t="shared" si="344"/>
        <v>0</v>
      </c>
      <c r="N719" s="67">
        <f t="shared" si="348"/>
        <v>45072</v>
      </c>
      <c r="O719" s="64">
        <f t="shared" si="345"/>
        <v>1</v>
      </c>
      <c r="P719" s="64">
        <f t="shared" si="346"/>
        <v>0</v>
      </c>
      <c r="Q719" s="91" t="str">
        <f t="shared" si="352"/>
        <v>Selesai</v>
      </c>
      <c r="R719" s="64">
        <f t="shared" si="347"/>
        <v>0</v>
      </c>
      <c r="S719" s="67">
        <v>45082</v>
      </c>
      <c r="T719" s="67">
        <v>45097</v>
      </c>
      <c r="U719" s="64">
        <f t="shared" si="353"/>
        <v>1</v>
      </c>
      <c r="V719" s="66"/>
      <c r="W719" s="64"/>
      <c r="X719" s="93"/>
      <c r="Y719" s="94"/>
      <c r="Z719" s="91" t="str">
        <f t="shared" si="354"/>
        <v>100%</v>
      </c>
      <c r="AA719" s="67"/>
      <c r="AB719" s="473"/>
      <c r="AC719" s="478" t="s">
        <v>2711</v>
      </c>
      <c r="AD719" s="67"/>
    </row>
    <row r="720" spans="2:30">
      <c r="B720" s="64" t="s">
        <v>113</v>
      </c>
      <c r="C720" s="65" t="s">
        <v>264</v>
      </c>
      <c r="D720" s="66">
        <v>5.8</v>
      </c>
      <c r="E720" s="67">
        <v>45057</v>
      </c>
      <c r="F720" s="64">
        <f t="shared" si="351"/>
        <v>1</v>
      </c>
      <c r="G720" s="67">
        <v>45058</v>
      </c>
      <c r="H720" s="64">
        <f t="shared" si="349"/>
        <v>1</v>
      </c>
      <c r="I720" s="67">
        <f>+K720+5</f>
        <v>45076</v>
      </c>
      <c r="J720" s="64">
        <f t="shared" ref="J720:J783" si="355">IF(I720&gt;0,0,1)</f>
        <v>0</v>
      </c>
      <c r="K720" s="67">
        <v>45071</v>
      </c>
      <c r="L720" s="64">
        <f t="shared" ref="L720:L783" si="356">IF(K720&gt;0,0,1)</f>
        <v>0</v>
      </c>
      <c r="M720" s="64">
        <f t="shared" ref="M720:M783" si="357">IF(AND(J720&gt;0,L720&gt;0),1,0)</f>
        <v>0</v>
      </c>
      <c r="N720" s="67">
        <f t="shared" si="348"/>
        <v>45077</v>
      </c>
      <c r="O720" s="64">
        <f t="shared" ref="O720:O783" si="358">IF(N720&gt;0,1,0)</f>
        <v>1</v>
      </c>
      <c r="P720" s="64">
        <f t="shared" ref="P720:P783" si="359">IF(O720&gt;0,0,1)</f>
        <v>0</v>
      </c>
      <c r="Q720" s="91" t="str">
        <f t="shared" si="352"/>
        <v>Selesai</v>
      </c>
      <c r="R720" s="64">
        <f t="shared" ref="R720:R783" si="360">IF(Q720="proses",1,0)</f>
        <v>0</v>
      </c>
      <c r="S720" s="67">
        <v>45075</v>
      </c>
      <c r="T720" s="67">
        <v>45107</v>
      </c>
      <c r="U720" s="64">
        <f t="shared" si="353"/>
        <v>1</v>
      </c>
      <c r="V720" s="66"/>
      <c r="W720" s="64"/>
      <c r="X720" s="93"/>
      <c r="Y720" s="94"/>
      <c r="Z720" s="91" t="str">
        <f t="shared" si="354"/>
        <v>100%</v>
      </c>
      <c r="AA720" s="67"/>
      <c r="AB720" s="473"/>
      <c r="AC720" s="478" t="s">
        <v>2711</v>
      </c>
      <c r="AD720" s="67"/>
    </row>
    <row r="721" spans="2:30">
      <c r="B721" s="64" t="s">
        <v>107</v>
      </c>
      <c r="C721" s="65" t="s">
        <v>676</v>
      </c>
      <c r="D721" s="66">
        <v>3.87</v>
      </c>
      <c r="E721" s="67">
        <v>45061</v>
      </c>
      <c r="F721" s="64">
        <f t="shared" si="351"/>
        <v>1</v>
      </c>
      <c r="G721" s="67">
        <v>45063</v>
      </c>
      <c r="H721" s="64">
        <f t="shared" si="349"/>
        <v>1</v>
      </c>
      <c r="I721" s="67">
        <f>+K721+8</f>
        <v>45084</v>
      </c>
      <c r="J721" s="64">
        <f t="shared" si="355"/>
        <v>0</v>
      </c>
      <c r="K721" s="67">
        <v>45076</v>
      </c>
      <c r="L721" s="64">
        <f t="shared" si="356"/>
        <v>0</v>
      </c>
      <c r="M721" s="64">
        <f t="shared" si="357"/>
        <v>0</v>
      </c>
      <c r="N721" s="67">
        <f t="shared" ref="N721:N784" si="361">IF(AND(I721&gt;0,K721&gt;0),MAX(I721:K721)+1,"")</f>
        <v>45085</v>
      </c>
      <c r="O721" s="64">
        <f t="shared" si="358"/>
        <v>1</v>
      </c>
      <c r="P721" s="64">
        <f t="shared" si="359"/>
        <v>0</v>
      </c>
      <c r="Q721" s="91" t="str">
        <f t="shared" si="352"/>
        <v>Selesai</v>
      </c>
      <c r="R721" s="64">
        <f t="shared" si="360"/>
        <v>0</v>
      </c>
      <c r="S721" s="67">
        <v>45089</v>
      </c>
      <c r="T721" s="67">
        <v>45099</v>
      </c>
      <c r="U721" s="64">
        <f t="shared" si="353"/>
        <v>1</v>
      </c>
      <c r="V721" s="66"/>
      <c r="W721" s="64"/>
      <c r="X721" s="93"/>
      <c r="Y721" s="94"/>
      <c r="Z721" s="91" t="str">
        <f t="shared" si="354"/>
        <v>100%</v>
      </c>
      <c r="AA721" s="67"/>
      <c r="AB721" s="473"/>
      <c r="AC721" s="478" t="s">
        <v>2711</v>
      </c>
      <c r="AD721" s="67"/>
    </row>
    <row r="722" spans="2:30">
      <c r="B722" s="64" t="s">
        <v>116</v>
      </c>
      <c r="C722" s="65" t="s">
        <v>677</v>
      </c>
      <c r="D722" s="66">
        <v>8.2100000000000009</v>
      </c>
      <c r="E722" s="67">
        <v>45031</v>
      </c>
      <c r="F722" s="64">
        <f t="shared" si="351"/>
        <v>1</v>
      </c>
      <c r="G722" s="67">
        <v>45033</v>
      </c>
      <c r="H722" s="64">
        <f t="shared" si="349"/>
        <v>1</v>
      </c>
      <c r="I722" s="67">
        <f>+K722+8</f>
        <v>45058</v>
      </c>
      <c r="J722" s="64">
        <f t="shared" si="355"/>
        <v>0</v>
      </c>
      <c r="K722" s="67">
        <v>45050</v>
      </c>
      <c r="L722" s="64">
        <f t="shared" si="356"/>
        <v>0</v>
      </c>
      <c r="M722" s="64">
        <f t="shared" si="357"/>
        <v>0</v>
      </c>
      <c r="N722" s="67">
        <f t="shared" si="361"/>
        <v>45059</v>
      </c>
      <c r="O722" s="64">
        <f t="shared" si="358"/>
        <v>1</v>
      </c>
      <c r="P722" s="64">
        <f t="shared" si="359"/>
        <v>0</v>
      </c>
      <c r="Q722" s="91" t="str">
        <f t="shared" si="352"/>
        <v>Selesai</v>
      </c>
      <c r="R722" s="64">
        <f t="shared" si="360"/>
        <v>0</v>
      </c>
      <c r="S722" s="67">
        <v>45071</v>
      </c>
      <c r="T722" s="67">
        <v>45103</v>
      </c>
      <c r="U722" s="64">
        <f t="shared" si="353"/>
        <v>1</v>
      </c>
      <c r="V722" s="66"/>
      <c r="W722" s="64"/>
      <c r="X722" s="93"/>
      <c r="Y722" s="94"/>
      <c r="Z722" s="91" t="str">
        <f t="shared" si="354"/>
        <v>100%</v>
      </c>
      <c r="AA722" s="67"/>
      <c r="AB722" s="473"/>
      <c r="AC722" s="478" t="s">
        <v>2711</v>
      </c>
      <c r="AD722" s="67"/>
    </row>
    <row r="723" spans="2:30">
      <c r="B723" s="64" t="s">
        <v>107</v>
      </c>
      <c r="C723" s="65" t="s">
        <v>678</v>
      </c>
      <c r="D723" s="66">
        <v>7.7</v>
      </c>
      <c r="E723" s="67">
        <v>45061</v>
      </c>
      <c r="F723" s="64">
        <f t="shared" si="351"/>
        <v>1</v>
      </c>
      <c r="G723" s="67">
        <v>45063</v>
      </c>
      <c r="H723" s="64">
        <f t="shared" si="349"/>
        <v>1</v>
      </c>
      <c r="I723" s="67">
        <f>+K723+8</f>
        <v>45084</v>
      </c>
      <c r="J723" s="64">
        <f t="shared" si="355"/>
        <v>0</v>
      </c>
      <c r="K723" s="67">
        <v>45076</v>
      </c>
      <c r="L723" s="64">
        <f t="shared" si="356"/>
        <v>0</v>
      </c>
      <c r="M723" s="64">
        <f t="shared" si="357"/>
        <v>0</v>
      </c>
      <c r="N723" s="67">
        <f t="shared" si="361"/>
        <v>45085</v>
      </c>
      <c r="O723" s="64">
        <f t="shared" si="358"/>
        <v>1</v>
      </c>
      <c r="P723" s="64">
        <f t="shared" si="359"/>
        <v>0</v>
      </c>
      <c r="Q723" s="91" t="str">
        <f t="shared" si="352"/>
        <v>Selesai</v>
      </c>
      <c r="R723" s="64">
        <f t="shared" si="360"/>
        <v>0</v>
      </c>
      <c r="S723" s="67">
        <v>45083</v>
      </c>
      <c r="T723" s="67">
        <v>45104</v>
      </c>
      <c r="U723" s="64">
        <f t="shared" si="353"/>
        <v>1</v>
      </c>
      <c r="V723" s="66"/>
      <c r="W723" s="64"/>
      <c r="X723" s="93"/>
      <c r="Y723" s="94"/>
      <c r="Z723" s="91" t="str">
        <f t="shared" si="354"/>
        <v>100%</v>
      </c>
      <c r="AA723" s="67"/>
      <c r="AB723" s="473"/>
      <c r="AC723" s="478" t="s">
        <v>2711</v>
      </c>
      <c r="AD723" s="67"/>
    </row>
    <row r="724" spans="2:30">
      <c r="B724" s="64" t="s">
        <v>111</v>
      </c>
      <c r="C724" s="65" t="s">
        <v>214</v>
      </c>
      <c r="D724" s="66">
        <v>9.5500000000000007</v>
      </c>
      <c r="E724" s="67">
        <v>45028</v>
      </c>
      <c r="F724" s="64">
        <f t="shared" si="351"/>
        <v>1</v>
      </c>
      <c r="G724" s="67">
        <v>45028</v>
      </c>
      <c r="H724" s="64">
        <f t="shared" si="349"/>
        <v>1</v>
      </c>
      <c r="I724" s="67">
        <f>+K724+12</f>
        <v>45042</v>
      </c>
      <c r="J724" s="64">
        <f t="shared" si="355"/>
        <v>0</v>
      </c>
      <c r="K724" s="67">
        <v>45030</v>
      </c>
      <c r="L724" s="64">
        <f t="shared" si="356"/>
        <v>0</v>
      </c>
      <c r="M724" s="64">
        <f t="shared" si="357"/>
        <v>0</v>
      </c>
      <c r="N724" s="67">
        <f t="shared" si="361"/>
        <v>45043</v>
      </c>
      <c r="O724" s="64">
        <f t="shared" si="358"/>
        <v>1</v>
      </c>
      <c r="P724" s="64">
        <f t="shared" si="359"/>
        <v>0</v>
      </c>
      <c r="Q724" s="91" t="str">
        <f t="shared" si="352"/>
        <v>Selesai</v>
      </c>
      <c r="R724" s="64">
        <f t="shared" si="360"/>
        <v>0</v>
      </c>
      <c r="S724" s="67">
        <v>45052</v>
      </c>
      <c r="T724" s="67">
        <v>45104</v>
      </c>
      <c r="U724" s="64">
        <f t="shared" si="353"/>
        <v>1</v>
      </c>
      <c r="V724" s="66"/>
      <c r="W724" s="64"/>
      <c r="X724" s="93"/>
      <c r="Y724" s="94"/>
      <c r="Z724" s="91" t="str">
        <f t="shared" si="354"/>
        <v>100%</v>
      </c>
      <c r="AA724" s="67"/>
      <c r="AB724" s="473"/>
      <c r="AC724" s="478" t="s">
        <v>2711</v>
      </c>
      <c r="AD724" s="67"/>
    </row>
    <row r="725" spans="2:30">
      <c r="B725" s="64" t="s">
        <v>113</v>
      </c>
      <c r="C725" s="65" t="s">
        <v>269</v>
      </c>
      <c r="D725" s="66">
        <v>12.67</v>
      </c>
      <c r="E725" s="67">
        <v>45063</v>
      </c>
      <c r="F725" s="64">
        <f t="shared" si="351"/>
        <v>1</v>
      </c>
      <c r="G725" s="67">
        <v>45068</v>
      </c>
      <c r="H725" s="64">
        <f t="shared" si="349"/>
        <v>1</v>
      </c>
      <c r="I725" s="67">
        <f>+K725+7</f>
        <v>45086</v>
      </c>
      <c r="J725" s="64">
        <f t="shared" si="355"/>
        <v>0</v>
      </c>
      <c r="K725" s="67">
        <v>45079</v>
      </c>
      <c r="L725" s="64">
        <f t="shared" si="356"/>
        <v>0</v>
      </c>
      <c r="M725" s="64">
        <f t="shared" si="357"/>
        <v>0</v>
      </c>
      <c r="N725" s="67">
        <f t="shared" si="361"/>
        <v>45087</v>
      </c>
      <c r="O725" s="64">
        <f t="shared" si="358"/>
        <v>1</v>
      </c>
      <c r="P725" s="64">
        <f t="shared" si="359"/>
        <v>0</v>
      </c>
      <c r="Q725" s="91" t="str">
        <f t="shared" si="352"/>
        <v>Selesai</v>
      </c>
      <c r="R725" s="64">
        <f t="shared" si="360"/>
        <v>0</v>
      </c>
      <c r="S725" s="67">
        <v>45082</v>
      </c>
      <c r="T725" s="67">
        <v>45107</v>
      </c>
      <c r="U725" s="64">
        <f t="shared" si="353"/>
        <v>1</v>
      </c>
      <c r="V725" s="66"/>
      <c r="W725" s="64"/>
      <c r="X725" s="93"/>
      <c r="Y725" s="94"/>
      <c r="Z725" s="91" t="str">
        <f t="shared" si="354"/>
        <v>100%</v>
      </c>
      <c r="AA725" s="67"/>
      <c r="AB725" s="473"/>
      <c r="AC725" s="478" t="s">
        <v>2711</v>
      </c>
      <c r="AD725" s="67"/>
    </row>
    <row r="726" spans="2:30">
      <c r="B726" s="64" t="s">
        <v>113</v>
      </c>
      <c r="C726" s="65" t="s">
        <v>290</v>
      </c>
      <c r="D726" s="66">
        <v>9.1</v>
      </c>
      <c r="E726" s="67">
        <v>45071</v>
      </c>
      <c r="F726" s="64">
        <f t="shared" si="351"/>
        <v>1</v>
      </c>
      <c r="G726" s="67">
        <v>45072</v>
      </c>
      <c r="H726" s="64">
        <f t="shared" si="349"/>
        <v>1</v>
      </c>
      <c r="I726" s="67">
        <f>+K726+7</f>
        <v>45083</v>
      </c>
      <c r="J726" s="64">
        <f t="shared" si="355"/>
        <v>0</v>
      </c>
      <c r="K726" s="67">
        <v>45076</v>
      </c>
      <c r="L726" s="64">
        <f t="shared" si="356"/>
        <v>0</v>
      </c>
      <c r="M726" s="64">
        <f t="shared" si="357"/>
        <v>0</v>
      </c>
      <c r="N726" s="67">
        <f t="shared" si="361"/>
        <v>45084</v>
      </c>
      <c r="O726" s="64">
        <f t="shared" si="358"/>
        <v>1</v>
      </c>
      <c r="P726" s="64">
        <f t="shared" si="359"/>
        <v>0</v>
      </c>
      <c r="Q726" s="91" t="str">
        <f t="shared" si="352"/>
        <v>Selesai</v>
      </c>
      <c r="R726" s="64">
        <f t="shared" si="360"/>
        <v>0</v>
      </c>
      <c r="S726" s="67">
        <v>45086</v>
      </c>
      <c r="T726" s="67">
        <v>45122</v>
      </c>
      <c r="U726" s="64">
        <f t="shared" si="353"/>
        <v>1</v>
      </c>
      <c r="V726" s="66"/>
      <c r="W726" s="64"/>
      <c r="X726" s="93"/>
      <c r="Y726" s="94"/>
      <c r="Z726" s="91" t="str">
        <f t="shared" si="354"/>
        <v>100%</v>
      </c>
      <c r="AA726" s="67"/>
      <c r="AB726" s="473"/>
      <c r="AC726" s="478" t="s">
        <v>2711</v>
      </c>
      <c r="AD726" s="67"/>
    </row>
    <row r="727" spans="2:30">
      <c r="B727" s="64" t="s">
        <v>107</v>
      </c>
      <c r="C727" s="65" t="s">
        <v>679</v>
      </c>
      <c r="D727" s="66">
        <v>2.79</v>
      </c>
      <c r="E727" s="67">
        <v>45061</v>
      </c>
      <c r="F727" s="64">
        <f t="shared" si="351"/>
        <v>1</v>
      </c>
      <c r="G727" s="67">
        <v>45063</v>
      </c>
      <c r="H727" s="64">
        <f t="shared" si="349"/>
        <v>1</v>
      </c>
      <c r="I727" s="67">
        <f>+K727+8</f>
        <v>45091</v>
      </c>
      <c r="J727" s="64">
        <f t="shared" si="355"/>
        <v>0</v>
      </c>
      <c r="K727" s="67">
        <v>45083</v>
      </c>
      <c r="L727" s="64">
        <f t="shared" si="356"/>
        <v>0</v>
      </c>
      <c r="M727" s="64">
        <f t="shared" si="357"/>
        <v>0</v>
      </c>
      <c r="N727" s="67">
        <f t="shared" si="361"/>
        <v>45092</v>
      </c>
      <c r="O727" s="64">
        <f t="shared" si="358"/>
        <v>1</v>
      </c>
      <c r="P727" s="64">
        <f t="shared" si="359"/>
        <v>0</v>
      </c>
      <c r="Q727" s="91" t="str">
        <f t="shared" si="352"/>
        <v>Selesai</v>
      </c>
      <c r="R727" s="64">
        <f t="shared" si="360"/>
        <v>0</v>
      </c>
      <c r="S727" s="67">
        <v>45099</v>
      </c>
      <c r="T727" s="67">
        <v>45118</v>
      </c>
      <c r="U727" s="64">
        <f t="shared" si="353"/>
        <v>1</v>
      </c>
      <c r="V727" s="66"/>
      <c r="W727" s="64"/>
      <c r="X727" s="93"/>
      <c r="Y727" s="94"/>
      <c r="Z727" s="91" t="str">
        <f t="shared" si="354"/>
        <v>100%</v>
      </c>
      <c r="AA727" s="67"/>
      <c r="AB727" s="473"/>
      <c r="AC727" s="478" t="s">
        <v>2711</v>
      </c>
      <c r="AD727" s="67"/>
    </row>
    <row r="728" spans="2:30">
      <c r="B728" s="64" t="s">
        <v>111</v>
      </c>
      <c r="C728" s="65" t="s">
        <v>680</v>
      </c>
      <c r="D728" s="66">
        <v>5</v>
      </c>
      <c r="E728" s="67">
        <v>45079</v>
      </c>
      <c r="F728" s="64">
        <f t="shared" si="351"/>
        <v>1</v>
      </c>
      <c r="G728" s="67">
        <v>45080</v>
      </c>
      <c r="H728" s="64">
        <f t="shared" si="349"/>
        <v>1</v>
      </c>
      <c r="I728" s="67">
        <f>+K728+5</f>
        <v>45094</v>
      </c>
      <c r="J728" s="64">
        <f t="shared" si="355"/>
        <v>0</v>
      </c>
      <c r="K728" s="67">
        <v>45089</v>
      </c>
      <c r="L728" s="64">
        <f t="shared" si="356"/>
        <v>0</v>
      </c>
      <c r="M728" s="64">
        <f t="shared" si="357"/>
        <v>0</v>
      </c>
      <c r="N728" s="67">
        <f t="shared" si="361"/>
        <v>45095</v>
      </c>
      <c r="O728" s="64">
        <f t="shared" si="358"/>
        <v>1</v>
      </c>
      <c r="P728" s="64">
        <f t="shared" si="359"/>
        <v>0</v>
      </c>
      <c r="Q728" s="91" t="str">
        <f t="shared" si="352"/>
        <v>Selesai</v>
      </c>
      <c r="R728" s="64">
        <f t="shared" si="360"/>
        <v>0</v>
      </c>
      <c r="S728" s="67">
        <v>45093</v>
      </c>
      <c r="T728" s="67">
        <v>45122</v>
      </c>
      <c r="U728" s="64">
        <f t="shared" si="353"/>
        <v>1</v>
      </c>
      <c r="V728" s="66"/>
      <c r="W728" s="64"/>
      <c r="X728" s="93"/>
      <c r="Y728" s="94"/>
      <c r="Z728" s="91" t="str">
        <f t="shared" si="354"/>
        <v>100%</v>
      </c>
      <c r="AA728" s="67"/>
      <c r="AB728" s="473"/>
      <c r="AC728" s="478" t="s">
        <v>2711</v>
      </c>
      <c r="AD728" s="67"/>
    </row>
    <row r="729" spans="2:30">
      <c r="B729" s="64" t="s">
        <v>107</v>
      </c>
      <c r="C729" s="65" t="s">
        <v>681</v>
      </c>
      <c r="D729" s="66">
        <v>6.35</v>
      </c>
      <c r="E729" s="67">
        <v>45061</v>
      </c>
      <c r="F729" s="64">
        <f t="shared" si="351"/>
        <v>1</v>
      </c>
      <c r="G729" s="67">
        <v>45063</v>
      </c>
      <c r="H729" s="64">
        <f t="shared" si="349"/>
        <v>1</v>
      </c>
      <c r="I729" s="67">
        <f>+K729+9</f>
        <v>45085</v>
      </c>
      <c r="J729" s="64">
        <f t="shared" si="355"/>
        <v>0</v>
      </c>
      <c r="K729" s="67">
        <v>45076</v>
      </c>
      <c r="L729" s="64">
        <f t="shared" si="356"/>
        <v>0</v>
      </c>
      <c r="M729" s="64">
        <f t="shared" si="357"/>
        <v>0</v>
      </c>
      <c r="N729" s="67">
        <f t="shared" si="361"/>
        <v>45086</v>
      </c>
      <c r="O729" s="64">
        <f t="shared" si="358"/>
        <v>1</v>
      </c>
      <c r="P729" s="64">
        <f t="shared" si="359"/>
        <v>0</v>
      </c>
      <c r="Q729" s="91" t="str">
        <f t="shared" si="352"/>
        <v>Selesai</v>
      </c>
      <c r="R729" s="64">
        <f t="shared" si="360"/>
        <v>0</v>
      </c>
      <c r="S729" s="67">
        <v>45097</v>
      </c>
      <c r="T729" s="67">
        <v>45118</v>
      </c>
      <c r="U729" s="64">
        <f t="shared" si="353"/>
        <v>1</v>
      </c>
      <c r="V729" s="66"/>
      <c r="W729" s="64"/>
      <c r="X729" s="93"/>
      <c r="Y729" s="94"/>
      <c r="Z729" s="91" t="str">
        <f t="shared" si="354"/>
        <v>100%</v>
      </c>
      <c r="AA729" s="67"/>
      <c r="AB729" s="473"/>
      <c r="AC729" s="478" t="s">
        <v>2711</v>
      </c>
      <c r="AD729" s="67"/>
    </row>
    <row r="730" spans="2:30">
      <c r="B730" s="64" t="s">
        <v>105</v>
      </c>
      <c r="C730" s="65" t="s">
        <v>682</v>
      </c>
      <c r="D730" s="66">
        <v>6.22</v>
      </c>
      <c r="E730" s="67">
        <v>45078</v>
      </c>
      <c r="F730" s="64">
        <f t="shared" si="351"/>
        <v>1</v>
      </c>
      <c r="G730" s="67">
        <v>45079</v>
      </c>
      <c r="H730" s="64">
        <f t="shared" si="349"/>
        <v>1</v>
      </c>
      <c r="I730" s="67">
        <f>+K730+7</f>
        <v>45091</v>
      </c>
      <c r="J730" s="64">
        <f t="shared" si="355"/>
        <v>0</v>
      </c>
      <c r="K730" s="67">
        <v>45084</v>
      </c>
      <c r="L730" s="64">
        <f t="shared" si="356"/>
        <v>0</v>
      </c>
      <c r="M730" s="64">
        <f t="shared" si="357"/>
        <v>0</v>
      </c>
      <c r="N730" s="67">
        <f t="shared" si="361"/>
        <v>45092</v>
      </c>
      <c r="O730" s="64">
        <f t="shared" si="358"/>
        <v>1</v>
      </c>
      <c r="P730" s="64">
        <f t="shared" si="359"/>
        <v>0</v>
      </c>
      <c r="Q730" s="91" t="str">
        <f t="shared" si="352"/>
        <v>Selesai</v>
      </c>
      <c r="R730" s="64">
        <f t="shared" si="360"/>
        <v>0</v>
      </c>
      <c r="S730" s="67">
        <v>45092</v>
      </c>
      <c r="T730" s="67">
        <v>45118</v>
      </c>
      <c r="U730" s="64">
        <f t="shared" si="353"/>
        <v>1</v>
      </c>
      <c r="V730" s="66"/>
      <c r="W730" s="64"/>
      <c r="X730" s="93"/>
      <c r="Y730" s="94"/>
      <c r="Z730" s="91" t="str">
        <f t="shared" si="354"/>
        <v>100%</v>
      </c>
      <c r="AA730" s="67"/>
      <c r="AB730" s="473"/>
      <c r="AC730" s="478" t="s">
        <v>2711</v>
      </c>
      <c r="AD730" s="67"/>
    </row>
    <row r="731" spans="2:30">
      <c r="B731" s="64" t="s">
        <v>107</v>
      </c>
      <c r="C731" s="65" t="s">
        <v>683</v>
      </c>
      <c r="D731" s="66">
        <v>7.43</v>
      </c>
      <c r="E731" s="67">
        <v>45059</v>
      </c>
      <c r="F731" s="64">
        <f t="shared" si="351"/>
        <v>1</v>
      </c>
      <c r="G731" s="67">
        <v>45061</v>
      </c>
      <c r="H731" s="64">
        <f t="shared" si="349"/>
        <v>1</v>
      </c>
      <c r="I731" s="67">
        <f>+K731+15</f>
        <v>45090</v>
      </c>
      <c r="J731" s="64">
        <f t="shared" si="355"/>
        <v>0</v>
      </c>
      <c r="K731" s="67">
        <v>45075</v>
      </c>
      <c r="L731" s="64">
        <f t="shared" si="356"/>
        <v>0</v>
      </c>
      <c r="M731" s="64">
        <f t="shared" si="357"/>
        <v>0</v>
      </c>
      <c r="N731" s="67">
        <f t="shared" si="361"/>
        <v>45091</v>
      </c>
      <c r="O731" s="64">
        <f t="shared" si="358"/>
        <v>1</v>
      </c>
      <c r="P731" s="64">
        <f t="shared" si="359"/>
        <v>0</v>
      </c>
      <c r="Q731" s="91" t="str">
        <f t="shared" si="352"/>
        <v>Selesai</v>
      </c>
      <c r="R731" s="64">
        <f t="shared" si="360"/>
        <v>0</v>
      </c>
      <c r="S731" s="67">
        <v>45109</v>
      </c>
      <c r="T731" s="67">
        <v>45131</v>
      </c>
      <c r="U731" s="64">
        <f t="shared" si="353"/>
        <v>1</v>
      </c>
      <c r="V731" s="66"/>
      <c r="W731" s="64"/>
      <c r="X731" s="93"/>
      <c r="Y731" s="94"/>
      <c r="Z731" s="91" t="str">
        <f t="shared" si="354"/>
        <v>100%</v>
      </c>
      <c r="AA731" s="67"/>
      <c r="AB731" s="473"/>
      <c r="AC731" s="478" t="s">
        <v>2711</v>
      </c>
      <c r="AD731" s="67"/>
    </row>
    <row r="732" spans="2:30">
      <c r="B732" s="64" t="s">
        <v>105</v>
      </c>
      <c r="C732" s="65" t="s">
        <v>243</v>
      </c>
      <c r="D732" s="66">
        <v>10.1</v>
      </c>
      <c r="E732" s="67">
        <v>45080</v>
      </c>
      <c r="F732" s="64">
        <f t="shared" si="351"/>
        <v>1</v>
      </c>
      <c r="G732" s="67">
        <v>45081</v>
      </c>
      <c r="H732" s="64">
        <f t="shared" si="349"/>
        <v>1</v>
      </c>
      <c r="I732" s="67">
        <f>+K732+7</f>
        <v>45096</v>
      </c>
      <c r="J732" s="64">
        <f t="shared" si="355"/>
        <v>0</v>
      </c>
      <c r="K732" s="67">
        <v>45089</v>
      </c>
      <c r="L732" s="64">
        <f t="shared" si="356"/>
        <v>0</v>
      </c>
      <c r="M732" s="64">
        <f t="shared" si="357"/>
        <v>0</v>
      </c>
      <c r="N732" s="67">
        <f t="shared" si="361"/>
        <v>45097</v>
      </c>
      <c r="O732" s="64">
        <f t="shared" si="358"/>
        <v>1</v>
      </c>
      <c r="P732" s="64">
        <f t="shared" si="359"/>
        <v>0</v>
      </c>
      <c r="Q732" s="91" t="str">
        <f t="shared" si="352"/>
        <v>Selesai</v>
      </c>
      <c r="R732" s="64">
        <f t="shared" si="360"/>
        <v>0</v>
      </c>
      <c r="S732" s="67">
        <v>45099</v>
      </c>
      <c r="T732" s="67">
        <v>45129</v>
      </c>
      <c r="U732" s="64">
        <f t="shared" si="353"/>
        <v>1</v>
      </c>
      <c r="V732" s="66"/>
      <c r="W732" s="64"/>
      <c r="X732" s="93"/>
      <c r="Y732" s="94"/>
      <c r="Z732" s="91" t="str">
        <f t="shared" si="354"/>
        <v>100%</v>
      </c>
      <c r="AA732" s="67"/>
      <c r="AB732" s="473"/>
      <c r="AC732" s="478" t="s">
        <v>2711</v>
      </c>
      <c r="AD732" s="67"/>
    </row>
    <row r="733" spans="2:30">
      <c r="B733" s="64" t="s">
        <v>111</v>
      </c>
      <c r="C733" s="65" t="s">
        <v>684</v>
      </c>
      <c r="D733" s="66">
        <v>8.8699999999999992</v>
      </c>
      <c r="E733" s="67">
        <v>45079</v>
      </c>
      <c r="F733" s="64">
        <f t="shared" si="351"/>
        <v>1</v>
      </c>
      <c r="G733" s="67">
        <v>45081</v>
      </c>
      <c r="H733" s="64">
        <f t="shared" si="349"/>
        <v>1</v>
      </c>
      <c r="I733" s="67">
        <f>+K733+3</f>
        <v>45092</v>
      </c>
      <c r="J733" s="64">
        <f t="shared" si="355"/>
        <v>0</v>
      </c>
      <c r="K733" s="67">
        <v>45089</v>
      </c>
      <c r="L733" s="64">
        <f t="shared" si="356"/>
        <v>0</v>
      </c>
      <c r="M733" s="64">
        <f t="shared" si="357"/>
        <v>0</v>
      </c>
      <c r="N733" s="67">
        <f t="shared" si="361"/>
        <v>45093</v>
      </c>
      <c r="O733" s="64">
        <f t="shared" si="358"/>
        <v>1</v>
      </c>
      <c r="P733" s="64">
        <f t="shared" si="359"/>
        <v>0</v>
      </c>
      <c r="Q733" s="91" t="str">
        <f>IF(T733&gt;0,"Selesai","Proses")</f>
        <v>Selesai</v>
      </c>
      <c r="R733" s="64">
        <f t="shared" si="360"/>
        <v>0</v>
      </c>
      <c r="S733" s="67">
        <v>45090</v>
      </c>
      <c r="T733" s="67">
        <v>45122</v>
      </c>
      <c r="U733" s="64">
        <f t="shared" si="353"/>
        <v>1</v>
      </c>
      <c r="V733" s="66"/>
      <c r="W733" s="64"/>
      <c r="X733" s="93"/>
      <c r="Y733" s="94"/>
      <c r="Z733" s="91" t="str">
        <f t="shared" si="354"/>
        <v>100%</v>
      </c>
      <c r="AA733" s="67"/>
      <c r="AB733" s="473"/>
      <c r="AC733" s="478" t="s">
        <v>2711</v>
      </c>
      <c r="AD733" s="67"/>
    </row>
    <row r="734" spans="2:30">
      <c r="B734" s="64" t="s">
        <v>107</v>
      </c>
      <c r="C734" s="65" t="s">
        <v>685</v>
      </c>
      <c r="D734" s="66">
        <v>5.82</v>
      </c>
      <c r="E734" s="67">
        <v>45101</v>
      </c>
      <c r="F734" s="64">
        <f t="shared" ref="F734:F765" si="362">IF(E734&gt;0,1,0)</f>
        <v>1</v>
      </c>
      <c r="G734" s="67">
        <v>45102</v>
      </c>
      <c r="H734" s="64">
        <f t="shared" si="349"/>
        <v>1</v>
      </c>
      <c r="I734" s="67">
        <f>+K734+7</f>
        <v>45115</v>
      </c>
      <c r="J734" s="64">
        <f t="shared" si="355"/>
        <v>0</v>
      </c>
      <c r="K734" s="67">
        <v>45108</v>
      </c>
      <c r="L734" s="64">
        <f t="shared" si="356"/>
        <v>0</v>
      </c>
      <c r="M734" s="64">
        <f t="shared" si="357"/>
        <v>0</v>
      </c>
      <c r="N734" s="67">
        <f t="shared" si="361"/>
        <v>45116</v>
      </c>
      <c r="O734" s="64">
        <f t="shared" si="358"/>
        <v>1</v>
      </c>
      <c r="P734" s="64">
        <f t="shared" si="359"/>
        <v>0</v>
      </c>
      <c r="Q734" s="91" t="str">
        <f t="shared" si="352"/>
        <v>Selesai</v>
      </c>
      <c r="R734" s="64">
        <f t="shared" si="360"/>
        <v>0</v>
      </c>
      <c r="S734" s="67">
        <v>45117</v>
      </c>
      <c r="T734" s="67">
        <v>45132</v>
      </c>
      <c r="U734" s="64">
        <f t="shared" si="353"/>
        <v>1</v>
      </c>
      <c r="V734" s="66"/>
      <c r="W734" s="64"/>
      <c r="X734" s="93"/>
      <c r="Y734" s="94"/>
      <c r="Z734" s="91" t="str">
        <f t="shared" si="354"/>
        <v>100%</v>
      </c>
      <c r="AA734" s="67"/>
      <c r="AB734" s="473"/>
      <c r="AC734" s="478" t="s">
        <v>2711</v>
      </c>
      <c r="AD734" s="67"/>
    </row>
    <row r="735" spans="2:30">
      <c r="B735" s="64" t="s">
        <v>107</v>
      </c>
      <c r="C735" s="65" t="s">
        <v>686</v>
      </c>
      <c r="D735" s="66">
        <v>7.84</v>
      </c>
      <c r="E735" s="67">
        <v>45059</v>
      </c>
      <c r="F735" s="64">
        <f t="shared" si="362"/>
        <v>1</v>
      </c>
      <c r="G735" s="67">
        <v>45061</v>
      </c>
      <c r="H735" s="64">
        <f t="shared" si="349"/>
        <v>1</v>
      </c>
      <c r="I735" s="67">
        <f>+K735+15</f>
        <v>45090</v>
      </c>
      <c r="J735" s="64">
        <f t="shared" si="355"/>
        <v>0</v>
      </c>
      <c r="K735" s="67">
        <v>45075</v>
      </c>
      <c r="L735" s="64">
        <f t="shared" si="356"/>
        <v>0</v>
      </c>
      <c r="M735" s="64">
        <f t="shared" si="357"/>
        <v>0</v>
      </c>
      <c r="N735" s="67">
        <f t="shared" si="361"/>
        <v>45091</v>
      </c>
      <c r="O735" s="64">
        <f t="shared" si="358"/>
        <v>1</v>
      </c>
      <c r="P735" s="64">
        <f t="shared" si="359"/>
        <v>0</v>
      </c>
      <c r="Q735" s="91" t="str">
        <f t="shared" si="352"/>
        <v>Selesai</v>
      </c>
      <c r="R735" s="64">
        <f t="shared" si="360"/>
        <v>0</v>
      </c>
      <c r="S735" s="67">
        <v>45111</v>
      </c>
      <c r="T735" s="67">
        <v>45131</v>
      </c>
      <c r="U735" s="64">
        <f t="shared" si="353"/>
        <v>1</v>
      </c>
      <c r="V735" s="66"/>
      <c r="W735" s="64"/>
      <c r="X735" s="93"/>
      <c r="Y735" s="94"/>
      <c r="Z735" s="91" t="str">
        <f t="shared" si="354"/>
        <v>100%</v>
      </c>
      <c r="AA735" s="67"/>
      <c r="AB735" s="473"/>
      <c r="AC735" s="478" t="s">
        <v>2711</v>
      </c>
      <c r="AD735" s="67"/>
    </row>
    <row r="736" spans="2:30">
      <c r="B736" s="64" t="s">
        <v>116</v>
      </c>
      <c r="C736" s="65" t="s">
        <v>286</v>
      </c>
      <c r="D736" s="66">
        <v>8.19</v>
      </c>
      <c r="E736" s="67">
        <v>45089</v>
      </c>
      <c r="F736" s="64">
        <f t="shared" si="362"/>
        <v>1</v>
      </c>
      <c r="G736" s="67">
        <v>45091</v>
      </c>
      <c r="H736" s="64">
        <f t="shared" si="349"/>
        <v>1</v>
      </c>
      <c r="I736" s="67">
        <f>+K736+1</f>
        <v>45105</v>
      </c>
      <c r="J736" s="64">
        <f t="shared" si="355"/>
        <v>0</v>
      </c>
      <c r="K736" s="67">
        <v>45104</v>
      </c>
      <c r="L736" s="64">
        <f t="shared" si="356"/>
        <v>0</v>
      </c>
      <c r="M736" s="64">
        <f t="shared" si="357"/>
        <v>0</v>
      </c>
      <c r="N736" s="67">
        <f t="shared" si="361"/>
        <v>45106</v>
      </c>
      <c r="O736" s="64">
        <f t="shared" si="358"/>
        <v>1</v>
      </c>
      <c r="P736" s="64">
        <f t="shared" si="359"/>
        <v>0</v>
      </c>
      <c r="Q736" s="91" t="str">
        <f t="shared" si="352"/>
        <v>Selesai</v>
      </c>
      <c r="R736" s="64">
        <f t="shared" si="360"/>
        <v>0</v>
      </c>
      <c r="S736" s="67">
        <v>45105</v>
      </c>
      <c r="T736" s="67">
        <v>45134</v>
      </c>
      <c r="U736" s="64">
        <f t="shared" si="353"/>
        <v>1</v>
      </c>
      <c r="V736" s="66"/>
      <c r="W736" s="64"/>
      <c r="X736" s="93"/>
      <c r="Y736" s="94"/>
      <c r="Z736" s="91" t="str">
        <f t="shared" si="354"/>
        <v>100%</v>
      </c>
      <c r="AA736" s="67"/>
      <c r="AB736" s="473"/>
      <c r="AC736" s="478" t="s">
        <v>2711</v>
      </c>
      <c r="AD736" s="67"/>
    </row>
    <row r="737" spans="2:30">
      <c r="B737" s="64" t="s">
        <v>113</v>
      </c>
      <c r="C737" s="65" t="s">
        <v>687</v>
      </c>
      <c r="D737" s="66">
        <f>VLOOKUP($C737,[8]Nanas!$C$672:$E$742,3,0)</f>
        <v>10.58</v>
      </c>
      <c r="E737" s="67">
        <v>45084</v>
      </c>
      <c r="F737" s="64">
        <f t="shared" si="362"/>
        <v>1</v>
      </c>
      <c r="G737" s="67">
        <v>45085</v>
      </c>
      <c r="H737" s="64">
        <f t="shared" si="349"/>
        <v>1</v>
      </c>
      <c r="I737" s="67">
        <f>+K737+1</f>
        <v>45105</v>
      </c>
      <c r="J737" s="64">
        <f t="shared" si="355"/>
        <v>0</v>
      </c>
      <c r="K737" s="67">
        <v>45104</v>
      </c>
      <c r="L737" s="64">
        <f t="shared" si="356"/>
        <v>0</v>
      </c>
      <c r="M737" s="64">
        <f t="shared" si="357"/>
        <v>0</v>
      </c>
      <c r="N737" s="67">
        <f t="shared" si="361"/>
        <v>45106</v>
      </c>
      <c r="O737" s="64">
        <f t="shared" si="358"/>
        <v>1</v>
      </c>
      <c r="P737" s="64">
        <f t="shared" si="359"/>
        <v>0</v>
      </c>
      <c r="Q737" s="91" t="str">
        <f t="shared" si="352"/>
        <v>Selesai</v>
      </c>
      <c r="R737" s="64">
        <f t="shared" si="360"/>
        <v>0</v>
      </c>
      <c r="S737" s="67">
        <v>45105</v>
      </c>
      <c r="T737" s="67">
        <v>45140</v>
      </c>
      <c r="U737" s="64">
        <f t="shared" si="353"/>
        <v>1</v>
      </c>
      <c r="V737" s="66"/>
      <c r="W737" s="64"/>
      <c r="X737" s="93"/>
      <c r="Y737" s="94"/>
      <c r="Z737" s="91" t="str">
        <f t="shared" si="354"/>
        <v>100%</v>
      </c>
      <c r="AA737" s="67"/>
      <c r="AB737" s="473"/>
      <c r="AC737" s="478" t="s">
        <v>2711</v>
      </c>
      <c r="AD737" s="67"/>
    </row>
    <row r="738" spans="2:30">
      <c r="B738" s="64" t="s">
        <v>107</v>
      </c>
      <c r="C738" s="65" t="s">
        <v>688</v>
      </c>
      <c r="D738" s="66">
        <f>VLOOKUP($C738,[8]Nanas!$C$672:$E$742,3,0)</f>
        <v>7.73</v>
      </c>
      <c r="E738" s="67">
        <v>45101</v>
      </c>
      <c r="F738" s="64">
        <f t="shared" si="362"/>
        <v>1</v>
      </c>
      <c r="G738" s="67">
        <v>45102</v>
      </c>
      <c r="H738" s="64">
        <f t="shared" si="349"/>
        <v>1</v>
      </c>
      <c r="I738" s="67">
        <f>+K738+8</f>
        <v>45116</v>
      </c>
      <c r="J738" s="64">
        <f t="shared" si="355"/>
        <v>0</v>
      </c>
      <c r="K738" s="67">
        <v>45108</v>
      </c>
      <c r="L738" s="64">
        <f t="shared" si="356"/>
        <v>0</v>
      </c>
      <c r="M738" s="64">
        <f t="shared" si="357"/>
        <v>0</v>
      </c>
      <c r="N738" s="67">
        <f t="shared" si="361"/>
        <v>45117</v>
      </c>
      <c r="O738" s="64">
        <f t="shared" si="358"/>
        <v>1</v>
      </c>
      <c r="P738" s="64">
        <f t="shared" si="359"/>
        <v>0</v>
      </c>
      <c r="Q738" s="91" t="str">
        <f t="shared" si="352"/>
        <v>Selesai</v>
      </c>
      <c r="R738" s="64">
        <f t="shared" si="360"/>
        <v>0</v>
      </c>
      <c r="S738" s="67">
        <v>45119</v>
      </c>
      <c r="T738" s="67">
        <v>45139</v>
      </c>
      <c r="U738" s="64">
        <f t="shared" si="353"/>
        <v>1</v>
      </c>
      <c r="V738" s="66"/>
      <c r="W738" s="64"/>
      <c r="X738" s="93"/>
      <c r="Y738" s="94"/>
      <c r="Z738" s="91" t="str">
        <f t="shared" si="354"/>
        <v>100%</v>
      </c>
      <c r="AA738" s="67"/>
      <c r="AB738" s="473"/>
      <c r="AC738" s="478" t="s">
        <v>2711</v>
      </c>
      <c r="AD738" s="67"/>
    </row>
    <row r="739" spans="2:30">
      <c r="B739" s="64" t="s">
        <v>113</v>
      </c>
      <c r="C739" s="65" t="s">
        <v>261</v>
      </c>
      <c r="D739" s="66">
        <f>VLOOKUP($C739,[8]Nanas!$C$672:$E$742,3,0)</f>
        <v>9.4499999999999993</v>
      </c>
      <c r="E739" s="67">
        <v>45108</v>
      </c>
      <c r="F739" s="64">
        <f t="shared" si="362"/>
        <v>1</v>
      </c>
      <c r="G739" s="67">
        <v>45110</v>
      </c>
      <c r="H739" s="64">
        <f t="shared" si="349"/>
        <v>1</v>
      </c>
      <c r="I739" s="67">
        <f>+K739+4</f>
        <v>45124</v>
      </c>
      <c r="J739" s="64">
        <f t="shared" si="355"/>
        <v>0</v>
      </c>
      <c r="K739" s="67">
        <v>45120</v>
      </c>
      <c r="L739" s="64">
        <f t="shared" si="356"/>
        <v>0</v>
      </c>
      <c r="M739" s="64">
        <f t="shared" si="357"/>
        <v>0</v>
      </c>
      <c r="N739" s="67">
        <f t="shared" si="361"/>
        <v>45125</v>
      </c>
      <c r="O739" s="64">
        <f t="shared" si="358"/>
        <v>1</v>
      </c>
      <c r="P739" s="64">
        <f t="shared" si="359"/>
        <v>0</v>
      </c>
      <c r="Q739" s="91" t="str">
        <f t="shared" si="352"/>
        <v>Selesai</v>
      </c>
      <c r="R739" s="64">
        <f t="shared" si="360"/>
        <v>0</v>
      </c>
      <c r="S739" s="67">
        <v>45122</v>
      </c>
      <c r="T739" s="67">
        <v>45149</v>
      </c>
      <c r="U739" s="64">
        <f t="shared" si="353"/>
        <v>1</v>
      </c>
      <c r="V739" s="66"/>
      <c r="W739" s="64"/>
      <c r="X739" s="93"/>
      <c r="Y739" s="94"/>
      <c r="Z739" s="91" t="str">
        <f t="shared" si="354"/>
        <v>100%</v>
      </c>
      <c r="AA739" s="67"/>
      <c r="AB739" s="473"/>
      <c r="AC739" s="478" t="s">
        <v>2711</v>
      </c>
      <c r="AD739" s="67"/>
    </row>
    <row r="740" spans="2:30">
      <c r="B740" s="64" t="s">
        <v>113</v>
      </c>
      <c r="C740" s="65" t="s">
        <v>244</v>
      </c>
      <c r="D740" s="66">
        <f>VLOOKUP($C740,[8]Nanas!$C$672:$E$742,3,0)</f>
        <v>10.44</v>
      </c>
      <c r="E740" s="67">
        <v>45076</v>
      </c>
      <c r="F740" s="64">
        <f t="shared" si="362"/>
        <v>1</v>
      </c>
      <c r="G740" s="67">
        <v>45077</v>
      </c>
      <c r="H740" s="64">
        <f t="shared" si="349"/>
        <v>1</v>
      </c>
      <c r="I740" s="67">
        <f>+K740+7</f>
        <v>45098</v>
      </c>
      <c r="J740" s="64">
        <f t="shared" si="355"/>
        <v>0</v>
      </c>
      <c r="K740" s="67">
        <v>45091</v>
      </c>
      <c r="L740" s="64">
        <f t="shared" si="356"/>
        <v>0</v>
      </c>
      <c r="M740" s="64">
        <f t="shared" si="357"/>
        <v>0</v>
      </c>
      <c r="N740" s="67">
        <f t="shared" si="361"/>
        <v>45099</v>
      </c>
      <c r="O740" s="64">
        <f t="shared" si="358"/>
        <v>1</v>
      </c>
      <c r="P740" s="64">
        <f t="shared" si="359"/>
        <v>0</v>
      </c>
      <c r="Q740" s="91" t="str">
        <f t="shared" si="352"/>
        <v>Selesai</v>
      </c>
      <c r="R740" s="64">
        <f t="shared" si="360"/>
        <v>0</v>
      </c>
      <c r="S740" s="67">
        <v>45103</v>
      </c>
      <c r="T740" s="67">
        <v>45160</v>
      </c>
      <c r="U740" s="64">
        <f t="shared" si="353"/>
        <v>1</v>
      </c>
      <c r="V740" s="66"/>
      <c r="W740" s="64"/>
      <c r="X740" s="93"/>
      <c r="Y740" s="94"/>
      <c r="Z740" s="91" t="str">
        <f t="shared" si="354"/>
        <v>100%</v>
      </c>
      <c r="AA740" s="67"/>
      <c r="AB740" s="473"/>
      <c r="AC740" s="478" t="s">
        <v>2711</v>
      </c>
      <c r="AD740" s="67"/>
    </row>
    <row r="741" spans="2:30">
      <c r="B741" s="64" t="s">
        <v>109</v>
      </c>
      <c r="C741" s="65" t="s">
        <v>308</v>
      </c>
      <c r="D741" s="66">
        <f>VLOOKUP($C741,[8]Nanas!$C$672:$E$742,3,0)</f>
        <v>6.05</v>
      </c>
      <c r="E741" s="67">
        <v>45105</v>
      </c>
      <c r="F741" s="64">
        <f t="shared" si="362"/>
        <v>1</v>
      </c>
      <c r="G741" s="67">
        <v>45107</v>
      </c>
      <c r="H741" s="64">
        <f t="shared" si="349"/>
        <v>1</v>
      </c>
      <c r="I741" s="67">
        <f>+K741+7</f>
        <v>45119</v>
      </c>
      <c r="J741" s="64">
        <f t="shared" si="355"/>
        <v>0</v>
      </c>
      <c r="K741" s="67">
        <v>45112</v>
      </c>
      <c r="L741" s="64">
        <f t="shared" si="356"/>
        <v>0</v>
      </c>
      <c r="M741" s="64">
        <f t="shared" si="357"/>
        <v>0</v>
      </c>
      <c r="N741" s="67">
        <f t="shared" si="361"/>
        <v>45120</v>
      </c>
      <c r="O741" s="64">
        <f t="shared" si="358"/>
        <v>1</v>
      </c>
      <c r="P741" s="64">
        <f t="shared" si="359"/>
        <v>0</v>
      </c>
      <c r="Q741" s="91" t="str">
        <f t="shared" si="352"/>
        <v>Selesai</v>
      </c>
      <c r="R741" s="64">
        <f t="shared" si="360"/>
        <v>0</v>
      </c>
      <c r="S741" s="67">
        <v>45120</v>
      </c>
      <c r="T741" s="67">
        <v>45142</v>
      </c>
      <c r="U741" s="64">
        <f t="shared" si="353"/>
        <v>1</v>
      </c>
      <c r="V741" s="66"/>
      <c r="W741" s="64"/>
      <c r="X741" s="93"/>
      <c r="Y741" s="94"/>
      <c r="Z741" s="91" t="str">
        <f t="shared" si="354"/>
        <v>100%</v>
      </c>
      <c r="AA741" s="67"/>
      <c r="AB741" s="473"/>
      <c r="AC741" s="478" t="s">
        <v>2711</v>
      </c>
      <c r="AD741" s="67"/>
    </row>
    <row r="742" spans="2:30">
      <c r="B742" s="64" t="s">
        <v>109</v>
      </c>
      <c r="C742" s="65" t="s">
        <v>689</v>
      </c>
      <c r="D742" s="66">
        <f>VLOOKUP($C742,[8]Nanas!$C$672:$E$742,3,0)</f>
        <v>7.2</v>
      </c>
      <c r="E742" s="67">
        <v>45112</v>
      </c>
      <c r="F742" s="64">
        <f t="shared" si="362"/>
        <v>1</v>
      </c>
      <c r="G742" s="67">
        <v>45113</v>
      </c>
      <c r="H742" s="64">
        <f t="shared" si="349"/>
        <v>1</v>
      </c>
      <c r="I742" s="67">
        <f>+K742+7</f>
        <v>45126</v>
      </c>
      <c r="J742" s="64">
        <f t="shared" si="355"/>
        <v>0</v>
      </c>
      <c r="K742" s="67">
        <v>45119</v>
      </c>
      <c r="L742" s="64">
        <f t="shared" si="356"/>
        <v>0</v>
      </c>
      <c r="M742" s="64">
        <f t="shared" si="357"/>
        <v>0</v>
      </c>
      <c r="N742" s="67">
        <f t="shared" si="361"/>
        <v>45127</v>
      </c>
      <c r="O742" s="64">
        <f t="shared" si="358"/>
        <v>1</v>
      </c>
      <c r="P742" s="64">
        <f t="shared" si="359"/>
        <v>0</v>
      </c>
      <c r="Q742" s="91" t="str">
        <f t="shared" si="352"/>
        <v>Selesai</v>
      </c>
      <c r="R742" s="64">
        <f t="shared" si="360"/>
        <v>0</v>
      </c>
      <c r="S742" s="67">
        <v>45132</v>
      </c>
      <c r="T742" s="67">
        <v>45169</v>
      </c>
      <c r="U742" s="64">
        <f t="shared" si="353"/>
        <v>1</v>
      </c>
      <c r="V742" s="66"/>
      <c r="W742" s="64"/>
      <c r="X742" s="93"/>
      <c r="Y742" s="94"/>
      <c r="Z742" s="91" t="str">
        <f t="shared" si="354"/>
        <v>100%</v>
      </c>
      <c r="AA742" s="67"/>
      <c r="AB742" s="473"/>
      <c r="AC742" s="478" t="s">
        <v>2711</v>
      </c>
      <c r="AD742" s="67"/>
    </row>
    <row r="743" spans="2:30">
      <c r="B743" s="64" t="s">
        <v>116</v>
      </c>
      <c r="C743" s="65" t="s">
        <v>311</v>
      </c>
      <c r="D743" s="66">
        <f>VLOOKUP($C743,[8]Nanas!$C$672:$E$742,3,0)</f>
        <v>5.34</v>
      </c>
      <c r="E743" s="67">
        <v>45125</v>
      </c>
      <c r="F743" s="64">
        <f t="shared" si="362"/>
        <v>1</v>
      </c>
      <c r="G743" s="67">
        <v>45126</v>
      </c>
      <c r="H743" s="64">
        <f t="shared" si="349"/>
        <v>1</v>
      </c>
      <c r="I743" s="67">
        <f>+K743+6</f>
        <v>45137</v>
      </c>
      <c r="J743" s="64">
        <f t="shared" si="355"/>
        <v>0</v>
      </c>
      <c r="K743" s="67">
        <v>45131</v>
      </c>
      <c r="L743" s="64">
        <f t="shared" si="356"/>
        <v>0</v>
      </c>
      <c r="M743" s="64">
        <f t="shared" si="357"/>
        <v>0</v>
      </c>
      <c r="N743" s="67">
        <f t="shared" si="361"/>
        <v>45138</v>
      </c>
      <c r="O743" s="64">
        <f t="shared" si="358"/>
        <v>1</v>
      </c>
      <c r="P743" s="64">
        <f t="shared" si="359"/>
        <v>0</v>
      </c>
      <c r="Q743" s="91" t="str">
        <f t="shared" si="352"/>
        <v>Selesai</v>
      </c>
      <c r="R743" s="64">
        <f t="shared" si="360"/>
        <v>0</v>
      </c>
      <c r="S743" s="67">
        <v>45134</v>
      </c>
      <c r="T743" s="67">
        <v>45146</v>
      </c>
      <c r="U743" s="64">
        <f t="shared" si="353"/>
        <v>1</v>
      </c>
      <c r="V743" s="66"/>
      <c r="W743" s="64"/>
      <c r="X743" s="93"/>
      <c r="Y743" s="94"/>
      <c r="Z743" s="91" t="str">
        <f t="shared" si="354"/>
        <v>100%</v>
      </c>
      <c r="AA743" s="67"/>
      <c r="AB743" s="473"/>
      <c r="AC743" s="478" t="s">
        <v>2711</v>
      </c>
      <c r="AD743" s="67"/>
    </row>
    <row r="744" spans="2:30">
      <c r="B744" s="64" t="s">
        <v>113</v>
      </c>
      <c r="C744" s="65" t="s">
        <v>690</v>
      </c>
      <c r="D744" s="66">
        <f>VLOOKUP($C744,[8]Nanas!$C$672:$E$742,3,0)</f>
        <v>2.52</v>
      </c>
      <c r="E744" s="67">
        <v>45132</v>
      </c>
      <c r="F744" s="64">
        <f t="shared" si="362"/>
        <v>1</v>
      </c>
      <c r="G744" s="67">
        <v>45133</v>
      </c>
      <c r="H744" s="64">
        <f t="shared" si="349"/>
        <v>1</v>
      </c>
      <c r="I744" s="67">
        <f>+K744+6</f>
        <v>45141</v>
      </c>
      <c r="J744" s="64">
        <f t="shared" si="355"/>
        <v>0</v>
      </c>
      <c r="K744" s="67">
        <v>45135</v>
      </c>
      <c r="L744" s="64">
        <f t="shared" si="356"/>
        <v>0</v>
      </c>
      <c r="M744" s="64">
        <f t="shared" si="357"/>
        <v>0</v>
      </c>
      <c r="N744" s="67">
        <f t="shared" si="361"/>
        <v>45142</v>
      </c>
      <c r="O744" s="64">
        <f t="shared" si="358"/>
        <v>1</v>
      </c>
      <c r="P744" s="64">
        <f t="shared" si="359"/>
        <v>0</v>
      </c>
      <c r="Q744" s="91" t="str">
        <f t="shared" si="352"/>
        <v>Selesai</v>
      </c>
      <c r="R744" s="64">
        <f t="shared" si="360"/>
        <v>0</v>
      </c>
      <c r="S744" s="67">
        <v>45141</v>
      </c>
      <c r="T744" s="67">
        <v>45153</v>
      </c>
      <c r="U744" s="64">
        <f t="shared" si="353"/>
        <v>1</v>
      </c>
      <c r="V744" s="66"/>
      <c r="W744" s="64"/>
      <c r="X744" s="93"/>
      <c r="Y744" s="94"/>
      <c r="Z744" s="91" t="str">
        <f t="shared" si="354"/>
        <v>100%</v>
      </c>
      <c r="AA744" s="67"/>
      <c r="AB744" s="473"/>
      <c r="AC744" s="478" t="s">
        <v>2711</v>
      </c>
      <c r="AD744" s="67"/>
    </row>
    <row r="745" spans="2:30">
      <c r="B745" s="64" t="s">
        <v>116</v>
      </c>
      <c r="C745" s="65" t="s">
        <v>691</v>
      </c>
      <c r="D745" s="66">
        <f>VLOOKUP($C745,[8]Nanas!$C$672:$E$742,3,0)</f>
        <v>6.77</v>
      </c>
      <c r="E745" s="67">
        <v>45123</v>
      </c>
      <c r="F745" s="64">
        <f t="shared" si="362"/>
        <v>1</v>
      </c>
      <c r="G745" s="67">
        <v>45133</v>
      </c>
      <c r="H745" s="64">
        <f t="shared" si="349"/>
        <v>1</v>
      </c>
      <c r="I745" s="67">
        <f>+K745+1</f>
        <v>45136</v>
      </c>
      <c r="J745" s="64">
        <f t="shared" si="355"/>
        <v>0</v>
      </c>
      <c r="K745" s="67">
        <v>45135</v>
      </c>
      <c r="L745" s="64">
        <f t="shared" si="356"/>
        <v>0</v>
      </c>
      <c r="M745" s="64">
        <f t="shared" si="357"/>
        <v>0</v>
      </c>
      <c r="N745" s="67">
        <f t="shared" si="361"/>
        <v>45137</v>
      </c>
      <c r="O745" s="64">
        <f t="shared" si="358"/>
        <v>1</v>
      </c>
      <c r="P745" s="64">
        <f t="shared" si="359"/>
        <v>0</v>
      </c>
      <c r="Q745" s="91" t="str">
        <f t="shared" si="352"/>
        <v>Selesai</v>
      </c>
      <c r="R745" s="64">
        <f t="shared" si="360"/>
        <v>0</v>
      </c>
      <c r="S745" s="67">
        <v>44934</v>
      </c>
      <c r="T745" s="67">
        <v>45153</v>
      </c>
      <c r="U745" s="64">
        <f t="shared" si="353"/>
        <v>1</v>
      </c>
      <c r="V745" s="64"/>
      <c r="W745" s="64"/>
      <c r="X745" s="93"/>
      <c r="Y745" s="94"/>
      <c r="Z745" s="91" t="str">
        <f t="shared" si="354"/>
        <v>100%</v>
      </c>
      <c r="AA745" s="67"/>
      <c r="AB745" s="473"/>
      <c r="AC745" s="478" t="s">
        <v>2711</v>
      </c>
      <c r="AD745" s="67"/>
    </row>
    <row r="746" spans="2:30">
      <c r="B746" s="64" t="s">
        <v>109</v>
      </c>
      <c r="C746" s="65" t="s">
        <v>692</v>
      </c>
      <c r="D746" s="66">
        <f>VLOOKUP($C746,[8]Nanas!$C$672:$E$742,3,0)</f>
        <v>3.93</v>
      </c>
      <c r="E746" s="67">
        <v>45071</v>
      </c>
      <c r="F746" s="64">
        <f t="shared" si="362"/>
        <v>1</v>
      </c>
      <c r="G746" s="67">
        <v>45072</v>
      </c>
      <c r="H746" s="64">
        <f t="shared" si="349"/>
        <v>1</v>
      </c>
      <c r="I746" s="67">
        <f>+K746+8</f>
        <v>45099</v>
      </c>
      <c r="J746" s="64">
        <f t="shared" si="355"/>
        <v>0</v>
      </c>
      <c r="K746" s="67">
        <v>45091</v>
      </c>
      <c r="L746" s="64">
        <f t="shared" si="356"/>
        <v>0</v>
      </c>
      <c r="M746" s="64">
        <f t="shared" si="357"/>
        <v>0</v>
      </c>
      <c r="N746" s="67">
        <f t="shared" si="361"/>
        <v>45100</v>
      </c>
      <c r="O746" s="64">
        <f t="shared" si="358"/>
        <v>1</v>
      </c>
      <c r="P746" s="64">
        <f t="shared" si="359"/>
        <v>0</v>
      </c>
      <c r="Q746" s="91" t="str">
        <f t="shared" si="352"/>
        <v>Selesai</v>
      </c>
      <c r="R746" s="64">
        <f t="shared" si="360"/>
        <v>0</v>
      </c>
      <c r="S746" s="67">
        <v>45111</v>
      </c>
      <c r="T746" s="67">
        <v>45153</v>
      </c>
      <c r="U746" s="64">
        <f t="shared" si="353"/>
        <v>1</v>
      </c>
      <c r="V746" s="66"/>
      <c r="W746" s="64"/>
      <c r="X746" s="93"/>
      <c r="Y746" s="94"/>
      <c r="Z746" s="91" t="str">
        <f t="shared" si="354"/>
        <v>100%</v>
      </c>
      <c r="AA746" s="67"/>
      <c r="AB746" s="473"/>
      <c r="AC746" s="478" t="s">
        <v>2711</v>
      </c>
      <c r="AD746" s="67"/>
    </row>
    <row r="747" spans="2:30">
      <c r="B747" s="64" t="s">
        <v>113</v>
      </c>
      <c r="C747" s="65" t="s">
        <v>315</v>
      </c>
      <c r="D747" s="66">
        <f>VLOOKUP($C747,[8]Nanas!$C$672:$E$742,3,0)</f>
        <v>10.83</v>
      </c>
      <c r="E747" s="67">
        <v>45124</v>
      </c>
      <c r="F747" s="64">
        <f t="shared" si="362"/>
        <v>1</v>
      </c>
      <c r="G747" s="67">
        <v>45125</v>
      </c>
      <c r="H747" s="64">
        <f t="shared" si="349"/>
        <v>1</v>
      </c>
      <c r="I747" s="67">
        <f>+K747+6</f>
        <v>45132</v>
      </c>
      <c r="J747" s="64">
        <f t="shared" si="355"/>
        <v>0</v>
      </c>
      <c r="K747" s="67">
        <v>45126</v>
      </c>
      <c r="L747" s="64">
        <f t="shared" si="356"/>
        <v>0</v>
      </c>
      <c r="M747" s="64">
        <f t="shared" si="357"/>
        <v>0</v>
      </c>
      <c r="N747" s="67">
        <f t="shared" si="361"/>
        <v>45133</v>
      </c>
      <c r="O747" s="64">
        <f t="shared" si="358"/>
        <v>1</v>
      </c>
      <c r="P747" s="64">
        <f t="shared" si="359"/>
        <v>0</v>
      </c>
      <c r="Q747" s="91" t="str">
        <f t="shared" si="352"/>
        <v>Selesai</v>
      </c>
      <c r="R747" s="64">
        <f t="shared" si="360"/>
        <v>0</v>
      </c>
      <c r="S747" s="67">
        <v>45132</v>
      </c>
      <c r="T747" s="67">
        <v>45163</v>
      </c>
      <c r="U747" s="64">
        <f t="shared" si="353"/>
        <v>1</v>
      </c>
      <c r="V747" s="66"/>
      <c r="W747" s="64"/>
      <c r="X747" s="93"/>
      <c r="Y747" s="94"/>
      <c r="Z747" s="91" t="str">
        <f t="shared" si="354"/>
        <v>100%</v>
      </c>
      <c r="AA747" s="67"/>
      <c r="AB747" s="473"/>
      <c r="AC747" s="478" t="s">
        <v>2711</v>
      </c>
      <c r="AD747" s="67"/>
    </row>
    <row r="748" spans="2:30">
      <c r="B748" s="64" t="s">
        <v>113</v>
      </c>
      <c r="C748" s="65" t="s">
        <v>302</v>
      </c>
      <c r="D748" s="66">
        <f>VLOOKUP($C748,[8]Nanas!$C$672:$E$742,3,0)</f>
        <v>7.93</v>
      </c>
      <c r="E748" s="67">
        <v>45087</v>
      </c>
      <c r="F748" s="64">
        <f t="shared" si="362"/>
        <v>1</v>
      </c>
      <c r="G748" s="67">
        <v>45088</v>
      </c>
      <c r="H748" s="64">
        <f t="shared" si="349"/>
        <v>1</v>
      </c>
      <c r="I748" s="67">
        <f>+K748+8</f>
        <v>45116</v>
      </c>
      <c r="J748" s="64">
        <f t="shared" si="355"/>
        <v>0</v>
      </c>
      <c r="K748" s="67">
        <v>45108</v>
      </c>
      <c r="L748" s="64">
        <f t="shared" si="356"/>
        <v>0</v>
      </c>
      <c r="M748" s="64">
        <f t="shared" si="357"/>
        <v>0</v>
      </c>
      <c r="N748" s="67">
        <f t="shared" si="361"/>
        <v>45117</v>
      </c>
      <c r="O748" s="64">
        <f t="shared" si="358"/>
        <v>1</v>
      </c>
      <c r="P748" s="64">
        <f t="shared" si="359"/>
        <v>0</v>
      </c>
      <c r="Q748" s="91" t="str">
        <f t="shared" si="352"/>
        <v>Selesai</v>
      </c>
      <c r="R748" s="64">
        <f t="shared" si="360"/>
        <v>0</v>
      </c>
      <c r="S748" s="67">
        <v>45127</v>
      </c>
      <c r="T748" s="67">
        <v>45160</v>
      </c>
      <c r="U748" s="64">
        <f t="shared" si="353"/>
        <v>1</v>
      </c>
      <c r="V748" s="66"/>
      <c r="W748" s="64"/>
      <c r="X748" s="93"/>
      <c r="Y748" s="94"/>
      <c r="Z748" s="91" t="str">
        <f t="shared" si="354"/>
        <v>100%</v>
      </c>
      <c r="AA748" s="67"/>
      <c r="AB748" s="473"/>
      <c r="AC748" s="478" t="s">
        <v>2711</v>
      </c>
      <c r="AD748" s="67"/>
    </row>
    <row r="749" spans="2:30">
      <c r="B749" s="64" t="s">
        <v>107</v>
      </c>
      <c r="C749" s="65" t="s">
        <v>334</v>
      </c>
      <c r="D749" s="66">
        <f>VLOOKUP($C749,[8]Nanas!$C$672:$E$742,3,0)</f>
        <v>7.93</v>
      </c>
      <c r="E749" s="67">
        <v>45135</v>
      </c>
      <c r="F749" s="64">
        <f t="shared" si="362"/>
        <v>1</v>
      </c>
      <c r="G749" s="67">
        <v>45140</v>
      </c>
      <c r="H749" s="64">
        <f t="shared" si="349"/>
        <v>1</v>
      </c>
      <c r="I749" s="67">
        <f>+K749+5</f>
        <v>45145</v>
      </c>
      <c r="J749" s="64">
        <f t="shared" si="355"/>
        <v>0</v>
      </c>
      <c r="K749" s="67">
        <v>45140</v>
      </c>
      <c r="L749" s="64">
        <f t="shared" si="356"/>
        <v>0</v>
      </c>
      <c r="M749" s="64">
        <f t="shared" si="357"/>
        <v>0</v>
      </c>
      <c r="N749" s="67">
        <f t="shared" si="361"/>
        <v>45146</v>
      </c>
      <c r="O749" s="64">
        <f t="shared" si="358"/>
        <v>1</v>
      </c>
      <c r="P749" s="64">
        <f t="shared" si="359"/>
        <v>0</v>
      </c>
      <c r="Q749" s="91" t="str">
        <f t="shared" si="352"/>
        <v>Selesai</v>
      </c>
      <c r="R749" s="64">
        <f t="shared" si="360"/>
        <v>0</v>
      </c>
      <c r="S749" s="67">
        <v>45146</v>
      </c>
      <c r="T749" s="67">
        <v>45160</v>
      </c>
      <c r="U749" s="64">
        <f t="shared" si="353"/>
        <v>1</v>
      </c>
      <c r="V749" s="64"/>
      <c r="W749" s="64"/>
      <c r="X749" s="93"/>
      <c r="Y749" s="94"/>
      <c r="Z749" s="91" t="str">
        <f t="shared" si="354"/>
        <v>100%</v>
      </c>
      <c r="AA749" s="67"/>
      <c r="AB749" s="473"/>
      <c r="AC749" s="478" t="s">
        <v>2711</v>
      </c>
      <c r="AD749" s="67"/>
    </row>
    <row r="750" spans="2:30">
      <c r="B750" s="64" t="s">
        <v>107</v>
      </c>
      <c r="C750" s="65" t="s">
        <v>343</v>
      </c>
      <c r="D750" s="66">
        <f>VLOOKUP($C750,[8]Nanas!$C$672:$E$742,3,0)</f>
        <v>7.43</v>
      </c>
      <c r="E750" s="67">
        <v>45134</v>
      </c>
      <c r="F750" s="64">
        <f t="shared" si="362"/>
        <v>1</v>
      </c>
      <c r="G750" s="67">
        <v>45140</v>
      </c>
      <c r="H750" s="64">
        <f t="shared" si="349"/>
        <v>1</v>
      </c>
      <c r="I750" s="67">
        <f>+K750+7</f>
        <v>45147</v>
      </c>
      <c r="J750" s="64">
        <f t="shared" si="355"/>
        <v>0</v>
      </c>
      <c r="K750" s="67">
        <v>45140</v>
      </c>
      <c r="L750" s="64">
        <f t="shared" si="356"/>
        <v>0</v>
      </c>
      <c r="M750" s="64">
        <f t="shared" si="357"/>
        <v>0</v>
      </c>
      <c r="N750" s="67">
        <f t="shared" si="361"/>
        <v>45148</v>
      </c>
      <c r="O750" s="64">
        <f t="shared" si="358"/>
        <v>1</v>
      </c>
      <c r="P750" s="64">
        <f t="shared" si="359"/>
        <v>0</v>
      </c>
      <c r="Q750" s="91" t="str">
        <f t="shared" si="352"/>
        <v>Selesai</v>
      </c>
      <c r="R750" s="64">
        <f t="shared" si="360"/>
        <v>0</v>
      </c>
      <c r="S750" s="67">
        <v>45145</v>
      </c>
      <c r="T750" s="67">
        <v>45160</v>
      </c>
      <c r="U750" s="64">
        <f t="shared" si="353"/>
        <v>1</v>
      </c>
      <c r="V750" s="64"/>
      <c r="W750" s="64"/>
      <c r="X750" s="93"/>
      <c r="Y750" s="94"/>
      <c r="Z750" s="91" t="str">
        <f t="shared" si="354"/>
        <v>100%</v>
      </c>
      <c r="AA750" s="67"/>
      <c r="AB750" s="473"/>
      <c r="AC750" s="478" t="s">
        <v>2711</v>
      </c>
      <c r="AD750" s="67"/>
    </row>
    <row r="751" spans="2:30">
      <c r="B751" s="64" t="s">
        <v>107</v>
      </c>
      <c r="C751" s="65" t="s">
        <v>693</v>
      </c>
      <c r="D751" s="66">
        <f>VLOOKUP($C751,[8]Nanas!$C$672:$E$742,3,0)</f>
        <v>6.87</v>
      </c>
      <c r="E751" s="67">
        <v>45135</v>
      </c>
      <c r="F751" s="64">
        <f t="shared" si="362"/>
        <v>1</v>
      </c>
      <c r="G751" s="67">
        <v>45136</v>
      </c>
      <c r="H751" s="64">
        <f t="shared" si="349"/>
        <v>1</v>
      </c>
      <c r="I751" s="67">
        <f>+K751+7</f>
        <v>45149</v>
      </c>
      <c r="J751" s="64">
        <f t="shared" si="355"/>
        <v>0</v>
      </c>
      <c r="K751" s="67">
        <v>45142</v>
      </c>
      <c r="L751" s="64">
        <f t="shared" si="356"/>
        <v>0</v>
      </c>
      <c r="M751" s="64">
        <f t="shared" si="357"/>
        <v>0</v>
      </c>
      <c r="N751" s="67">
        <f t="shared" si="361"/>
        <v>45150</v>
      </c>
      <c r="O751" s="64">
        <f t="shared" si="358"/>
        <v>1</v>
      </c>
      <c r="P751" s="64">
        <f t="shared" si="359"/>
        <v>0</v>
      </c>
      <c r="Q751" s="91" t="str">
        <f t="shared" si="352"/>
        <v>Selesai</v>
      </c>
      <c r="R751" s="64">
        <f t="shared" si="360"/>
        <v>0</v>
      </c>
      <c r="S751" s="67">
        <v>45151</v>
      </c>
      <c r="T751" s="67">
        <v>45167</v>
      </c>
      <c r="U751" s="64">
        <f t="shared" si="353"/>
        <v>1</v>
      </c>
      <c r="V751" s="64"/>
      <c r="W751" s="64"/>
      <c r="X751" s="93"/>
      <c r="Y751" s="94"/>
      <c r="Z751" s="91" t="str">
        <f t="shared" si="354"/>
        <v>100%</v>
      </c>
      <c r="AA751" s="67"/>
      <c r="AB751" s="473"/>
      <c r="AC751" s="478" t="s">
        <v>2711</v>
      </c>
      <c r="AD751" s="67"/>
    </row>
    <row r="752" spans="2:30">
      <c r="B752" s="64" t="s">
        <v>116</v>
      </c>
      <c r="C752" s="65" t="s">
        <v>694</v>
      </c>
      <c r="D752" s="66">
        <f>VLOOKUP($C752,[8]Nanas!$C$672:$E$742,3,0)</f>
        <v>8.57</v>
      </c>
      <c r="E752" s="67">
        <v>45123</v>
      </c>
      <c r="F752" s="64">
        <f t="shared" si="362"/>
        <v>1</v>
      </c>
      <c r="G752" s="67">
        <v>45133</v>
      </c>
      <c r="H752" s="64">
        <f t="shared" ref="H752:H815" si="363">IF(G752&gt;0,1,0)</f>
        <v>1</v>
      </c>
      <c r="I752" s="67">
        <f>+K752+5</f>
        <v>45140</v>
      </c>
      <c r="J752" s="64">
        <f t="shared" si="355"/>
        <v>0</v>
      </c>
      <c r="K752" s="67">
        <v>45135</v>
      </c>
      <c r="L752" s="64">
        <f t="shared" si="356"/>
        <v>0</v>
      </c>
      <c r="M752" s="64">
        <f t="shared" si="357"/>
        <v>0</v>
      </c>
      <c r="N752" s="67">
        <f t="shared" si="361"/>
        <v>45141</v>
      </c>
      <c r="O752" s="64">
        <f t="shared" si="358"/>
        <v>1</v>
      </c>
      <c r="P752" s="64">
        <f t="shared" si="359"/>
        <v>0</v>
      </c>
      <c r="Q752" s="91" t="str">
        <f t="shared" si="352"/>
        <v>Selesai</v>
      </c>
      <c r="R752" s="64">
        <f t="shared" si="360"/>
        <v>0</v>
      </c>
      <c r="S752" s="67">
        <v>45136</v>
      </c>
      <c r="T752" s="67">
        <v>45169</v>
      </c>
      <c r="U752" s="64">
        <f t="shared" si="353"/>
        <v>1</v>
      </c>
      <c r="V752" s="64"/>
      <c r="W752" s="64"/>
      <c r="X752" s="93"/>
      <c r="Y752" s="94"/>
      <c r="Z752" s="91" t="str">
        <f t="shared" si="354"/>
        <v>100%</v>
      </c>
      <c r="AA752" s="67"/>
      <c r="AB752" s="473"/>
      <c r="AC752" s="478" t="s">
        <v>2711</v>
      </c>
      <c r="AD752" s="67"/>
    </row>
    <row r="753" spans="2:30">
      <c r="B753" s="64" t="s">
        <v>116</v>
      </c>
      <c r="C753" s="65" t="s">
        <v>273</v>
      </c>
      <c r="D753" s="66">
        <f>VLOOKUP($C753,[8]Nanas!$C$672:$E$742,3,0)</f>
        <v>4.8600000000000003</v>
      </c>
      <c r="E753" s="67">
        <v>45138</v>
      </c>
      <c r="F753" s="64">
        <f t="shared" si="362"/>
        <v>1</v>
      </c>
      <c r="G753" s="67">
        <v>45139</v>
      </c>
      <c r="H753" s="64">
        <f t="shared" si="363"/>
        <v>1</v>
      </c>
      <c r="I753" s="67">
        <f>+K753+5</f>
        <v>45150</v>
      </c>
      <c r="J753" s="64">
        <f t="shared" si="355"/>
        <v>0</v>
      </c>
      <c r="K753" s="67">
        <v>45145</v>
      </c>
      <c r="L753" s="64">
        <f t="shared" si="356"/>
        <v>0</v>
      </c>
      <c r="M753" s="64">
        <f t="shared" si="357"/>
        <v>0</v>
      </c>
      <c r="N753" s="67">
        <f t="shared" si="361"/>
        <v>45151</v>
      </c>
      <c r="O753" s="64">
        <f t="shared" si="358"/>
        <v>1</v>
      </c>
      <c r="P753" s="64">
        <f t="shared" si="359"/>
        <v>0</v>
      </c>
      <c r="Q753" s="91" t="str">
        <f t="shared" si="352"/>
        <v>Selesai</v>
      </c>
      <c r="R753" s="64">
        <f t="shared" si="360"/>
        <v>0</v>
      </c>
      <c r="S753" s="67">
        <v>45146</v>
      </c>
      <c r="T753" s="67">
        <v>45161</v>
      </c>
      <c r="U753" s="64">
        <f t="shared" si="353"/>
        <v>1</v>
      </c>
      <c r="V753" s="66"/>
      <c r="W753" s="64"/>
      <c r="X753" s="93"/>
      <c r="Y753" s="94"/>
      <c r="Z753" s="91" t="str">
        <f t="shared" si="354"/>
        <v>100%</v>
      </c>
      <c r="AA753" s="67"/>
      <c r="AB753" s="473"/>
      <c r="AC753" s="478" t="s">
        <v>2711</v>
      </c>
      <c r="AD753" s="67"/>
    </row>
    <row r="754" spans="2:30">
      <c r="B754" s="64" t="s">
        <v>113</v>
      </c>
      <c r="C754" s="65" t="s">
        <v>695</v>
      </c>
      <c r="D754" s="66">
        <f>VLOOKUP($C754,[8]Nanas!$C$672:$E$742,3,0)</f>
        <v>5</v>
      </c>
      <c r="E754" s="67">
        <v>45087</v>
      </c>
      <c r="F754" s="64">
        <f t="shared" si="362"/>
        <v>1</v>
      </c>
      <c r="G754" s="67">
        <v>45088</v>
      </c>
      <c r="H754" s="64">
        <f t="shared" si="363"/>
        <v>1</v>
      </c>
      <c r="I754" s="67">
        <f>+K754+7</f>
        <v>45115</v>
      </c>
      <c r="J754" s="64">
        <f t="shared" si="355"/>
        <v>0</v>
      </c>
      <c r="K754" s="67">
        <v>45108</v>
      </c>
      <c r="L754" s="64">
        <f t="shared" si="356"/>
        <v>0</v>
      </c>
      <c r="M754" s="64">
        <f t="shared" si="357"/>
        <v>0</v>
      </c>
      <c r="N754" s="67">
        <f t="shared" si="361"/>
        <v>45116</v>
      </c>
      <c r="O754" s="64">
        <f t="shared" si="358"/>
        <v>1</v>
      </c>
      <c r="P754" s="64">
        <f t="shared" si="359"/>
        <v>0</v>
      </c>
      <c r="Q754" s="91" t="str">
        <f t="shared" si="352"/>
        <v>Selesai</v>
      </c>
      <c r="R754" s="64">
        <f t="shared" si="360"/>
        <v>0</v>
      </c>
      <c r="S754" s="67">
        <v>45117</v>
      </c>
      <c r="T754" s="67">
        <v>45166</v>
      </c>
      <c r="U754" s="64">
        <f t="shared" si="353"/>
        <v>1</v>
      </c>
      <c r="V754" s="64"/>
      <c r="W754" s="64"/>
      <c r="X754" s="93"/>
      <c r="Y754" s="94"/>
      <c r="Z754" s="91" t="str">
        <f t="shared" si="354"/>
        <v>100%</v>
      </c>
      <c r="AA754" s="67"/>
      <c r="AB754" s="473"/>
      <c r="AC754" s="478" t="s">
        <v>2711</v>
      </c>
      <c r="AD754" s="67"/>
    </row>
    <row r="755" spans="2:30">
      <c r="B755" s="64" t="s">
        <v>116</v>
      </c>
      <c r="C755" s="225" t="s">
        <v>696</v>
      </c>
      <c r="D755" s="66">
        <f>VLOOKUP($C755,[8]Nanas!$C$672:$E$742,3,0)</f>
        <v>11.98</v>
      </c>
      <c r="E755" s="67">
        <v>45143</v>
      </c>
      <c r="F755" s="64">
        <f t="shared" si="362"/>
        <v>1</v>
      </c>
      <c r="G755" s="67">
        <v>45145</v>
      </c>
      <c r="H755" s="64">
        <f t="shared" si="363"/>
        <v>1</v>
      </c>
      <c r="I755" s="67">
        <f>+K755+7</f>
        <v>45152</v>
      </c>
      <c r="J755" s="64">
        <f t="shared" si="355"/>
        <v>0</v>
      </c>
      <c r="K755" s="67">
        <v>45145</v>
      </c>
      <c r="L755" s="64">
        <f t="shared" si="356"/>
        <v>0</v>
      </c>
      <c r="M755" s="64">
        <f t="shared" si="357"/>
        <v>0</v>
      </c>
      <c r="N755" s="67">
        <f t="shared" si="361"/>
        <v>45153</v>
      </c>
      <c r="O755" s="64">
        <f t="shared" si="358"/>
        <v>1</v>
      </c>
      <c r="P755" s="64">
        <f t="shared" si="359"/>
        <v>0</v>
      </c>
      <c r="Q755" s="91" t="str">
        <f t="shared" si="352"/>
        <v>Selesai</v>
      </c>
      <c r="R755" s="64">
        <f t="shared" si="360"/>
        <v>0</v>
      </c>
      <c r="S755" s="67">
        <v>45152</v>
      </c>
      <c r="T755" s="67">
        <v>45169</v>
      </c>
      <c r="U755" s="64">
        <f t="shared" si="353"/>
        <v>1</v>
      </c>
      <c r="V755" s="64"/>
      <c r="W755" s="64"/>
      <c r="X755" s="93"/>
      <c r="Y755" s="94"/>
      <c r="Z755" s="91" t="str">
        <f t="shared" si="354"/>
        <v>100%</v>
      </c>
      <c r="AA755" s="67"/>
      <c r="AB755" s="473"/>
      <c r="AC755" s="478" t="s">
        <v>2711</v>
      </c>
      <c r="AD755" s="67"/>
    </row>
    <row r="756" spans="2:30">
      <c r="B756" s="64" t="s">
        <v>113</v>
      </c>
      <c r="C756" s="65" t="s">
        <v>316</v>
      </c>
      <c r="D756" s="66">
        <f>VLOOKUP($C756,[8]Nanas!$C$672:$E$742,3,0)</f>
        <v>10.85</v>
      </c>
      <c r="E756" s="67">
        <v>45110</v>
      </c>
      <c r="F756" s="64">
        <f t="shared" si="362"/>
        <v>1</v>
      </c>
      <c r="G756" s="67">
        <v>45112</v>
      </c>
      <c r="H756" s="64">
        <f t="shared" si="363"/>
        <v>1</v>
      </c>
      <c r="I756" s="67">
        <f>+K756+7</f>
        <v>45131</v>
      </c>
      <c r="J756" s="64">
        <f t="shared" si="355"/>
        <v>0</v>
      </c>
      <c r="K756" s="67">
        <v>45124</v>
      </c>
      <c r="L756" s="64">
        <f t="shared" si="356"/>
        <v>0</v>
      </c>
      <c r="M756" s="64">
        <f t="shared" si="357"/>
        <v>0</v>
      </c>
      <c r="N756" s="67">
        <f t="shared" si="361"/>
        <v>45132</v>
      </c>
      <c r="O756" s="64">
        <f t="shared" si="358"/>
        <v>1</v>
      </c>
      <c r="P756" s="64">
        <f t="shared" si="359"/>
        <v>0</v>
      </c>
      <c r="Q756" s="91" t="str">
        <f t="shared" si="352"/>
        <v>Selesai</v>
      </c>
      <c r="R756" s="64">
        <f t="shared" si="360"/>
        <v>0</v>
      </c>
      <c r="S756" s="67">
        <v>45127</v>
      </c>
      <c r="T756" s="67">
        <v>45153</v>
      </c>
      <c r="U756" s="64">
        <f t="shared" si="353"/>
        <v>1</v>
      </c>
      <c r="V756" s="64"/>
      <c r="W756" s="64"/>
      <c r="X756" s="93"/>
      <c r="Y756" s="94"/>
      <c r="Z756" s="91" t="str">
        <f t="shared" si="354"/>
        <v>100%</v>
      </c>
      <c r="AA756" s="67"/>
      <c r="AB756" s="473"/>
      <c r="AC756" s="478" t="s">
        <v>2711</v>
      </c>
      <c r="AD756" s="67"/>
    </row>
    <row r="757" spans="2:30">
      <c r="B757" s="64" t="s">
        <v>107</v>
      </c>
      <c r="C757" s="65" t="s">
        <v>697</v>
      </c>
      <c r="D757" s="66">
        <f>VLOOKUP($C757,[8]Nanas!$C$672:$E$742,3,0)</f>
        <v>4.16</v>
      </c>
      <c r="E757" s="67">
        <v>45134</v>
      </c>
      <c r="F757" s="64">
        <f t="shared" si="362"/>
        <v>1</v>
      </c>
      <c r="G757" s="67">
        <v>45135</v>
      </c>
      <c r="H757" s="64">
        <f t="shared" si="363"/>
        <v>1</v>
      </c>
      <c r="I757" s="67">
        <v>45149</v>
      </c>
      <c r="J757" s="64">
        <f t="shared" si="355"/>
        <v>0</v>
      </c>
      <c r="K757" s="67">
        <v>45139</v>
      </c>
      <c r="L757" s="64">
        <f t="shared" si="356"/>
        <v>0</v>
      </c>
      <c r="M757" s="64">
        <f t="shared" si="357"/>
        <v>0</v>
      </c>
      <c r="N757" s="67">
        <f t="shared" si="361"/>
        <v>45150</v>
      </c>
      <c r="O757" s="64">
        <f t="shared" si="358"/>
        <v>1</v>
      </c>
      <c r="P757" s="64">
        <f t="shared" si="359"/>
        <v>0</v>
      </c>
      <c r="Q757" s="91" t="str">
        <f t="shared" si="352"/>
        <v>Selesai</v>
      </c>
      <c r="R757" s="64">
        <f t="shared" si="360"/>
        <v>0</v>
      </c>
      <c r="S757" s="67">
        <v>45159</v>
      </c>
      <c r="T757" s="67">
        <v>45175</v>
      </c>
      <c r="U757" s="64">
        <f t="shared" si="353"/>
        <v>1</v>
      </c>
      <c r="V757" s="64"/>
      <c r="W757" s="64"/>
      <c r="X757" s="93"/>
      <c r="Y757" s="94"/>
      <c r="Z757" s="91" t="str">
        <f t="shared" si="354"/>
        <v>100%</v>
      </c>
      <c r="AA757" s="67"/>
      <c r="AB757" s="473"/>
      <c r="AC757" s="478" t="s">
        <v>2711</v>
      </c>
      <c r="AD757" s="67"/>
    </row>
    <row r="758" spans="2:30">
      <c r="B758" s="64" t="s">
        <v>113</v>
      </c>
      <c r="C758" s="65" t="s">
        <v>329</v>
      </c>
      <c r="D758" s="66">
        <f>VLOOKUP($C758,[8]Nanas!$C$672:$E$742,3,0)</f>
        <v>6.48</v>
      </c>
      <c r="E758" s="67">
        <v>45132</v>
      </c>
      <c r="F758" s="64">
        <f t="shared" si="362"/>
        <v>1</v>
      </c>
      <c r="G758" s="67">
        <v>45133</v>
      </c>
      <c r="H758" s="64">
        <f t="shared" si="363"/>
        <v>1</v>
      </c>
      <c r="I758" s="67">
        <v>45148</v>
      </c>
      <c r="J758" s="64">
        <f t="shared" si="355"/>
        <v>0</v>
      </c>
      <c r="K758" s="67">
        <v>45152</v>
      </c>
      <c r="L758" s="64">
        <f t="shared" si="356"/>
        <v>0</v>
      </c>
      <c r="M758" s="64">
        <f t="shared" si="357"/>
        <v>0</v>
      </c>
      <c r="N758" s="67">
        <f t="shared" si="361"/>
        <v>45153</v>
      </c>
      <c r="O758" s="64">
        <f t="shared" si="358"/>
        <v>1</v>
      </c>
      <c r="P758" s="64">
        <f t="shared" si="359"/>
        <v>0</v>
      </c>
      <c r="Q758" s="91" t="str">
        <f t="shared" si="352"/>
        <v>Selesai</v>
      </c>
      <c r="R758" s="64">
        <f t="shared" si="360"/>
        <v>0</v>
      </c>
      <c r="S758" s="67">
        <v>45154</v>
      </c>
      <c r="T758" s="67">
        <v>45194</v>
      </c>
      <c r="U758" s="64">
        <f t="shared" si="353"/>
        <v>1</v>
      </c>
      <c r="V758" s="64"/>
      <c r="W758" s="64"/>
      <c r="X758" s="93"/>
      <c r="Y758" s="94"/>
      <c r="Z758" s="91" t="str">
        <f t="shared" si="354"/>
        <v>100%</v>
      </c>
      <c r="AA758" s="67"/>
      <c r="AB758" s="473"/>
      <c r="AC758" s="478" t="s">
        <v>2711</v>
      </c>
      <c r="AD758" s="67"/>
    </row>
    <row r="759" spans="2:30">
      <c r="B759" s="64" t="s">
        <v>116</v>
      </c>
      <c r="C759" s="65" t="s">
        <v>281</v>
      </c>
      <c r="D759" s="66">
        <f>VLOOKUP($C759,[8]Nanas!$C$672:$E$742,3,0)</f>
        <v>8.1999999999999993</v>
      </c>
      <c r="E759" s="67">
        <v>45138</v>
      </c>
      <c r="F759" s="64">
        <f t="shared" si="362"/>
        <v>1</v>
      </c>
      <c r="G759" s="67">
        <v>45141</v>
      </c>
      <c r="H759" s="64">
        <f t="shared" si="363"/>
        <v>1</v>
      </c>
      <c r="I759" s="67">
        <f>+K759+5</f>
        <v>45150</v>
      </c>
      <c r="J759" s="64">
        <f t="shared" si="355"/>
        <v>0</v>
      </c>
      <c r="K759" s="67">
        <v>45145</v>
      </c>
      <c r="L759" s="64">
        <f t="shared" si="356"/>
        <v>0</v>
      </c>
      <c r="M759" s="64">
        <f t="shared" si="357"/>
        <v>0</v>
      </c>
      <c r="N759" s="67">
        <f t="shared" si="361"/>
        <v>45151</v>
      </c>
      <c r="O759" s="64">
        <f t="shared" si="358"/>
        <v>1</v>
      </c>
      <c r="P759" s="64">
        <f t="shared" si="359"/>
        <v>0</v>
      </c>
      <c r="Q759" s="91" t="str">
        <f t="shared" si="352"/>
        <v>Selesai</v>
      </c>
      <c r="R759" s="64">
        <f t="shared" si="360"/>
        <v>0</v>
      </c>
      <c r="S759" s="67">
        <v>45149</v>
      </c>
      <c r="T759" s="67">
        <v>45175</v>
      </c>
      <c r="U759" s="64">
        <f t="shared" si="353"/>
        <v>1</v>
      </c>
      <c r="V759" s="64"/>
      <c r="W759" s="64"/>
      <c r="X759" s="93"/>
      <c r="Y759" s="94"/>
      <c r="Z759" s="91" t="str">
        <f t="shared" si="354"/>
        <v>100%</v>
      </c>
      <c r="AA759" s="67"/>
      <c r="AB759" s="473"/>
      <c r="AC759" s="478" t="s">
        <v>2711</v>
      </c>
      <c r="AD759" s="67"/>
    </row>
    <row r="760" spans="2:30">
      <c r="B760" s="64" t="s">
        <v>118</v>
      </c>
      <c r="C760" s="65" t="s">
        <v>698</v>
      </c>
      <c r="D760" s="66">
        <f>VLOOKUP($C760,[8]Nanas!$C$672:$E$742,3,0)</f>
        <v>7.76</v>
      </c>
      <c r="E760" s="67">
        <v>45149</v>
      </c>
      <c r="F760" s="64">
        <f t="shared" si="362"/>
        <v>1</v>
      </c>
      <c r="G760" s="67">
        <v>45150</v>
      </c>
      <c r="H760" s="64">
        <f t="shared" si="363"/>
        <v>1</v>
      </c>
      <c r="I760" s="67">
        <f>+K760+5</f>
        <v>45166</v>
      </c>
      <c r="J760" s="64">
        <f t="shared" si="355"/>
        <v>0</v>
      </c>
      <c r="K760" s="67">
        <v>45161</v>
      </c>
      <c r="L760" s="64">
        <f t="shared" si="356"/>
        <v>0</v>
      </c>
      <c r="M760" s="64">
        <f t="shared" si="357"/>
        <v>0</v>
      </c>
      <c r="N760" s="67">
        <f t="shared" si="361"/>
        <v>45167</v>
      </c>
      <c r="O760" s="64">
        <f t="shared" si="358"/>
        <v>1</v>
      </c>
      <c r="P760" s="64">
        <f t="shared" si="359"/>
        <v>0</v>
      </c>
      <c r="Q760" s="91" t="str">
        <f t="shared" si="352"/>
        <v>Selesai</v>
      </c>
      <c r="R760" s="64">
        <f t="shared" si="360"/>
        <v>0</v>
      </c>
      <c r="S760" s="67">
        <v>45162</v>
      </c>
      <c r="T760" s="67">
        <v>45175</v>
      </c>
      <c r="U760" s="64">
        <f t="shared" si="353"/>
        <v>1</v>
      </c>
      <c r="V760" s="64"/>
      <c r="W760" s="64"/>
      <c r="X760" s="93"/>
      <c r="Y760" s="94"/>
      <c r="Z760" s="91" t="str">
        <f t="shared" si="354"/>
        <v>100%</v>
      </c>
      <c r="AA760" s="67"/>
      <c r="AB760" s="473"/>
      <c r="AC760" s="478" t="s">
        <v>2711</v>
      </c>
      <c r="AD760" s="67"/>
    </row>
    <row r="761" spans="2:30">
      <c r="B761" s="64" t="s">
        <v>118</v>
      </c>
      <c r="C761" s="65" t="s">
        <v>699</v>
      </c>
      <c r="D761" s="66">
        <f>VLOOKUP($C761,[8]Nanas!$C$672:$E$742,3,0)</f>
        <v>6.12</v>
      </c>
      <c r="E761" s="67">
        <v>45149</v>
      </c>
      <c r="F761" s="64">
        <f t="shared" si="362"/>
        <v>1</v>
      </c>
      <c r="G761" s="67">
        <v>45150</v>
      </c>
      <c r="H761" s="64">
        <f t="shared" si="363"/>
        <v>1</v>
      </c>
      <c r="I761" s="67">
        <f>+K761+5</f>
        <v>45166</v>
      </c>
      <c r="J761" s="64">
        <f t="shared" si="355"/>
        <v>0</v>
      </c>
      <c r="K761" s="67">
        <v>45161</v>
      </c>
      <c r="L761" s="64">
        <f t="shared" si="356"/>
        <v>0</v>
      </c>
      <c r="M761" s="64">
        <f t="shared" si="357"/>
        <v>0</v>
      </c>
      <c r="N761" s="67">
        <f t="shared" si="361"/>
        <v>45167</v>
      </c>
      <c r="O761" s="64">
        <f t="shared" si="358"/>
        <v>1</v>
      </c>
      <c r="P761" s="64">
        <f t="shared" si="359"/>
        <v>0</v>
      </c>
      <c r="Q761" s="91" t="str">
        <f t="shared" si="352"/>
        <v>Selesai</v>
      </c>
      <c r="R761" s="64">
        <f t="shared" si="360"/>
        <v>0</v>
      </c>
      <c r="S761" s="67">
        <v>45163</v>
      </c>
      <c r="T761" s="67">
        <v>45176</v>
      </c>
      <c r="U761" s="64">
        <f t="shared" si="353"/>
        <v>1</v>
      </c>
      <c r="V761" s="64"/>
      <c r="W761" s="64"/>
      <c r="X761" s="93"/>
      <c r="Y761" s="94"/>
      <c r="Z761" s="91" t="str">
        <f t="shared" si="354"/>
        <v>100%</v>
      </c>
      <c r="AA761" s="67"/>
      <c r="AB761" s="473"/>
      <c r="AC761" s="478" t="s">
        <v>2711</v>
      </c>
      <c r="AD761" s="67"/>
    </row>
    <row r="762" spans="2:30">
      <c r="B762" s="64" t="s">
        <v>113</v>
      </c>
      <c r="C762" s="225" t="s">
        <v>700</v>
      </c>
      <c r="D762" s="66">
        <f>VLOOKUP($C762,[8]Nanas!$C$672:$E$742,3,0)</f>
        <v>8.44</v>
      </c>
      <c r="E762" s="67">
        <v>45147</v>
      </c>
      <c r="F762" s="64">
        <f t="shared" si="362"/>
        <v>1</v>
      </c>
      <c r="G762" s="67">
        <v>45148</v>
      </c>
      <c r="H762" s="64">
        <f t="shared" si="363"/>
        <v>1</v>
      </c>
      <c r="I762" s="67">
        <v>45154</v>
      </c>
      <c r="J762" s="64">
        <f t="shared" si="355"/>
        <v>0</v>
      </c>
      <c r="K762" s="67">
        <v>45162</v>
      </c>
      <c r="L762" s="64">
        <f t="shared" si="356"/>
        <v>0</v>
      </c>
      <c r="M762" s="64">
        <f t="shared" si="357"/>
        <v>0</v>
      </c>
      <c r="N762" s="67">
        <f t="shared" si="361"/>
        <v>45163</v>
      </c>
      <c r="O762" s="64">
        <f t="shared" si="358"/>
        <v>1</v>
      </c>
      <c r="P762" s="64">
        <f t="shared" si="359"/>
        <v>0</v>
      </c>
      <c r="Q762" s="91" t="str">
        <f t="shared" si="352"/>
        <v>Selesai</v>
      </c>
      <c r="R762" s="64">
        <f t="shared" si="360"/>
        <v>0</v>
      </c>
      <c r="S762" s="67">
        <v>45166</v>
      </c>
      <c r="T762" s="67">
        <v>45187</v>
      </c>
      <c r="U762" s="64">
        <f t="shared" si="353"/>
        <v>1</v>
      </c>
      <c r="V762" s="64"/>
      <c r="W762" s="64"/>
      <c r="X762" s="93"/>
      <c r="Y762" s="94"/>
      <c r="Z762" s="91" t="str">
        <f t="shared" si="354"/>
        <v>100%</v>
      </c>
      <c r="AA762" s="67"/>
      <c r="AB762" s="473"/>
      <c r="AC762" s="478" t="s">
        <v>2711</v>
      </c>
      <c r="AD762" s="67"/>
    </row>
    <row r="763" spans="2:30">
      <c r="B763" s="64" t="s">
        <v>116</v>
      </c>
      <c r="C763" s="65" t="s">
        <v>267</v>
      </c>
      <c r="D763" s="66">
        <v>8.3699999999999992</v>
      </c>
      <c r="E763" s="67">
        <v>45145</v>
      </c>
      <c r="F763" s="64">
        <f t="shared" si="362"/>
        <v>1</v>
      </c>
      <c r="G763" s="67">
        <v>45146</v>
      </c>
      <c r="H763" s="64">
        <f t="shared" si="363"/>
        <v>1</v>
      </c>
      <c r="I763" s="67">
        <v>45158</v>
      </c>
      <c r="J763" s="64">
        <f t="shared" si="355"/>
        <v>0</v>
      </c>
      <c r="K763" s="67">
        <v>45159</v>
      </c>
      <c r="L763" s="64">
        <f t="shared" si="356"/>
        <v>0</v>
      </c>
      <c r="M763" s="64">
        <f t="shared" si="357"/>
        <v>0</v>
      </c>
      <c r="N763" s="67">
        <f t="shared" si="361"/>
        <v>45160</v>
      </c>
      <c r="O763" s="64">
        <f t="shared" si="358"/>
        <v>1</v>
      </c>
      <c r="P763" s="64">
        <f t="shared" si="359"/>
        <v>0</v>
      </c>
      <c r="Q763" s="91" t="str">
        <f t="shared" si="352"/>
        <v>Selesai</v>
      </c>
      <c r="R763" s="64">
        <f t="shared" si="360"/>
        <v>0</v>
      </c>
      <c r="S763" s="67">
        <v>45159</v>
      </c>
      <c r="T763" s="67">
        <v>45189</v>
      </c>
      <c r="U763" s="64">
        <f t="shared" si="353"/>
        <v>1</v>
      </c>
      <c r="V763" s="64"/>
      <c r="W763" s="64"/>
      <c r="X763" s="93"/>
      <c r="Y763" s="94"/>
      <c r="Z763" s="91" t="str">
        <f t="shared" si="354"/>
        <v>100%</v>
      </c>
      <c r="AA763" s="67"/>
      <c r="AB763" s="473"/>
      <c r="AC763" s="478" t="s">
        <v>2711</v>
      </c>
      <c r="AD763" s="67"/>
    </row>
    <row r="764" spans="2:30">
      <c r="B764" s="64" t="s">
        <v>111</v>
      </c>
      <c r="C764" s="65" t="s">
        <v>701</v>
      </c>
      <c r="D764" s="66">
        <v>6.03</v>
      </c>
      <c r="E764" s="67">
        <v>45169</v>
      </c>
      <c r="F764" s="64">
        <f t="shared" si="362"/>
        <v>1</v>
      </c>
      <c r="G764" s="67">
        <v>45171</v>
      </c>
      <c r="H764" s="64">
        <f t="shared" si="363"/>
        <v>1</v>
      </c>
      <c r="I764" s="67">
        <v>45178</v>
      </c>
      <c r="J764" s="64">
        <f t="shared" si="355"/>
        <v>0</v>
      </c>
      <c r="K764" s="67">
        <v>45181</v>
      </c>
      <c r="L764" s="64">
        <f t="shared" si="356"/>
        <v>0</v>
      </c>
      <c r="M764" s="64">
        <f t="shared" si="357"/>
        <v>0</v>
      </c>
      <c r="N764" s="67">
        <f t="shared" si="361"/>
        <v>45182</v>
      </c>
      <c r="O764" s="64">
        <f t="shared" si="358"/>
        <v>1</v>
      </c>
      <c r="P764" s="64">
        <f t="shared" si="359"/>
        <v>0</v>
      </c>
      <c r="Q764" s="91" t="str">
        <f t="shared" si="352"/>
        <v>Selesai</v>
      </c>
      <c r="R764" s="64">
        <f t="shared" si="360"/>
        <v>0</v>
      </c>
      <c r="S764" s="67">
        <v>45185</v>
      </c>
      <c r="T764" s="67">
        <v>45195</v>
      </c>
      <c r="U764" s="64">
        <f t="shared" si="353"/>
        <v>1</v>
      </c>
      <c r="V764" s="64"/>
      <c r="W764" s="64"/>
      <c r="X764" s="93"/>
      <c r="Y764" s="94"/>
      <c r="Z764" s="91" t="str">
        <f t="shared" si="354"/>
        <v>100%</v>
      </c>
      <c r="AA764" s="67"/>
      <c r="AB764" s="473"/>
      <c r="AC764" s="478" t="s">
        <v>2711</v>
      </c>
      <c r="AD764" s="67"/>
    </row>
    <row r="765" spans="2:30">
      <c r="B765" s="64" t="s">
        <v>118</v>
      </c>
      <c r="C765" s="65" t="s">
        <v>323</v>
      </c>
      <c r="D765" s="66">
        <v>5.98</v>
      </c>
      <c r="E765" s="67">
        <v>45170</v>
      </c>
      <c r="F765" s="64">
        <f t="shared" si="362"/>
        <v>1</v>
      </c>
      <c r="G765" s="67">
        <v>45171</v>
      </c>
      <c r="H765" s="64">
        <f t="shared" si="363"/>
        <v>1</v>
      </c>
      <c r="I765" s="67">
        <v>45183</v>
      </c>
      <c r="J765" s="64">
        <f t="shared" si="355"/>
        <v>0</v>
      </c>
      <c r="K765" s="67">
        <v>45184</v>
      </c>
      <c r="L765" s="64">
        <f t="shared" si="356"/>
        <v>0</v>
      </c>
      <c r="M765" s="64">
        <f t="shared" si="357"/>
        <v>0</v>
      </c>
      <c r="N765" s="67">
        <f t="shared" si="361"/>
        <v>45185</v>
      </c>
      <c r="O765" s="64">
        <f t="shared" si="358"/>
        <v>1</v>
      </c>
      <c r="P765" s="64">
        <f t="shared" si="359"/>
        <v>0</v>
      </c>
      <c r="Q765" s="91" t="str">
        <f t="shared" si="352"/>
        <v>Selesai</v>
      </c>
      <c r="R765" s="64">
        <f t="shared" si="360"/>
        <v>0</v>
      </c>
      <c r="S765" s="67">
        <v>45187</v>
      </c>
      <c r="T765" s="67">
        <v>45201</v>
      </c>
      <c r="U765" s="64">
        <f t="shared" si="353"/>
        <v>1</v>
      </c>
      <c r="V765" s="64"/>
      <c r="W765" s="64"/>
      <c r="X765" s="93"/>
      <c r="Y765" s="94"/>
      <c r="Z765" s="91" t="str">
        <f t="shared" si="354"/>
        <v>100%</v>
      </c>
      <c r="AA765" s="67"/>
      <c r="AB765" s="473"/>
      <c r="AC765" s="478" t="s">
        <v>2711</v>
      </c>
      <c r="AD765" s="67"/>
    </row>
    <row r="766" spans="2:30">
      <c r="B766" s="64" t="s">
        <v>111</v>
      </c>
      <c r="C766" s="65" t="s">
        <v>250</v>
      </c>
      <c r="D766" s="66">
        <v>8.4600000000000009</v>
      </c>
      <c r="E766" s="67">
        <v>45173</v>
      </c>
      <c r="F766" s="64">
        <f t="shared" ref="F766:F797" si="364">IF(E766&gt;0,1,0)</f>
        <v>1</v>
      </c>
      <c r="G766" s="67">
        <v>45174</v>
      </c>
      <c r="H766" s="64">
        <f t="shared" si="363"/>
        <v>1</v>
      </c>
      <c r="I766" s="67">
        <v>45184</v>
      </c>
      <c r="J766" s="64">
        <f t="shared" si="355"/>
        <v>0</v>
      </c>
      <c r="K766" s="67">
        <v>45181</v>
      </c>
      <c r="L766" s="64">
        <f t="shared" si="356"/>
        <v>0</v>
      </c>
      <c r="M766" s="64">
        <f t="shared" si="357"/>
        <v>0</v>
      </c>
      <c r="N766" s="67">
        <f t="shared" si="361"/>
        <v>45185</v>
      </c>
      <c r="O766" s="64">
        <f t="shared" si="358"/>
        <v>1</v>
      </c>
      <c r="P766" s="64">
        <f t="shared" si="359"/>
        <v>0</v>
      </c>
      <c r="Q766" s="91" t="str">
        <f t="shared" si="352"/>
        <v>Selesai</v>
      </c>
      <c r="R766" s="64">
        <f t="shared" si="360"/>
        <v>0</v>
      </c>
      <c r="S766" s="67">
        <v>45190</v>
      </c>
      <c r="T766" s="67">
        <v>45203</v>
      </c>
      <c r="U766" s="64">
        <f t="shared" si="353"/>
        <v>1</v>
      </c>
      <c r="V766" s="64"/>
      <c r="W766" s="64"/>
      <c r="X766" s="93"/>
      <c r="Y766" s="94"/>
      <c r="Z766" s="91" t="str">
        <f t="shared" si="354"/>
        <v>100%</v>
      </c>
      <c r="AA766" s="67"/>
      <c r="AB766" s="473"/>
      <c r="AC766" s="478" t="s">
        <v>2711</v>
      </c>
      <c r="AD766" s="67"/>
    </row>
    <row r="767" spans="2:30">
      <c r="B767" s="64" t="s">
        <v>109</v>
      </c>
      <c r="C767" s="65" t="s">
        <v>702</v>
      </c>
      <c r="D767" s="66">
        <v>4.7</v>
      </c>
      <c r="E767" s="67">
        <v>45176</v>
      </c>
      <c r="F767" s="64">
        <f t="shared" si="364"/>
        <v>1</v>
      </c>
      <c r="G767" s="67">
        <v>45180</v>
      </c>
      <c r="H767" s="64">
        <f t="shared" si="363"/>
        <v>1</v>
      </c>
      <c r="I767" s="67">
        <f>+K767+3</f>
        <v>45189</v>
      </c>
      <c r="J767" s="64">
        <f t="shared" si="355"/>
        <v>0</v>
      </c>
      <c r="K767" s="67">
        <v>45186</v>
      </c>
      <c r="L767" s="64">
        <f t="shared" si="356"/>
        <v>0</v>
      </c>
      <c r="M767" s="64">
        <f t="shared" si="357"/>
        <v>0</v>
      </c>
      <c r="N767" s="67">
        <f t="shared" si="361"/>
        <v>45190</v>
      </c>
      <c r="O767" s="64">
        <f t="shared" si="358"/>
        <v>1</v>
      </c>
      <c r="P767" s="64">
        <f t="shared" si="359"/>
        <v>0</v>
      </c>
      <c r="Q767" s="91" t="str">
        <f t="shared" si="352"/>
        <v>Selesai</v>
      </c>
      <c r="R767" s="64">
        <f t="shared" si="360"/>
        <v>0</v>
      </c>
      <c r="S767" s="67">
        <v>45190</v>
      </c>
      <c r="T767" s="67">
        <v>45219</v>
      </c>
      <c r="U767" s="64">
        <f t="shared" si="353"/>
        <v>1</v>
      </c>
      <c r="V767" s="64"/>
      <c r="W767" s="64"/>
      <c r="X767" s="93"/>
      <c r="Y767" s="94"/>
      <c r="Z767" s="91" t="str">
        <f t="shared" si="354"/>
        <v>100%</v>
      </c>
      <c r="AA767" s="67"/>
      <c r="AB767" s="473"/>
      <c r="AC767" s="478" t="s">
        <v>2711</v>
      </c>
      <c r="AD767" s="67"/>
    </row>
    <row r="768" spans="2:30">
      <c r="B768" s="64" t="s">
        <v>109</v>
      </c>
      <c r="C768" s="65" t="s">
        <v>703</v>
      </c>
      <c r="D768" s="66">
        <v>8.7799999999999994</v>
      </c>
      <c r="E768" s="67">
        <v>45168</v>
      </c>
      <c r="F768" s="64">
        <f t="shared" si="364"/>
        <v>1</v>
      </c>
      <c r="G768" s="67">
        <v>45181</v>
      </c>
      <c r="H768" s="64">
        <f t="shared" si="363"/>
        <v>1</v>
      </c>
      <c r="I768" s="67">
        <v>45189</v>
      </c>
      <c r="J768" s="64">
        <f t="shared" si="355"/>
        <v>0</v>
      </c>
      <c r="K768" s="67">
        <v>45187</v>
      </c>
      <c r="L768" s="64">
        <f t="shared" si="356"/>
        <v>0</v>
      </c>
      <c r="M768" s="64">
        <f t="shared" si="357"/>
        <v>0</v>
      </c>
      <c r="N768" s="67">
        <f t="shared" si="361"/>
        <v>45190</v>
      </c>
      <c r="O768" s="64">
        <f t="shared" si="358"/>
        <v>1</v>
      </c>
      <c r="P768" s="64">
        <f t="shared" si="359"/>
        <v>0</v>
      </c>
      <c r="Q768" s="91" t="str">
        <f t="shared" si="352"/>
        <v>Selesai</v>
      </c>
      <c r="R768" s="64">
        <f t="shared" si="360"/>
        <v>0</v>
      </c>
      <c r="S768" s="67">
        <v>45190</v>
      </c>
      <c r="T768" s="67">
        <v>45203</v>
      </c>
      <c r="U768" s="64">
        <f t="shared" si="353"/>
        <v>1</v>
      </c>
      <c r="V768" s="64"/>
      <c r="W768" s="64"/>
      <c r="X768" s="93"/>
      <c r="Y768" s="94"/>
      <c r="Z768" s="91" t="str">
        <f t="shared" si="354"/>
        <v>100%</v>
      </c>
      <c r="AA768" s="67"/>
      <c r="AB768" s="473"/>
      <c r="AC768" s="478" t="s">
        <v>2711</v>
      </c>
      <c r="AD768" s="67"/>
    </row>
    <row r="769" spans="2:30">
      <c r="B769" s="64" t="s">
        <v>118</v>
      </c>
      <c r="C769" s="65" t="s">
        <v>283</v>
      </c>
      <c r="D769" s="66">
        <v>6.26</v>
      </c>
      <c r="E769" s="67">
        <v>45173</v>
      </c>
      <c r="F769" s="64">
        <f t="shared" si="364"/>
        <v>1</v>
      </c>
      <c r="G769" s="67">
        <v>45194</v>
      </c>
      <c r="H769" s="64">
        <f t="shared" si="363"/>
        <v>1</v>
      </c>
      <c r="I769" s="67">
        <v>45196</v>
      </c>
      <c r="J769" s="64">
        <f t="shared" si="355"/>
        <v>0</v>
      </c>
      <c r="K769" s="67">
        <v>45195</v>
      </c>
      <c r="L769" s="64">
        <f t="shared" si="356"/>
        <v>0</v>
      </c>
      <c r="M769" s="64">
        <f t="shared" si="357"/>
        <v>0</v>
      </c>
      <c r="N769" s="67">
        <f t="shared" si="361"/>
        <v>45197</v>
      </c>
      <c r="O769" s="64">
        <f t="shared" si="358"/>
        <v>1</v>
      </c>
      <c r="P769" s="64">
        <f t="shared" si="359"/>
        <v>0</v>
      </c>
      <c r="Q769" s="91" t="str">
        <f t="shared" si="352"/>
        <v>Selesai</v>
      </c>
      <c r="R769" s="64">
        <f t="shared" si="360"/>
        <v>0</v>
      </c>
      <c r="S769" s="67">
        <v>45196</v>
      </c>
      <c r="T769" s="67">
        <v>45206</v>
      </c>
      <c r="U769" s="64">
        <f t="shared" si="353"/>
        <v>1</v>
      </c>
      <c r="V769" s="64"/>
      <c r="W769" s="64"/>
      <c r="X769" s="93"/>
      <c r="Y769" s="94"/>
      <c r="Z769" s="91" t="str">
        <f t="shared" si="354"/>
        <v>100%</v>
      </c>
      <c r="AA769" s="67"/>
      <c r="AB769" s="473"/>
      <c r="AC769" s="478" t="s">
        <v>2711</v>
      </c>
      <c r="AD769" s="67"/>
    </row>
    <row r="770" spans="2:30">
      <c r="B770" s="64" t="s">
        <v>107</v>
      </c>
      <c r="C770" s="65" t="s">
        <v>704</v>
      </c>
      <c r="D770" s="66">
        <v>6.38</v>
      </c>
      <c r="E770" s="67">
        <v>45182</v>
      </c>
      <c r="F770" s="64">
        <f t="shared" si="364"/>
        <v>1</v>
      </c>
      <c r="G770" s="67">
        <v>45183</v>
      </c>
      <c r="H770" s="64">
        <f t="shared" si="363"/>
        <v>1</v>
      </c>
      <c r="I770" s="67">
        <f>+K770+3</f>
        <v>45199</v>
      </c>
      <c r="J770" s="64">
        <f t="shared" si="355"/>
        <v>0</v>
      </c>
      <c r="K770" s="67">
        <v>45196</v>
      </c>
      <c r="L770" s="64">
        <f t="shared" si="356"/>
        <v>0</v>
      </c>
      <c r="M770" s="64">
        <f t="shared" si="357"/>
        <v>0</v>
      </c>
      <c r="N770" s="67">
        <f t="shared" si="361"/>
        <v>45200</v>
      </c>
      <c r="O770" s="64">
        <f t="shared" si="358"/>
        <v>1</v>
      </c>
      <c r="P770" s="64">
        <f t="shared" si="359"/>
        <v>0</v>
      </c>
      <c r="Q770" s="91" t="str">
        <f t="shared" si="352"/>
        <v>Selesai</v>
      </c>
      <c r="R770" s="64">
        <f t="shared" si="360"/>
        <v>0</v>
      </c>
      <c r="S770" s="67">
        <v>45199</v>
      </c>
      <c r="T770" s="67">
        <v>45224</v>
      </c>
      <c r="U770" s="64">
        <f t="shared" si="353"/>
        <v>1</v>
      </c>
      <c r="V770" s="64"/>
      <c r="W770" s="64"/>
      <c r="X770" s="93"/>
      <c r="Y770" s="94"/>
      <c r="Z770" s="91" t="str">
        <f t="shared" si="354"/>
        <v>100%</v>
      </c>
      <c r="AA770" s="67"/>
      <c r="AB770" s="473"/>
      <c r="AC770" s="478" t="s">
        <v>2711</v>
      </c>
      <c r="AD770" s="67"/>
    </row>
    <row r="771" spans="2:30">
      <c r="B771" s="64" t="s">
        <v>118</v>
      </c>
      <c r="C771" s="65" t="s">
        <v>285</v>
      </c>
      <c r="D771" s="66">
        <v>11.82</v>
      </c>
      <c r="E771" s="67">
        <v>45173</v>
      </c>
      <c r="F771" s="64">
        <f t="shared" si="364"/>
        <v>1</v>
      </c>
      <c r="G771" s="67">
        <v>45194</v>
      </c>
      <c r="H771" s="64">
        <f t="shared" si="363"/>
        <v>1</v>
      </c>
      <c r="I771" s="67">
        <v>45196</v>
      </c>
      <c r="J771" s="64">
        <f t="shared" si="355"/>
        <v>0</v>
      </c>
      <c r="K771" s="67">
        <v>45195</v>
      </c>
      <c r="L771" s="64">
        <f t="shared" si="356"/>
        <v>0</v>
      </c>
      <c r="M771" s="64">
        <f t="shared" si="357"/>
        <v>0</v>
      </c>
      <c r="N771" s="67">
        <f t="shared" si="361"/>
        <v>45197</v>
      </c>
      <c r="O771" s="64">
        <f t="shared" si="358"/>
        <v>1</v>
      </c>
      <c r="P771" s="64">
        <f t="shared" si="359"/>
        <v>0</v>
      </c>
      <c r="Q771" s="91" t="str">
        <f t="shared" si="352"/>
        <v>Selesai</v>
      </c>
      <c r="R771" s="64">
        <f t="shared" si="360"/>
        <v>0</v>
      </c>
      <c r="S771" s="67">
        <v>45198</v>
      </c>
      <c r="T771" s="67">
        <v>45212</v>
      </c>
      <c r="U771" s="64">
        <f t="shared" si="353"/>
        <v>1</v>
      </c>
      <c r="V771" s="64"/>
      <c r="W771" s="64"/>
      <c r="X771" s="93"/>
      <c r="Y771" s="94"/>
      <c r="Z771" s="91" t="str">
        <f t="shared" si="354"/>
        <v>100%</v>
      </c>
      <c r="AA771" s="67"/>
      <c r="AB771" s="473"/>
      <c r="AC771" s="478" t="s">
        <v>2711</v>
      </c>
      <c r="AD771" s="67"/>
    </row>
    <row r="772" spans="2:30">
      <c r="B772" s="64" t="s">
        <v>113</v>
      </c>
      <c r="C772" s="65" t="s">
        <v>270</v>
      </c>
      <c r="D772" s="66">
        <v>6.1</v>
      </c>
      <c r="E772" s="67">
        <v>45190</v>
      </c>
      <c r="F772" s="64">
        <f t="shared" si="364"/>
        <v>1</v>
      </c>
      <c r="G772" s="67">
        <v>45191</v>
      </c>
      <c r="H772" s="64">
        <f t="shared" si="363"/>
        <v>1</v>
      </c>
      <c r="I772" s="67">
        <v>45201</v>
      </c>
      <c r="J772" s="64">
        <f t="shared" si="355"/>
        <v>0</v>
      </c>
      <c r="K772" s="67">
        <v>45200</v>
      </c>
      <c r="L772" s="64">
        <f t="shared" si="356"/>
        <v>0</v>
      </c>
      <c r="M772" s="64">
        <f t="shared" si="357"/>
        <v>0</v>
      </c>
      <c r="N772" s="67">
        <f t="shared" si="361"/>
        <v>45202</v>
      </c>
      <c r="O772" s="64">
        <f t="shared" si="358"/>
        <v>1</v>
      </c>
      <c r="P772" s="64">
        <f t="shared" si="359"/>
        <v>0</v>
      </c>
      <c r="Q772" s="91" t="str">
        <f t="shared" si="352"/>
        <v>Selesai</v>
      </c>
      <c r="R772" s="64">
        <f t="shared" si="360"/>
        <v>0</v>
      </c>
      <c r="S772" s="67">
        <v>45202</v>
      </c>
      <c r="T772" s="67">
        <v>45225</v>
      </c>
      <c r="U772" s="64">
        <f t="shared" si="353"/>
        <v>1</v>
      </c>
      <c r="V772" s="64"/>
      <c r="W772" s="64"/>
      <c r="X772" s="93"/>
      <c r="Y772" s="94"/>
      <c r="Z772" s="91" t="str">
        <f t="shared" si="354"/>
        <v>100%</v>
      </c>
      <c r="AA772" s="67"/>
      <c r="AB772" s="473"/>
      <c r="AC772" s="478" t="s">
        <v>2711</v>
      </c>
      <c r="AD772" s="67"/>
    </row>
    <row r="773" spans="2:30">
      <c r="B773" s="64" t="s">
        <v>109</v>
      </c>
      <c r="C773" s="65" t="s">
        <v>296</v>
      </c>
      <c r="D773" s="66">
        <v>8.8800000000000008</v>
      </c>
      <c r="E773" s="67">
        <v>45168</v>
      </c>
      <c r="F773" s="64">
        <f t="shared" si="364"/>
        <v>1</v>
      </c>
      <c r="G773" s="67">
        <v>45181</v>
      </c>
      <c r="H773" s="64">
        <f t="shared" si="363"/>
        <v>1</v>
      </c>
      <c r="I773" s="67">
        <v>45189</v>
      </c>
      <c r="J773" s="64">
        <f t="shared" si="355"/>
        <v>0</v>
      </c>
      <c r="K773" s="67">
        <v>45189</v>
      </c>
      <c r="L773" s="64">
        <f t="shared" si="356"/>
        <v>0</v>
      </c>
      <c r="M773" s="64">
        <f t="shared" si="357"/>
        <v>0</v>
      </c>
      <c r="N773" s="67">
        <f t="shared" si="361"/>
        <v>45190</v>
      </c>
      <c r="O773" s="64">
        <f t="shared" si="358"/>
        <v>1</v>
      </c>
      <c r="P773" s="64">
        <f t="shared" si="359"/>
        <v>0</v>
      </c>
      <c r="Q773" s="91" t="str">
        <f t="shared" si="352"/>
        <v>Selesai</v>
      </c>
      <c r="R773" s="64">
        <f t="shared" si="360"/>
        <v>0</v>
      </c>
      <c r="S773" s="67">
        <v>45190</v>
      </c>
      <c r="T773" s="67">
        <v>45224</v>
      </c>
      <c r="U773" s="64">
        <f t="shared" si="353"/>
        <v>1</v>
      </c>
      <c r="V773" s="64"/>
      <c r="W773" s="64"/>
      <c r="X773" s="93"/>
      <c r="Y773" s="94"/>
      <c r="Z773" s="91" t="str">
        <f t="shared" si="354"/>
        <v>100%</v>
      </c>
      <c r="AA773" s="67"/>
      <c r="AB773" s="473"/>
      <c r="AC773" s="478" t="s">
        <v>2711</v>
      </c>
      <c r="AD773" s="67"/>
    </row>
    <row r="774" spans="2:30">
      <c r="B774" s="64" t="s">
        <v>118</v>
      </c>
      <c r="C774" s="65" t="s">
        <v>336</v>
      </c>
      <c r="D774" s="66">
        <v>3.77</v>
      </c>
      <c r="E774" s="67">
        <v>45167</v>
      </c>
      <c r="F774" s="64">
        <f t="shared" si="364"/>
        <v>1</v>
      </c>
      <c r="G774" s="67">
        <v>45194</v>
      </c>
      <c r="H774" s="64">
        <f t="shared" si="363"/>
        <v>1</v>
      </c>
      <c r="I774" s="67">
        <v>45196</v>
      </c>
      <c r="J774" s="64">
        <f t="shared" si="355"/>
        <v>0</v>
      </c>
      <c r="K774" s="67">
        <v>45195</v>
      </c>
      <c r="L774" s="64">
        <f t="shared" si="356"/>
        <v>0</v>
      </c>
      <c r="M774" s="64">
        <f t="shared" si="357"/>
        <v>0</v>
      </c>
      <c r="N774" s="67">
        <f t="shared" si="361"/>
        <v>45197</v>
      </c>
      <c r="O774" s="64">
        <f t="shared" si="358"/>
        <v>1</v>
      </c>
      <c r="P774" s="64">
        <f t="shared" si="359"/>
        <v>0</v>
      </c>
      <c r="Q774" s="91" t="str">
        <f t="shared" si="352"/>
        <v>Selesai</v>
      </c>
      <c r="R774" s="64">
        <f t="shared" si="360"/>
        <v>0</v>
      </c>
      <c r="S774" s="67">
        <v>45196</v>
      </c>
      <c r="T774" s="67">
        <v>45225</v>
      </c>
      <c r="U774" s="64">
        <f t="shared" si="353"/>
        <v>1</v>
      </c>
      <c r="V774" s="64"/>
      <c r="W774" s="64"/>
      <c r="X774" s="93"/>
      <c r="Y774" s="94"/>
      <c r="Z774" s="91" t="str">
        <f t="shared" si="354"/>
        <v>100%</v>
      </c>
      <c r="AA774" s="67"/>
      <c r="AB774" s="473"/>
      <c r="AC774" s="478" t="s">
        <v>2711</v>
      </c>
      <c r="AD774" s="67"/>
    </row>
    <row r="775" spans="2:30">
      <c r="B775" s="64" t="s">
        <v>116</v>
      </c>
      <c r="C775" s="65" t="s">
        <v>278</v>
      </c>
      <c r="D775" s="66">
        <v>6.8</v>
      </c>
      <c r="E775" s="67">
        <v>45188</v>
      </c>
      <c r="F775" s="64">
        <f t="shared" si="364"/>
        <v>1</v>
      </c>
      <c r="G775" s="67">
        <v>45189</v>
      </c>
      <c r="H775" s="64">
        <f t="shared" si="363"/>
        <v>1</v>
      </c>
      <c r="I775" s="67">
        <f>+K775+2</f>
        <v>45208</v>
      </c>
      <c r="J775" s="64">
        <f t="shared" si="355"/>
        <v>0</v>
      </c>
      <c r="K775" s="67">
        <v>45206</v>
      </c>
      <c r="L775" s="64">
        <f t="shared" si="356"/>
        <v>0</v>
      </c>
      <c r="M775" s="64">
        <f t="shared" si="357"/>
        <v>0</v>
      </c>
      <c r="N775" s="67">
        <f t="shared" si="361"/>
        <v>45209</v>
      </c>
      <c r="O775" s="64">
        <f t="shared" si="358"/>
        <v>1</v>
      </c>
      <c r="P775" s="64">
        <f t="shared" si="359"/>
        <v>0</v>
      </c>
      <c r="Q775" s="91" t="str">
        <f t="shared" si="352"/>
        <v>Selesai</v>
      </c>
      <c r="R775" s="64">
        <f t="shared" si="360"/>
        <v>0</v>
      </c>
      <c r="S775" s="67">
        <v>45208</v>
      </c>
      <c r="T775" s="67">
        <v>45230</v>
      </c>
      <c r="U775" s="64">
        <f t="shared" si="353"/>
        <v>1</v>
      </c>
      <c r="V775" s="64"/>
      <c r="W775" s="64"/>
      <c r="X775" s="93"/>
      <c r="Y775" s="94"/>
      <c r="Z775" s="91" t="str">
        <f t="shared" si="354"/>
        <v>100%</v>
      </c>
      <c r="AA775" s="67"/>
      <c r="AB775" s="473"/>
      <c r="AC775" s="478" t="s">
        <v>2711</v>
      </c>
      <c r="AD775" s="67"/>
    </row>
    <row r="776" spans="2:30">
      <c r="B776" s="64" t="s">
        <v>111</v>
      </c>
      <c r="C776" s="65" t="s">
        <v>705</v>
      </c>
      <c r="D776" s="66">
        <v>7.67</v>
      </c>
      <c r="E776" s="67">
        <v>45167</v>
      </c>
      <c r="F776" s="64">
        <f t="shared" si="364"/>
        <v>1</v>
      </c>
      <c r="G776" s="67">
        <v>45168</v>
      </c>
      <c r="H776" s="64">
        <f t="shared" si="363"/>
        <v>1</v>
      </c>
      <c r="I776" s="67">
        <f>VLOOKUP($C776,'[9]Data Lokasi'!$K$15:$P$64,5,0)</f>
        <v>45176</v>
      </c>
      <c r="J776" s="64">
        <f t="shared" si="355"/>
        <v>0</v>
      </c>
      <c r="K776" s="67">
        <f>VLOOKUP($C776,'[9]Data Lokasi'!$K$15:$P$64,6,0)</f>
        <v>45181</v>
      </c>
      <c r="L776" s="64">
        <f t="shared" si="356"/>
        <v>0</v>
      </c>
      <c r="M776" s="64">
        <f t="shared" si="357"/>
        <v>0</v>
      </c>
      <c r="N776" s="67">
        <f t="shared" si="361"/>
        <v>45182</v>
      </c>
      <c r="O776" s="64">
        <f t="shared" si="358"/>
        <v>1</v>
      </c>
      <c r="P776" s="64">
        <f t="shared" si="359"/>
        <v>0</v>
      </c>
      <c r="Q776" s="91" t="str">
        <f t="shared" si="352"/>
        <v>Selesai</v>
      </c>
      <c r="R776" s="64">
        <f t="shared" si="360"/>
        <v>0</v>
      </c>
      <c r="S776" s="67">
        <v>45202</v>
      </c>
      <c r="T776" s="67">
        <v>45234</v>
      </c>
      <c r="U776" s="64">
        <f t="shared" si="353"/>
        <v>1</v>
      </c>
      <c r="V776" s="64"/>
      <c r="W776" s="64"/>
      <c r="X776" s="93"/>
      <c r="Y776" s="94"/>
      <c r="Z776" s="91" t="str">
        <f t="shared" si="354"/>
        <v>100%</v>
      </c>
      <c r="AA776" s="67"/>
      <c r="AB776" s="473"/>
      <c r="AC776" s="478" t="s">
        <v>2711</v>
      </c>
      <c r="AD776" s="67"/>
    </row>
    <row r="777" spans="2:30">
      <c r="B777" s="64" t="s">
        <v>107</v>
      </c>
      <c r="C777" s="65" t="s">
        <v>706</v>
      </c>
      <c r="D777" s="66">
        <v>5.44</v>
      </c>
      <c r="E777" s="67">
        <v>45182</v>
      </c>
      <c r="F777" s="64">
        <f t="shared" si="364"/>
        <v>1</v>
      </c>
      <c r="G777" s="67">
        <v>45183</v>
      </c>
      <c r="H777" s="64">
        <f t="shared" si="363"/>
        <v>1</v>
      </c>
      <c r="I777" s="67">
        <f>VLOOKUP($C777,'[9]Data Lokasi'!$K$15:$P$64,5,0)</f>
        <v>45201</v>
      </c>
      <c r="J777" s="64">
        <f t="shared" si="355"/>
        <v>0</v>
      </c>
      <c r="K777" s="67">
        <f>VLOOKUP($C777,'[9]Data Lokasi'!$K$15:$P$64,6,0)</f>
        <v>45196</v>
      </c>
      <c r="L777" s="64">
        <f t="shared" si="356"/>
        <v>0</v>
      </c>
      <c r="M777" s="64">
        <f t="shared" si="357"/>
        <v>0</v>
      </c>
      <c r="N777" s="67">
        <f t="shared" si="361"/>
        <v>45202</v>
      </c>
      <c r="O777" s="64">
        <f t="shared" si="358"/>
        <v>1</v>
      </c>
      <c r="P777" s="64">
        <f t="shared" si="359"/>
        <v>0</v>
      </c>
      <c r="Q777" s="91" t="str">
        <f t="shared" ref="Q777:Q840" si="365">IF(T777&gt;0,"Selesai","Proses")</f>
        <v>Selesai</v>
      </c>
      <c r="R777" s="64">
        <f t="shared" si="360"/>
        <v>0</v>
      </c>
      <c r="S777" s="67">
        <v>45205</v>
      </c>
      <c r="T777" s="67">
        <v>45239</v>
      </c>
      <c r="U777" s="64">
        <f t="shared" ref="U777:U840" si="366">IF(T777&gt;0,1,0)</f>
        <v>1</v>
      </c>
      <c r="V777" s="64"/>
      <c r="W777" s="64"/>
      <c r="X777" s="93"/>
      <c r="Y777" s="94"/>
      <c r="Z777" s="91" t="str">
        <f t="shared" si="354"/>
        <v>100%</v>
      </c>
      <c r="AA777" s="67"/>
      <c r="AB777" s="473"/>
      <c r="AC777" s="478" t="s">
        <v>2711</v>
      </c>
      <c r="AD777" s="67"/>
    </row>
    <row r="778" spans="2:30">
      <c r="B778" s="64" t="s">
        <v>113</v>
      </c>
      <c r="C778" s="65" t="s">
        <v>307</v>
      </c>
      <c r="D778" s="66">
        <v>5.09</v>
      </c>
      <c r="E778" s="67">
        <v>45198</v>
      </c>
      <c r="F778" s="64">
        <f t="shared" si="364"/>
        <v>1</v>
      </c>
      <c r="G778" s="67">
        <v>45199</v>
      </c>
      <c r="H778" s="64">
        <f t="shared" si="363"/>
        <v>1</v>
      </c>
      <c r="I778" s="67">
        <f>VLOOKUP($C778,'[9]Data Lokasi'!$K$15:$P$64,5,0)</f>
        <v>45202</v>
      </c>
      <c r="J778" s="64">
        <f t="shared" si="355"/>
        <v>0</v>
      </c>
      <c r="K778" s="67">
        <f>VLOOKUP($C778,'[9]Data Lokasi'!$K$15:$P$64,6,0)</f>
        <v>45224</v>
      </c>
      <c r="L778" s="64">
        <f t="shared" si="356"/>
        <v>0</v>
      </c>
      <c r="M778" s="64">
        <f t="shared" si="357"/>
        <v>0</v>
      </c>
      <c r="N778" s="67">
        <f t="shared" si="361"/>
        <v>45225</v>
      </c>
      <c r="O778" s="64">
        <f t="shared" si="358"/>
        <v>1</v>
      </c>
      <c r="P778" s="64">
        <f t="shared" si="359"/>
        <v>0</v>
      </c>
      <c r="Q778" s="91" t="str">
        <f t="shared" si="365"/>
        <v>Selesai</v>
      </c>
      <c r="R778" s="64">
        <f t="shared" si="360"/>
        <v>0</v>
      </c>
      <c r="S778" s="67">
        <v>45230</v>
      </c>
      <c r="T778" s="67">
        <v>45258</v>
      </c>
      <c r="U778" s="64">
        <f t="shared" si="366"/>
        <v>1</v>
      </c>
      <c r="V778" s="64"/>
      <c r="W778" s="64"/>
      <c r="X778" s="93"/>
      <c r="Y778" s="94"/>
      <c r="Z778" s="91" t="str">
        <f t="shared" ref="Z778:Z841" si="367">IF(T778="","","100%")</f>
        <v>100%</v>
      </c>
      <c r="AA778" s="67"/>
      <c r="AB778" s="473"/>
      <c r="AC778" s="478" t="s">
        <v>2711</v>
      </c>
      <c r="AD778" s="67"/>
    </row>
    <row r="779" spans="2:30">
      <c r="B779" s="64" t="s">
        <v>107</v>
      </c>
      <c r="C779" s="65" t="s">
        <v>289</v>
      </c>
      <c r="D779" s="66">
        <v>2.89</v>
      </c>
      <c r="E779" s="67">
        <v>45190</v>
      </c>
      <c r="F779" s="64">
        <f t="shared" si="364"/>
        <v>1</v>
      </c>
      <c r="G779" s="67">
        <v>45209</v>
      </c>
      <c r="H779" s="64">
        <f t="shared" si="363"/>
        <v>1</v>
      </c>
      <c r="I779" s="67">
        <f>VLOOKUP($C779,'[9]Data Lokasi'!$K$15:$P$64,5,0)</f>
        <v>45215</v>
      </c>
      <c r="J779" s="64">
        <f t="shared" si="355"/>
        <v>0</v>
      </c>
      <c r="K779" s="67">
        <f>VLOOKUP($C779,'[9]Data Lokasi'!$K$15:$P$64,6,0)</f>
        <v>45215</v>
      </c>
      <c r="L779" s="64">
        <f t="shared" si="356"/>
        <v>0</v>
      </c>
      <c r="M779" s="64">
        <f t="shared" si="357"/>
        <v>0</v>
      </c>
      <c r="N779" s="67">
        <f t="shared" si="361"/>
        <v>45216</v>
      </c>
      <c r="O779" s="64">
        <f t="shared" si="358"/>
        <v>1</v>
      </c>
      <c r="P779" s="64">
        <f t="shared" si="359"/>
        <v>0</v>
      </c>
      <c r="Q779" s="91" t="str">
        <f t="shared" si="365"/>
        <v>Selesai</v>
      </c>
      <c r="R779" s="64">
        <f t="shared" si="360"/>
        <v>0</v>
      </c>
      <c r="S779" s="67">
        <v>45218</v>
      </c>
      <c r="T779" s="67">
        <v>45245</v>
      </c>
      <c r="U779" s="64">
        <f t="shared" si="366"/>
        <v>1</v>
      </c>
      <c r="V779" s="64"/>
      <c r="W779" s="64"/>
      <c r="X779" s="93"/>
      <c r="Y779" s="94"/>
      <c r="Z779" s="91" t="str">
        <f t="shared" si="367"/>
        <v>100%</v>
      </c>
      <c r="AA779" s="67"/>
      <c r="AB779" s="473"/>
      <c r="AC779" s="478" t="s">
        <v>2711</v>
      </c>
      <c r="AD779" s="67"/>
    </row>
    <row r="780" spans="2:30">
      <c r="B780" s="64" t="s">
        <v>116</v>
      </c>
      <c r="C780" s="65" t="s">
        <v>345</v>
      </c>
      <c r="D780" s="66">
        <v>7.56</v>
      </c>
      <c r="E780" s="67">
        <v>45205</v>
      </c>
      <c r="F780" s="64">
        <f t="shared" si="364"/>
        <v>1</v>
      </c>
      <c r="G780" s="67">
        <v>45206</v>
      </c>
      <c r="H780" s="64">
        <f t="shared" si="363"/>
        <v>1</v>
      </c>
      <c r="I780" s="67">
        <f>VLOOKUP($C780,'[9]Data Lokasi'!$K$15:$P$64,5,0)</f>
        <v>45216</v>
      </c>
      <c r="J780" s="64">
        <f t="shared" si="355"/>
        <v>0</v>
      </c>
      <c r="K780" s="67">
        <f>VLOOKUP($C780,'[9]Data Lokasi'!$K$15:$P$64,6,0)</f>
        <v>45234</v>
      </c>
      <c r="L780" s="64">
        <f t="shared" si="356"/>
        <v>0</v>
      </c>
      <c r="M780" s="64">
        <f t="shared" si="357"/>
        <v>0</v>
      </c>
      <c r="N780" s="67">
        <f t="shared" si="361"/>
        <v>45235</v>
      </c>
      <c r="O780" s="64">
        <f t="shared" si="358"/>
        <v>1</v>
      </c>
      <c r="P780" s="64">
        <f t="shared" si="359"/>
        <v>0</v>
      </c>
      <c r="Q780" s="91" t="str">
        <f t="shared" si="365"/>
        <v>Selesai</v>
      </c>
      <c r="R780" s="64">
        <f t="shared" si="360"/>
        <v>0</v>
      </c>
      <c r="S780" s="67">
        <v>45237</v>
      </c>
      <c r="T780" s="67">
        <v>45251</v>
      </c>
      <c r="U780" s="64">
        <f t="shared" si="366"/>
        <v>1</v>
      </c>
      <c r="V780" s="64"/>
      <c r="W780" s="64"/>
      <c r="X780" s="93"/>
      <c r="Y780" s="94"/>
      <c r="Z780" s="91" t="str">
        <f t="shared" si="367"/>
        <v>100%</v>
      </c>
      <c r="AA780" s="67"/>
      <c r="AB780" s="473"/>
      <c r="AC780" s="478" t="s">
        <v>2711</v>
      </c>
      <c r="AD780" s="67"/>
    </row>
    <row r="781" spans="2:30">
      <c r="B781" s="64" t="s">
        <v>105</v>
      </c>
      <c r="C781" s="65" t="s">
        <v>707</v>
      </c>
      <c r="D781" s="66">
        <v>10.62</v>
      </c>
      <c r="E781" s="67">
        <v>45189</v>
      </c>
      <c r="F781" s="64">
        <f t="shared" si="364"/>
        <v>1</v>
      </c>
      <c r="G781" s="67">
        <v>45207</v>
      </c>
      <c r="H781" s="64">
        <f t="shared" si="363"/>
        <v>1</v>
      </c>
      <c r="I781" s="67">
        <f>VLOOKUP($C781,'[9]Data Lokasi'!$K$15:$P$64,5,0)</f>
        <v>45208</v>
      </c>
      <c r="J781" s="64">
        <f t="shared" si="355"/>
        <v>0</v>
      </c>
      <c r="K781" s="67">
        <f>VLOOKUP($C781,'[9]Data Lokasi'!$K$15:$P$64,6,0)</f>
        <v>45234</v>
      </c>
      <c r="L781" s="64">
        <f t="shared" si="356"/>
        <v>0</v>
      </c>
      <c r="M781" s="64">
        <f t="shared" si="357"/>
        <v>0</v>
      </c>
      <c r="N781" s="67">
        <f t="shared" si="361"/>
        <v>45235</v>
      </c>
      <c r="O781" s="64">
        <f t="shared" si="358"/>
        <v>1</v>
      </c>
      <c r="P781" s="64">
        <f t="shared" si="359"/>
        <v>0</v>
      </c>
      <c r="Q781" s="91" t="str">
        <f t="shared" si="365"/>
        <v>Selesai</v>
      </c>
      <c r="R781" s="64">
        <f t="shared" si="360"/>
        <v>0</v>
      </c>
      <c r="S781" s="67">
        <v>45240</v>
      </c>
      <c r="T781" s="67">
        <v>45252</v>
      </c>
      <c r="U781" s="64">
        <f t="shared" si="366"/>
        <v>1</v>
      </c>
      <c r="V781" s="64"/>
      <c r="W781" s="64"/>
      <c r="X781" s="93"/>
      <c r="Y781" s="94"/>
      <c r="Z781" s="91" t="str">
        <f t="shared" si="367"/>
        <v>100%</v>
      </c>
      <c r="AA781" s="67"/>
      <c r="AB781" s="473"/>
      <c r="AC781" s="478" t="s">
        <v>2711</v>
      </c>
      <c r="AD781" s="67"/>
    </row>
    <row r="782" spans="2:30">
      <c r="B782" s="64" t="s">
        <v>109</v>
      </c>
      <c r="C782" s="65" t="s">
        <v>708</v>
      </c>
      <c r="D782" s="66">
        <v>7.54</v>
      </c>
      <c r="E782" s="67">
        <v>45199</v>
      </c>
      <c r="F782" s="64">
        <f t="shared" si="364"/>
        <v>1</v>
      </c>
      <c r="G782" s="67">
        <v>45216</v>
      </c>
      <c r="H782" s="64">
        <f t="shared" si="363"/>
        <v>1</v>
      </c>
      <c r="I782" s="67">
        <f>VLOOKUP($C782,'[9]Data Lokasi'!$K$15:$P$64,5,0)</f>
        <v>45219</v>
      </c>
      <c r="J782" s="64">
        <f t="shared" si="355"/>
        <v>0</v>
      </c>
      <c r="K782" s="67">
        <f>VLOOKUP($C782,'[9]Data Lokasi'!$K$15:$P$64,6,0)</f>
        <v>45236</v>
      </c>
      <c r="L782" s="64">
        <f t="shared" si="356"/>
        <v>0</v>
      </c>
      <c r="M782" s="64">
        <f t="shared" si="357"/>
        <v>0</v>
      </c>
      <c r="N782" s="67">
        <f t="shared" si="361"/>
        <v>45237</v>
      </c>
      <c r="O782" s="64">
        <f t="shared" si="358"/>
        <v>1</v>
      </c>
      <c r="P782" s="64">
        <f t="shared" si="359"/>
        <v>0</v>
      </c>
      <c r="Q782" s="91" t="str">
        <f t="shared" si="365"/>
        <v>Selesai</v>
      </c>
      <c r="R782" s="64">
        <f t="shared" si="360"/>
        <v>0</v>
      </c>
      <c r="S782" s="67">
        <v>45240</v>
      </c>
      <c r="T782" s="67">
        <v>45260</v>
      </c>
      <c r="U782" s="64">
        <f t="shared" si="366"/>
        <v>1</v>
      </c>
      <c r="V782" s="64"/>
      <c r="W782" s="64"/>
      <c r="X782" s="93"/>
      <c r="Y782" s="94"/>
      <c r="Z782" s="91" t="str">
        <f t="shared" si="367"/>
        <v>100%</v>
      </c>
      <c r="AA782" s="67"/>
      <c r="AB782" s="473"/>
      <c r="AC782" s="478" t="s">
        <v>2711</v>
      </c>
      <c r="AD782" s="67"/>
    </row>
    <row r="783" spans="2:30">
      <c r="B783" s="64" t="s">
        <v>116</v>
      </c>
      <c r="C783" s="65" t="s">
        <v>279</v>
      </c>
      <c r="D783" s="66">
        <v>4.88</v>
      </c>
      <c r="E783" s="67">
        <v>45188</v>
      </c>
      <c r="F783" s="64">
        <f t="shared" si="364"/>
        <v>1</v>
      </c>
      <c r="G783" s="67">
        <v>45189</v>
      </c>
      <c r="H783" s="64">
        <f t="shared" si="363"/>
        <v>1</v>
      </c>
      <c r="I783" s="67">
        <f>VLOOKUP($C783,'[9]Data Lokasi'!$K$15:$P$64,5,0)</f>
        <v>45204</v>
      </c>
      <c r="J783" s="64">
        <f t="shared" si="355"/>
        <v>0</v>
      </c>
      <c r="K783" s="67">
        <f>VLOOKUP($C783,'[9]Data Lokasi'!$K$15:$P$64,6,0)</f>
        <v>45206</v>
      </c>
      <c r="L783" s="64">
        <f t="shared" si="356"/>
        <v>0</v>
      </c>
      <c r="M783" s="64">
        <f t="shared" si="357"/>
        <v>0</v>
      </c>
      <c r="N783" s="67">
        <f t="shared" si="361"/>
        <v>45207</v>
      </c>
      <c r="O783" s="64">
        <f t="shared" si="358"/>
        <v>1</v>
      </c>
      <c r="P783" s="64">
        <f t="shared" si="359"/>
        <v>0</v>
      </c>
      <c r="Q783" s="91" t="str">
        <f t="shared" si="365"/>
        <v>Selesai</v>
      </c>
      <c r="R783" s="64">
        <f t="shared" si="360"/>
        <v>0</v>
      </c>
      <c r="S783" s="67">
        <v>45239</v>
      </c>
      <c r="T783" s="67">
        <v>45253</v>
      </c>
      <c r="U783" s="64">
        <f t="shared" si="366"/>
        <v>1</v>
      </c>
      <c r="V783" s="64"/>
      <c r="W783" s="64"/>
      <c r="X783" s="93"/>
      <c r="Y783" s="94"/>
      <c r="Z783" s="91" t="str">
        <f t="shared" si="367"/>
        <v>100%</v>
      </c>
      <c r="AA783" s="67"/>
      <c r="AB783" s="473"/>
      <c r="AC783" s="478" t="s">
        <v>2711</v>
      </c>
      <c r="AD783" s="67"/>
    </row>
    <row r="784" spans="2:30">
      <c r="B784" s="64" t="s">
        <v>116</v>
      </c>
      <c r="C784" s="65" t="s">
        <v>280</v>
      </c>
      <c r="D784" s="66">
        <v>8.94</v>
      </c>
      <c r="E784" s="67">
        <v>45219</v>
      </c>
      <c r="F784" s="64">
        <f t="shared" si="364"/>
        <v>1</v>
      </c>
      <c r="G784" s="67">
        <v>45220</v>
      </c>
      <c r="H784" s="64">
        <f t="shared" si="363"/>
        <v>1</v>
      </c>
      <c r="I784" s="67">
        <f>VLOOKUP($C784,'[9]Data Lokasi'!$K$15:$P$64,5,0)</f>
        <v>45241</v>
      </c>
      <c r="J784" s="64">
        <f t="shared" ref="J784:J847" si="368">IF(I784&gt;0,0,1)</f>
        <v>0</v>
      </c>
      <c r="K784" s="67">
        <f>VLOOKUP($C784,'[9]Data Lokasi'!$K$15:$P$64,6,0)</f>
        <v>45234</v>
      </c>
      <c r="L784" s="64">
        <f t="shared" ref="L784:L847" si="369">IF(K784&gt;0,0,1)</f>
        <v>0</v>
      </c>
      <c r="M784" s="64">
        <f t="shared" ref="M784:M847" si="370">IF(AND(J784&gt;0,L784&gt;0),1,0)</f>
        <v>0</v>
      </c>
      <c r="N784" s="67">
        <f t="shared" si="361"/>
        <v>45242</v>
      </c>
      <c r="O784" s="64">
        <f t="shared" ref="O784:O847" si="371">IF(N784&gt;0,1,0)</f>
        <v>1</v>
      </c>
      <c r="P784" s="64">
        <f t="shared" ref="P784:P847" si="372">IF(O784&gt;0,0,1)</f>
        <v>0</v>
      </c>
      <c r="Q784" s="91" t="str">
        <f t="shared" si="365"/>
        <v>Selesai</v>
      </c>
      <c r="R784" s="64">
        <f t="shared" ref="R784:R847" si="373">IF(Q784="proses",1,0)</f>
        <v>0</v>
      </c>
      <c r="S784" s="67">
        <v>45241</v>
      </c>
      <c r="T784" s="67">
        <v>45255</v>
      </c>
      <c r="U784" s="64">
        <f t="shared" si="366"/>
        <v>1</v>
      </c>
      <c r="V784" s="64"/>
      <c r="W784" s="64"/>
      <c r="X784" s="93"/>
      <c r="Y784" s="94"/>
      <c r="Z784" s="91" t="str">
        <f t="shared" si="367"/>
        <v>100%</v>
      </c>
      <c r="AA784" s="67"/>
      <c r="AB784" s="473"/>
      <c r="AC784" s="478" t="s">
        <v>2711</v>
      </c>
      <c r="AD784" s="67"/>
    </row>
    <row r="785" spans="2:30">
      <c r="B785" s="64" t="s">
        <v>116</v>
      </c>
      <c r="C785" s="65" t="s">
        <v>709</v>
      </c>
      <c r="D785" s="66">
        <v>6.87</v>
      </c>
      <c r="E785" s="67">
        <v>45196</v>
      </c>
      <c r="F785" s="64">
        <f t="shared" si="364"/>
        <v>1</v>
      </c>
      <c r="G785" s="67">
        <v>45209</v>
      </c>
      <c r="H785" s="64">
        <f t="shared" si="363"/>
        <v>1</v>
      </c>
      <c r="I785" s="67">
        <f>VLOOKUP($C785,'[9]Data Lokasi'!$K$15:$P$64,5,0)</f>
        <v>45221</v>
      </c>
      <c r="J785" s="64">
        <f t="shared" si="368"/>
        <v>0</v>
      </c>
      <c r="K785" s="67">
        <v>45239</v>
      </c>
      <c r="L785" s="64">
        <f t="shared" si="369"/>
        <v>0</v>
      </c>
      <c r="M785" s="64">
        <f t="shared" si="370"/>
        <v>0</v>
      </c>
      <c r="N785" s="67">
        <f t="shared" ref="N785:N848" si="374">IF(AND(I785&gt;0,K785&gt;0),MAX(I785:K785)+1,"")</f>
        <v>45240</v>
      </c>
      <c r="O785" s="64">
        <f t="shared" si="371"/>
        <v>1</v>
      </c>
      <c r="P785" s="64">
        <f t="shared" si="372"/>
        <v>0</v>
      </c>
      <c r="Q785" s="91" t="str">
        <f t="shared" si="365"/>
        <v>Selesai</v>
      </c>
      <c r="R785" s="64">
        <f t="shared" si="373"/>
        <v>0</v>
      </c>
      <c r="S785" s="67">
        <v>45241</v>
      </c>
      <c r="T785" s="67">
        <v>45258</v>
      </c>
      <c r="U785" s="64">
        <f t="shared" si="366"/>
        <v>1</v>
      </c>
      <c r="V785" s="64"/>
      <c r="W785" s="64"/>
      <c r="X785" s="93"/>
      <c r="Y785" s="94"/>
      <c r="Z785" s="91" t="str">
        <f t="shared" si="367"/>
        <v>100%</v>
      </c>
      <c r="AA785" s="67"/>
      <c r="AB785" s="473"/>
      <c r="AC785" s="478" t="s">
        <v>2711</v>
      </c>
      <c r="AD785" s="67"/>
    </row>
    <row r="786" spans="2:30">
      <c r="B786" s="64" t="s">
        <v>109</v>
      </c>
      <c r="C786" s="65" t="s">
        <v>710</v>
      </c>
      <c r="D786" s="66">
        <v>8.3699999999999992</v>
      </c>
      <c r="E786" s="67">
        <v>45199</v>
      </c>
      <c r="F786" s="64">
        <f t="shared" si="364"/>
        <v>1</v>
      </c>
      <c r="G786" s="67">
        <v>45216</v>
      </c>
      <c r="H786" s="64">
        <f t="shared" si="363"/>
        <v>1</v>
      </c>
      <c r="I786" s="67">
        <f>VLOOKUP($C786,'[9]Data Lokasi'!$K$15:$P$64,5,0)</f>
        <v>45220</v>
      </c>
      <c r="J786" s="64">
        <f t="shared" si="368"/>
        <v>0</v>
      </c>
      <c r="K786" s="67">
        <f>VLOOKUP($C786,'[9]Data Lokasi'!$K$15:$P$64,6,0)</f>
        <v>45236</v>
      </c>
      <c r="L786" s="64">
        <f t="shared" si="369"/>
        <v>0</v>
      </c>
      <c r="M786" s="64">
        <f t="shared" si="370"/>
        <v>0</v>
      </c>
      <c r="N786" s="67">
        <f t="shared" si="374"/>
        <v>45237</v>
      </c>
      <c r="O786" s="64">
        <f t="shared" si="371"/>
        <v>1</v>
      </c>
      <c r="P786" s="64">
        <f t="shared" si="372"/>
        <v>0</v>
      </c>
      <c r="Q786" s="91" t="str">
        <f t="shared" si="365"/>
        <v>Selesai</v>
      </c>
      <c r="R786" s="64">
        <f t="shared" si="373"/>
        <v>0</v>
      </c>
      <c r="S786" s="67">
        <v>45246</v>
      </c>
      <c r="T786" s="67">
        <v>45260</v>
      </c>
      <c r="U786" s="64">
        <f t="shared" si="366"/>
        <v>1</v>
      </c>
      <c r="V786" s="64"/>
      <c r="W786" s="64"/>
      <c r="X786" s="93"/>
      <c r="Y786" s="94"/>
      <c r="Z786" s="91" t="str">
        <f t="shared" si="367"/>
        <v>100%</v>
      </c>
      <c r="AA786" s="67"/>
      <c r="AB786" s="473"/>
      <c r="AC786" s="478" t="s">
        <v>2711</v>
      </c>
      <c r="AD786" s="67"/>
    </row>
    <row r="787" spans="2:30">
      <c r="B787" s="64" t="s">
        <v>105</v>
      </c>
      <c r="C787" s="65" t="s">
        <v>106</v>
      </c>
      <c r="D787" s="66">
        <v>3.86</v>
      </c>
      <c r="E787" s="67">
        <v>45189</v>
      </c>
      <c r="F787" s="64">
        <f t="shared" si="364"/>
        <v>1</v>
      </c>
      <c r="G787" s="67">
        <v>45207</v>
      </c>
      <c r="H787" s="64">
        <f t="shared" si="363"/>
        <v>1</v>
      </c>
      <c r="I787" s="67">
        <v>45208</v>
      </c>
      <c r="J787" s="64">
        <f t="shared" si="368"/>
        <v>0</v>
      </c>
      <c r="K787" s="74">
        <v>45234</v>
      </c>
      <c r="L787" s="64">
        <f t="shared" si="369"/>
        <v>0</v>
      </c>
      <c r="M787" s="64">
        <f t="shared" si="370"/>
        <v>0</v>
      </c>
      <c r="N787" s="67">
        <f t="shared" si="374"/>
        <v>45235</v>
      </c>
      <c r="O787" s="64">
        <f t="shared" si="371"/>
        <v>1</v>
      </c>
      <c r="P787" s="64">
        <f t="shared" si="372"/>
        <v>0</v>
      </c>
      <c r="Q787" s="91" t="str">
        <f t="shared" si="365"/>
        <v>Selesai</v>
      </c>
      <c r="R787" s="64">
        <f t="shared" si="373"/>
        <v>0</v>
      </c>
      <c r="S787" s="67">
        <v>45241</v>
      </c>
      <c r="T787" s="67">
        <v>45266</v>
      </c>
      <c r="U787" s="64">
        <f t="shared" si="366"/>
        <v>1</v>
      </c>
      <c r="V787" s="66"/>
      <c r="W787" s="64"/>
      <c r="X787" s="93"/>
      <c r="Y787" s="94"/>
      <c r="Z787" s="91" t="str">
        <f t="shared" si="367"/>
        <v>100%</v>
      </c>
      <c r="AA787" s="67"/>
      <c r="AB787" s="473"/>
      <c r="AC787" s="478" t="s">
        <v>2711</v>
      </c>
      <c r="AD787" s="67"/>
    </row>
    <row r="788" spans="2:30">
      <c r="B788" s="64" t="s">
        <v>107</v>
      </c>
      <c r="C788" s="65" t="s">
        <v>108</v>
      </c>
      <c r="D788" s="66">
        <v>10.25</v>
      </c>
      <c r="E788" s="67">
        <v>45191</v>
      </c>
      <c r="F788" s="64">
        <f t="shared" si="364"/>
        <v>1</v>
      </c>
      <c r="G788" s="67">
        <v>45209</v>
      </c>
      <c r="H788" s="64">
        <f t="shared" si="363"/>
        <v>1</v>
      </c>
      <c r="I788" s="74">
        <v>45217</v>
      </c>
      <c r="J788" s="64">
        <f t="shared" si="368"/>
        <v>0</v>
      </c>
      <c r="K788" s="74">
        <v>45215</v>
      </c>
      <c r="L788" s="64">
        <f t="shared" si="369"/>
        <v>0</v>
      </c>
      <c r="M788" s="64">
        <f t="shared" si="370"/>
        <v>0</v>
      </c>
      <c r="N788" s="67">
        <f t="shared" si="374"/>
        <v>45218</v>
      </c>
      <c r="O788" s="64">
        <f t="shared" si="371"/>
        <v>1</v>
      </c>
      <c r="P788" s="64">
        <f t="shared" si="372"/>
        <v>0</v>
      </c>
      <c r="Q788" s="91" t="str">
        <f t="shared" si="365"/>
        <v>Selesai</v>
      </c>
      <c r="R788" s="64">
        <f t="shared" si="373"/>
        <v>0</v>
      </c>
      <c r="S788" s="67">
        <v>45234</v>
      </c>
      <c r="T788" s="67">
        <v>45266</v>
      </c>
      <c r="U788" s="64">
        <f t="shared" si="366"/>
        <v>1</v>
      </c>
      <c r="V788" s="66"/>
      <c r="W788" s="64"/>
      <c r="X788" s="93"/>
      <c r="Y788" s="94"/>
      <c r="Z788" s="91" t="str">
        <f t="shared" si="367"/>
        <v>100%</v>
      </c>
      <c r="AA788" s="67"/>
      <c r="AB788" s="473"/>
      <c r="AC788" s="478" t="s">
        <v>2711</v>
      </c>
      <c r="AD788" s="67"/>
    </row>
    <row r="789" spans="2:30">
      <c r="B789" s="64" t="s">
        <v>109</v>
      </c>
      <c r="C789" s="65" t="s">
        <v>110</v>
      </c>
      <c r="D789" s="66">
        <v>8.75</v>
      </c>
      <c r="E789" s="67">
        <v>45216</v>
      </c>
      <c r="F789" s="64">
        <f t="shared" si="364"/>
        <v>1</v>
      </c>
      <c r="G789" s="67">
        <v>45227</v>
      </c>
      <c r="H789" s="64">
        <f t="shared" si="363"/>
        <v>1</v>
      </c>
      <c r="I789" s="74">
        <v>45228</v>
      </c>
      <c r="J789" s="64">
        <f t="shared" si="368"/>
        <v>0</v>
      </c>
      <c r="K789" s="74">
        <v>45234</v>
      </c>
      <c r="L789" s="64">
        <f t="shared" si="369"/>
        <v>0</v>
      </c>
      <c r="M789" s="64">
        <f t="shared" si="370"/>
        <v>0</v>
      </c>
      <c r="N789" s="67">
        <f t="shared" si="374"/>
        <v>45235</v>
      </c>
      <c r="O789" s="64">
        <f t="shared" si="371"/>
        <v>1</v>
      </c>
      <c r="P789" s="64">
        <f t="shared" si="372"/>
        <v>0</v>
      </c>
      <c r="Q789" s="91" t="str">
        <f t="shared" si="365"/>
        <v>Selesai</v>
      </c>
      <c r="R789" s="64">
        <f t="shared" si="373"/>
        <v>0</v>
      </c>
      <c r="S789" s="67">
        <v>45254</v>
      </c>
      <c r="T789" s="67">
        <v>45267</v>
      </c>
      <c r="U789" s="64">
        <f t="shared" si="366"/>
        <v>1</v>
      </c>
      <c r="V789" s="66"/>
      <c r="W789" s="64"/>
      <c r="X789" s="93"/>
      <c r="Y789" s="94"/>
      <c r="Z789" s="91" t="str">
        <f t="shared" si="367"/>
        <v>100%</v>
      </c>
      <c r="AA789" s="67"/>
      <c r="AB789" s="473"/>
      <c r="AC789" s="478" t="s">
        <v>2711</v>
      </c>
      <c r="AD789" s="67"/>
    </row>
    <row r="790" spans="2:30">
      <c r="B790" s="64" t="s">
        <v>111</v>
      </c>
      <c r="C790" s="65" t="s">
        <v>112</v>
      </c>
      <c r="D790" s="66">
        <v>3.76</v>
      </c>
      <c r="E790" s="67">
        <v>45213</v>
      </c>
      <c r="F790" s="64">
        <f t="shared" si="364"/>
        <v>1</v>
      </c>
      <c r="G790" s="67">
        <v>45214</v>
      </c>
      <c r="H790" s="64">
        <f t="shared" si="363"/>
        <v>1</v>
      </c>
      <c r="I790" s="74">
        <v>45237</v>
      </c>
      <c r="J790" s="64">
        <f t="shared" si="368"/>
        <v>0</v>
      </c>
      <c r="K790" s="74">
        <v>45238</v>
      </c>
      <c r="L790" s="64">
        <f t="shared" si="369"/>
        <v>0</v>
      </c>
      <c r="M790" s="64">
        <f t="shared" si="370"/>
        <v>0</v>
      </c>
      <c r="N790" s="67">
        <f t="shared" si="374"/>
        <v>45239</v>
      </c>
      <c r="O790" s="64">
        <f t="shared" si="371"/>
        <v>1</v>
      </c>
      <c r="P790" s="64">
        <f t="shared" si="372"/>
        <v>0</v>
      </c>
      <c r="Q790" s="91" t="str">
        <f t="shared" si="365"/>
        <v>Selesai</v>
      </c>
      <c r="R790" s="64">
        <f t="shared" si="373"/>
        <v>0</v>
      </c>
      <c r="S790" s="67">
        <v>45241</v>
      </c>
      <c r="T790" s="67">
        <v>45267</v>
      </c>
      <c r="U790" s="64">
        <f t="shared" si="366"/>
        <v>1</v>
      </c>
      <c r="V790" s="66"/>
      <c r="W790" s="64"/>
      <c r="X790" s="93"/>
      <c r="Y790" s="94"/>
      <c r="Z790" s="91" t="str">
        <f t="shared" si="367"/>
        <v>100%</v>
      </c>
      <c r="AA790" s="67"/>
      <c r="AB790" s="473"/>
      <c r="AC790" s="478" t="s">
        <v>2711</v>
      </c>
      <c r="AD790" s="67"/>
    </row>
    <row r="791" spans="2:30">
      <c r="B791" s="64" t="s">
        <v>113</v>
      </c>
      <c r="C791" s="65" t="s">
        <v>114</v>
      </c>
      <c r="D791" s="66">
        <v>5.88</v>
      </c>
      <c r="E791" s="67">
        <v>45209</v>
      </c>
      <c r="F791" s="64">
        <f t="shared" si="364"/>
        <v>1</v>
      </c>
      <c r="G791" s="67">
        <v>45221</v>
      </c>
      <c r="H791" s="64">
        <f t="shared" si="363"/>
        <v>1</v>
      </c>
      <c r="I791" s="74">
        <v>45225</v>
      </c>
      <c r="J791" s="64">
        <f t="shared" si="368"/>
        <v>0</v>
      </c>
      <c r="K791" s="74">
        <v>45258</v>
      </c>
      <c r="L791" s="64">
        <f t="shared" si="369"/>
        <v>0</v>
      </c>
      <c r="M791" s="64">
        <f t="shared" si="370"/>
        <v>0</v>
      </c>
      <c r="N791" s="67">
        <f t="shared" si="374"/>
        <v>45259</v>
      </c>
      <c r="O791" s="64">
        <f t="shared" si="371"/>
        <v>1</v>
      </c>
      <c r="P791" s="64">
        <f t="shared" si="372"/>
        <v>0</v>
      </c>
      <c r="Q791" s="91" t="str">
        <f t="shared" si="365"/>
        <v>Selesai</v>
      </c>
      <c r="R791" s="64">
        <f t="shared" si="373"/>
        <v>0</v>
      </c>
      <c r="S791" s="67">
        <v>45259</v>
      </c>
      <c r="T791" s="67">
        <v>45284</v>
      </c>
      <c r="U791" s="64">
        <f t="shared" si="366"/>
        <v>1</v>
      </c>
      <c r="V791" s="66"/>
      <c r="W791" s="64"/>
      <c r="X791" s="93"/>
      <c r="Y791" s="94"/>
      <c r="Z791" s="91" t="str">
        <f t="shared" si="367"/>
        <v>100%</v>
      </c>
      <c r="AA791" s="67"/>
      <c r="AB791" s="473"/>
      <c r="AC791" s="478" t="s">
        <v>2711</v>
      </c>
      <c r="AD791" s="67"/>
    </row>
    <row r="792" spans="2:30">
      <c r="B792" s="64" t="s">
        <v>105</v>
      </c>
      <c r="C792" s="65" t="s">
        <v>115</v>
      </c>
      <c r="D792" s="66">
        <v>5.42</v>
      </c>
      <c r="E792" s="67">
        <v>45215</v>
      </c>
      <c r="F792" s="64">
        <f t="shared" si="364"/>
        <v>1</v>
      </c>
      <c r="G792" s="67">
        <v>45218</v>
      </c>
      <c r="H792" s="64">
        <f t="shared" si="363"/>
        <v>1</v>
      </c>
      <c r="I792" s="74">
        <v>45229</v>
      </c>
      <c r="J792" s="64">
        <f t="shared" si="368"/>
        <v>0</v>
      </c>
      <c r="K792" s="74">
        <v>45234</v>
      </c>
      <c r="L792" s="64">
        <f t="shared" si="369"/>
        <v>0</v>
      </c>
      <c r="M792" s="64">
        <f t="shared" si="370"/>
        <v>0</v>
      </c>
      <c r="N792" s="67">
        <f t="shared" si="374"/>
        <v>45235</v>
      </c>
      <c r="O792" s="64">
        <f t="shared" si="371"/>
        <v>1</v>
      </c>
      <c r="P792" s="64">
        <f t="shared" si="372"/>
        <v>0</v>
      </c>
      <c r="Q792" s="91" t="str">
        <f t="shared" si="365"/>
        <v>Selesai</v>
      </c>
      <c r="R792" s="64">
        <f t="shared" si="373"/>
        <v>0</v>
      </c>
      <c r="S792" s="67">
        <v>45264</v>
      </c>
      <c r="T792" s="67">
        <v>45275</v>
      </c>
      <c r="U792" s="64">
        <f t="shared" si="366"/>
        <v>1</v>
      </c>
      <c r="V792" s="66"/>
      <c r="W792" s="64"/>
      <c r="X792" s="93"/>
      <c r="Y792" s="94"/>
      <c r="Z792" s="91" t="str">
        <f t="shared" si="367"/>
        <v>100%</v>
      </c>
      <c r="AA792" s="67"/>
      <c r="AB792" s="473"/>
      <c r="AC792" s="478" t="s">
        <v>2711</v>
      </c>
      <c r="AD792" s="67"/>
    </row>
    <row r="793" spans="2:30">
      <c r="B793" s="64" t="s">
        <v>116</v>
      </c>
      <c r="C793" s="65" t="s">
        <v>117</v>
      </c>
      <c r="D793" s="66">
        <v>7.42</v>
      </c>
      <c r="E793" s="67">
        <v>45196</v>
      </c>
      <c r="F793" s="64">
        <f t="shared" si="364"/>
        <v>1</v>
      </c>
      <c r="G793" s="67">
        <v>45209</v>
      </c>
      <c r="H793" s="64">
        <f t="shared" si="363"/>
        <v>1</v>
      </c>
      <c r="I793" s="74">
        <v>45223</v>
      </c>
      <c r="J793" s="64">
        <f t="shared" si="368"/>
        <v>0</v>
      </c>
      <c r="K793" s="74">
        <v>45254</v>
      </c>
      <c r="L793" s="64">
        <f t="shared" si="369"/>
        <v>0</v>
      </c>
      <c r="M793" s="64">
        <f t="shared" si="370"/>
        <v>0</v>
      </c>
      <c r="N793" s="67">
        <f t="shared" si="374"/>
        <v>45255</v>
      </c>
      <c r="O793" s="64">
        <f t="shared" si="371"/>
        <v>1</v>
      </c>
      <c r="P793" s="64">
        <f t="shared" si="372"/>
        <v>0</v>
      </c>
      <c r="Q793" s="91" t="str">
        <f t="shared" si="365"/>
        <v>Selesai</v>
      </c>
      <c r="R793" s="64">
        <f t="shared" si="373"/>
        <v>0</v>
      </c>
      <c r="S793" s="67">
        <v>45243</v>
      </c>
      <c r="T793" s="67">
        <v>45275</v>
      </c>
      <c r="U793" s="64">
        <f t="shared" si="366"/>
        <v>1</v>
      </c>
      <c r="V793" s="66"/>
      <c r="W793" s="64"/>
      <c r="X793" s="93"/>
      <c r="Y793" s="94"/>
      <c r="Z793" s="91" t="str">
        <f t="shared" si="367"/>
        <v>100%</v>
      </c>
      <c r="AA793" s="67"/>
      <c r="AB793" s="473"/>
      <c r="AC793" s="478" t="s">
        <v>2711</v>
      </c>
      <c r="AD793" s="67"/>
    </row>
    <row r="794" spans="2:30">
      <c r="B794" s="64" t="s">
        <v>118</v>
      </c>
      <c r="C794" s="65" t="s">
        <v>119</v>
      </c>
      <c r="D794" s="66">
        <v>1.53</v>
      </c>
      <c r="E794" s="67">
        <v>45198</v>
      </c>
      <c r="F794" s="64">
        <f t="shared" si="364"/>
        <v>1</v>
      </c>
      <c r="G794" s="67">
        <v>45249</v>
      </c>
      <c r="H794" s="64">
        <f t="shared" si="363"/>
        <v>1</v>
      </c>
      <c r="I794" s="74">
        <v>45214</v>
      </c>
      <c r="J794" s="64">
        <f t="shared" si="368"/>
        <v>0</v>
      </c>
      <c r="K794" s="74">
        <v>45222</v>
      </c>
      <c r="L794" s="64">
        <f t="shared" si="369"/>
        <v>0</v>
      </c>
      <c r="M794" s="64">
        <f t="shared" si="370"/>
        <v>0</v>
      </c>
      <c r="N794" s="67">
        <f t="shared" si="374"/>
        <v>45223</v>
      </c>
      <c r="O794" s="64">
        <f t="shared" si="371"/>
        <v>1</v>
      </c>
      <c r="P794" s="64">
        <f t="shared" si="372"/>
        <v>0</v>
      </c>
      <c r="Q794" s="91" t="str">
        <f t="shared" si="365"/>
        <v>Selesai</v>
      </c>
      <c r="R794" s="64">
        <f t="shared" si="373"/>
        <v>0</v>
      </c>
      <c r="S794" s="67">
        <v>45265</v>
      </c>
      <c r="T794" s="67">
        <v>45275</v>
      </c>
      <c r="U794" s="64">
        <f t="shared" si="366"/>
        <v>1</v>
      </c>
      <c r="V794" s="66"/>
      <c r="W794" s="64"/>
      <c r="X794" s="93"/>
      <c r="Y794" s="94"/>
      <c r="Z794" s="91" t="str">
        <f t="shared" si="367"/>
        <v>100%</v>
      </c>
      <c r="AA794" s="67"/>
      <c r="AB794" s="473"/>
      <c r="AC794" s="478" t="s">
        <v>2711</v>
      </c>
      <c r="AD794" s="67"/>
    </row>
    <row r="795" spans="2:30">
      <c r="B795" s="64" t="s">
        <v>118</v>
      </c>
      <c r="C795" s="65" t="s">
        <v>132</v>
      </c>
      <c r="D795" s="66">
        <v>8.9499999999999993</v>
      </c>
      <c r="E795" s="67">
        <v>45198</v>
      </c>
      <c r="F795" s="64">
        <f t="shared" si="364"/>
        <v>1</v>
      </c>
      <c r="G795" s="67">
        <v>45199</v>
      </c>
      <c r="H795" s="64">
        <f t="shared" si="363"/>
        <v>1</v>
      </c>
      <c r="I795" s="74">
        <v>45209</v>
      </c>
      <c r="J795" s="64">
        <f t="shared" si="368"/>
        <v>0</v>
      </c>
      <c r="K795" s="74">
        <v>45237</v>
      </c>
      <c r="L795" s="64">
        <f t="shared" si="369"/>
        <v>0</v>
      </c>
      <c r="M795" s="64">
        <f t="shared" si="370"/>
        <v>0</v>
      </c>
      <c r="N795" s="67">
        <f t="shared" si="374"/>
        <v>45238</v>
      </c>
      <c r="O795" s="64">
        <f t="shared" si="371"/>
        <v>1</v>
      </c>
      <c r="P795" s="64">
        <f t="shared" si="372"/>
        <v>0</v>
      </c>
      <c r="Q795" s="91" t="str">
        <f t="shared" si="365"/>
        <v>Selesai</v>
      </c>
      <c r="R795" s="64">
        <f t="shared" si="373"/>
        <v>0</v>
      </c>
      <c r="S795" s="67">
        <v>45259</v>
      </c>
      <c r="T795" s="67">
        <v>45289</v>
      </c>
      <c r="U795" s="64">
        <f t="shared" si="366"/>
        <v>1</v>
      </c>
      <c r="V795" s="66"/>
      <c r="W795" s="64"/>
      <c r="X795" s="93"/>
      <c r="Y795" s="94"/>
      <c r="Z795" s="91" t="str">
        <f t="shared" si="367"/>
        <v>100%</v>
      </c>
      <c r="AA795" s="67"/>
      <c r="AB795" s="473"/>
      <c r="AC795" s="478" t="s">
        <v>2711</v>
      </c>
      <c r="AD795" s="67"/>
    </row>
    <row r="796" spans="2:30">
      <c r="B796" s="64" t="s">
        <v>107</v>
      </c>
      <c r="C796" s="65" t="s">
        <v>120</v>
      </c>
      <c r="D796" s="66">
        <v>8.9600000000000009</v>
      </c>
      <c r="E796" s="67">
        <v>45236</v>
      </c>
      <c r="F796" s="64">
        <f t="shared" si="364"/>
        <v>1</v>
      </c>
      <c r="G796" s="67">
        <v>45238</v>
      </c>
      <c r="H796" s="64">
        <f t="shared" si="363"/>
        <v>1</v>
      </c>
      <c r="I796" s="74">
        <v>45245</v>
      </c>
      <c r="J796" s="64">
        <f t="shared" si="368"/>
        <v>0</v>
      </c>
      <c r="K796" s="74">
        <v>45252</v>
      </c>
      <c r="L796" s="64">
        <f t="shared" si="369"/>
        <v>0</v>
      </c>
      <c r="M796" s="64">
        <f t="shared" si="370"/>
        <v>0</v>
      </c>
      <c r="N796" s="67">
        <f t="shared" si="374"/>
        <v>45253</v>
      </c>
      <c r="O796" s="64">
        <f t="shared" si="371"/>
        <v>1</v>
      </c>
      <c r="P796" s="64">
        <f t="shared" si="372"/>
        <v>0</v>
      </c>
      <c r="Q796" s="91" t="str">
        <f t="shared" si="365"/>
        <v>Selesai</v>
      </c>
      <c r="R796" s="64">
        <f t="shared" si="373"/>
        <v>0</v>
      </c>
      <c r="S796" s="67">
        <v>45274</v>
      </c>
      <c r="T796" s="67">
        <v>45287</v>
      </c>
      <c r="U796" s="64">
        <f t="shared" si="366"/>
        <v>1</v>
      </c>
      <c r="V796" s="66"/>
      <c r="W796" s="64"/>
      <c r="X796" s="93"/>
      <c r="Y796" s="94"/>
      <c r="Z796" s="91" t="str">
        <f t="shared" si="367"/>
        <v>100%</v>
      </c>
      <c r="AA796" s="67"/>
      <c r="AB796" s="473"/>
      <c r="AC796" s="478" t="s">
        <v>2711</v>
      </c>
      <c r="AD796" s="67"/>
    </row>
    <row r="797" spans="2:30">
      <c r="B797" s="64" t="s">
        <v>109</v>
      </c>
      <c r="C797" s="65" t="s">
        <v>126</v>
      </c>
      <c r="D797" s="66">
        <v>6.56</v>
      </c>
      <c r="E797" s="67">
        <v>45185</v>
      </c>
      <c r="F797" s="64">
        <f t="shared" si="364"/>
        <v>1</v>
      </c>
      <c r="G797" s="67">
        <v>45206</v>
      </c>
      <c r="H797" s="64">
        <f t="shared" si="363"/>
        <v>1</v>
      </c>
      <c r="I797" s="74">
        <v>45208</v>
      </c>
      <c r="J797" s="64">
        <f t="shared" si="368"/>
        <v>0</v>
      </c>
      <c r="K797" s="74">
        <v>45236</v>
      </c>
      <c r="L797" s="64">
        <f t="shared" si="369"/>
        <v>0</v>
      </c>
      <c r="M797" s="64">
        <f t="shared" si="370"/>
        <v>0</v>
      </c>
      <c r="N797" s="67">
        <f t="shared" si="374"/>
        <v>45237</v>
      </c>
      <c r="O797" s="64">
        <f t="shared" si="371"/>
        <v>1</v>
      </c>
      <c r="P797" s="64">
        <f t="shared" si="372"/>
        <v>0</v>
      </c>
      <c r="Q797" s="91" t="str">
        <f t="shared" si="365"/>
        <v>Selesai</v>
      </c>
      <c r="R797" s="64">
        <f t="shared" si="373"/>
        <v>0</v>
      </c>
      <c r="S797" s="67">
        <v>45268</v>
      </c>
      <c r="T797" s="67">
        <v>45287</v>
      </c>
      <c r="U797" s="64">
        <f t="shared" si="366"/>
        <v>1</v>
      </c>
      <c r="V797" s="66"/>
      <c r="W797" s="64"/>
      <c r="X797" s="93"/>
      <c r="Y797" s="94"/>
      <c r="Z797" s="91" t="str">
        <f t="shared" si="367"/>
        <v>100%</v>
      </c>
      <c r="AA797" s="67"/>
      <c r="AB797" s="473"/>
      <c r="AC797" s="478" t="s">
        <v>2711</v>
      </c>
      <c r="AD797" s="67"/>
    </row>
    <row r="798" spans="2:30">
      <c r="B798" s="64" t="s">
        <v>116</v>
      </c>
      <c r="C798" s="65" t="s">
        <v>130</v>
      </c>
      <c r="D798" s="66">
        <v>9.6199999999999992</v>
      </c>
      <c r="E798" s="67">
        <v>45195</v>
      </c>
      <c r="F798" s="64">
        <f t="shared" ref="F798:F829" si="375">IF(E798&gt;0,1,0)</f>
        <v>1</v>
      </c>
      <c r="G798" s="67">
        <v>45209</v>
      </c>
      <c r="H798" s="64">
        <f t="shared" si="363"/>
        <v>1</v>
      </c>
      <c r="I798" s="74">
        <v>45219</v>
      </c>
      <c r="J798" s="64">
        <f t="shared" si="368"/>
        <v>0</v>
      </c>
      <c r="K798" s="74">
        <v>45246</v>
      </c>
      <c r="L798" s="64">
        <f t="shared" si="369"/>
        <v>0</v>
      </c>
      <c r="M798" s="64">
        <f t="shared" si="370"/>
        <v>0</v>
      </c>
      <c r="N798" s="67">
        <f t="shared" si="374"/>
        <v>45247</v>
      </c>
      <c r="O798" s="64">
        <f t="shared" si="371"/>
        <v>1</v>
      </c>
      <c r="P798" s="64">
        <f t="shared" si="372"/>
        <v>0</v>
      </c>
      <c r="Q798" s="91" t="str">
        <f t="shared" si="365"/>
        <v>Selesai</v>
      </c>
      <c r="R798" s="64">
        <f t="shared" si="373"/>
        <v>0</v>
      </c>
      <c r="S798" s="67">
        <v>45252</v>
      </c>
      <c r="T798" s="67">
        <v>45288</v>
      </c>
      <c r="U798" s="64">
        <f t="shared" si="366"/>
        <v>1</v>
      </c>
      <c r="V798" s="66"/>
      <c r="W798" s="64"/>
      <c r="X798" s="93"/>
      <c r="Y798" s="94"/>
      <c r="Z798" s="91" t="str">
        <f t="shared" si="367"/>
        <v>100%</v>
      </c>
      <c r="AA798" s="67"/>
      <c r="AB798" s="473"/>
      <c r="AC798" s="478" t="s">
        <v>2711</v>
      </c>
      <c r="AD798" s="67"/>
    </row>
    <row r="799" spans="2:30">
      <c r="B799" s="64" t="s">
        <v>118</v>
      </c>
      <c r="C799" s="65" t="s">
        <v>131</v>
      </c>
      <c r="D799" s="66">
        <v>5.52</v>
      </c>
      <c r="E799" s="67">
        <v>45198</v>
      </c>
      <c r="F799" s="64">
        <f t="shared" si="375"/>
        <v>1</v>
      </c>
      <c r="G799" s="67">
        <v>45199</v>
      </c>
      <c r="H799" s="64">
        <f t="shared" si="363"/>
        <v>1</v>
      </c>
      <c r="I799" s="74">
        <v>45208</v>
      </c>
      <c r="J799" s="64">
        <f t="shared" si="368"/>
        <v>0</v>
      </c>
      <c r="K799" s="74">
        <v>45237</v>
      </c>
      <c r="L799" s="64">
        <f t="shared" si="369"/>
        <v>0</v>
      </c>
      <c r="M799" s="64">
        <f t="shared" si="370"/>
        <v>0</v>
      </c>
      <c r="N799" s="67">
        <f t="shared" si="374"/>
        <v>45238</v>
      </c>
      <c r="O799" s="64">
        <f t="shared" si="371"/>
        <v>1</v>
      </c>
      <c r="P799" s="64">
        <f t="shared" si="372"/>
        <v>0</v>
      </c>
      <c r="Q799" s="91" t="str">
        <f t="shared" si="365"/>
        <v>Selesai</v>
      </c>
      <c r="R799" s="64">
        <f t="shared" si="373"/>
        <v>0</v>
      </c>
      <c r="S799" s="67">
        <v>45273</v>
      </c>
      <c r="T799" s="67">
        <v>45290</v>
      </c>
      <c r="U799" s="64">
        <f t="shared" si="366"/>
        <v>1</v>
      </c>
      <c r="V799" s="66"/>
      <c r="W799" s="64"/>
      <c r="X799" s="93"/>
      <c r="Y799" s="94"/>
      <c r="Z799" s="91" t="str">
        <f t="shared" si="367"/>
        <v>100%</v>
      </c>
      <c r="AA799" s="67"/>
      <c r="AB799" s="473"/>
      <c r="AC799" s="478" t="s">
        <v>2711</v>
      </c>
      <c r="AD799" s="67"/>
    </row>
    <row r="800" spans="2:30">
      <c r="B800" s="64" t="s">
        <v>109</v>
      </c>
      <c r="C800" s="225" t="s">
        <v>124</v>
      </c>
      <c r="D800" s="66">
        <v>3.73</v>
      </c>
      <c r="E800" s="67">
        <v>45230</v>
      </c>
      <c r="F800" s="64">
        <f t="shared" si="375"/>
        <v>1</v>
      </c>
      <c r="G800" s="67">
        <v>45236</v>
      </c>
      <c r="H800" s="64">
        <f t="shared" si="363"/>
        <v>1</v>
      </c>
      <c r="I800" s="74">
        <v>45238</v>
      </c>
      <c r="J800" s="64">
        <f t="shared" si="368"/>
        <v>0</v>
      </c>
      <c r="K800" s="74">
        <v>45255</v>
      </c>
      <c r="L800" s="64">
        <f t="shared" si="369"/>
        <v>0</v>
      </c>
      <c r="M800" s="64">
        <f t="shared" si="370"/>
        <v>0</v>
      </c>
      <c r="N800" s="67">
        <f t="shared" si="374"/>
        <v>45256</v>
      </c>
      <c r="O800" s="64">
        <f t="shared" si="371"/>
        <v>1</v>
      </c>
      <c r="P800" s="64">
        <f t="shared" si="372"/>
        <v>0</v>
      </c>
      <c r="Q800" s="91" t="str">
        <f t="shared" si="365"/>
        <v>Selesai</v>
      </c>
      <c r="R800" s="64">
        <f t="shared" si="373"/>
        <v>0</v>
      </c>
      <c r="S800" s="67">
        <v>45273</v>
      </c>
      <c r="T800" s="67">
        <v>45287</v>
      </c>
      <c r="U800" s="64">
        <f t="shared" si="366"/>
        <v>1</v>
      </c>
      <c r="V800" s="66"/>
      <c r="W800" s="64"/>
      <c r="X800" s="93"/>
      <c r="Y800" s="94"/>
      <c r="Z800" s="91" t="str">
        <f t="shared" si="367"/>
        <v>100%</v>
      </c>
      <c r="AA800" s="67"/>
      <c r="AB800" s="473"/>
      <c r="AC800" s="478" t="s">
        <v>2711</v>
      </c>
      <c r="AD800" s="67"/>
    </row>
    <row r="801" spans="2:30">
      <c r="B801" s="64" t="s">
        <v>111</v>
      </c>
      <c r="C801" s="65" t="s">
        <v>128</v>
      </c>
      <c r="D801" s="66">
        <v>5.38</v>
      </c>
      <c r="E801" s="67">
        <v>45213</v>
      </c>
      <c r="F801" s="64">
        <f t="shared" si="375"/>
        <v>1</v>
      </c>
      <c r="G801" s="67">
        <v>45214</v>
      </c>
      <c r="H801" s="64">
        <f t="shared" si="363"/>
        <v>1</v>
      </c>
      <c r="I801" s="74">
        <v>45237</v>
      </c>
      <c r="J801" s="64">
        <f t="shared" si="368"/>
        <v>0</v>
      </c>
      <c r="K801" s="74">
        <v>45238</v>
      </c>
      <c r="L801" s="64">
        <f t="shared" si="369"/>
        <v>0</v>
      </c>
      <c r="M801" s="64">
        <f t="shared" si="370"/>
        <v>0</v>
      </c>
      <c r="N801" s="67">
        <f t="shared" si="374"/>
        <v>45239</v>
      </c>
      <c r="O801" s="64">
        <f t="shared" si="371"/>
        <v>1</v>
      </c>
      <c r="P801" s="64">
        <f t="shared" si="372"/>
        <v>0</v>
      </c>
      <c r="Q801" s="91" t="str">
        <f t="shared" si="365"/>
        <v>Selesai</v>
      </c>
      <c r="R801" s="64">
        <f t="shared" si="373"/>
        <v>0</v>
      </c>
      <c r="S801" s="67">
        <v>45252</v>
      </c>
      <c r="T801" s="67">
        <v>45266</v>
      </c>
      <c r="U801" s="64">
        <f t="shared" si="366"/>
        <v>1</v>
      </c>
      <c r="V801" s="66"/>
      <c r="W801" s="64"/>
      <c r="X801" s="93"/>
      <c r="Y801" s="94"/>
      <c r="Z801" s="91" t="str">
        <f t="shared" si="367"/>
        <v>100%</v>
      </c>
      <c r="AA801" s="67"/>
      <c r="AB801" s="473"/>
      <c r="AC801" s="478" t="s">
        <v>2711</v>
      </c>
      <c r="AD801" s="67"/>
    </row>
    <row r="802" spans="2:30">
      <c r="B802" s="64" t="s">
        <v>113</v>
      </c>
      <c r="C802" s="225" t="s">
        <v>121</v>
      </c>
      <c r="D802" s="66">
        <v>4.67</v>
      </c>
      <c r="E802" s="67">
        <v>45176</v>
      </c>
      <c r="F802" s="64">
        <f t="shared" si="375"/>
        <v>1</v>
      </c>
      <c r="G802" s="67">
        <v>45178</v>
      </c>
      <c r="H802" s="64">
        <f t="shared" si="363"/>
        <v>1</v>
      </c>
      <c r="I802" s="74">
        <v>45188</v>
      </c>
      <c r="J802" s="64">
        <f t="shared" si="368"/>
        <v>0</v>
      </c>
      <c r="K802" s="74">
        <v>45266</v>
      </c>
      <c r="L802" s="64">
        <f t="shared" si="369"/>
        <v>0</v>
      </c>
      <c r="M802" s="64">
        <f t="shared" si="370"/>
        <v>0</v>
      </c>
      <c r="N802" s="67">
        <f t="shared" si="374"/>
        <v>45267</v>
      </c>
      <c r="O802" s="64">
        <f t="shared" si="371"/>
        <v>1</v>
      </c>
      <c r="P802" s="64">
        <f t="shared" si="372"/>
        <v>0</v>
      </c>
      <c r="Q802" s="91" t="str">
        <f t="shared" si="365"/>
        <v>Selesai</v>
      </c>
      <c r="R802" s="64">
        <f t="shared" si="373"/>
        <v>0</v>
      </c>
      <c r="S802" s="67">
        <v>45267</v>
      </c>
      <c r="T802" s="67">
        <v>45298</v>
      </c>
      <c r="U802" s="64">
        <f t="shared" si="366"/>
        <v>1</v>
      </c>
      <c r="V802" s="66"/>
      <c r="W802" s="64"/>
      <c r="X802" s="93"/>
      <c r="Y802" s="94"/>
      <c r="Z802" s="91" t="str">
        <f t="shared" si="367"/>
        <v>100%</v>
      </c>
      <c r="AA802" s="67"/>
      <c r="AB802" s="473"/>
      <c r="AC802" s="478" t="s">
        <v>2711</v>
      </c>
      <c r="AD802" s="67"/>
    </row>
    <row r="803" spans="2:30">
      <c r="B803" s="64" t="s">
        <v>109</v>
      </c>
      <c r="C803" s="65" t="s">
        <v>125</v>
      </c>
      <c r="D803" s="66">
        <v>6.15</v>
      </c>
      <c r="E803" s="67">
        <v>45199</v>
      </c>
      <c r="F803" s="64">
        <f t="shared" si="375"/>
        <v>1</v>
      </c>
      <c r="G803" s="67">
        <v>45216</v>
      </c>
      <c r="H803" s="64">
        <f t="shared" si="363"/>
        <v>1</v>
      </c>
      <c r="I803" s="74">
        <v>45218</v>
      </c>
      <c r="J803" s="64">
        <f t="shared" si="368"/>
        <v>0</v>
      </c>
      <c r="K803" s="74">
        <v>45236</v>
      </c>
      <c r="L803" s="64">
        <f t="shared" si="369"/>
        <v>0</v>
      </c>
      <c r="M803" s="64">
        <f t="shared" si="370"/>
        <v>0</v>
      </c>
      <c r="N803" s="67">
        <f t="shared" si="374"/>
        <v>45237</v>
      </c>
      <c r="O803" s="64">
        <f t="shared" si="371"/>
        <v>1</v>
      </c>
      <c r="P803" s="64">
        <f t="shared" si="372"/>
        <v>0</v>
      </c>
      <c r="Q803" s="91" t="str">
        <f t="shared" si="365"/>
        <v>Selesai</v>
      </c>
      <c r="R803" s="64">
        <f t="shared" si="373"/>
        <v>0</v>
      </c>
      <c r="S803" s="67">
        <v>45281</v>
      </c>
      <c r="T803" s="67">
        <v>45312</v>
      </c>
      <c r="U803" s="64">
        <f t="shared" si="366"/>
        <v>1</v>
      </c>
      <c r="V803" s="66"/>
      <c r="W803" s="64"/>
      <c r="X803" s="93"/>
      <c r="Y803" s="94"/>
      <c r="Z803" s="91" t="str">
        <f t="shared" si="367"/>
        <v>100%</v>
      </c>
      <c r="AA803" s="67"/>
      <c r="AB803" s="473"/>
      <c r="AC803" s="478" t="s">
        <v>2711</v>
      </c>
      <c r="AD803" s="67"/>
    </row>
    <row r="804" spans="2:30">
      <c r="B804" s="64" t="s">
        <v>111</v>
      </c>
      <c r="C804" s="65" t="s">
        <v>127</v>
      </c>
      <c r="D804" s="66">
        <v>9.93</v>
      </c>
      <c r="E804" s="67">
        <v>45174</v>
      </c>
      <c r="F804" s="64">
        <f t="shared" si="375"/>
        <v>1</v>
      </c>
      <c r="G804" s="67">
        <v>45196</v>
      </c>
      <c r="H804" s="64">
        <f t="shared" si="363"/>
        <v>1</v>
      </c>
      <c r="I804" s="74">
        <v>45206</v>
      </c>
      <c r="J804" s="64">
        <f t="shared" si="368"/>
        <v>0</v>
      </c>
      <c r="K804" s="74">
        <v>45237</v>
      </c>
      <c r="L804" s="64">
        <f t="shared" si="369"/>
        <v>0</v>
      </c>
      <c r="M804" s="64">
        <f t="shared" si="370"/>
        <v>0</v>
      </c>
      <c r="N804" s="67">
        <f t="shared" si="374"/>
        <v>45238</v>
      </c>
      <c r="O804" s="64">
        <f t="shared" si="371"/>
        <v>1</v>
      </c>
      <c r="P804" s="64">
        <f t="shared" si="372"/>
        <v>0</v>
      </c>
      <c r="Q804" s="91" t="str">
        <f t="shared" si="365"/>
        <v>Selesai</v>
      </c>
      <c r="R804" s="64">
        <f t="shared" si="373"/>
        <v>0</v>
      </c>
      <c r="S804" s="67">
        <v>45277</v>
      </c>
      <c r="T804" s="67">
        <v>45299</v>
      </c>
      <c r="U804" s="64">
        <f t="shared" si="366"/>
        <v>1</v>
      </c>
      <c r="V804" s="66"/>
      <c r="W804" s="64"/>
      <c r="X804" s="93"/>
      <c r="Y804" s="94"/>
      <c r="Z804" s="91" t="str">
        <f t="shared" si="367"/>
        <v>100%</v>
      </c>
      <c r="AA804" s="67"/>
      <c r="AB804" s="473"/>
      <c r="AC804" s="478" t="s">
        <v>2711</v>
      </c>
      <c r="AD804" s="67"/>
    </row>
    <row r="805" spans="2:30">
      <c r="B805" s="64" t="s">
        <v>111</v>
      </c>
      <c r="C805" s="65" t="s">
        <v>151</v>
      </c>
      <c r="D805" s="66">
        <v>11.1</v>
      </c>
      <c r="E805" s="67">
        <v>45238</v>
      </c>
      <c r="F805" s="64">
        <f t="shared" si="375"/>
        <v>1</v>
      </c>
      <c r="G805" s="67">
        <v>45239</v>
      </c>
      <c r="H805" s="64">
        <f t="shared" si="363"/>
        <v>1</v>
      </c>
      <c r="I805" s="74">
        <v>45254</v>
      </c>
      <c r="J805" s="64">
        <f t="shared" si="368"/>
        <v>0</v>
      </c>
      <c r="K805" s="74">
        <v>45267</v>
      </c>
      <c r="L805" s="64">
        <f t="shared" si="369"/>
        <v>0</v>
      </c>
      <c r="M805" s="64">
        <f t="shared" si="370"/>
        <v>0</v>
      </c>
      <c r="N805" s="67">
        <f t="shared" si="374"/>
        <v>45268</v>
      </c>
      <c r="O805" s="64">
        <f t="shared" si="371"/>
        <v>1</v>
      </c>
      <c r="P805" s="64">
        <f t="shared" si="372"/>
        <v>0</v>
      </c>
      <c r="Q805" s="91" t="str">
        <f t="shared" si="365"/>
        <v>Selesai</v>
      </c>
      <c r="R805" s="64">
        <f t="shared" si="373"/>
        <v>0</v>
      </c>
      <c r="S805" s="67">
        <v>45283</v>
      </c>
      <c r="T805" s="67">
        <v>45303</v>
      </c>
      <c r="U805" s="64">
        <f t="shared" si="366"/>
        <v>1</v>
      </c>
      <c r="V805" s="66"/>
      <c r="W805" s="64"/>
      <c r="X805" s="93"/>
      <c r="Y805" s="94"/>
      <c r="Z805" s="91" t="str">
        <f t="shared" si="367"/>
        <v>100%</v>
      </c>
      <c r="AA805" s="67"/>
      <c r="AB805" s="473"/>
      <c r="AC805" s="478" t="s">
        <v>2711</v>
      </c>
      <c r="AD805" s="67"/>
    </row>
    <row r="806" spans="2:30">
      <c r="B806" s="64" t="s">
        <v>122</v>
      </c>
      <c r="C806" s="65" t="s">
        <v>123</v>
      </c>
      <c r="D806" s="66">
        <v>3.44</v>
      </c>
      <c r="E806" s="67">
        <v>45230</v>
      </c>
      <c r="F806" s="64">
        <f t="shared" si="375"/>
        <v>1</v>
      </c>
      <c r="G806" s="67">
        <v>45231</v>
      </c>
      <c r="H806" s="64">
        <f t="shared" si="363"/>
        <v>1</v>
      </c>
      <c r="I806" s="74">
        <v>45188</v>
      </c>
      <c r="J806" s="64">
        <f t="shared" si="368"/>
        <v>0</v>
      </c>
      <c r="K806" s="74">
        <v>45266</v>
      </c>
      <c r="L806" s="64">
        <f t="shared" si="369"/>
        <v>0</v>
      </c>
      <c r="M806" s="64">
        <f t="shared" si="370"/>
        <v>0</v>
      </c>
      <c r="N806" s="67">
        <f t="shared" si="374"/>
        <v>45267</v>
      </c>
      <c r="O806" s="64">
        <f t="shared" si="371"/>
        <v>1</v>
      </c>
      <c r="P806" s="64">
        <f t="shared" si="372"/>
        <v>0</v>
      </c>
      <c r="Q806" s="91" t="str">
        <f t="shared" si="365"/>
        <v>Selesai</v>
      </c>
      <c r="R806" s="64">
        <f t="shared" si="373"/>
        <v>0</v>
      </c>
      <c r="S806" s="67">
        <v>45280</v>
      </c>
      <c r="T806" s="67">
        <v>45305</v>
      </c>
      <c r="U806" s="64">
        <f t="shared" si="366"/>
        <v>1</v>
      </c>
      <c r="V806" s="66"/>
      <c r="W806" s="64"/>
      <c r="X806" s="93"/>
      <c r="Y806" s="94"/>
      <c r="Z806" s="91" t="str">
        <f t="shared" si="367"/>
        <v>100%</v>
      </c>
      <c r="AA806" s="67"/>
      <c r="AB806" s="473"/>
      <c r="AC806" s="478" t="s">
        <v>2711</v>
      </c>
      <c r="AD806" s="67"/>
    </row>
    <row r="807" spans="2:30">
      <c r="B807" s="64" t="s">
        <v>107</v>
      </c>
      <c r="C807" s="65" t="s">
        <v>306</v>
      </c>
      <c r="D807" s="66">
        <v>6.23</v>
      </c>
      <c r="E807" s="67">
        <v>45248</v>
      </c>
      <c r="F807" s="64">
        <f t="shared" si="375"/>
        <v>1</v>
      </c>
      <c r="G807" s="67">
        <v>45288</v>
      </c>
      <c r="H807" s="64">
        <f t="shared" si="363"/>
        <v>1</v>
      </c>
      <c r="I807" s="67">
        <v>45265</v>
      </c>
      <c r="J807" s="64">
        <f t="shared" si="368"/>
        <v>0</v>
      </c>
      <c r="K807" s="67">
        <v>45280</v>
      </c>
      <c r="L807" s="64">
        <f t="shared" si="369"/>
        <v>0</v>
      </c>
      <c r="M807" s="64">
        <f t="shared" si="370"/>
        <v>0</v>
      </c>
      <c r="N807" s="67">
        <f t="shared" si="374"/>
        <v>45281</v>
      </c>
      <c r="O807" s="64">
        <f t="shared" si="371"/>
        <v>1</v>
      </c>
      <c r="P807" s="64">
        <f t="shared" si="372"/>
        <v>0</v>
      </c>
      <c r="Q807" s="91" t="str">
        <f t="shared" si="365"/>
        <v>Selesai</v>
      </c>
      <c r="R807" s="64">
        <f t="shared" si="373"/>
        <v>0</v>
      </c>
      <c r="S807" s="67">
        <v>45294</v>
      </c>
      <c r="T807" s="67">
        <v>45314</v>
      </c>
      <c r="U807" s="64">
        <f t="shared" si="366"/>
        <v>1</v>
      </c>
      <c r="V807" s="66"/>
      <c r="W807" s="64"/>
      <c r="X807" s="93"/>
      <c r="Y807" s="94"/>
      <c r="Z807" s="91" t="str">
        <f t="shared" si="367"/>
        <v>100%</v>
      </c>
      <c r="AA807" s="67"/>
      <c r="AB807" s="473"/>
      <c r="AC807" s="478" t="s">
        <v>2711</v>
      </c>
      <c r="AD807" s="67"/>
    </row>
    <row r="808" spans="2:30">
      <c r="B808" s="64" t="s">
        <v>109</v>
      </c>
      <c r="C808" s="65" t="s">
        <v>134</v>
      </c>
      <c r="D808" s="66">
        <v>4.04</v>
      </c>
      <c r="E808" s="67">
        <v>45185</v>
      </c>
      <c r="F808" s="64">
        <f t="shared" si="375"/>
        <v>1</v>
      </c>
      <c r="G808" s="67">
        <v>45206</v>
      </c>
      <c r="H808" s="64">
        <f t="shared" si="363"/>
        <v>1</v>
      </c>
      <c r="I808" s="74">
        <v>45208</v>
      </c>
      <c r="J808" s="64">
        <f t="shared" si="368"/>
        <v>0</v>
      </c>
      <c r="K808" s="74">
        <v>45236</v>
      </c>
      <c r="L808" s="64">
        <f t="shared" si="369"/>
        <v>0</v>
      </c>
      <c r="M808" s="64">
        <f t="shared" si="370"/>
        <v>0</v>
      </c>
      <c r="N808" s="67">
        <f t="shared" si="374"/>
        <v>45237</v>
      </c>
      <c r="O808" s="64">
        <f t="shared" si="371"/>
        <v>1</v>
      </c>
      <c r="P808" s="64">
        <f t="shared" si="372"/>
        <v>0</v>
      </c>
      <c r="Q808" s="91" t="str">
        <f t="shared" si="365"/>
        <v>Selesai</v>
      </c>
      <c r="R808" s="64">
        <f t="shared" si="373"/>
        <v>0</v>
      </c>
      <c r="S808" s="67">
        <v>45297</v>
      </c>
      <c r="T808" s="67">
        <v>45314</v>
      </c>
      <c r="U808" s="64">
        <f t="shared" si="366"/>
        <v>1</v>
      </c>
      <c r="V808" s="66"/>
      <c r="W808" s="64"/>
      <c r="X808" s="93"/>
      <c r="Y808" s="94"/>
      <c r="Z808" s="91" t="str">
        <f t="shared" si="367"/>
        <v>100%</v>
      </c>
      <c r="AA808" s="67"/>
      <c r="AB808" s="473"/>
      <c r="AC808" s="478" t="s">
        <v>2711</v>
      </c>
      <c r="AD808" s="67"/>
    </row>
    <row r="809" spans="2:30">
      <c r="B809" s="64" t="s">
        <v>105</v>
      </c>
      <c r="C809" s="65" t="s">
        <v>133</v>
      </c>
      <c r="D809" s="66">
        <v>7.38</v>
      </c>
      <c r="E809" s="67">
        <v>45215</v>
      </c>
      <c r="F809" s="64">
        <f t="shared" si="375"/>
        <v>1</v>
      </c>
      <c r="G809" s="67">
        <v>45218</v>
      </c>
      <c r="H809" s="64">
        <f t="shared" si="363"/>
        <v>1</v>
      </c>
      <c r="I809" s="74">
        <v>45229</v>
      </c>
      <c r="J809" s="64">
        <f t="shared" si="368"/>
        <v>0</v>
      </c>
      <c r="K809" s="74">
        <v>45234</v>
      </c>
      <c r="L809" s="64">
        <f t="shared" si="369"/>
        <v>0</v>
      </c>
      <c r="M809" s="64">
        <f t="shared" si="370"/>
        <v>0</v>
      </c>
      <c r="N809" s="67">
        <f t="shared" si="374"/>
        <v>45235</v>
      </c>
      <c r="O809" s="64">
        <f t="shared" si="371"/>
        <v>1</v>
      </c>
      <c r="P809" s="64">
        <f t="shared" si="372"/>
        <v>0</v>
      </c>
      <c r="Q809" s="91" t="str">
        <f t="shared" si="365"/>
        <v>Selesai</v>
      </c>
      <c r="R809" s="64">
        <f t="shared" si="373"/>
        <v>0</v>
      </c>
      <c r="S809" s="67">
        <v>45295</v>
      </c>
      <c r="T809" s="67">
        <v>45321</v>
      </c>
      <c r="U809" s="64">
        <f t="shared" si="366"/>
        <v>1</v>
      </c>
      <c r="V809" s="66"/>
      <c r="W809" s="64"/>
      <c r="X809" s="93"/>
      <c r="Y809" s="94"/>
      <c r="Z809" s="91" t="str">
        <f t="shared" si="367"/>
        <v>100%</v>
      </c>
      <c r="AA809" s="67"/>
      <c r="AB809" s="473"/>
      <c r="AC809" s="478" t="s">
        <v>2711</v>
      </c>
      <c r="AD809" s="67"/>
    </row>
    <row r="810" spans="2:30">
      <c r="B810" s="64" t="s">
        <v>109</v>
      </c>
      <c r="C810" s="65" t="s">
        <v>150</v>
      </c>
      <c r="D810" s="66">
        <v>6.7</v>
      </c>
      <c r="E810" s="67">
        <v>45237</v>
      </c>
      <c r="F810" s="64">
        <f t="shared" si="375"/>
        <v>1</v>
      </c>
      <c r="G810" s="67">
        <v>45240</v>
      </c>
      <c r="H810" s="64">
        <f t="shared" si="363"/>
        <v>1</v>
      </c>
      <c r="I810" s="74">
        <v>45255</v>
      </c>
      <c r="J810" s="64">
        <f t="shared" si="368"/>
        <v>0</v>
      </c>
      <c r="K810" s="74">
        <v>45266</v>
      </c>
      <c r="L810" s="64">
        <f t="shared" si="369"/>
        <v>0</v>
      </c>
      <c r="M810" s="64">
        <f t="shared" si="370"/>
        <v>0</v>
      </c>
      <c r="N810" s="67">
        <f t="shared" si="374"/>
        <v>45267</v>
      </c>
      <c r="O810" s="64">
        <f t="shared" si="371"/>
        <v>1</v>
      </c>
      <c r="P810" s="64">
        <f t="shared" si="372"/>
        <v>0</v>
      </c>
      <c r="Q810" s="91" t="str">
        <f t="shared" si="365"/>
        <v>Selesai</v>
      </c>
      <c r="R810" s="64">
        <f t="shared" si="373"/>
        <v>0</v>
      </c>
      <c r="S810" s="67">
        <v>45303</v>
      </c>
      <c r="T810" s="67">
        <v>45314</v>
      </c>
      <c r="U810" s="64">
        <f t="shared" si="366"/>
        <v>1</v>
      </c>
      <c r="V810" s="66"/>
      <c r="W810" s="64"/>
      <c r="X810" s="93"/>
      <c r="Y810" s="94"/>
      <c r="Z810" s="91" t="str">
        <f t="shared" si="367"/>
        <v>100%</v>
      </c>
      <c r="AA810" s="67"/>
      <c r="AB810" s="473"/>
      <c r="AC810" s="478" t="s">
        <v>2711</v>
      </c>
      <c r="AD810" s="67"/>
    </row>
    <row r="811" spans="2:30">
      <c r="B811" s="64" t="s">
        <v>109</v>
      </c>
      <c r="C811" s="225" t="s">
        <v>137</v>
      </c>
      <c r="D811" s="66">
        <v>5.82</v>
      </c>
      <c r="E811" s="67">
        <v>45230</v>
      </c>
      <c r="F811" s="64">
        <f t="shared" si="375"/>
        <v>1</v>
      </c>
      <c r="G811" s="67">
        <v>45236</v>
      </c>
      <c r="H811" s="64">
        <f t="shared" si="363"/>
        <v>1</v>
      </c>
      <c r="I811" s="74">
        <v>45239</v>
      </c>
      <c r="J811" s="64">
        <f t="shared" si="368"/>
        <v>0</v>
      </c>
      <c r="K811" s="74">
        <v>45255</v>
      </c>
      <c r="L811" s="64">
        <f t="shared" si="369"/>
        <v>0</v>
      </c>
      <c r="M811" s="64">
        <f t="shared" si="370"/>
        <v>0</v>
      </c>
      <c r="N811" s="67">
        <f t="shared" si="374"/>
        <v>45256</v>
      </c>
      <c r="O811" s="64">
        <f t="shared" si="371"/>
        <v>1</v>
      </c>
      <c r="P811" s="64">
        <f t="shared" si="372"/>
        <v>0</v>
      </c>
      <c r="Q811" s="91" t="str">
        <f t="shared" si="365"/>
        <v>Selesai</v>
      </c>
      <c r="R811" s="64">
        <f t="shared" si="373"/>
        <v>0</v>
      </c>
      <c r="S811" s="67">
        <v>45313</v>
      </c>
      <c r="T811" s="67">
        <v>45322</v>
      </c>
      <c r="U811" s="64">
        <f t="shared" si="366"/>
        <v>1</v>
      </c>
      <c r="V811" s="66"/>
      <c r="W811" s="64"/>
      <c r="X811" s="93"/>
      <c r="Y811" s="94"/>
      <c r="Z811" s="91" t="str">
        <f t="shared" si="367"/>
        <v>100%</v>
      </c>
      <c r="AA811" s="67"/>
      <c r="AB811" s="473"/>
      <c r="AC811" s="478" t="s">
        <v>2711</v>
      </c>
      <c r="AD811" s="67"/>
    </row>
    <row r="812" spans="2:30">
      <c r="B812" s="64" t="s">
        <v>116</v>
      </c>
      <c r="C812" s="65" t="s">
        <v>147</v>
      </c>
      <c r="D812" s="66">
        <v>9.3000000000000007</v>
      </c>
      <c r="E812" s="67">
        <v>45203</v>
      </c>
      <c r="F812" s="64">
        <f t="shared" si="375"/>
        <v>1</v>
      </c>
      <c r="G812" s="67">
        <v>45220</v>
      </c>
      <c r="H812" s="64">
        <f t="shared" si="363"/>
        <v>1</v>
      </c>
      <c r="I812" s="74">
        <v>45227</v>
      </c>
      <c r="J812" s="64">
        <f t="shared" si="368"/>
        <v>0</v>
      </c>
      <c r="K812" s="74">
        <v>45265</v>
      </c>
      <c r="L812" s="64">
        <f t="shared" si="369"/>
        <v>0</v>
      </c>
      <c r="M812" s="64">
        <f t="shared" si="370"/>
        <v>0</v>
      </c>
      <c r="N812" s="67">
        <f t="shared" si="374"/>
        <v>45266</v>
      </c>
      <c r="O812" s="64">
        <f t="shared" si="371"/>
        <v>1</v>
      </c>
      <c r="P812" s="64">
        <f t="shared" si="372"/>
        <v>0</v>
      </c>
      <c r="Q812" s="91" t="str">
        <f t="shared" si="365"/>
        <v>Selesai</v>
      </c>
      <c r="R812" s="64">
        <f t="shared" si="373"/>
        <v>0</v>
      </c>
      <c r="S812" s="67">
        <v>45307</v>
      </c>
      <c r="T812" s="67">
        <v>45322</v>
      </c>
      <c r="U812" s="64">
        <f t="shared" si="366"/>
        <v>1</v>
      </c>
      <c r="V812" s="66"/>
      <c r="W812" s="64"/>
      <c r="X812" s="93"/>
      <c r="Y812" s="94"/>
      <c r="Z812" s="91" t="str">
        <f t="shared" si="367"/>
        <v>100%</v>
      </c>
      <c r="AA812" s="67"/>
      <c r="AB812" s="473"/>
      <c r="AC812" s="478" t="s">
        <v>2711</v>
      </c>
      <c r="AD812" s="67"/>
    </row>
    <row r="813" spans="2:30">
      <c r="B813" s="64" t="s">
        <v>113</v>
      </c>
      <c r="C813" s="65" t="s">
        <v>149</v>
      </c>
      <c r="D813" s="66">
        <v>5.37</v>
      </c>
      <c r="E813" s="67">
        <v>45210</v>
      </c>
      <c r="F813" s="64">
        <f t="shared" si="375"/>
        <v>1</v>
      </c>
      <c r="G813" s="67">
        <v>45218</v>
      </c>
      <c r="H813" s="64">
        <f t="shared" si="363"/>
        <v>1</v>
      </c>
      <c r="I813" s="74">
        <v>45223</v>
      </c>
      <c r="J813" s="64">
        <f t="shared" si="368"/>
        <v>0</v>
      </c>
      <c r="K813" s="74">
        <v>45266</v>
      </c>
      <c r="L813" s="64">
        <f t="shared" si="369"/>
        <v>0</v>
      </c>
      <c r="M813" s="64">
        <f t="shared" si="370"/>
        <v>0</v>
      </c>
      <c r="N813" s="67">
        <f t="shared" si="374"/>
        <v>45267</v>
      </c>
      <c r="O813" s="64">
        <f t="shared" si="371"/>
        <v>1</v>
      </c>
      <c r="P813" s="64">
        <f t="shared" si="372"/>
        <v>0</v>
      </c>
      <c r="Q813" s="91" t="str">
        <f t="shared" si="365"/>
        <v>Selesai</v>
      </c>
      <c r="R813" s="64">
        <f t="shared" si="373"/>
        <v>0</v>
      </c>
      <c r="S813" s="67">
        <v>45295</v>
      </c>
      <c r="T813" s="100">
        <v>45334</v>
      </c>
      <c r="U813" s="64">
        <f t="shared" si="366"/>
        <v>1</v>
      </c>
      <c r="V813" s="66"/>
      <c r="W813" s="64"/>
      <c r="X813" s="242"/>
      <c r="Y813" s="94"/>
      <c r="Z813" s="91" t="str">
        <f t="shared" si="367"/>
        <v>100%</v>
      </c>
      <c r="AA813" s="67"/>
      <c r="AB813" s="473"/>
      <c r="AC813" s="478" t="s">
        <v>2711</v>
      </c>
      <c r="AD813" s="67"/>
    </row>
    <row r="814" spans="2:30">
      <c r="B814" s="64" t="s">
        <v>107</v>
      </c>
      <c r="C814" s="65" t="s">
        <v>154</v>
      </c>
      <c r="D814" s="66">
        <v>3.17</v>
      </c>
      <c r="E814" s="67">
        <v>45247</v>
      </c>
      <c r="F814" s="64">
        <f t="shared" si="375"/>
        <v>1</v>
      </c>
      <c r="G814" s="67">
        <v>45253</v>
      </c>
      <c r="H814" s="64">
        <f t="shared" si="363"/>
        <v>1</v>
      </c>
      <c r="I814" s="74">
        <v>45263</v>
      </c>
      <c r="J814" s="64">
        <f t="shared" si="368"/>
        <v>0</v>
      </c>
      <c r="K814" s="74">
        <v>45272</v>
      </c>
      <c r="L814" s="64">
        <f t="shared" si="369"/>
        <v>0</v>
      </c>
      <c r="M814" s="64">
        <f t="shared" si="370"/>
        <v>0</v>
      </c>
      <c r="N814" s="74">
        <f t="shared" si="374"/>
        <v>45273</v>
      </c>
      <c r="O814" s="64">
        <f t="shared" si="371"/>
        <v>1</v>
      </c>
      <c r="P814" s="64">
        <f t="shared" si="372"/>
        <v>0</v>
      </c>
      <c r="Q814" s="91" t="str">
        <f t="shared" si="365"/>
        <v>Selesai</v>
      </c>
      <c r="R814" s="64">
        <f t="shared" si="373"/>
        <v>0</v>
      </c>
      <c r="S814" s="67">
        <v>45299</v>
      </c>
      <c r="T814" s="100">
        <v>45324</v>
      </c>
      <c r="U814" s="64">
        <f t="shared" si="366"/>
        <v>1</v>
      </c>
      <c r="V814" s="66"/>
      <c r="W814" s="64"/>
      <c r="X814" s="242"/>
      <c r="Y814" s="94"/>
      <c r="Z814" s="91" t="str">
        <f t="shared" si="367"/>
        <v>100%</v>
      </c>
      <c r="AA814" s="67"/>
      <c r="AB814" s="473"/>
      <c r="AC814" s="478" t="s">
        <v>2711</v>
      </c>
      <c r="AD814" s="67"/>
    </row>
    <row r="815" spans="2:30">
      <c r="B815" s="64" t="s">
        <v>116</v>
      </c>
      <c r="C815" s="65" t="s">
        <v>153</v>
      </c>
      <c r="D815" s="66">
        <v>4.12</v>
      </c>
      <c r="E815" s="67">
        <v>45240</v>
      </c>
      <c r="F815" s="64">
        <f t="shared" si="375"/>
        <v>1</v>
      </c>
      <c r="G815" s="67">
        <v>45243</v>
      </c>
      <c r="H815" s="64">
        <f t="shared" si="363"/>
        <v>1</v>
      </c>
      <c r="I815" s="74">
        <v>45260</v>
      </c>
      <c r="J815" s="64">
        <f t="shared" si="368"/>
        <v>0</v>
      </c>
      <c r="K815" s="74">
        <v>45275</v>
      </c>
      <c r="L815" s="64">
        <f t="shared" si="369"/>
        <v>0</v>
      </c>
      <c r="M815" s="64">
        <f t="shared" si="370"/>
        <v>0</v>
      </c>
      <c r="N815" s="74">
        <f t="shared" si="374"/>
        <v>45276</v>
      </c>
      <c r="O815" s="64">
        <f t="shared" si="371"/>
        <v>1</v>
      </c>
      <c r="P815" s="64">
        <f t="shared" si="372"/>
        <v>0</v>
      </c>
      <c r="Q815" s="91" t="str">
        <f t="shared" si="365"/>
        <v>Selesai</v>
      </c>
      <c r="R815" s="64">
        <f t="shared" si="373"/>
        <v>0</v>
      </c>
      <c r="S815" s="67">
        <v>45295</v>
      </c>
      <c r="T815" s="100">
        <v>45324</v>
      </c>
      <c r="U815" s="64">
        <f t="shared" si="366"/>
        <v>1</v>
      </c>
      <c r="V815" s="66"/>
      <c r="W815" s="64"/>
      <c r="X815" s="242"/>
      <c r="Y815" s="94"/>
      <c r="Z815" s="91" t="str">
        <f t="shared" si="367"/>
        <v>100%</v>
      </c>
      <c r="AA815" s="67"/>
      <c r="AB815" s="473"/>
      <c r="AC815" s="478" t="s">
        <v>2711</v>
      </c>
      <c r="AD815" s="67"/>
    </row>
    <row r="816" spans="2:30">
      <c r="B816" s="64" t="s">
        <v>105</v>
      </c>
      <c r="C816" s="65" t="s">
        <v>140</v>
      </c>
      <c r="D816" s="66">
        <v>4.53</v>
      </c>
      <c r="E816" s="67">
        <v>45224</v>
      </c>
      <c r="F816" s="64">
        <f t="shared" si="375"/>
        <v>1</v>
      </c>
      <c r="G816" s="67">
        <v>45225</v>
      </c>
      <c r="H816" s="64">
        <f t="shared" ref="H816:H879" si="376">IF(G816&gt;0,1,0)</f>
        <v>1</v>
      </c>
      <c r="I816" s="74">
        <v>45233</v>
      </c>
      <c r="J816" s="64">
        <f t="shared" si="368"/>
        <v>0</v>
      </c>
      <c r="K816" s="74">
        <v>45262</v>
      </c>
      <c r="L816" s="64">
        <f t="shared" si="369"/>
        <v>0</v>
      </c>
      <c r="M816" s="64">
        <f t="shared" si="370"/>
        <v>0</v>
      </c>
      <c r="N816" s="67">
        <f t="shared" si="374"/>
        <v>45263</v>
      </c>
      <c r="O816" s="64">
        <f t="shared" si="371"/>
        <v>1</v>
      </c>
      <c r="P816" s="64">
        <f t="shared" si="372"/>
        <v>0</v>
      </c>
      <c r="Q816" s="91" t="str">
        <f t="shared" si="365"/>
        <v>Selesai</v>
      </c>
      <c r="R816" s="64">
        <f t="shared" si="373"/>
        <v>0</v>
      </c>
      <c r="S816" s="67">
        <v>45296</v>
      </c>
      <c r="T816" s="100">
        <v>45327</v>
      </c>
      <c r="U816" s="64">
        <f t="shared" si="366"/>
        <v>1</v>
      </c>
      <c r="V816" s="66"/>
      <c r="W816" s="64"/>
      <c r="X816" s="242"/>
      <c r="Y816" s="94"/>
      <c r="Z816" s="91" t="str">
        <f t="shared" si="367"/>
        <v>100%</v>
      </c>
      <c r="AA816" s="67"/>
      <c r="AB816" s="473"/>
      <c r="AC816" s="478" t="s">
        <v>2711</v>
      </c>
      <c r="AD816" s="67"/>
    </row>
    <row r="817" spans="2:30">
      <c r="B817" s="64" t="s">
        <v>113</v>
      </c>
      <c r="C817" s="65" t="s">
        <v>148</v>
      </c>
      <c r="D817" s="66">
        <v>8.3000000000000007</v>
      </c>
      <c r="E817" s="67">
        <v>45210</v>
      </c>
      <c r="F817" s="64">
        <f t="shared" si="375"/>
        <v>1</v>
      </c>
      <c r="G817" s="67">
        <v>45218</v>
      </c>
      <c r="H817" s="64">
        <f t="shared" si="376"/>
        <v>1</v>
      </c>
      <c r="I817" s="74">
        <v>45222</v>
      </c>
      <c r="J817" s="64">
        <f t="shared" si="368"/>
        <v>0</v>
      </c>
      <c r="K817" s="74">
        <v>45266</v>
      </c>
      <c r="L817" s="64">
        <f t="shared" si="369"/>
        <v>0</v>
      </c>
      <c r="M817" s="64">
        <f t="shared" si="370"/>
        <v>0</v>
      </c>
      <c r="N817" s="67">
        <f t="shared" si="374"/>
        <v>45267</v>
      </c>
      <c r="O817" s="64">
        <f t="shared" si="371"/>
        <v>1</v>
      </c>
      <c r="P817" s="64">
        <f t="shared" si="372"/>
        <v>0</v>
      </c>
      <c r="Q817" s="91" t="str">
        <f t="shared" si="365"/>
        <v>Selesai</v>
      </c>
      <c r="R817" s="64">
        <f t="shared" si="373"/>
        <v>0</v>
      </c>
      <c r="S817" s="67">
        <v>45311</v>
      </c>
      <c r="T817" s="100">
        <v>45329</v>
      </c>
      <c r="U817" s="64">
        <f t="shared" si="366"/>
        <v>1</v>
      </c>
      <c r="V817" s="66"/>
      <c r="W817" s="64"/>
      <c r="X817" s="242"/>
      <c r="Y817" s="94"/>
      <c r="Z817" s="91" t="str">
        <f t="shared" si="367"/>
        <v>100%</v>
      </c>
      <c r="AA817" s="67"/>
      <c r="AB817" s="473"/>
      <c r="AC817" s="478" t="s">
        <v>2711</v>
      </c>
      <c r="AD817" s="67"/>
    </row>
    <row r="818" spans="2:30">
      <c r="B818" s="64" t="s">
        <v>111</v>
      </c>
      <c r="C818" s="225" t="s">
        <v>135</v>
      </c>
      <c r="D818" s="66">
        <v>6.64</v>
      </c>
      <c r="E818" s="67">
        <v>45212</v>
      </c>
      <c r="F818" s="64">
        <f t="shared" si="375"/>
        <v>1</v>
      </c>
      <c r="G818" s="67">
        <v>45213</v>
      </c>
      <c r="H818" s="64">
        <f t="shared" si="376"/>
        <v>1</v>
      </c>
      <c r="I818" s="74">
        <v>45235</v>
      </c>
      <c r="J818" s="64">
        <f t="shared" si="368"/>
        <v>0</v>
      </c>
      <c r="K818" s="74">
        <v>45238</v>
      </c>
      <c r="L818" s="64">
        <f t="shared" si="369"/>
        <v>0</v>
      </c>
      <c r="M818" s="64">
        <f t="shared" si="370"/>
        <v>0</v>
      </c>
      <c r="N818" s="67">
        <f t="shared" si="374"/>
        <v>45239</v>
      </c>
      <c r="O818" s="64">
        <f t="shared" si="371"/>
        <v>1</v>
      </c>
      <c r="P818" s="64">
        <f t="shared" si="372"/>
        <v>0</v>
      </c>
      <c r="Q818" s="91" t="str">
        <f t="shared" si="365"/>
        <v>Selesai</v>
      </c>
      <c r="R818" s="64">
        <f t="shared" si="373"/>
        <v>0</v>
      </c>
      <c r="S818" s="67">
        <v>45301</v>
      </c>
      <c r="T818" s="100">
        <v>45335</v>
      </c>
      <c r="U818" s="64">
        <f t="shared" si="366"/>
        <v>1</v>
      </c>
      <c r="V818" s="66"/>
      <c r="W818" s="64"/>
      <c r="X818" s="242"/>
      <c r="Y818" s="94"/>
      <c r="Z818" s="91" t="str">
        <f t="shared" si="367"/>
        <v>100%</v>
      </c>
      <c r="AA818" s="67"/>
      <c r="AB818" s="473"/>
      <c r="AC818" s="478" t="s">
        <v>2711</v>
      </c>
      <c r="AD818" s="67"/>
    </row>
    <row r="819" spans="2:30">
      <c r="B819" s="64" t="s">
        <v>118</v>
      </c>
      <c r="C819" s="65" t="s">
        <v>161</v>
      </c>
      <c r="D819" s="66">
        <v>9.85</v>
      </c>
      <c r="E819" s="67">
        <v>45218</v>
      </c>
      <c r="F819" s="64">
        <f t="shared" si="375"/>
        <v>1</v>
      </c>
      <c r="G819" s="67">
        <v>45275</v>
      </c>
      <c r="H819" s="64">
        <f t="shared" si="376"/>
        <v>1</v>
      </c>
      <c r="I819" s="74">
        <v>45245</v>
      </c>
      <c r="J819" s="64">
        <f t="shared" si="368"/>
        <v>0</v>
      </c>
      <c r="K819" s="74">
        <v>45251</v>
      </c>
      <c r="L819" s="64">
        <f t="shared" si="369"/>
        <v>0</v>
      </c>
      <c r="M819" s="64">
        <f t="shared" si="370"/>
        <v>0</v>
      </c>
      <c r="N819" s="74">
        <f t="shared" si="374"/>
        <v>45252</v>
      </c>
      <c r="O819" s="64">
        <f t="shared" si="371"/>
        <v>1</v>
      </c>
      <c r="P819" s="64">
        <f t="shared" si="372"/>
        <v>0</v>
      </c>
      <c r="Q819" s="91" t="str">
        <f t="shared" si="365"/>
        <v>Selesai</v>
      </c>
      <c r="R819" s="64">
        <f t="shared" si="373"/>
        <v>0</v>
      </c>
      <c r="S819" s="67">
        <v>45297</v>
      </c>
      <c r="T819" s="100">
        <v>45330</v>
      </c>
      <c r="U819" s="64">
        <f t="shared" si="366"/>
        <v>1</v>
      </c>
      <c r="V819" s="66"/>
      <c r="W819" s="64"/>
      <c r="X819" s="242"/>
      <c r="Y819" s="94"/>
      <c r="Z819" s="91" t="str">
        <f t="shared" si="367"/>
        <v>100%</v>
      </c>
      <c r="AA819" s="67"/>
      <c r="AB819" s="473"/>
      <c r="AC819" s="478" t="s">
        <v>2711</v>
      </c>
      <c r="AD819" s="67"/>
    </row>
    <row r="820" spans="2:30">
      <c r="B820" s="64" t="s">
        <v>118</v>
      </c>
      <c r="C820" s="65" t="s">
        <v>139</v>
      </c>
      <c r="D820" s="66">
        <v>12.42</v>
      </c>
      <c r="E820" s="67">
        <v>45231</v>
      </c>
      <c r="F820" s="64">
        <f t="shared" si="375"/>
        <v>1</v>
      </c>
      <c r="G820" s="67">
        <v>45249</v>
      </c>
      <c r="H820" s="64">
        <f t="shared" si="376"/>
        <v>1</v>
      </c>
      <c r="I820" s="74">
        <v>45252</v>
      </c>
      <c r="J820" s="64">
        <f t="shared" si="368"/>
        <v>0</v>
      </c>
      <c r="K820" s="74">
        <v>45259</v>
      </c>
      <c r="L820" s="64">
        <f t="shared" si="369"/>
        <v>0</v>
      </c>
      <c r="M820" s="64">
        <f t="shared" si="370"/>
        <v>0</v>
      </c>
      <c r="N820" s="67">
        <f t="shared" si="374"/>
        <v>45260</v>
      </c>
      <c r="O820" s="64">
        <f t="shared" si="371"/>
        <v>1</v>
      </c>
      <c r="P820" s="64">
        <f t="shared" si="372"/>
        <v>0</v>
      </c>
      <c r="Q820" s="91" t="str">
        <f t="shared" si="365"/>
        <v>Selesai</v>
      </c>
      <c r="R820" s="64">
        <f t="shared" si="373"/>
        <v>0</v>
      </c>
      <c r="S820" s="67">
        <v>45316</v>
      </c>
      <c r="T820" s="100">
        <v>45337</v>
      </c>
      <c r="U820" s="64">
        <f t="shared" si="366"/>
        <v>1</v>
      </c>
      <c r="V820" s="66"/>
      <c r="W820" s="64"/>
      <c r="X820" s="242"/>
      <c r="Y820" s="94"/>
      <c r="Z820" s="91" t="str">
        <f t="shared" si="367"/>
        <v>100%</v>
      </c>
      <c r="AA820" s="67"/>
      <c r="AB820" s="473"/>
      <c r="AC820" s="478" t="s">
        <v>2711</v>
      </c>
      <c r="AD820" s="67"/>
    </row>
    <row r="821" spans="2:30">
      <c r="B821" s="64" t="s">
        <v>105</v>
      </c>
      <c r="C821" s="65" t="s">
        <v>342</v>
      </c>
      <c r="D821" s="66">
        <v>5.24</v>
      </c>
      <c r="E821" s="67">
        <v>45239</v>
      </c>
      <c r="F821" s="64">
        <f t="shared" si="375"/>
        <v>1</v>
      </c>
      <c r="G821" s="67">
        <v>45287</v>
      </c>
      <c r="H821" s="64">
        <f t="shared" si="376"/>
        <v>1</v>
      </c>
      <c r="I821" s="67">
        <v>45275</v>
      </c>
      <c r="J821" s="64">
        <f t="shared" si="368"/>
        <v>0</v>
      </c>
      <c r="K821" s="67">
        <v>45266</v>
      </c>
      <c r="L821" s="64">
        <f t="shared" si="369"/>
        <v>0</v>
      </c>
      <c r="M821" s="64">
        <f t="shared" si="370"/>
        <v>0</v>
      </c>
      <c r="N821" s="67">
        <f t="shared" si="374"/>
        <v>45276</v>
      </c>
      <c r="O821" s="64">
        <f t="shared" si="371"/>
        <v>1</v>
      </c>
      <c r="P821" s="64">
        <f t="shared" si="372"/>
        <v>0</v>
      </c>
      <c r="Q821" s="91" t="str">
        <f t="shared" si="365"/>
        <v>Selesai</v>
      </c>
      <c r="R821" s="64">
        <f t="shared" si="373"/>
        <v>0</v>
      </c>
      <c r="S821" s="67">
        <v>45327</v>
      </c>
      <c r="T821" s="100">
        <v>45338</v>
      </c>
      <c r="U821" s="64">
        <f t="shared" si="366"/>
        <v>1</v>
      </c>
      <c r="V821" s="66"/>
      <c r="W821" s="64"/>
      <c r="X821" s="242"/>
      <c r="Y821" s="94"/>
      <c r="Z821" s="91" t="str">
        <f t="shared" si="367"/>
        <v>100%</v>
      </c>
      <c r="AA821" s="67"/>
      <c r="AB821" s="473"/>
      <c r="AC821" s="478" t="s">
        <v>2711</v>
      </c>
      <c r="AD821" s="67"/>
    </row>
    <row r="822" spans="2:30">
      <c r="B822" s="64" t="s">
        <v>118</v>
      </c>
      <c r="C822" s="65" t="s">
        <v>314</v>
      </c>
      <c r="D822" s="66">
        <v>9.2799999999999994</v>
      </c>
      <c r="E822" s="67">
        <v>45253</v>
      </c>
      <c r="F822" s="64">
        <f t="shared" si="375"/>
        <v>1</v>
      </c>
      <c r="G822" s="67">
        <v>45309</v>
      </c>
      <c r="H822" s="64">
        <f t="shared" si="376"/>
        <v>1</v>
      </c>
      <c r="I822" s="67">
        <f>+K822+5</f>
        <v>45277</v>
      </c>
      <c r="J822" s="64">
        <f t="shared" si="368"/>
        <v>0</v>
      </c>
      <c r="K822" s="67">
        <v>45272</v>
      </c>
      <c r="L822" s="64">
        <f t="shared" si="369"/>
        <v>0</v>
      </c>
      <c r="M822" s="64">
        <f t="shared" si="370"/>
        <v>0</v>
      </c>
      <c r="N822" s="67">
        <f t="shared" si="374"/>
        <v>45278</v>
      </c>
      <c r="O822" s="64">
        <f t="shared" si="371"/>
        <v>1</v>
      </c>
      <c r="P822" s="64">
        <f t="shared" si="372"/>
        <v>0</v>
      </c>
      <c r="Q822" s="91" t="str">
        <f t="shared" si="365"/>
        <v>Selesai</v>
      </c>
      <c r="R822" s="64">
        <f t="shared" si="373"/>
        <v>0</v>
      </c>
      <c r="S822" s="67">
        <v>45325</v>
      </c>
      <c r="T822" s="100">
        <v>45340</v>
      </c>
      <c r="U822" s="64">
        <f t="shared" si="366"/>
        <v>1</v>
      </c>
      <c r="V822" s="66"/>
      <c r="W822" s="64"/>
      <c r="X822" s="242"/>
      <c r="Y822" s="94"/>
      <c r="Z822" s="91" t="str">
        <f t="shared" si="367"/>
        <v>100%</v>
      </c>
      <c r="AA822" s="67"/>
      <c r="AB822" s="473"/>
      <c r="AC822" s="478" t="s">
        <v>2711</v>
      </c>
      <c r="AD822" s="67"/>
    </row>
    <row r="823" spans="2:30">
      <c r="B823" s="64" t="s">
        <v>113</v>
      </c>
      <c r="C823" s="65" t="s">
        <v>152</v>
      </c>
      <c r="D823" s="66">
        <v>7.74</v>
      </c>
      <c r="E823" s="67">
        <v>45209</v>
      </c>
      <c r="F823" s="64">
        <f t="shared" si="375"/>
        <v>1</v>
      </c>
      <c r="G823" s="67">
        <v>45221</v>
      </c>
      <c r="H823" s="64">
        <f t="shared" si="376"/>
        <v>1</v>
      </c>
      <c r="I823" s="74">
        <v>45226</v>
      </c>
      <c r="J823" s="64">
        <f t="shared" si="368"/>
        <v>0</v>
      </c>
      <c r="K823" s="74">
        <v>45274</v>
      </c>
      <c r="L823" s="64">
        <f t="shared" si="369"/>
        <v>0</v>
      </c>
      <c r="M823" s="64">
        <f t="shared" si="370"/>
        <v>0</v>
      </c>
      <c r="N823" s="74">
        <f t="shared" si="374"/>
        <v>45275</v>
      </c>
      <c r="O823" s="64">
        <f t="shared" si="371"/>
        <v>1</v>
      </c>
      <c r="P823" s="64">
        <f t="shared" si="372"/>
        <v>0</v>
      </c>
      <c r="Q823" s="91" t="str">
        <f t="shared" si="365"/>
        <v>Selesai</v>
      </c>
      <c r="R823" s="64">
        <f t="shared" si="373"/>
        <v>0</v>
      </c>
      <c r="S823" s="67">
        <v>45316</v>
      </c>
      <c r="T823" s="100">
        <v>45342</v>
      </c>
      <c r="U823" s="64">
        <f t="shared" si="366"/>
        <v>1</v>
      </c>
      <c r="V823" s="66"/>
      <c r="W823" s="64"/>
      <c r="X823" s="242"/>
      <c r="Y823" s="94"/>
      <c r="Z823" s="91" t="str">
        <f t="shared" si="367"/>
        <v>100%</v>
      </c>
      <c r="AA823" s="67"/>
      <c r="AB823" s="473"/>
      <c r="AC823" s="478" t="s">
        <v>2711</v>
      </c>
      <c r="AD823" s="67"/>
    </row>
    <row r="824" spans="2:30">
      <c r="B824" s="64" t="s">
        <v>105</v>
      </c>
      <c r="C824" s="65" t="s">
        <v>143</v>
      </c>
      <c r="D824" s="66">
        <v>7.5</v>
      </c>
      <c r="E824" s="67">
        <v>45239</v>
      </c>
      <c r="F824" s="64">
        <f t="shared" si="375"/>
        <v>1</v>
      </c>
      <c r="G824" s="67">
        <v>45243</v>
      </c>
      <c r="H824" s="64">
        <f t="shared" si="376"/>
        <v>1</v>
      </c>
      <c r="I824" s="74">
        <v>45253</v>
      </c>
      <c r="J824" s="64">
        <f t="shared" si="368"/>
        <v>0</v>
      </c>
      <c r="K824" s="74">
        <v>45262</v>
      </c>
      <c r="L824" s="64">
        <f t="shared" si="369"/>
        <v>0</v>
      </c>
      <c r="M824" s="64">
        <f t="shared" si="370"/>
        <v>0</v>
      </c>
      <c r="N824" s="67">
        <f t="shared" si="374"/>
        <v>45263</v>
      </c>
      <c r="O824" s="64">
        <f t="shared" si="371"/>
        <v>1</v>
      </c>
      <c r="P824" s="64">
        <f t="shared" si="372"/>
        <v>0</v>
      </c>
      <c r="Q824" s="91" t="str">
        <f t="shared" si="365"/>
        <v>Selesai</v>
      </c>
      <c r="R824" s="64">
        <f t="shared" si="373"/>
        <v>0</v>
      </c>
      <c r="S824" s="67">
        <v>45311</v>
      </c>
      <c r="T824" s="100">
        <v>45341</v>
      </c>
      <c r="U824" s="64">
        <f t="shared" si="366"/>
        <v>1</v>
      </c>
      <c r="V824" s="66"/>
      <c r="W824" s="64"/>
      <c r="X824" s="242"/>
      <c r="Y824" s="94"/>
      <c r="Z824" s="91" t="str">
        <f t="shared" si="367"/>
        <v>100%</v>
      </c>
      <c r="AA824" s="67"/>
      <c r="AB824" s="473"/>
      <c r="AC824" s="478" t="s">
        <v>2711</v>
      </c>
      <c r="AD824" s="67"/>
    </row>
    <row r="825" spans="2:30">
      <c r="B825" s="64" t="s">
        <v>105</v>
      </c>
      <c r="C825" s="65" t="s">
        <v>344</v>
      </c>
      <c r="D825" s="66">
        <v>7.27</v>
      </c>
      <c r="E825" s="67">
        <v>45239</v>
      </c>
      <c r="F825" s="64">
        <f t="shared" si="375"/>
        <v>1</v>
      </c>
      <c r="G825" s="67">
        <v>45287</v>
      </c>
      <c r="H825" s="64">
        <f t="shared" si="376"/>
        <v>1</v>
      </c>
      <c r="I825" s="67">
        <v>45277</v>
      </c>
      <c r="J825" s="64">
        <f t="shared" si="368"/>
        <v>0</v>
      </c>
      <c r="K825" s="67">
        <v>45266</v>
      </c>
      <c r="L825" s="64">
        <f t="shared" si="369"/>
        <v>0</v>
      </c>
      <c r="M825" s="64">
        <f t="shared" si="370"/>
        <v>0</v>
      </c>
      <c r="N825" s="67">
        <f t="shared" si="374"/>
        <v>45278</v>
      </c>
      <c r="O825" s="64">
        <f t="shared" si="371"/>
        <v>1</v>
      </c>
      <c r="P825" s="64">
        <f t="shared" si="372"/>
        <v>0</v>
      </c>
      <c r="Q825" s="91" t="str">
        <f t="shared" si="365"/>
        <v>Selesai</v>
      </c>
      <c r="R825" s="64">
        <f t="shared" si="373"/>
        <v>0</v>
      </c>
      <c r="S825" s="67">
        <v>45324</v>
      </c>
      <c r="T825" s="100">
        <v>45342</v>
      </c>
      <c r="U825" s="64">
        <f t="shared" si="366"/>
        <v>1</v>
      </c>
      <c r="V825" s="66"/>
      <c r="W825" s="64"/>
      <c r="X825" s="242"/>
      <c r="Y825" s="94"/>
      <c r="Z825" s="91" t="str">
        <f t="shared" si="367"/>
        <v>100%</v>
      </c>
      <c r="AA825" s="67"/>
      <c r="AB825" s="473"/>
      <c r="AC825" s="478" t="s">
        <v>2711</v>
      </c>
      <c r="AD825" s="67"/>
    </row>
    <row r="826" spans="2:30">
      <c r="B826" s="64" t="s">
        <v>116</v>
      </c>
      <c r="C826" s="65" t="s">
        <v>158</v>
      </c>
      <c r="D826" s="66">
        <v>7.88</v>
      </c>
      <c r="E826" s="67">
        <v>45243</v>
      </c>
      <c r="F826" s="64">
        <f t="shared" si="375"/>
        <v>1</v>
      </c>
      <c r="G826" s="67">
        <v>45256</v>
      </c>
      <c r="H826" s="64">
        <f t="shared" si="376"/>
        <v>1</v>
      </c>
      <c r="I826" s="74">
        <v>45269</v>
      </c>
      <c r="J826" s="64">
        <f t="shared" si="368"/>
        <v>0</v>
      </c>
      <c r="K826" s="74">
        <v>45279</v>
      </c>
      <c r="L826" s="64">
        <f t="shared" si="369"/>
        <v>0</v>
      </c>
      <c r="M826" s="64">
        <f t="shared" si="370"/>
        <v>0</v>
      </c>
      <c r="N826" s="74">
        <f t="shared" si="374"/>
        <v>45280</v>
      </c>
      <c r="O826" s="64">
        <f t="shared" si="371"/>
        <v>1</v>
      </c>
      <c r="P826" s="64">
        <f t="shared" si="372"/>
        <v>0</v>
      </c>
      <c r="Q826" s="91" t="str">
        <f t="shared" si="365"/>
        <v>Selesai</v>
      </c>
      <c r="R826" s="64">
        <f t="shared" si="373"/>
        <v>0</v>
      </c>
      <c r="S826" s="67">
        <v>45324</v>
      </c>
      <c r="T826" s="100">
        <v>45342</v>
      </c>
      <c r="U826" s="64">
        <f t="shared" si="366"/>
        <v>1</v>
      </c>
      <c r="V826" s="66"/>
      <c r="W826" s="64"/>
      <c r="X826" s="242"/>
      <c r="Y826" s="94"/>
      <c r="Z826" s="91" t="str">
        <f t="shared" si="367"/>
        <v>100%</v>
      </c>
      <c r="AA826" s="67"/>
      <c r="AB826" s="473"/>
      <c r="AC826" s="478" t="s">
        <v>2711</v>
      </c>
      <c r="AD826" s="67"/>
    </row>
    <row r="827" spans="2:30">
      <c r="B827" s="64" t="s">
        <v>107</v>
      </c>
      <c r="C827" s="65" t="s">
        <v>157</v>
      </c>
      <c r="D827" s="66">
        <v>7.02</v>
      </c>
      <c r="E827" s="67">
        <v>45248</v>
      </c>
      <c r="F827" s="64">
        <f t="shared" si="375"/>
        <v>1</v>
      </c>
      <c r="G827" s="67">
        <v>45253</v>
      </c>
      <c r="H827" s="64">
        <f t="shared" si="376"/>
        <v>1</v>
      </c>
      <c r="I827" s="74">
        <v>45265</v>
      </c>
      <c r="J827" s="64">
        <f t="shared" si="368"/>
        <v>0</v>
      </c>
      <c r="K827" s="74">
        <v>45272</v>
      </c>
      <c r="L827" s="64">
        <f t="shared" si="369"/>
        <v>0</v>
      </c>
      <c r="M827" s="64">
        <f t="shared" si="370"/>
        <v>0</v>
      </c>
      <c r="N827" s="74">
        <f t="shared" si="374"/>
        <v>45273</v>
      </c>
      <c r="O827" s="64">
        <f t="shared" si="371"/>
        <v>1</v>
      </c>
      <c r="P827" s="64">
        <f t="shared" si="372"/>
        <v>0</v>
      </c>
      <c r="Q827" s="91" t="str">
        <f t="shared" si="365"/>
        <v>Selesai</v>
      </c>
      <c r="R827" s="64">
        <f t="shared" si="373"/>
        <v>0</v>
      </c>
      <c r="S827" s="67">
        <v>45328</v>
      </c>
      <c r="T827" s="100">
        <v>45350</v>
      </c>
      <c r="U827" s="64">
        <f t="shared" si="366"/>
        <v>1</v>
      </c>
      <c r="V827" s="66"/>
      <c r="W827" s="64"/>
      <c r="X827" s="242"/>
      <c r="Y827" s="94"/>
      <c r="Z827" s="91" t="str">
        <f t="shared" si="367"/>
        <v>100%</v>
      </c>
      <c r="AA827" s="67"/>
      <c r="AB827" s="473"/>
      <c r="AC827" s="478" t="s">
        <v>2711</v>
      </c>
      <c r="AD827" s="67"/>
    </row>
    <row r="828" spans="2:30">
      <c r="B828" s="64" t="s">
        <v>113</v>
      </c>
      <c r="C828" s="65" t="s">
        <v>291</v>
      </c>
      <c r="D828" s="66">
        <v>6.8</v>
      </c>
      <c r="E828" s="67">
        <v>45287</v>
      </c>
      <c r="F828" s="64">
        <f t="shared" si="375"/>
        <v>1</v>
      </c>
      <c r="G828" s="67">
        <v>45289</v>
      </c>
      <c r="H828" s="64">
        <f t="shared" si="376"/>
        <v>1</v>
      </c>
      <c r="I828" s="67">
        <v>45301</v>
      </c>
      <c r="J828" s="64">
        <f t="shared" si="368"/>
        <v>0</v>
      </c>
      <c r="K828" s="67">
        <v>45308</v>
      </c>
      <c r="L828" s="64">
        <f t="shared" si="369"/>
        <v>0</v>
      </c>
      <c r="M828" s="64">
        <f t="shared" si="370"/>
        <v>0</v>
      </c>
      <c r="N828" s="67">
        <f t="shared" si="374"/>
        <v>45309</v>
      </c>
      <c r="O828" s="64">
        <f t="shared" si="371"/>
        <v>1</v>
      </c>
      <c r="P828" s="64">
        <f t="shared" si="372"/>
        <v>0</v>
      </c>
      <c r="Q828" s="91" t="str">
        <f t="shared" si="365"/>
        <v>Selesai</v>
      </c>
      <c r="R828" s="64">
        <f t="shared" si="373"/>
        <v>0</v>
      </c>
      <c r="S828" s="67">
        <v>45333</v>
      </c>
      <c r="T828" s="100">
        <v>45351</v>
      </c>
      <c r="U828" s="64">
        <f t="shared" si="366"/>
        <v>1</v>
      </c>
      <c r="V828" s="66"/>
      <c r="W828" s="64"/>
      <c r="X828" s="242"/>
      <c r="Y828" s="94"/>
      <c r="Z828" s="91" t="str">
        <f t="shared" si="367"/>
        <v>100%</v>
      </c>
      <c r="AA828" s="67"/>
      <c r="AB828" s="473"/>
      <c r="AC828" s="478" t="s">
        <v>2711</v>
      </c>
      <c r="AD828" s="67"/>
    </row>
    <row r="829" spans="2:30">
      <c r="B829" s="64" t="s">
        <v>105</v>
      </c>
      <c r="C829" s="65" t="s">
        <v>141</v>
      </c>
      <c r="D829" s="66">
        <v>6.53</v>
      </c>
      <c r="E829" s="67">
        <v>45224</v>
      </c>
      <c r="F829" s="64">
        <f t="shared" si="375"/>
        <v>1</v>
      </c>
      <c r="G829" s="67">
        <v>45225</v>
      </c>
      <c r="H829" s="64">
        <f t="shared" si="376"/>
        <v>1</v>
      </c>
      <c r="I829" s="74">
        <v>45233</v>
      </c>
      <c r="J829" s="64">
        <f t="shared" si="368"/>
        <v>0</v>
      </c>
      <c r="K829" s="74">
        <v>45262</v>
      </c>
      <c r="L829" s="64">
        <f t="shared" si="369"/>
        <v>0</v>
      </c>
      <c r="M829" s="64">
        <f t="shared" si="370"/>
        <v>0</v>
      </c>
      <c r="N829" s="67">
        <f t="shared" si="374"/>
        <v>45263</v>
      </c>
      <c r="O829" s="64">
        <f t="shared" si="371"/>
        <v>1</v>
      </c>
      <c r="P829" s="64">
        <f t="shared" si="372"/>
        <v>0</v>
      </c>
      <c r="Q829" s="91" t="str">
        <f t="shared" si="365"/>
        <v>Selesai</v>
      </c>
      <c r="R829" s="64">
        <f t="shared" si="373"/>
        <v>0</v>
      </c>
      <c r="S829" s="67">
        <v>45319</v>
      </c>
      <c r="T829" s="100">
        <v>45350</v>
      </c>
      <c r="U829" s="64">
        <f t="shared" si="366"/>
        <v>1</v>
      </c>
      <c r="V829" s="66"/>
      <c r="W829" s="64"/>
      <c r="X829" s="242"/>
      <c r="Y829" s="94"/>
      <c r="Z829" s="91" t="str">
        <f t="shared" si="367"/>
        <v>100%</v>
      </c>
      <c r="AA829" s="67"/>
      <c r="AB829" s="473"/>
      <c r="AC829" s="478" t="s">
        <v>2711</v>
      </c>
      <c r="AD829" s="67"/>
    </row>
    <row r="830" spans="2:30">
      <c r="B830" s="64" t="s">
        <v>107</v>
      </c>
      <c r="C830" s="65" t="s">
        <v>155</v>
      </c>
      <c r="D830" s="66">
        <v>9.7899999999999991</v>
      </c>
      <c r="E830" s="67">
        <v>45247</v>
      </c>
      <c r="F830" s="64">
        <f t="shared" ref="F830:F861" si="377">IF(E830&gt;0,1,0)</f>
        <v>1</v>
      </c>
      <c r="G830" s="67">
        <v>45253</v>
      </c>
      <c r="H830" s="64">
        <f t="shared" si="376"/>
        <v>1</v>
      </c>
      <c r="I830" s="74">
        <v>45264</v>
      </c>
      <c r="J830" s="64">
        <f t="shared" si="368"/>
        <v>0</v>
      </c>
      <c r="K830" s="74">
        <v>45272</v>
      </c>
      <c r="L830" s="64">
        <f t="shared" si="369"/>
        <v>0</v>
      </c>
      <c r="M830" s="64">
        <f t="shared" si="370"/>
        <v>0</v>
      </c>
      <c r="N830" s="74">
        <f t="shared" si="374"/>
        <v>45273</v>
      </c>
      <c r="O830" s="64">
        <f t="shared" si="371"/>
        <v>1</v>
      </c>
      <c r="P830" s="64">
        <f t="shared" si="372"/>
        <v>0</v>
      </c>
      <c r="Q830" s="91" t="str">
        <f t="shared" si="365"/>
        <v>Selesai</v>
      </c>
      <c r="R830" s="64">
        <f t="shared" si="373"/>
        <v>0</v>
      </c>
      <c r="S830" s="67">
        <v>45334</v>
      </c>
      <c r="T830" s="100">
        <v>45351</v>
      </c>
      <c r="U830" s="64">
        <f t="shared" si="366"/>
        <v>1</v>
      </c>
      <c r="V830" s="66"/>
      <c r="W830" s="64"/>
      <c r="X830" s="242"/>
      <c r="Y830" s="94"/>
      <c r="Z830" s="91" t="str">
        <f t="shared" si="367"/>
        <v>100%</v>
      </c>
      <c r="AA830" s="67"/>
      <c r="AB830" s="473"/>
      <c r="AC830" s="478" t="s">
        <v>2711</v>
      </c>
      <c r="AD830" s="67"/>
    </row>
    <row r="831" spans="2:30">
      <c r="B831" s="64" t="s">
        <v>113</v>
      </c>
      <c r="C831" s="65" t="s">
        <v>318</v>
      </c>
      <c r="D831" s="66">
        <v>10.8</v>
      </c>
      <c r="E831" s="67">
        <v>45250</v>
      </c>
      <c r="F831" s="64">
        <f t="shared" si="377"/>
        <v>1</v>
      </c>
      <c r="G831" s="67">
        <v>45310</v>
      </c>
      <c r="H831" s="64">
        <f t="shared" si="376"/>
        <v>1</v>
      </c>
      <c r="I831" s="67">
        <f>+K831+5</f>
        <v>45284</v>
      </c>
      <c r="J831" s="64">
        <f t="shared" si="368"/>
        <v>0</v>
      </c>
      <c r="K831" s="67">
        <v>45279</v>
      </c>
      <c r="L831" s="64">
        <f t="shared" si="369"/>
        <v>0</v>
      </c>
      <c r="M831" s="64">
        <f t="shared" si="370"/>
        <v>0</v>
      </c>
      <c r="N831" s="67">
        <f t="shared" si="374"/>
        <v>45285</v>
      </c>
      <c r="O831" s="64">
        <f t="shared" si="371"/>
        <v>1</v>
      </c>
      <c r="P831" s="64">
        <f t="shared" si="372"/>
        <v>0</v>
      </c>
      <c r="Q831" s="91" t="str">
        <f t="shared" si="365"/>
        <v>Selesai</v>
      </c>
      <c r="R831" s="64">
        <f t="shared" si="373"/>
        <v>0</v>
      </c>
      <c r="S831" s="67">
        <v>45329</v>
      </c>
      <c r="T831" s="100">
        <v>45351</v>
      </c>
      <c r="U831" s="64">
        <f t="shared" si="366"/>
        <v>1</v>
      </c>
      <c r="V831" s="66"/>
      <c r="W831" s="64"/>
      <c r="X831" s="242"/>
      <c r="Y831" s="94"/>
      <c r="Z831" s="91" t="str">
        <f t="shared" si="367"/>
        <v>100%</v>
      </c>
      <c r="AA831" s="67"/>
      <c r="AB831" s="473"/>
      <c r="AC831" s="478" t="s">
        <v>2711</v>
      </c>
      <c r="AD831" s="67"/>
    </row>
    <row r="832" spans="2:30">
      <c r="B832" s="64" t="s">
        <v>109</v>
      </c>
      <c r="C832" s="65" t="s">
        <v>356</v>
      </c>
      <c r="D832" s="66">
        <v>5.28</v>
      </c>
      <c r="E832" s="67">
        <v>45269</v>
      </c>
      <c r="F832" s="64">
        <f t="shared" si="377"/>
        <v>1</v>
      </c>
      <c r="G832" s="67">
        <v>45288</v>
      </c>
      <c r="H832" s="64">
        <f t="shared" si="376"/>
        <v>1</v>
      </c>
      <c r="I832" s="67">
        <v>45277</v>
      </c>
      <c r="J832" s="64">
        <f t="shared" si="368"/>
        <v>0</v>
      </c>
      <c r="K832" s="67">
        <v>45280</v>
      </c>
      <c r="L832" s="64">
        <f t="shared" si="369"/>
        <v>0</v>
      </c>
      <c r="M832" s="64">
        <f t="shared" si="370"/>
        <v>0</v>
      </c>
      <c r="N832" s="67">
        <f t="shared" si="374"/>
        <v>45281</v>
      </c>
      <c r="O832" s="64">
        <f t="shared" si="371"/>
        <v>1</v>
      </c>
      <c r="P832" s="64">
        <f t="shared" si="372"/>
        <v>0</v>
      </c>
      <c r="Q832" s="91" t="str">
        <f t="shared" si="365"/>
        <v>Selesai</v>
      </c>
      <c r="R832" s="64">
        <f t="shared" si="373"/>
        <v>0</v>
      </c>
      <c r="S832" s="67">
        <v>45335</v>
      </c>
      <c r="T832" s="100">
        <v>45351</v>
      </c>
      <c r="U832" s="64">
        <f t="shared" si="366"/>
        <v>1</v>
      </c>
      <c r="V832" s="66"/>
      <c r="W832" s="64"/>
      <c r="X832" s="242"/>
      <c r="Y832" s="94"/>
      <c r="Z832" s="91" t="str">
        <f t="shared" si="367"/>
        <v>100%</v>
      </c>
      <c r="AA832" s="67"/>
      <c r="AB832" s="473"/>
      <c r="AC832" s="478" t="s">
        <v>2711</v>
      </c>
      <c r="AD832" s="67"/>
    </row>
    <row r="833" spans="2:43">
      <c r="B833" s="64" t="s">
        <v>109</v>
      </c>
      <c r="C833" s="65" t="s">
        <v>145</v>
      </c>
      <c r="D833" s="66">
        <v>5.58</v>
      </c>
      <c r="E833" s="67">
        <v>45237</v>
      </c>
      <c r="F833" s="64">
        <f t="shared" si="377"/>
        <v>1</v>
      </c>
      <c r="G833" s="67">
        <v>45240</v>
      </c>
      <c r="H833" s="64">
        <f t="shared" si="376"/>
        <v>1</v>
      </c>
      <c r="I833" s="74">
        <v>45254</v>
      </c>
      <c r="J833" s="64">
        <f t="shared" si="368"/>
        <v>0</v>
      </c>
      <c r="K833" s="74">
        <v>45264</v>
      </c>
      <c r="L833" s="64">
        <f t="shared" si="369"/>
        <v>0</v>
      </c>
      <c r="M833" s="64">
        <f t="shared" si="370"/>
        <v>0</v>
      </c>
      <c r="N833" s="67">
        <f t="shared" si="374"/>
        <v>45265</v>
      </c>
      <c r="O833" s="64">
        <f t="shared" si="371"/>
        <v>1</v>
      </c>
      <c r="P833" s="64">
        <f t="shared" si="372"/>
        <v>0</v>
      </c>
      <c r="Q833" s="91" t="str">
        <f t="shared" si="365"/>
        <v>Selesai</v>
      </c>
      <c r="R833" s="64">
        <f t="shared" si="373"/>
        <v>0</v>
      </c>
      <c r="S833" s="67">
        <v>45339</v>
      </c>
      <c r="T833" s="100">
        <v>45351</v>
      </c>
      <c r="U833" s="64">
        <f t="shared" si="366"/>
        <v>1</v>
      </c>
      <c r="V833" s="66"/>
      <c r="W833" s="64"/>
      <c r="X833" s="93"/>
      <c r="Y833" s="94"/>
      <c r="Z833" s="91" t="str">
        <f t="shared" si="367"/>
        <v>100%</v>
      </c>
      <c r="AA833" s="67"/>
      <c r="AB833" s="473"/>
      <c r="AC833" s="478" t="s">
        <v>2711</v>
      </c>
      <c r="AD833" s="67"/>
    </row>
    <row r="834" spans="2:43">
      <c r="B834" s="64" t="s">
        <v>109</v>
      </c>
      <c r="C834" s="65" t="s">
        <v>138</v>
      </c>
      <c r="D834" s="66">
        <v>5.21</v>
      </c>
      <c r="E834" s="67">
        <v>45230</v>
      </c>
      <c r="F834" s="64">
        <f t="shared" si="377"/>
        <v>1</v>
      </c>
      <c r="G834" s="67">
        <v>45236</v>
      </c>
      <c r="H834" s="64">
        <f t="shared" si="376"/>
        <v>1</v>
      </c>
      <c r="I834" s="74">
        <v>45238</v>
      </c>
      <c r="J834" s="64">
        <f t="shared" si="368"/>
        <v>0</v>
      </c>
      <c r="K834" s="74">
        <v>45255</v>
      </c>
      <c r="L834" s="64">
        <f t="shared" si="369"/>
        <v>0</v>
      </c>
      <c r="M834" s="64">
        <f t="shared" si="370"/>
        <v>0</v>
      </c>
      <c r="N834" s="67">
        <f t="shared" si="374"/>
        <v>45256</v>
      </c>
      <c r="O834" s="64">
        <f t="shared" si="371"/>
        <v>1</v>
      </c>
      <c r="P834" s="64">
        <f t="shared" si="372"/>
        <v>0</v>
      </c>
      <c r="Q834" s="91" t="str">
        <f t="shared" si="365"/>
        <v>Selesai</v>
      </c>
      <c r="R834" s="64">
        <f t="shared" si="373"/>
        <v>0</v>
      </c>
      <c r="S834" s="67">
        <v>45314</v>
      </c>
      <c r="T834" s="100">
        <v>45351</v>
      </c>
      <c r="U834" s="64">
        <f t="shared" si="366"/>
        <v>1</v>
      </c>
      <c r="V834" s="66"/>
      <c r="W834" s="64"/>
      <c r="X834" s="93"/>
      <c r="Y834" s="94"/>
      <c r="Z834" s="91" t="str">
        <f t="shared" si="367"/>
        <v>100%</v>
      </c>
      <c r="AA834" s="67"/>
      <c r="AB834" s="473"/>
      <c r="AC834" s="478" t="s">
        <v>2711</v>
      </c>
      <c r="AD834" s="67"/>
    </row>
    <row r="835" spans="2:43">
      <c r="B835" s="64" t="s">
        <v>111</v>
      </c>
      <c r="C835" s="65" t="s">
        <v>129</v>
      </c>
      <c r="D835" s="66">
        <v>5.77</v>
      </c>
      <c r="E835" s="67">
        <v>45212</v>
      </c>
      <c r="F835" s="64">
        <f t="shared" si="377"/>
        <v>1</v>
      </c>
      <c r="G835" s="67">
        <v>45213</v>
      </c>
      <c r="H835" s="64">
        <f t="shared" si="376"/>
        <v>1</v>
      </c>
      <c r="I835" s="74">
        <v>45235</v>
      </c>
      <c r="J835" s="64">
        <f t="shared" si="368"/>
        <v>0</v>
      </c>
      <c r="K835" s="74">
        <v>45238</v>
      </c>
      <c r="L835" s="64">
        <f t="shared" si="369"/>
        <v>0</v>
      </c>
      <c r="M835" s="64">
        <f t="shared" si="370"/>
        <v>0</v>
      </c>
      <c r="N835" s="67">
        <f t="shared" si="374"/>
        <v>45239</v>
      </c>
      <c r="O835" s="64">
        <f t="shared" si="371"/>
        <v>1</v>
      </c>
      <c r="P835" s="64">
        <f t="shared" si="372"/>
        <v>0</v>
      </c>
      <c r="Q835" s="91" t="str">
        <f t="shared" si="365"/>
        <v>Selesai</v>
      </c>
      <c r="R835" s="64">
        <f t="shared" si="373"/>
        <v>0</v>
      </c>
      <c r="S835" s="67">
        <v>45272</v>
      </c>
      <c r="T835" s="100">
        <v>45351</v>
      </c>
      <c r="U835" s="64">
        <f t="shared" si="366"/>
        <v>1</v>
      </c>
      <c r="V835" s="66"/>
      <c r="W835" s="64"/>
      <c r="X835" s="93"/>
      <c r="Y835" s="94"/>
      <c r="Z835" s="91" t="str">
        <f t="shared" si="367"/>
        <v>100%</v>
      </c>
      <c r="AA835" s="67"/>
      <c r="AB835" s="473"/>
      <c r="AC835" s="478" t="s">
        <v>2711</v>
      </c>
      <c r="AD835" s="67"/>
    </row>
    <row r="836" spans="2:43">
      <c r="B836" s="64" t="s">
        <v>111</v>
      </c>
      <c r="C836" s="65" t="s">
        <v>160</v>
      </c>
      <c r="D836" s="66">
        <v>10.210000000000001</v>
      </c>
      <c r="E836" s="67">
        <v>45241</v>
      </c>
      <c r="F836" s="64">
        <f t="shared" si="377"/>
        <v>1</v>
      </c>
      <c r="G836" s="67">
        <v>45244</v>
      </c>
      <c r="H836" s="64">
        <f t="shared" si="376"/>
        <v>1</v>
      </c>
      <c r="I836" s="74">
        <v>45281</v>
      </c>
      <c r="J836" s="64">
        <f t="shared" si="368"/>
        <v>0</v>
      </c>
      <c r="K836" s="74">
        <v>45281</v>
      </c>
      <c r="L836" s="64">
        <f t="shared" si="369"/>
        <v>0</v>
      </c>
      <c r="M836" s="64">
        <f t="shared" si="370"/>
        <v>0</v>
      </c>
      <c r="N836" s="74">
        <f t="shared" si="374"/>
        <v>45282</v>
      </c>
      <c r="O836" s="64">
        <f t="shared" si="371"/>
        <v>1</v>
      </c>
      <c r="P836" s="64">
        <f t="shared" si="372"/>
        <v>0</v>
      </c>
      <c r="Q836" s="91" t="str">
        <f t="shared" si="365"/>
        <v>Selesai</v>
      </c>
      <c r="R836" s="64">
        <f t="shared" si="373"/>
        <v>0</v>
      </c>
      <c r="S836" s="67">
        <v>45314</v>
      </c>
      <c r="T836" s="100">
        <v>45351</v>
      </c>
      <c r="U836" s="64">
        <f t="shared" si="366"/>
        <v>1</v>
      </c>
      <c r="V836" s="64"/>
      <c r="W836" s="64"/>
      <c r="X836" s="242"/>
      <c r="Y836" s="94"/>
      <c r="Z836" s="91" t="str">
        <f t="shared" si="367"/>
        <v>100%</v>
      </c>
      <c r="AA836" s="67"/>
      <c r="AB836" s="473"/>
      <c r="AC836" s="478" t="s">
        <v>2711</v>
      </c>
      <c r="AD836" s="67"/>
    </row>
    <row r="837" spans="2:43">
      <c r="B837" s="64" t="s">
        <v>111</v>
      </c>
      <c r="C837" s="65" t="s">
        <v>144</v>
      </c>
      <c r="D837" s="66">
        <v>6.64</v>
      </c>
      <c r="E837" s="67">
        <v>45241</v>
      </c>
      <c r="F837" s="64">
        <f t="shared" si="377"/>
        <v>1</v>
      </c>
      <c r="G837" s="67">
        <v>45244</v>
      </c>
      <c r="H837" s="64">
        <f t="shared" si="376"/>
        <v>1</v>
      </c>
      <c r="I837" s="74">
        <v>45256</v>
      </c>
      <c r="J837" s="64">
        <f t="shared" si="368"/>
        <v>0</v>
      </c>
      <c r="K837" s="74">
        <v>45262</v>
      </c>
      <c r="L837" s="64">
        <f t="shared" si="369"/>
        <v>0</v>
      </c>
      <c r="M837" s="64">
        <f t="shared" si="370"/>
        <v>0</v>
      </c>
      <c r="N837" s="67">
        <f t="shared" si="374"/>
        <v>45263</v>
      </c>
      <c r="O837" s="64">
        <f t="shared" si="371"/>
        <v>1</v>
      </c>
      <c r="P837" s="64">
        <f t="shared" si="372"/>
        <v>0</v>
      </c>
      <c r="Q837" s="91" t="str">
        <f t="shared" si="365"/>
        <v>Selesai</v>
      </c>
      <c r="R837" s="64">
        <f t="shared" si="373"/>
        <v>0</v>
      </c>
      <c r="S837" s="67">
        <v>45307</v>
      </c>
      <c r="T837" s="100">
        <v>45359</v>
      </c>
      <c r="U837" s="64">
        <f t="shared" si="366"/>
        <v>1</v>
      </c>
      <c r="V837" s="243"/>
      <c r="W837" s="64"/>
      <c r="X837" s="242"/>
      <c r="Y837" s="94"/>
      <c r="Z837" s="91" t="str">
        <f t="shared" si="367"/>
        <v>100%</v>
      </c>
      <c r="AA837" s="67"/>
      <c r="AB837" s="473"/>
      <c r="AC837" s="478" t="s">
        <v>2711</v>
      </c>
      <c r="AD837" s="67"/>
    </row>
    <row r="838" spans="2:43">
      <c r="B838" s="64" t="s">
        <v>118</v>
      </c>
      <c r="C838" s="65" t="s">
        <v>346</v>
      </c>
      <c r="D838" s="66">
        <v>5.61</v>
      </c>
      <c r="E838" s="67">
        <v>45271</v>
      </c>
      <c r="F838" s="64">
        <f t="shared" si="377"/>
        <v>1</v>
      </c>
      <c r="G838" s="67">
        <v>45301</v>
      </c>
      <c r="H838" s="64">
        <f t="shared" si="376"/>
        <v>1</v>
      </c>
      <c r="I838" s="67">
        <v>45316</v>
      </c>
      <c r="J838" s="64">
        <f t="shared" si="368"/>
        <v>0</v>
      </c>
      <c r="K838" s="67">
        <v>45283</v>
      </c>
      <c r="L838" s="64">
        <f t="shared" si="369"/>
        <v>0</v>
      </c>
      <c r="M838" s="64">
        <f t="shared" si="370"/>
        <v>0</v>
      </c>
      <c r="N838" s="67">
        <f t="shared" si="374"/>
        <v>45317</v>
      </c>
      <c r="O838" s="64">
        <f t="shared" si="371"/>
        <v>1</v>
      </c>
      <c r="P838" s="64">
        <f t="shared" si="372"/>
        <v>0</v>
      </c>
      <c r="Q838" s="91" t="str">
        <f t="shared" si="365"/>
        <v>Selesai</v>
      </c>
      <c r="R838" s="64">
        <f t="shared" si="373"/>
        <v>0</v>
      </c>
      <c r="S838" s="67">
        <v>45334</v>
      </c>
      <c r="T838" s="100">
        <v>45359</v>
      </c>
      <c r="U838" s="64">
        <f t="shared" si="366"/>
        <v>1</v>
      </c>
      <c r="V838" s="243"/>
      <c r="W838" s="64"/>
      <c r="X838" s="242"/>
      <c r="Y838" s="94"/>
      <c r="Z838" s="91" t="str">
        <f t="shared" si="367"/>
        <v>100%</v>
      </c>
      <c r="AA838" s="67"/>
      <c r="AB838" s="473"/>
      <c r="AC838" s="478" t="s">
        <v>2711</v>
      </c>
      <c r="AD838" s="67"/>
    </row>
    <row r="839" spans="2:43">
      <c r="B839" s="64" t="s">
        <v>107</v>
      </c>
      <c r="C839" s="65" t="s">
        <v>325</v>
      </c>
      <c r="D839" s="66">
        <v>5.71</v>
      </c>
      <c r="E839" s="67">
        <v>45316</v>
      </c>
      <c r="F839" s="64">
        <f t="shared" si="377"/>
        <v>1</v>
      </c>
      <c r="G839" s="67">
        <v>45317</v>
      </c>
      <c r="H839" s="64">
        <f t="shared" si="376"/>
        <v>1</v>
      </c>
      <c r="I839" s="67">
        <v>45334</v>
      </c>
      <c r="J839" s="64">
        <f t="shared" si="368"/>
        <v>0</v>
      </c>
      <c r="K839" s="67">
        <v>45335</v>
      </c>
      <c r="L839" s="64">
        <f t="shared" si="369"/>
        <v>0</v>
      </c>
      <c r="M839" s="64">
        <f t="shared" si="370"/>
        <v>0</v>
      </c>
      <c r="N839" s="67">
        <f t="shared" si="374"/>
        <v>45336</v>
      </c>
      <c r="O839" s="64">
        <f t="shared" si="371"/>
        <v>1</v>
      </c>
      <c r="P839" s="64">
        <f t="shared" si="372"/>
        <v>0</v>
      </c>
      <c r="Q839" s="91" t="str">
        <f t="shared" si="365"/>
        <v>Selesai</v>
      </c>
      <c r="R839" s="64">
        <f t="shared" si="373"/>
        <v>0</v>
      </c>
      <c r="S839" s="67">
        <v>45339</v>
      </c>
      <c r="T839" s="100">
        <v>45361</v>
      </c>
      <c r="U839" s="64">
        <f t="shared" si="366"/>
        <v>1</v>
      </c>
      <c r="V839" s="243"/>
      <c r="W839" s="64"/>
      <c r="X839" s="242"/>
      <c r="Y839" s="94"/>
      <c r="Z839" s="91" t="str">
        <f t="shared" si="367"/>
        <v>100%</v>
      </c>
      <c r="AA839" s="67"/>
      <c r="AB839" s="473"/>
      <c r="AC839" s="478" t="s">
        <v>2711</v>
      </c>
      <c r="AD839" s="67"/>
    </row>
    <row r="840" spans="2:43">
      <c r="B840" s="64" t="s">
        <v>105</v>
      </c>
      <c r="C840" s="65" t="s">
        <v>330</v>
      </c>
      <c r="D840" s="66">
        <v>4.4800000000000004</v>
      </c>
      <c r="E840" s="67">
        <v>45315</v>
      </c>
      <c r="F840" s="64">
        <f t="shared" si="377"/>
        <v>1</v>
      </c>
      <c r="G840" s="67">
        <v>45320</v>
      </c>
      <c r="H840" s="64">
        <f t="shared" si="376"/>
        <v>1</v>
      </c>
      <c r="I840" s="67">
        <v>45328</v>
      </c>
      <c r="J840" s="64">
        <f t="shared" si="368"/>
        <v>0</v>
      </c>
      <c r="K840" s="67">
        <v>45337</v>
      </c>
      <c r="L840" s="64">
        <f t="shared" si="369"/>
        <v>0</v>
      </c>
      <c r="M840" s="64">
        <f t="shared" si="370"/>
        <v>0</v>
      </c>
      <c r="N840" s="67">
        <f t="shared" si="374"/>
        <v>45338</v>
      </c>
      <c r="O840" s="64">
        <f t="shared" si="371"/>
        <v>1</v>
      </c>
      <c r="P840" s="64">
        <f t="shared" si="372"/>
        <v>0</v>
      </c>
      <c r="Q840" s="91" t="str">
        <f t="shared" si="365"/>
        <v>Selesai</v>
      </c>
      <c r="R840" s="64">
        <f t="shared" si="373"/>
        <v>0</v>
      </c>
      <c r="S840" s="67">
        <v>45346</v>
      </c>
      <c r="T840" s="100">
        <v>45360</v>
      </c>
      <c r="U840" s="64">
        <f t="shared" si="366"/>
        <v>1</v>
      </c>
      <c r="V840" s="243"/>
      <c r="W840" s="64"/>
      <c r="X840" s="242"/>
      <c r="Y840" s="94"/>
      <c r="Z840" s="91" t="str">
        <f t="shared" si="367"/>
        <v>100%</v>
      </c>
      <c r="AA840" s="67"/>
      <c r="AB840" s="473"/>
      <c r="AC840" s="478" t="s">
        <v>2711</v>
      </c>
      <c r="AD840" s="67"/>
    </row>
    <row r="841" spans="2:43">
      <c r="B841" s="64" t="s">
        <v>118</v>
      </c>
      <c r="C841" s="65" t="s">
        <v>324</v>
      </c>
      <c r="D841" s="66">
        <v>10.26</v>
      </c>
      <c r="E841" s="67">
        <v>45255</v>
      </c>
      <c r="F841" s="64">
        <f t="shared" si="377"/>
        <v>1</v>
      </c>
      <c r="G841" s="67">
        <v>45301</v>
      </c>
      <c r="H841" s="64">
        <f t="shared" si="376"/>
        <v>1</v>
      </c>
      <c r="I841" s="67">
        <v>45306</v>
      </c>
      <c r="J841" s="64">
        <f t="shared" si="368"/>
        <v>0</v>
      </c>
      <c r="K841" s="67">
        <v>45289</v>
      </c>
      <c r="L841" s="64">
        <f t="shared" si="369"/>
        <v>0</v>
      </c>
      <c r="M841" s="64">
        <f t="shared" si="370"/>
        <v>0</v>
      </c>
      <c r="N841" s="67">
        <f t="shared" si="374"/>
        <v>45307</v>
      </c>
      <c r="O841" s="64">
        <f t="shared" si="371"/>
        <v>1</v>
      </c>
      <c r="P841" s="64">
        <f t="shared" si="372"/>
        <v>0</v>
      </c>
      <c r="Q841" s="91" t="str">
        <f t="shared" ref="Q841:Q904" si="378">IF(T841&gt;0,"Selesai","Proses")</f>
        <v>Selesai</v>
      </c>
      <c r="R841" s="64">
        <f t="shared" si="373"/>
        <v>0</v>
      </c>
      <c r="S841" s="67">
        <v>45331</v>
      </c>
      <c r="T841" s="100">
        <v>45361</v>
      </c>
      <c r="U841" s="64">
        <f t="shared" ref="U841:U904" si="379">IF(T841&gt;0,1,0)</f>
        <v>1</v>
      </c>
      <c r="V841" s="243"/>
      <c r="W841" s="64"/>
      <c r="X841" s="242"/>
      <c r="Y841" s="94"/>
      <c r="Z841" s="91" t="str">
        <f t="shared" si="367"/>
        <v>100%</v>
      </c>
      <c r="AA841" s="67"/>
      <c r="AB841" s="473"/>
      <c r="AC841" s="478" t="s">
        <v>2711</v>
      </c>
      <c r="AD841" s="67"/>
    </row>
    <row r="842" spans="2:43">
      <c r="B842" s="64" t="s">
        <v>109</v>
      </c>
      <c r="C842" s="65" t="s">
        <v>146</v>
      </c>
      <c r="D842" s="66">
        <v>5.59</v>
      </c>
      <c r="E842" s="67">
        <v>45237</v>
      </c>
      <c r="F842" s="64">
        <f t="shared" si="377"/>
        <v>1</v>
      </c>
      <c r="G842" s="67">
        <v>45240</v>
      </c>
      <c r="H842" s="64">
        <f t="shared" si="376"/>
        <v>1</v>
      </c>
      <c r="I842" s="74">
        <v>45255</v>
      </c>
      <c r="J842" s="64">
        <f t="shared" si="368"/>
        <v>0</v>
      </c>
      <c r="K842" s="74">
        <v>45264</v>
      </c>
      <c r="L842" s="64">
        <f t="shared" si="369"/>
        <v>0</v>
      </c>
      <c r="M842" s="64">
        <f t="shared" si="370"/>
        <v>0</v>
      </c>
      <c r="N842" s="67">
        <f t="shared" si="374"/>
        <v>45265</v>
      </c>
      <c r="O842" s="64">
        <f t="shared" si="371"/>
        <v>1</v>
      </c>
      <c r="P842" s="64">
        <f t="shared" si="372"/>
        <v>0</v>
      </c>
      <c r="Q842" s="91" t="str">
        <f t="shared" si="378"/>
        <v>Selesai</v>
      </c>
      <c r="R842" s="64">
        <f t="shared" si="373"/>
        <v>0</v>
      </c>
      <c r="S842" s="67">
        <v>45344</v>
      </c>
      <c r="T842" s="100">
        <v>45363</v>
      </c>
      <c r="U842" s="64">
        <f t="shared" si="379"/>
        <v>1</v>
      </c>
      <c r="V842" s="243"/>
      <c r="W842" s="64"/>
      <c r="X842" s="242"/>
      <c r="Y842" s="94"/>
      <c r="Z842" s="91" t="str">
        <f t="shared" ref="Z842:Z905" si="380">IF(T842="","","100%")</f>
        <v>100%</v>
      </c>
      <c r="AA842" s="67"/>
      <c r="AB842" s="473"/>
      <c r="AC842" s="478" t="s">
        <v>2711</v>
      </c>
      <c r="AD842" s="67"/>
    </row>
    <row r="843" spans="2:43">
      <c r="B843" s="64" t="s">
        <v>111</v>
      </c>
      <c r="C843" s="65" t="s">
        <v>371</v>
      </c>
      <c r="D843" s="66">
        <v>6.32</v>
      </c>
      <c r="E843" s="67">
        <v>45315</v>
      </c>
      <c r="F843" s="64">
        <f t="shared" si="377"/>
        <v>1</v>
      </c>
      <c r="G843" s="67">
        <v>45333</v>
      </c>
      <c r="H843" s="64">
        <f t="shared" si="376"/>
        <v>1</v>
      </c>
      <c r="I843" s="67">
        <v>45331</v>
      </c>
      <c r="J843" s="64">
        <f t="shared" si="368"/>
        <v>0</v>
      </c>
      <c r="K843" s="67">
        <v>45332</v>
      </c>
      <c r="L843" s="64">
        <f t="shared" si="369"/>
        <v>0</v>
      </c>
      <c r="M843" s="64">
        <f t="shared" si="370"/>
        <v>0</v>
      </c>
      <c r="N843" s="67">
        <f t="shared" si="374"/>
        <v>45333</v>
      </c>
      <c r="O843" s="64">
        <f t="shared" si="371"/>
        <v>1</v>
      </c>
      <c r="P843" s="64">
        <f t="shared" si="372"/>
        <v>0</v>
      </c>
      <c r="Q843" s="91" t="str">
        <f t="shared" si="378"/>
        <v>Selesai</v>
      </c>
      <c r="R843" s="64">
        <f t="shared" si="373"/>
        <v>0</v>
      </c>
      <c r="S843" s="67">
        <v>45339</v>
      </c>
      <c r="T843" s="100">
        <v>45363</v>
      </c>
      <c r="U843" s="64">
        <f t="shared" si="379"/>
        <v>1</v>
      </c>
      <c r="V843" s="243"/>
      <c r="W843" s="64"/>
      <c r="X843" s="242"/>
      <c r="Y843" s="94"/>
      <c r="Z843" s="91" t="str">
        <f t="shared" si="380"/>
        <v>100%</v>
      </c>
      <c r="AA843" s="67"/>
      <c r="AB843" s="473"/>
      <c r="AC843" s="478" t="s">
        <v>2711</v>
      </c>
      <c r="AD843" s="67"/>
    </row>
    <row r="844" spans="2:43">
      <c r="B844" s="64" t="s">
        <v>116</v>
      </c>
      <c r="C844" s="65" t="s">
        <v>136</v>
      </c>
      <c r="D844" s="66">
        <v>10.1</v>
      </c>
      <c r="E844" s="67">
        <v>45202</v>
      </c>
      <c r="F844" s="64">
        <f t="shared" si="377"/>
        <v>1</v>
      </c>
      <c r="G844" s="67">
        <v>45216</v>
      </c>
      <c r="H844" s="64">
        <f t="shared" si="376"/>
        <v>1</v>
      </c>
      <c r="I844" s="74">
        <v>45248</v>
      </c>
      <c r="J844" s="64">
        <f t="shared" si="368"/>
        <v>0</v>
      </c>
      <c r="K844" s="74">
        <v>45247</v>
      </c>
      <c r="L844" s="64">
        <f t="shared" si="369"/>
        <v>0</v>
      </c>
      <c r="M844" s="64">
        <f t="shared" si="370"/>
        <v>0</v>
      </c>
      <c r="N844" s="67">
        <f t="shared" si="374"/>
        <v>45249</v>
      </c>
      <c r="O844" s="64">
        <f t="shared" si="371"/>
        <v>1</v>
      </c>
      <c r="P844" s="64">
        <f t="shared" si="372"/>
        <v>0</v>
      </c>
      <c r="Q844" s="91" t="str">
        <f t="shared" si="378"/>
        <v>Selesai</v>
      </c>
      <c r="R844" s="64">
        <f t="shared" si="373"/>
        <v>0</v>
      </c>
      <c r="S844" s="67">
        <v>45323</v>
      </c>
      <c r="T844" s="100">
        <v>45366</v>
      </c>
      <c r="U844" s="64">
        <f t="shared" si="379"/>
        <v>1</v>
      </c>
      <c r="V844" s="243"/>
      <c r="W844" s="64"/>
      <c r="X844" s="242"/>
      <c r="Y844" s="94"/>
      <c r="Z844" s="91" t="str">
        <f t="shared" si="380"/>
        <v>100%</v>
      </c>
      <c r="AA844" s="67"/>
      <c r="AB844" s="473"/>
      <c r="AC844" s="478" t="s">
        <v>2711</v>
      </c>
      <c r="AD844" s="67"/>
    </row>
    <row r="845" spans="2:43">
      <c r="B845" s="64" t="s">
        <v>111</v>
      </c>
      <c r="C845" s="65" t="s">
        <v>353</v>
      </c>
      <c r="D845" s="66">
        <v>6.25</v>
      </c>
      <c r="E845" s="67">
        <v>45271</v>
      </c>
      <c r="F845" s="64">
        <f t="shared" si="377"/>
        <v>1</v>
      </c>
      <c r="G845" s="67">
        <v>45309</v>
      </c>
      <c r="H845" s="64">
        <f t="shared" si="376"/>
        <v>1</v>
      </c>
      <c r="I845" s="67">
        <f>+K845+5</f>
        <v>45299</v>
      </c>
      <c r="J845" s="64">
        <f t="shared" si="368"/>
        <v>0</v>
      </c>
      <c r="K845" s="67">
        <v>45294</v>
      </c>
      <c r="L845" s="64">
        <f t="shared" si="369"/>
        <v>0</v>
      </c>
      <c r="M845" s="64">
        <f t="shared" si="370"/>
        <v>0</v>
      </c>
      <c r="N845" s="67">
        <f t="shared" si="374"/>
        <v>45300</v>
      </c>
      <c r="O845" s="64">
        <f t="shared" si="371"/>
        <v>1</v>
      </c>
      <c r="P845" s="64">
        <f t="shared" si="372"/>
        <v>0</v>
      </c>
      <c r="Q845" s="91" t="str">
        <f t="shared" si="378"/>
        <v>Selesai</v>
      </c>
      <c r="R845" s="64">
        <f t="shared" si="373"/>
        <v>0</v>
      </c>
      <c r="S845" s="67">
        <v>45345</v>
      </c>
      <c r="T845" s="100">
        <v>45366</v>
      </c>
      <c r="U845" s="64">
        <f t="shared" si="379"/>
        <v>1</v>
      </c>
      <c r="V845" s="243"/>
      <c r="W845" s="64"/>
      <c r="X845" s="242"/>
      <c r="Y845" s="94"/>
      <c r="Z845" s="91" t="str">
        <f t="shared" si="380"/>
        <v>100%</v>
      </c>
      <c r="AA845" s="67"/>
      <c r="AB845" s="473"/>
      <c r="AC845" s="478" t="s">
        <v>2711</v>
      </c>
      <c r="AD845" s="67"/>
      <c r="AQ845" s="229"/>
    </row>
    <row r="846" spans="2:43">
      <c r="B846" s="64" t="s">
        <v>116</v>
      </c>
      <c r="C846" s="65" t="s">
        <v>156</v>
      </c>
      <c r="D846" s="66">
        <v>6.23</v>
      </c>
      <c r="E846" s="67">
        <v>45240</v>
      </c>
      <c r="F846" s="64">
        <f t="shared" si="377"/>
        <v>1</v>
      </c>
      <c r="G846" s="67">
        <v>45243</v>
      </c>
      <c r="H846" s="64">
        <f t="shared" si="376"/>
        <v>1</v>
      </c>
      <c r="I846" s="74">
        <v>45265</v>
      </c>
      <c r="J846" s="64">
        <f t="shared" si="368"/>
        <v>0</v>
      </c>
      <c r="K846" s="74">
        <v>45275</v>
      </c>
      <c r="L846" s="64">
        <f t="shared" si="369"/>
        <v>0</v>
      </c>
      <c r="M846" s="64">
        <f t="shared" si="370"/>
        <v>0</v>
      </c>
      <c r="N846" s="74">
        <f t="shared" si="374"/>
        <v>45276</v>
      </c>
      <c r="O846" s="64">
        <f t="shared" si="371"/>
        <v>1</v>
      </c>
      <c r="P846" s="64">
        <f t="shared" si="372"/>
        <v>0</v>
      </c>
      <c r="Q846" s="91" t="str">
        <f t="shared" si="378"/>
        <v>Selesai</v>
      </c>
      <c r="R846" s="64">
        <f t="shared" si="373"/>
        <v>0</v>
      </c>
      <c r="S846" s="67">
        <v>45332</v>
      </c>
      <c r="T846" s="100">
        <v>45364</v>
      </c>
      <c r="U846" s="64">
        <f t="shared" si="379"/>
        <v>1</v>
      </c>
      <c r="V846" s="243"/>
      <c r="W846" s="64"/>
      <c r="X846" s="242"/>
      <c r="Y846" s="94"/>
      <c r="Z846" s="91" t="str">
        <f t="shared" si="380"/>
        <v>100%</v>
      </c>
      <c r="AA846" s="67"/>
      <c r="AB846" s="473"/>
      <c r="AC846" s="478" t="s">
        <v>2711</v>
      </c>
      <c r="AD846" s="67"/>
      <c r="AQ846" s="229"/>
    </row>
    <row r="847" spans="2:43">
      <c r="B847" s="64" t="s">
        <v>107</v>
      </c>
      <c r="C847" s="65" t="s">
        <v>387</v>
      </c>
      <c r="D847" s="66">
        <v>3.38</v>
      </c>
      <c r="E847" s="67">
        <v>45316</v>
      </c>
      <c r="F847" s="64">
        <f t="shared" si="377"/>
        <v>1</v>
      </c>
      <c r="G847" s="67">
        <v>45321</v>
      </c>
      <c r="H847" s="64">
        <f t="shared" si="376"/>
        <v>1</v>
      </c>
      <c r="I847" s="67">
        <f>+K847+5</f>
        <v>45333</v>
      </c>
      <c r="J847" s="64">
        <f t="shared" si="368"/>
        <v>0</v>
      </c>
      <c r="K847" s="67">
        <v>45328</v>
      </c>
      <c r="L847" s="64">
        <f t="shared" si="369"/>
        <v>0</v>
      </c>
      <c r="M847" s="64">
        <f t="shared" si="370"/>
        <v>0</v>
      </c>
      <c r="N847" s="67">
        <f t="shared" si="374"/>
        <v>45334</v>
      </c>
      <c r="O847" s="64">
        <f t="shared" si="371"/>
        <v>1</v>
      </c>
      <c r="P847" s="64">
        <f t="shared" si="372"/>
        <v>0</v>
      </c>
      <c r="Q847" s="91" t="str">
        <f t="shared" si="378"/>
        <v>Selesai</v>
      </c>
      <c r="R847" s="64">
        <f t="shared" si="373"/>
        <v>0</v>
      </c>
      <c r="S847" s="67">
        <v>45357</v>
      </c>
      <c r="T847" s="100">
        <v>45370</v>
      </c>
      <c r="U847" s="64">
        <f t="shared" si="379"/>
        <v>1</v>
      </c>
      <c r="V847" s="243"/>
      <c r="W847" s="64"/>
      <c r="X847" s="242"/>
      <c r="Y847" s="94"/>
      <c r="Z847" s="91" t="str">
        <f t="shared" si="380"/>
        <v>100%</v>
      </c>
      <c r="AA847" s="67"/>
      <c r="AB847" s="473"/>
      <c r="AC847" s="478" t="s">
        <v>2711</v>
      </c>
      <c r="AD847" s="67"/>
      <c r="AQ847" s="229"/>
    </row>
    <row r="848" spans="2:43">
      <c r="B848" s="64" t="s">
        <v>113</v>
      </c>
      <c r="C848" s="65" t="s">
        <v>328</v>
      </c>
      <c r="D848" s="66">
        <v>8.75</v>
      </c>
      <c r="E848" s="67">
        <v>45317</v>
      </c>
      <c r="F848" s="64">
        <f t="shared" si="377"/>
        <v>1</v>
      </c>
      <c r="G848" s="67">
        <v>45319</v>
      </c>
      <c r="H848" s="64">
        <f t="shared" si="376"/>
        <v>1</v>
      </c>
      <c r="I848" s="67">
        <v>45329</v>
      </c>
      <c r="J848" s="64">
        <f t="shared" ref="J848:J911" si="381">IF(I848&gt;0,0,1)</f>
        <v>0</v>
      </c>
      <c r="K848" s="67">
        <v>45335</v>
      </c>
      <c r="L848" s="64">
        <f t="shared" ref="L848:L911" si="382">IF(K848&gt;0,0,1)</f>
        <v>0</v>
      </c>
      <c r="M848" s="64">
        <f t="shared" ref="M848:M911" si="383">IF(AND(J848&gt;0,L848&gt;0),1,0)</f>
        <v>0</v>
      </c>
      <c r="N848" s="67">
        <f t="shared" si="374"/>
        <v>45336</v>
      </c>
      <c r="O848" s="64">
        <f t="shared" ref="O848:O911" si="384">IF(N848&gt;0,1,0)</f>
        <v>1</v>
      </c>
      <c r="P848" s="64">
        <f t="shared" ref="P848:P911" si="385">IF(O848&gt;0,0,1)</f>
        <v>0</v>
      </c>
      <c r="Q848" s="91" t="str">
        <f t="shared" si="378"/>
        <v>Selesai</v>
      </c>
      <c r="R848" s="64">
        <f t="shared" ref="R848:R911" si="386">IF(Q848="proses",1,0)</f>
        <v>0</v>
      </c>
      <c r="S848" s="67">
        <v>45339</v>
      </c>
      <c r="T848" s="100">
        <v>45370</v>
      </c>
      <c r="U848" s="64">
        <f t="shared" si="379"/>
        <v>1</v>
      </c>
      <c r="V848" s="243"/>
      <c r="W848" s="64"/>
      <c r="X848" s="242"/>
      <c r="Y848" s="94"/>
      <c r="Z848" s="91" t="str">
        <f t="shared" si="380"/>
        <v>100%</v>
      </c>
      <c r="AA848" s="67"/>
      <c r="AB848" s="473"/>
      <c r="AC848" s="478" t="s">
        <v>2711</v>
      </c>
      <c r="AD848" s="67"/>
      <c r="AQ848" s="229"/>
    </row>
    <row r="849" spans="2:43">
      <c r="B849" s="64" t="s">
        <v>105</v>
      </c>
      <c r="C849" s="65" t="s">
        <v>338</v>
      </c>
      <c r="D849" s="66">
        <v>8.0399999999999991</v>
      </c>
      <c r="E849" s="67">
        <v>45315</v>
      </c>
      <c r="F849" s="64">
        <f t="shared" si="377"/>
        <v>1</v>
      </c>
      <c r="G849" s="67">
        <v>45322</v>
      </c>
      <c r="H849" s="64">
        <f t="shared" si="376"/>
        <v>1</v>
      </c>
      <c r="I849" s="67">
        <v>45328</v>
      </c>
      <c r="J849" s="64">
        <f t="shared" si="381"/>
        <v>0</v>
      </c>
      <c r="K849" s="67">
        <v>45337</v>
      </c>
      <c r="L849" s="64">
        <f t="shared" si="382"/>
        <v>0</v>
      </c>
      <c r="M849" s="64">
        <f t="shared" si="383"/>
        <v>0</v>
      </c>
      <c r="N849" s="67">
        <f t="shared" ref="N849:N912" si="387">IF(AND(I849&gt;0,K849&gt;0),MAX(I849:K849)+1,"")</f>
        <v>45338</v>
      </c>
      <c r="O849" s="64">
        <f t="shared" si="384"/>
        <v>1</v>
      </c>
      <c r="P849" s="64">
        <f t="shared" si="385"/>
        <v>0</v>
      </c>
      <c r="Q849" s="91" t="str">
        <f t="shared" si="378"/>
        <v>Selesai</v>
      </c>
      <c r="R849" s="64">
        <f t="shared" si="386"/>
        <v>0</v>
      </c>
      <c r="S849" s="67">
        <v>45348</v>
      </c>
      <c r="T849" s="100">
        <v>45370</v>
      </c>
      <c r="U849" s="64">
        <f t="shared" si="379"/>
        <v>1</v>
      </c>
      <c r="V849" s="243"/>
      <c r="W849" s="64"/>
      <c r="X849" s="242"/>
      <c r="Y849" s="94"/>
      <c r="Z849" s="91" t="str">
        <f t="shared" si="380"/>
        <v>100%</v>
      </c>
      <c r="AA849" s="67"/>
      <c r="AB849" s="473"/>
      <c r="AC849" s="478" t="s">
        <v>2711</v>
      </c>
      <c r="AD849" s="67"/>
    </row>
    <row r="850" spans="2:43">
      <c r="B850" s="64" t="s">
        <v>116</v>
      </c>
      <c r="C850" s="65" t="s">
        <v>159</v>
      </c>
      <c r="D850" s="66">
        <v>6.74</v>
      </c>
      <c r="E850" s="67">
        <v>45243</v>
      </c>
      <c r="F850" s="64">
        <f t="shared" si="377"/>
        <v>1</v>
      </c>
      <c r="G850" s="67">
        <v>45256</v>
      </c>
      <c r="H850" s="64">
        <f t="shared" si="376"/>
        <v>1</v>
      </c>
      <c r="I850" s="74">
        <v>45270</v>
      </c>
      <c r="J850" s="64">
        <f t="shared" si="381"/>
        <v>0</v>
      </c>
      <c r="K850" s="74">
        <v>45279</v>
      </c>
      <c r="L850" s="64">
        <f t="shared" si="382"/>
        <v>0</v>
      </c>
      <c r="M850" s="64">
        <f t="shared" si="383"/>
        <v>0</v>
      </c>
      <c r="N850" s="74">
        <f t="shared" si="387"/>
        <v>45280</v>
      </c>
      <c r="O850" s="64">
        <f t="shared" si="384"/>
        <v>1</v>
      </c>
      <c r="P850" s="64">
        <f t="shared" si="385"/>
        <v>0</v>
      </c>
      <c r="Q850" s="91" t="str">
        <f t="shared" si="378"/>
        <v>Selesai</v>
      </c>
      <c r="R850" s="64">
        <f t="shared" si="386"/>
        <v>0</v>
      </c>
      <c r="S850" s="67">
        <v>45320</v>
      </c>
      <c r="T850" s="100">
        <v>45370</v>
      </c>
      <c r="U850" s="64">
        <f t="shared" si="379"/>
        <v>1</v>
      </c>
      <c r="V850" s="243"/>
      <c r="W850" s="64"/>
      <c r="X850" s="242"/>
      <c r="Y850" s="94"/>
      <c r="Z850" s="91" t="str">
        <f t="shared" si="380"/>
        <v>100%</v>
      </c>
      <c r="AA850" s="67"/>
      <c r="AB850" s="473"/>
      <c r="AC850" s="478" t="s">
        <v>2711</v>
      </c>
      <c r="AD850" s="67"/>
    </row>
    <row r="851" spans="2:43">
      <c r="B851" s="64" t="s">
        <v>113</v>
      </c>
      <c r="C851" s="65" t="s">
        <v>162</v>
      </c>
      <c r="D851" s="66">
        <v>10.46</v>
      </c>
      <c r="E851" s="67">
        <v>45252</v>
      </c>
      <c r="F851" s="64">
        <f t="shared" si="377"/>
        <v>1</v>
      </c>
      <c r="G851" s="67">
        <v>45279</v>
      </c>
      <c r="H851" s="64">
        <f t="shared" si="376"/>
        <v>1</v>
      </c>
      <c r="I851" s="74">
        <v>45261</v>
      </c>
      <c r="J851" s="64">
        <f t="shared" si="381"/>
        <v>0</v>
      </c>
      <c r="K851" s="74">
        <v>45266</v>
      </c>
      <c r="L851" s="64">
        <f t="shared" si="382"/>
        <v>0</v>
      </c>
      <c r="M851" s="64">
        <f t="shared" si="383"/>
        <v>0</v>
      </c>
      <c r="N851" s="74">
        <f t="shared" si="387"/>
        <v>45267</v>
      </c>
      <c r="O851" s="64">
        <f t="shared" si="384"/>
        <v>1</v>
      </c>
      <c r="P851" s="64">
        <f t="shared" si="385"/>
        <v>0</v>
      </c>
      <c r="Q851" s="91" t="str">
        <f t="shared" si="378"/>
        <v>Selesai</v>
      </c>
      <c r="R851" s="64">
        <f t="shared" si="386"/>
        <v>0</v>
      </c>
      <c r="S851" s="67">
        <v>45350</v>
      </c>
      <c r="T851" s="100">
        <v>45376</v>
      </c>
      <c r="U851" s="64">
        <f t="shared" si="379"/>
        <v>1</v>
      </c>
      <c r="V851" s="243"/>
      <c r="W851" s="64"/>
      <c r="X851" s="242"/>
      <c r="Y851" s="94"/>
      <c r="Z851" s="91" t="str">
        <f t="shared" si="380"/>
        <v>100%</v>
      </c>
      <c r="AA851" s="67"/>
      <c r="AB851" s="473"/>
      <c r="AC851" s="478" t="s">
        <v>2711</v>
      </c>
      <c r="AD851" s="67"/>
      <c r="AQ851" s="229"/>
    </row>
    <row r="852" spans="2:43">
      <c r="B852" s="64" t="s">
        <v>109</v>
      </c>
      <c r="C852" s="65" t="s">
        <v>2538</v>
      </c>
      <c r="D852" s="66">
        <v>9.3000000000000007</v>
      </c>
      <c r="E852" s="67">
        <v>45337</v>
      </c>
      <c r="F852" s="64">
        <f t="shared" si="377"/>
        <v>1</v>
      </c>
      <c r="G852" s="67">
        <v>45342</v>
      </c>
      <c r="H852" s="64">
        <f t="shared" si="376"/>
        <v>1</v>
      </c>
      <c r="I852" s="67">
        <v>45347</v>
      </c>
      <c r="J852" s="64">
        <f t="shared" si="381"/>
        <v>0</v>
      </c>
      <c r="K852" s="67">
        <v>45343</v>
      </c>
      <c r="L852" s="64">
        <f t="shared" si="382"/>
        <v>0</v>
      </c>
      <c r="M852" s="64">
        <f t="shared" si="383"/>
        <v>0</v>
      </c>
      <c r="N852" s="67">
        <f t="shared" si="387"/>
        <v>45348</v>
      </c>
      <c r="O852" s="64">
        <f t="shared" si="384"/>
        <v>1</v>
      </c>
      <c r="P852" s="64">
        <f t="shared" si="385"/>
        <v>0</v>
      </c>
      <c r="Q852" s="91" t="str">
        <f t="shared" si="378"/>
        <v>Selesai</v>
      </c>
      <c r="R852" s="64">
        <f t="shared" si="386"/>
        <v>0</v>
      </c>
      <c r="S852" s="67">
        <v>45358</v>
      </c>
      <c r="T852" s="100">
        <v>45382</v>
      </c>
      <c r="U852" s="64">
        <f t="shared" si="379"/>
        <v>1</v>
      </c>
      <c r="V852" s="243"/>
      <c r="W852" s="64"/>
      <c r="X852" s="242"/>
      <c r="Y852" s="94"/>
      <c r="Z852" s="91" t="str">
        <f t="shared" si="380"/>
        <v>100%</v>
      </c>
      <c r="AA852" s="67"/>
      <c r="AB852" s="473"/>
      <c r="AC852" s="478" t="s">
        <v>2711</v>
      </c>
      <c r="AD852" s="67"/>
    </row>
    <row r="853" spans="2:43">
      <c r="B853" s="64" t="s">
        <v>105</v>
      </c>
      <c r="C853" s="65" t="s">
        <v>142</v>
      </c>
      <c r="D853" s="66">
        <v>9.44</v>
      </c>
      <c r="E853" s="67">
        <v>45220</v>
      </c>
      <c r="F853" s="64">
        <f t="shared" si="377"/>
        <v>1</v>
      </c>
      <c r="G853" s="67">
        <v>45238</v>
      </c>
      <c r="H853" s="64">
        <f t="shared" si="376"/>
        <v>1</v>
      </c>
      <c r="I853" s="74">
        <v>45229</v>
      </c>
      <c r="J853" s="64">
        <f t="shared" si="381"/>
        <v>0</v>
      </c>
      <c r="K853" s="74">
        <v>45262</v>
      </c>
      <c r="L853" s="64">
        <f t="shared" si="382"/>
        <v>0</v>
      </c>
      <c r="M853" s="64">
        <f t="shared" si="383"/>
        <v>0</v>
      </c>
      <c r="N853" s="67">
        <f t="shared" si="387"/>
        <v>45263</v>
      </c>
      <c r="O853" s="64">
        <f t="shared" si="384"/>
        <v>1</v>
      </c>
      <c r="P853" s="64">
        <f t="shared" si="385"/>
        <v>0</v>
      </c>
      <c r="Q853" s="91" t="str">
        <f t="shared" si="378"/>
        <v>Selesai</v>
      </c>
      <c r="R853" s="64">
        <f t="shared" si="386"/>
        <v>0</v>
      </c>
      <c r="S853" s="67">
        <v>45353</v>
      </c>
      <c r="T853" s="100">
        <v>45378</v>
      </c>
      <c r="U853" s="64">
        <f t="shared" si="379"/>
        <v>1</v>
      </c>
      <c r="V853" s="243"/>
      <c r="W853" s="64"/>
      <c r="X853" s="242"/>
      <c r="Y853" s="94"/>
      <c r="Z853" s="91" t="str">
        <f t="shared" si="380"/>
        <v>100%</v>
      </c>
      <c r="AA853" s="67"/>
      <c r="AB853" s="473"/>
      <c r="AC853" s="478" t="s">
        <v>2711</v>
      </c>
      <c r="AD853" s="67"/>
    </row>
    <row r="854" spans="2:43">
      <c r="B854" s="64" t="s">
        <v>107</v>
      </c>
      <c r="C854" s="65" t="s">
        <v>326</v>
      </c>
      <c r="D854" s="66">
        <v>5.35</v>
      </c>
      <c r="E854" s="67">
        <v>45314</v>
      </c>
      <c r="F854" s="64">
        <f t="shared" si="377"/>
        <v>1</v>
      </c>
      <c r="G854" s="67">
        <v>45315</v>
      </c>
      <c r="H854" s="64">
        <f t="shared" si="376"/>
        <v>1</v>
      </c>
      <c r="I854" s="67">
        <v>45334</v>
      </c>
      <c r="J854" s="64">
        <f t="shared" si="381"/>
        <v>0</v>
      </c>
      <c r="K854" s="67">
        <v>45337</v>
      </c>
      <c r="L854" s="64">
        <f t="shared" si="382"/>
        <v>0</v>
      </c>
      <c r="M854" s="64">
        <f t="shared" si="383"/>
        <v>0</v>
      </c>
      <c r="N854" s="67">
        <f t="shared" si="387"/>
        <v>45338</v>
      </c>
      <c r="O854" s="64">
        <f t="shared" si="384"/>
        <v>1</v>
      </c>
      <c r="P854" s="64">
        <f t="shared" si="385"/>
        <v>0</v>
      </c>
      <c r="Q854" s="91" t="str">
        <f t="shared" si="378"/>
        <v>Selesai</v>
      </c>
      <c r="R854" s="64">
        <f t="shared" si="386"/>
        <v>0</v>
      </c>
      <c r="S854" s="67">
        <v>45359</v>
      </c>
      <c r="T854" s="100">
        <v>45382</v>
      </c>
      <c r="U854" s="64">
        <f t="shared" si="379"/>
        <v>1</v>
      </c>
      <c r="V854" s="243"/>
      <c r="W854" s="64"/>
      <c r="X854" s="242"/>
      <c r="Y854" s="94"/>
      <c r="Z854" s="91" t="str">
        <f t="shared" si="380"/>
        <v>100%</v>
      </c>
      <c r="AA854" s="67"/>
      <c r="AB854" s="473"/>
      <c r="AC854" s="478" t="s">
        <v>2711</v>
      </c>
      <c r="AD854" s="67"/>
      <c r="AQ854" s="229"/>
    </row>
    <row r="855" spans="2:43">
      <c r="B855" s="64" t="s">
        <v>107</v>
      </c>
      <c r="C855" s="65" t="s">
        <v>374</v>
      </c>
      <c r="D855" s="66">
        <v>6.86</v>
      </c>
      <c r="E855" s="67">
        <v>45316</v>
      </c>
      <c r="F855" s="64">
        <f t="shared" si="377"/>
        <v>1</v>
      </c>
      <c r="G855" s="67">
        <v>45317</v>
      </c>
      <c r="H855" s="64">
        <f t="shared" si="376"/>
        <v>1</v>
      </c>
      <c r="I855" s="67">
        <v>45334</v>
      </c>
      <c r="J855" s="64">
        <f t="shared" si="381"/>
        <v>0</v>
      </c>
      <c r="K855" s="67">
        <v>45329</v>
      </c>
      <c r="L855" s="64">
        <f t="shared" si="382"/>
        <v>0</v>
      </c>
      <c r="M855" s="64">
        <f t="shared" si="383"/>
        <v>0</v>
      </c>
      <c r="N855" s="67">
        <f t="shared" si="387"/>
        <v>45335</v>
      </c>
      <c r="O855" s="64">
        <f t="shared" si="384"/>
        <v>1</v>
      </c>
      <c r="P855" s="64">
        <f t="shared" si="385"/>
        <v>0</v>
      </c>
      <c r="Q855" s="91" t="str">
        <f t="shared" si="378"/>
        <v>Selesai</v>
      </c>
      <c r="R855" s="64">
        <f t="shared" si="386"/>
        <v>0</v>
      </c>
      <c r="S855" s="67">
        <v>45359</v>
      </c>
      <c r="T855" s="100">
        <v>45382</v>
      </c>
      <c r="U855" s="64">
        <f t="shared" si="379"/>
        <v>1</v>
      </c>
      <c r="V855" s="243"/>
      <c r="W855" s="64"/>
      <c r="X855" s="242"/>
      <c r="Y855" s="94"/>
      <c r="Z855" s="91" t="str">
        <f t="shared" si="380"/>
        <v>100%</v>
      </c>
      <c r="AA855" s="67"/>
      <c r="AB855" s="473"/>
      <c r="AC855" s="478" t="s">
        <v>2711</v>
      </c>
      <c r="AD855" s="67"/>
      <c r="AQ855" s="229"/>
    </row>
    <row r="856" spans="2:43">
      <c r="B856" s="64" t="s">
        <v>109</v>
      </c>
      <c r="C856" s="65" t="s">
        <v>2537</v>
      </c>
      <c r="D856" s="66">
        <v>7.2</v>
      </c>
      <c r="E856" s="67">
        <v>45337</v>
      </c>
      <c r="F856" s="64">
        <f t="shared" si="377"/>
        <v>1</v>
      </c>
      <c r="G856" s="67">
        <v>45342</v>
      </c>
      <c r="H856" s="64">
        <f t="shared" si="376"/>
        <v>1</v>
      </c>
      <c r="I856" s="67">
        <v>45346</v>
      </c>
      <c r="J856" s="64">
        <f t="shared" si="381"/>
        <v>0</v>
      </c>
      <c r="K856" s="67">
        <v>45343</v>
      </c>
      <c r="L856" s="64">
        <f t="shared" si="382"/>
        <v>0</v>
      </c>
      <c r="M856" s="64">
        <f t="shared" si="383"/>
        <v>0</v>
      </c>
      <c r="N856" s="67">
        <f t="shared" si="387"/>
        <v>45347</v>
      </c>
      <c r="O856" s="64">
        <f t="shared" si="384"/>
        <v>1</v>
      </c>
      <c r="P856" s="64">
        <f t="shared" si="385"/>
        <v>0</v>
      </c>
      <c r="Q856" s="91" t="str">
        <f t="shared" si="378"/>
        <v>Selesai</v>
      </c>
      <c r="R856" s="64">
        <f t="shared" si="386"/>
        <v>0</v>
      </c>
      <c r="S856" s="67">
        <v>45355</v>
      </c>
      <c r="T856" s="100">
        <v>45382</v>
      </c>
      <c r="U856" s="64">
        <f t="shared" si="379"/>
        <v>1</v>
      </c>
      <c r="V856" s="243"/>
      <c r="W856" s="64"/>
      <c r="X856" s="242"/>
      <c r="Y856" s="94"/>
      <c r="Z856" s="91" t="str">
        <f t="shared" si="380"/>
        <v>100%</v>
      </c>
      <c r="AA856" s="67"/>
      <c r="AB856" s="473"/>
      <c r="AC856" s="478" t="s">
        <v>2711</v>
      </c>
      <c r="AD856" s="67"/>
    </row>
    <row r="857" spans="2:43">
      <c r="B857" s="64" t="s">
        <v>109</v>
      </c>
      <c r="C857" s="65" t="s">
        <v>363</v>
      </c>
      <c r="D857" s="66">
        <v>7.74</v>
      </c>
      <c r="E857" s="67">
        <v>45349</v>
      </c>
      <c r="F857" s="64">
        <f t="shared" si="377"/>
        <v>1</v>
      </c>
      <c r="G857" s="67">
        <v>45350</v>
      </c>
      <c r="H857" s="64">
        <f t="shared" si="376"/>
        <v>1</v>
      </c>
      <c r="I857" s="67">
        <v>45366</v>
      </c>
      <c r="J857" s="64">
        <f t="shared" si="381"/>
        <v>0</v>
      </c>
      <c r="K857" s="67">
        <v>45363</v>
      </c>
      <c r="L857" s="64">
        <f t="shared" si="382"/>
        <v>0</v>
      </c>
      <c r="M857" s="64">
        <f t="shared" si="383"/>
        <v>0</v>
      </c>
      <c r="N857" s="67">
        <f t="shared" si="387"/>
        <v>45367</v>
      </c>
      <c r="O857" s="64">
        <f t="shared" si="384"/>
        <v>1</v>
      </c>
      <c r="P857" s="64">
        <f t="shared" si="385"/>
        <v>0</v>
      </c>
      <c r="Q857" s="91" t="str">
        <f t="shared" si="378"/>
        <v>Selesai</v>
      </c>
      <c r="R857" s="64">
        <f t="shared" si="386"/>
        <v>0</v>
      </c>
      <c r="S857" s="67">
        <v>45364</v>
      </c>
      <c r="T857" s="100">
        <v>45382</v>
      </c>
      <c r="U857" s="64">
        <f t="shared" si="379"/>
        <v>1</v>
      </c>
      <c r="V857" s="243"/>
      <c r="W857" s="64"/>
      <c r="X857" s="242"/>
      <c r="Y857" s="94"/>
      <c r="Z857" s="91" t="str">
        <f t="shared" si="380"/>
        <v>100%</v>
      </c>
      <c r="AA857" s="67"/>
      <c r="AB857" s="473"/>
      <c r="AC857" s="478" t="s">
        <v>2711</v>
      </c>
      <c r="AD857" s="67"/>
    </row>
    <row r="858" spans="2:43">
      <c r="B858" s="64" t="s">
        <v>113</v>
      </c>
      <c r="C858" s="65" t="s">
        <v>2536</v>
      </c>
      <c r="D858" s="66">
        <v>8.68</v>
      </c>
      <c r="E858" s="67">
        <v>45287</v>
      </c>
      <c r="F858" s="64">
        <f t="shared" si="377"/>
        <v>1</v>
      </c>
      <c r="G858" s="67">
        <v>45289</v>
      </c>
      <c r="H858" s="64">
        <f t="shared" si="376"/>
        <v>1</v>
      </c>
      <c r="I858" s="67">
        <f>+K858+5</f>
        <v>45313</v>
      </c>
      <c r="J858" s="64">
        <f t="shared" si="381"/>
        <v>0</v>
      </c>
      <c r="K858" s="67">
        <v>45308</v>
      </c>
      <c r="L858" s="64">
        <f t="shared" si="382"/>
        <v>0</v>
      </c>
      <c r="M858" s="64">
        <f t="shared" si="383"/>
        <v>0</v>
      </c>
      <c r="N858" s="67">
        <f t="shared" si="387"/>
        <v>45314</v>
      </c>
      <c r="O858" s="64">
        <f t="shared" si="384"/>
        <v>1</v>
      </c>
      <c r="P858" s="64">
        <f t="shared" si="385"/>
        <v>0</v>
      </c>
      <c r="Q858" s="91" t="str">
        <f t="shared" si="378"/>
        <v>Selesai</v>
      </c>
      <c r="R858" s="64">
        <f t="shared" si="386"/>
        <v>0</v>
      </c>
      <c r="S858" s="67">
        <v>45356</v>
      </c>
      <c r="T858" s="100">
        <v>45386</v>
      </c>
      <c r="U858" s="64">
        <f t="shared" si="379"/>
        <v>1</v>
      </c>
      <c r="V858" s="243"/>
      <c r="W858" s="64"/>
      <c r="X858" s="242"/>
      <c r="Y858" s="94"/>
      <c r="Z858" s="91" t="str">
        <f t="shared" si="380"/>
        <v>100%</v>
      </c>
      <c r="AA858" s="67"/>
      <c r="AB858" s="473"/>
      <c r="AC858" s="478" t="s">
        <v>2711</v>
      </c>
      <c r="AD858" s="67"/>
    </row>
    <row r="859" spans="2:43">
      <c r="B859" s="64" t="s">
        <v>107</v>
      </c>
      <c r="C859" s="65" t="s">
        <v>389</v>
      </c>
      <c r="D859" s="66">
        <v>4.9800000000000004</v>
      </c>
      <c r="E859" s="67">
        <v>45364</v>
      </c>
      <c r="F859" s="64">
        <f t="shared" si="377"/>
        <v>1</v>
      </c>
      <c r="G859" s="67">
        <v>45370</v>
      </c>
      <c r="H859" s="64">
        <f t="shared" si="376"/>
        <v>1</v>
      </c>
      <c r="I859" s="67">
        <f>+K859+5</f>
        <v>45382</v>
      </c>
      <c r="J859" s="64">
        <f t="shared" si="381"/>
        <v>0</v>
      </c>
      <c r="K859" s="67">
        <v>45377</v>
      </c>
      <c r="L859" s="64">
        <f t="shared" si="382"/>
        <v>0</v>
      </c>
      <c r="M859" s="64">
        <f t="shared" si="383"/>
        <v>0</v>
      </c>
      <c r="N859" s="67">
        <f t="shared" si="387"/>
        <v>45383</v>
      </c>
      <c r="O859" s="64">
        <f t="shared" si="384"/>
        <v>1</v>
      </c>
      <c r="P859" s="64">
        <f t="shared" si="385"/>
        <v>0</v>
      </c>
      <c r="Q859" s="91" t="str">
        <f t="shared" si="378"/>
        <v>Selesai</v>
      </c>
      <c r="R859" s="64">
        <f t="shared" si="386"/>
        <v>0</v>
      </c>
      <c r="S859" s="67">
        <v>45383</v>
      </c>
      <c r="T859" s="100">
        <v>45389</v>
      </c>
      <c r="U859" s="64">
        <f t="shared" si="379"/>
        <v>1</v>
      </c>
      <c r="V859" s="243"/>
      <c r="W859" s="64"/>
      <c r="X859" s="242"/>
      <c r="Y859" s="94"/>
      <c r="Z859" s="91" t="str">
        <f t="shared" si="380"/>
        <v>100%</v>
      </c>
      <c r="AA859" s="67"/>
      <c r="AB859" s="473"/>
      <c r="AC859" s="478" t="s">
        <v>2711</v>
      </c>
      <c r="AD859" s="67"/>
    </row>
    <row r="860" spans="2:43">
      <c r="B860" s="64" t="s">
        <v>113</v>
      </c>
      <c r="C860" s="65" t="s">
        <v>1428</v>
      </c>
      <c r="D860" s="66">
        <v>7.04</v>
      </c>
      <c r="E860" s="67">
        <v>45352</v>
      </c>
      <c r="F860" s="64">
        <f t="shared" si="377"/>
        <v>1</v>
      </c>
      <c r="G860" s="67">
        <v>45356</v>
      </c>
      <c r="H860" s="64">
        <f t="shared" si="376"/>
        <v>1</v>
      </c>
      <c r="I860" s="67">
        <v>45364</v>
      </c>
      <c r="J860" s="64">
        <f t="shared" si="381"/>
        <v>0</v>
      </c>
      <c r="K860" s="67">
        <v>45373</v>
      </c>
      <c r="L860" s="64">
        <f t="shared" si="382"/>
        <v>0</v>
      </c>
      <c r="M860" s="64">
        <f t="shared" si="383"/>
        <v>0</v>
      </c>
      <c r="N860" s="67">
        <f t="shared" si="387"/>
        <v>45374</v>
      </c>
      <c r="O860" s="64">
        <f t="shared" si="384"/>
        <v>1</v>
      </c>
      <c r="P860" s="64">
        <f t="shared" si="385"/>
        <v>0</v>
      </c>
      <c r="Q860" s="91" t="str">
        <f t="shared" si="378"/>
        <v>Selesai</v>
      </c>
      <c r="R860" s="64">
        <f t="shared" si="386"/>
        <v>0</v>
      </c>
      <c r="S860" s="67">
        <v>45374</v>
      </c>
      <c r="T860" s="100">
        <v>45389</v>
      </c>
      <c r="U860" s="64">
        <f t="shared" si="379"/>
        <v>1</v>
      </c>
      <c r="V860" s="243"/>
      <c r="W860" s="64"/>
      <c r="X860" s="242"/>
      <c r="Y860" s="94"/>
      <c r="Z860" s="91" t="str">
        <f t="shared" si="380"/>
        <v>100%</v>
      </c>
      <c r="AA860" s="67"/>
      <c r="AB860" s="473"/>
      <c r="AC860" s="478" t="s">
        <v>2711</v>
      </c>
      <c r="AD860" s="67"/>
    </row>
    <row r="861" spans="2:43">
      <c r="B861" s="64" t="s">
        <v>113</v>
      </c>
      <c r="C861" s="65" t="s">
        <v>1471</v>
      </c>
      <c r="D861" s="66">
        <v>6.29</v>
      </c>
      <c r="E861" s="67">
        <v>45352</v>
      </c>
      <c r="F861" s="64">
        <f t="shared" si="377"/>
        <v>1</v>
      </c>
      <c r="G861" s="67">
        <v>45356</v>
      </c>
      <c r="H861" s="64">
        <f t="shared" si="376"/>
        <v>1</v>
      </c>
      <c r="I861" s="67">
        <v>45363</v>
      </c>
      <c r="J861" s="64">
        <f t="shared" si="381"/>
        <v>0</v>
      </c>
      <c r="K861" s="67">
        <v>45373</v>
      </c>
      <c r="L861" s="64">
        <f t="shared" si="382"/>
        <v>0</v>
      </c>
      <c r="M861" s="64">
        <f t="shared" si="383"/>
        <v>0</v>
      </c>
      <c r="N861" s="67">
        <f t="shared" si="387"/>
        <v>45374</v>
      </c>
      <c r="O861" s="64">
        <f t="shared" si="384"/>
        <v>1</v>
      </c>
      <c r="P861" s="64">
        <f t="shared" si="385"/>
        <v>0</v>
      </c>
      <c r="Q861" s="91" t="str">
        <f t="shared" si="378"/>
        <v>Selesai</v>
      </c>
      <c r="R861" s="64">
        <f t="shared" si="386"/>
        <v>0</v>
      </c>
      <c r="S861" s="67">
        <v>45378</v>
      </c>
      <c r="T861" s="100">
        <v>45389</v>
      </c>
      <c r="U861" s="64">
        <f t="shared" si="379"/>
        <v>1</v>
      </c>
      <c r="V861" s="243"/>
      <c r="W861" s="64"/>
      <c r="X861" s="242"/>
      <c r="Y861" s="94"/>
      <c r="Z861" s="91" t="str">
        <f t="shared" si="380"/>
        <v>100%</v>
      </c>
      <c r="AA861" s="67"/>
      <c r="AB861" s="473"/>
      <c r="AC861" s="478" t="s">
        <v>2711</v>
      </c>
      <c r="AD861" s="67"/>
    </row>
    <row r="862" spans="2:43">
      <c r="B862" s="64" t="s">
        <v>111</v>
      </c>
      <c r="C862" s="65" t="s">
        <v>372</v>
      </c>
      <c r="D862" s="66">
        <v>5.97</v>
      </c>
      <c r="E862" s="67">
        <v>45351</v>
      </c>
      <c r="F862" s="64">
        <f t="shared" ref="F862:F887" si="388">IF(E862&gt;0,1,0)</f>
        <v>1</v>
      </c>
      <c r="G862" s="67">
        <v>45352</v>
      </c>
      <c r="H862" s="64">
        <f t="shared" si="376"/>
        <v>1</v>
      </c>
      <c r="I862" s="67">
        <f>+K862+5</f>
        <v>45369</v>
      </c>
      <c r="J862" s="64">
        <f t="shared" si="381"/>
        <v>0</v>
      </c>
      <c r="K862" s="67">
        <v>45364</v>
      </c>
      <c r="L862" s="64">
        <f t="shared" si="382"/>
        <v>0</v>
      </c>
      <c r="M862" s="64">
        <f t="shared" si="383"/>
        <v>0</v>
      </c>
      <c r="N862" s="67">
        <f t="shared" si="387"/>
        <v>45370</v>
      </c>
      <c r="O862" s="64">
        <f t="shared" si="384"/>
        <v>1</v>
      </c>
      <c r="P862" s="64">
        <f t="shared" si="385"/>
        <v>0</v>
      </c>
      <c r="Q862" s="91" t="str">
        <f t="shared" si="378"/>
        <v>Selesai</v>
      </c>
      <c r="R862" s="64">
        <f t="shared" si="386"/>
        <v>0</v>
      </c>
      <c r="S862" s="67">
        <v>45373</v>
      </c>
      <c r="T862" s="100">
        <v>45389</v>
      </c>
      <c r="U862" s="64">
        <f t="shared" si="379"/>
        <v>1</v>
      </c>
      <c r="V862" s="243"/>
      <c r="W862" s="64"/>
      <c r="X862" s="242"/>
      <c r="Y862" s="94"/>
      <c r="Z862" s="91" t="str">
        <f t="shared" si="380"/>
        <v>100%</v>
      </c>
      <c r="AA862" s="67"/>
      <c r="AB862" s="473"/>
      <c r="AC862" s="478" t="s">
        <v>2711</v>
      </c>
      <c r="AD862" s="67"/>
    </row>
    <row r="863" spans="2:43">
      <c r="B863" s="64" t="s">
        <v>111</v>
      </c>
      <c r="C863" s="65" t="s">
        <v>391</v>
      </c>
      <c r="D863" s="66">
        <v>13.55</v>
      </c>
      <c r="E863" s="67">
        <v>45353</v>
      </c>
      <c r="F863" s="64">
        <f t="shared" si="388"/>
        <v>1</v>
      </c>
      <c r="G863" s="67">
        <v>45357</v>
      </c>
      <c r="H863" s="64">
        <f t="shared" si="376"/>
        <v>1</v>
      </c>
      <c r="I863" s="67">
        <f>+K863+5</f>
        <v>45369</v>
      </c>
      <c r="J863" s="64">
        <f t="shared" si="381"/>
        <v>0</v>
      </c>
      <c r="K863" s="67">
        <v>45364</v>
      </c>
      <c r="L863" s="64">
        <f t="shared" si="382"/>
        <v>0</v>
      </c>
      <c r="M863" s="64">
        <f t="shared" si="383"/>
        <v>0</v>
      </c>
      <c r="N863" s="67">
        <f t="shared" si="387"/>
        <v>45370</v>
      </c>
      <c r="O863" s="64">
        <f t="shared" si="384"/>
        <v>1</v>
      </c>
      <c r="P863" s="64">
        <f t="shared" si="385"/>
        <v>0</v>
      </c>
      <c r="Q863" s="91" t="str">
        <f t="shared" si="378"/>
        <v>Selesai</v>
      </c>
      <c r="R863" s="64">
        <f t="shared" si="386"/>
        <v>0</v>
      </c>
      <c r="S863" s="67">
        <v>45373</v>
      </c>
      <c r="T863" s="100">
        <v>45400</v>
      </c>
      <c r="U863" s="64">
        <f t="shared" si="379"/>
        <v>1</v>
      </c>
      <c r="V863" s="243"/>
      <c r="W863" s="64"/>
      <c r="X863" s="242"/>
      <c r="Y863" s="94"/>
      <c r="Z863" s="91" t="str">
        <f t="shared" si="380"/>
        <v>100%</v>
      </c>
      <c r="AA863" s="67"/>
      <c r="AB863" s="473"/>
      <c r="AC863" s="478" t="s">
        <v>2711</v>
      </c>
      <c r="AD863" s="67"/>
    </row>
    <row r="864" spans="2:43">
      <c r="B864" s="64" t="s">
        <v>109</v>
      </c>
      <c r="C864" s="231" t="s">
        <v>383</v>
      </c>
      <c r="D864" s="66">
        <v>5.21</v>
      </c>
      <c r="E864" s="67">
        <v>45341</v>
      </c>
      <c r="F864" s="64">
        <f t="shared" si="388"/>
        <v>1</v>
      </c>
      <c r="G864" s="67">
        <v>45343</v>
      </c>
      <c r="H864" s="64">
        <f t="shared" si="376"/>
        <v>1</v>
      </c>
      <c r="I864" s="67">
        <v>45348</v>
      </c>
      <c r="J864" s="64">
        <f t="shared" si="381"/>
        <v>0</v>
      </c>
      <c r="K864" s="67">
        <v>45343</v>
      </c>
      <c r="L864" s="64">
        <f t="shared" si="382"/>
        <v>0</v>
      </c>
      <c r="M864" s="64">
        <f t="shared" si="383"/>
        <v>0</v>
      </c>
      <c r="N864" s="67">
        <f t="shared" si="387"/>
        <v>45349</v>
      </c>
      <c r="O864" s="64">
        <f t="shared" si="384"/>
        <v>1</v>
      </c>
      <c r="P864" s="64">
        <f t="shared" si="385"/>
        <v>0</v>
      </c>
      <c r="Q864" s="91" t="str">
        <f t="shared" si="378"/>
        <v>Selesai</v>
      </c>
      <c r="R864" s="64">
        <f t="shared" si="386"/>
        <v>0</v>
      </c>
      <c r="S864" s="67">
        <v>45372</v>
      </c>
      <c r="T864" s="100">
        <v>45406</v>
      </c>
      <c r="U864" s="64">
        <f t="shared" si="379"/>
        <v>1</v>
      </c>
      <c r="V864" s="243"/>
      <c r="W864" s="64"/>
      <c r="X864" s="242"/>
      <c r="Y864" s="94"/>
      <c r="Z864" s="91" t="str">
        <f t="shared" si="380"/>
        <v>100%</v>
      </c>
      <c r="AA864" s="67"/>
      <c r="AB864" s="473"/>
      <c r="AC864" s="478" t="s">
        <v>2711</v>
      </c>
      <c r="AD864" s="67"/>
    </row>
    <row r="865" spans="2:30">
      <c r="B865" s="64" t="s">
        <v>111</v>
      </c>
      <c r="C865" s="65" t="s">
        <v>396</v>
      </c>
      <c r="D865" s="66">
        <v>8.2200000000000006</v>
      </c>
      <c r="E865" s="67">
        <v>45351</v>
      </c>
      <c r="F865" s="64">
        <f t="shared" si="388"/>
        <v>1</v>
      </c>
      <c r="G865" s="67">
        <v>45352</v>
      </c>
      <c r="H865" s="64">
        <f t="shared" si="376"/>
        <v>1</v>
      </c>
      <c r="I865" s="67">
        <v>45367</v>
      </c>
      <c r="J865" s="64">
        <f t="shared" si="381"/>
        <v>0</v>
      </c>
      <c r="K865" s="67">
        <v>45364</v>
      </c>
      <c r="L865" s="64">
        <f t="shared" si="382"/>
        <v>0</v>
      </c>
      <c r="M865" s="64">
        <f t="shared" si="383"/>
        <v>0</v>
      </c>
      <c r="N865" s="67">
        <f t="shared" si="387"/>
        <v>45368</v>
      </c>
      <c r="O865" s="64">
        <f t="shared" si="384"/>
        <v>1</v>
      </c>
      <c r="P865" s="64">
        <f t="shared" si="385"/>
        <v>0</v>
      </c>
      <c r="Q865" s="91" t="str">
        <f t="shared" si="378"/>
        <v>Selesai</v>
      </c>
      <c r="R865" s="64">
        <f t="shared" si="386"/>
        <v>0</v>
      </c>
      <c r="S865" s="67">
        <v>45368</v>
      </c>
      <c r="T865" s="100">
        <v>45407</v>
      </c>
      <c r="U865" s="64">
        <f t="shared" si="379"/>
        <v>1</v>
      </c>
      <c r="V865" s="243"/>
      <c r="W865" s="64"/>
      <c r="X865" s="242"/>
      <c r="Y865" s="94"/>
      <c r="Z865" s="91" t="str">
        <f t="shared" si="380"/>
        <v>100%</v>
      </c>
      <c r="AA865" s="67"/>
      <c r="AB865" s="473"/>
      <c r="AC865" s="478" t="s">
        <v>2711</v>
      </c>
      <c r="AD865" s="67"/>
    </row>
    <row r="866" spans="2:30">
      <c r="B866" s="64" t="s">
        <v>109</v>
      </c>
      <c r="C866" s="231" t="s">
        <v>382</v>
      </c>
      <c r="D866" s="66">
        <v>10.34</v>
      </c>
      <c r="E866" s="67">
        <v>45341</v>
      </c>
      <c r="F866" s="64">
        <f t="shared" si="388"/>
        <v>1</v>
      </c>
      <c r="G866" s="67">
        <v>45343</v>
      </c>
      <c r="H866" s="64">
        <f t="shared" si="376"/>
        <v>1</v>
      </c>
      <c r="I866" s="67">
        <v>45348</v>
      </c>
      <c r="J866" s="64">
        <f t="shared" si="381"/>
        <v>0</v>
      </c>
      <c r="K866" s="67">
        <v>45343</v>
      </c>
      <c r="L866" s="64">
        <f t="shared" si="382"/>
        <v>0</v>
      </c>
      <c r="M866" s="64">
        <f t="shared" si="383"/>
        <v>0</v>
      </c>
      <c r="N866" s="67">
        <f t="shared" si="387"/>
        <v>45349</v>
      </c>
      <c r="O866" s="64">
        <f t="shared" si="384"/>
        <v>1</v>
      </c>
      <c r="P866" s="64">
        <f t="shared" si="385"/>
        <v>0</v>
      </c>
      <c r="Q866" s="91" t="str">
        <f t="shared" si="378"/>
        <v>Selesai</v>
      </c>
      <c r="R866" s="64">
        <f t="shared" si="386"/>
        <v>0</v>
      </c>
      <c r="S866" s="67">
        <v>45369</v>
      </c>
      <c r="T866" s="100">
        <v>45412</v>
      </c>
      <c r="U866" s="64">
        <f t="shared" si="379"/>
        <v>1</v>
      </c>
      <c r="V866" s="243"/>
      <c r="W866" s="64"/>
      <c r="X866" s="242"/>
      <c r="Y866" s="94"/>
      <c r="Z866" s="91" t="str">
        <f t="shared" si="380"/>
        <v>100%</v>
      </c>
      <c r="AA866" s="67"/>
      <c r="AB866" s="473"/>
      <c r="AC866" s="478" t="s">
        <v>2711</v>
      </c>
      <c r="AD866" s="67"/>
    </row>
    <row r="867" spans="2:30">
      <c r="B867" s="64" t="s">
        <v>105</v>
      </c>
      <c r="C867" s="231" t="s">
        <v>337</v>
      </c>
      <c r="D867" s="66">
        <v>9.65</v>
      </c>
      <c r="E867" s="67">
        <v>45366</v>
      </c>
      <c r="F867" s="64">
        <f t="shared" si="388"/>
        <v>1</v>
      </c>
      <c r="G867" s="67">
        <v>45367</v>
      </c>
      <c r="H867" s="64">
        <f t="shared" si="376"/>
        <v>1</v>
      </c>
      <c r="I867" s="67">
        <v>45379</v>
      </c>
      <c r="J867" s="64">
        <f t="shared" si="381"/>
        <v>0</v>
      </c>
      <c r="K867" s="67">
        <v>45383</v>
      </c>
      <c r="L867" s="64">
        <f t="shared" si="382"/>
        <v>0</v>
      </c>
      <c r="M867" s="64">
        <f t="shared" si="383"/>
        <v>0</v>
      </c>
      <c r="N867" s="67">
        <f t="shared" si="387"/>
        <v>45384</v>
      </c>
      <c r="O867" s="64">
        <f t="shared" si="384"/>
        <v>1</v>
      </c>
      <c r="P867" s="64">
        <f t="shared" si="385"/>
        <v>0</v>
      </c>
      <c r="Q867" s="91" t="str">
        <f t="shared" si="378"/>
        <v>Selesai</v>
      </c>
      <c r="R867" s="64">
        <f t="shared" si="386"/>
        <v>0</v>
      </c>
      <c r="S867" s="67">
        <v>45398</v>
      </c>
      <c r="T867" s="100">
        <v>45412</v>
      </c>
      <c r="U867" s="64">
        <f t="shared" si="379"/>
        <v>1</v>
      </c>
      <c r="V867" s="243"/>
      <c r="W867" s="64"/>
      <c r="X867" s="242"/>
      <c r="Y867" s="94"/>
      <c r="Z867" s="91" t="str">
        <f t="shared" si="380"/>
        <v>100%</v>
      </c>
      <c r="AA867" s="67"/>
      <c r="AB867" s="473"/>
      <c r="AC867" s="478" t="s">
        <v>2711</v>
      </c>
      <c r="AD867" s="67"/>
    </row>
    <row r="868" spans="2:30">
      <c r="B868" s="64" t="s">
        <v>111</v>
      </c>
      <c r="C868" s="231" t="s">
        <v>339</v>
      </c>
      <c r="D868" s="66">
        <v>7.92</v>
      </c>
      <c r="E868" s="67">
        <v>45364</v>
      </c>
      <c r="F868" s="64">
        <f t="shared" si="388"/>
        <v>1</v>
      </c>
      <c r="G868" s="67">
        <v>45371</v>
      </c>
      <c r="H868" s="64">
        <f t="shared" si="376"/>
        <v>1</v>
      </c>
      <c r="I868" s="67">
        <v>45378</v>
      </c>
      <c r="J868" s="64">
        <f t="shared" si="381"/>
        <v>0</v>
      </c>
      <c r="K868" s="67">
        <v>45381</v>
      </c>
      <c r="L868" s="64">
        <f t="shared" si="382"/>
        <v>0</v>
      </c>
      <c r="M868" s="64">
        <f t="shared" si="383"/>
        <v>0</v>
      </c>
      <c r="N868" s="67">
        <f t="shared" si="387"/>
        <v>45382</v>
      </c>
      <c r="O868" s="64">
        <f t="shared" si="384"/>
        <v>1</v>
      </c>
      <c r="P868" s="64">
        <f t="shared" si="385"/>
        <v>0</v>
      </c>
      <c r="Q868" s="91" t="str">
        <f t="shared" si="378"/>
        <v>Selesai</v>
      </c>
      <c r="R868" s="64">
        <f t="shared" si="386"/>
        <v>0</v>
      </c>
      <c r="S868" s="67">
        <v>45386</v>
      </c>
      <c r="T868" s="100">
        <v>45412</v>
      </c>
      <c r="U868" s="64">
        <f t="shared" si="379"/>
        <v>1</v>
      </c>
      <c r="V868" s="243"/>
      <c r="W868" s="64"/>
      <c r="X868" s="242"/>
      <c r="Y868" s="94"/>
      <c r="Z868" s="91" t="str">
        <f t="shared" si="380"/>
        <v>100%</v>
      </c>
      <c r="AA868" s="67"/>
      <c r="AB868" s="473"/>
      <c r="AC868" s="478" t="s">
        <v>2711</v>
      </c>
      <c r="AD868" s="67"/>
    </row>
    <row r="869" spans="2:30">
      <c r="B869" s="64" t="s">
        <v>107</v>
      </c>
      <c r="C869" s="231" t="s">
        <v>386</v>
      </c>
      <c r="D869" s="66">
        <v>10.34</v>
      </c>
      <c r="E869" s="67">
        <v>45317</v>
      </c>
      <c r="F869" s="64">
        <f t="shared" si="388"/>
        <v>1</v>
      </c>
      <c r="G869" s="67">
        <v>45321</v>
      </c>
      <c r="H869" s="64">
        <f t="shared" si="376"/>
        <v>1</v>
      </c>
      <c r="I869" s="67">
        <f>+K869+5</f>
        <v>45333</v>
      </c>
      <c r="J869" s="64">
        <f t="shared" si="381"/>
        <v>0</v>
      </c>
      <c r="K869" s="67">
        <v>45328</v>
      </c>
      <c r="L869" s="64">
        <f t="shared" si="382"/>
        <v>0</v>
      </c>
      <c r="M869" s="64">
        <f t="shared" si="383"/>
        <v>0</v>
      </c>
      <c r="N869" s="67">
        <f t="shared" si="387"/>
        <v>45334</v>
      </c>
      <c r="O869" s="64">
        <f t="shared" si="384"/>
        <v>1</v>
      </c>
      <c r="P869" s="64">
        <f t="shared" si="385"/>
        <v>0</v>
      </c>
      <c r="Q869" s="91" t="str">
        <f t="shared" si="378"/>
        <v>Selesai</v>
      </c>
      <c r="R869" s="64">
        <f t="shared" si="386"/>
        <v>0</v>
      </c>
      <c r="S869" s="67">
        <v>45373</v>
      </c>
      <c r="T869" s="67">
        <v>45418</v>
      </c>
      <c r="U869" s="64">
        <f t="shared" si="379"/>
        <v>1</v>
      </c>
      <c r="V869" s="66"/>
      <c r="W869" s="66"/>
      <c r="X869" s="93"/>
      <c r="Y869" s="94"/>
      <c r="Z869" s="91" t="str">
        <f t="shared" si="380"/>
        <v>100%</v>
      </c>
      <c r="AA869" s="67"/>
      <c r="AB869" s="473"/>
      <c r="AC869" s="478" t="s">
        <v>2711</v>
      </c>
      <c r="AD869" s="67"/>
    </row>
    <row r="870" spans="2:30">
      <c r="B870" s="64" t="s">
        <v>109</v>
      </c>
      <c r="C870" s="65" t="s">
        <v>354</v>
      </c>
      <c r="D870" s="66">
        <v>13.79</v>
      </c>
      <c r="E870" s="67">
        <v>45373</v>
      </c>
      <c r="F870" s="64">
        <f t="shared" si="388"/>
        <v>1</v>
      </c>
      <c r="G870" s="67">
        <v>45384</v>
      </c>
      <c r="H870" s="64">
        <f t="shared" si="376"/>
        <v>1</v>
      </c>
      <c r="I870" s="67">
        <f>+K870+7</f>
        <v>45393</v>
      </c>
      <c r="J870" s="64">
        <f t="shared" si="381"/>
        <v>0</v>
      </c>
      <c r="K870" s="67">
        <v>45386</v>
      </c>
      <c r="L870" s="64">
        <f t="shared" si="382"/>
        <v>0</v>
      </c>
      <c r="M870" s="64">
        <f t="shared" si="383"/>
        <v>0</v>
      </c>
      <c r="N870" s="67">
        <f t="shared" si="387"/>
        <v>45394</v>
      </c>
      <c r="O870" s="64">
        <f t="shared" si="384"/>
        <v>1</v>
      </c>
      <c r="P870" s="64">
        <f t="shared" si="385"/>
        <v>0</v>
      </c>
      <c r="Q870" s="91" t="str">
        <f t="shared" si="378"/>
        <v>Selesai</v>
      </c>
      <c r="R870" s="64">
        <f t="shared" si="386"/>
        <v>0</v>
      </c>
      <c r="S870" s="67">
        <v>45404</v>
      </c>
      <c r="T870" s="67">
        <v>45419</v>
      </c>
      <c r="U870" s="64">
        <f t="shared" si="379"/>
        <v>1</v>
      </c>
      <c r="V870" s="66"/>
      <c r="W870" s="66"/>
      <c r="X870" s="93"/>
      <c r="Y870" s="94"/>
      <c r="Z870" s="91" t="str">
        <f t="shared" si="380"/>
        <v>100%</v>
      </c>
      <c r="AA870" s="67"/>
      <c r="AB870" s="473"/>
      <c r="AC870" s="478" t="s">
        <v>2711</v>
      </c>
      <c r="AD870" s="67"/>
    </row>
    <row r="871" spans="2:30">
      <c r="B871" s="64" t="s">
        <v>113</v>
      </c>
      <c r="C871" s="65" t="s">
        <v>1699</v>
      </c>
      <c r="D871" s="66">
        <v>6.26</v>
      </c>
      <c r="E871" s="67">
        <v>45352</v>
      </c>
      <c r="F871" s="64">
        <f t="shared" si="388"/>
        <v>1</v>
      </c>
      <c r="G871" s="67">
        <v>45356</v>
      </c>
      <c r="H871" s="64">
        <f t="shared" si="376"/>
        <v>1</v>
      </c>
      <c r="I871" s="67">
        <v>45369</v>
      </c>
      <c r="J871" s="64">
        <f t="shared" si="381"/>
        <v>0</v>
      </c>
      <c r="K871" s="67">
        <v>45373</v>
      </c>
      <c r="L871" s="64">
        <f t="shared" si="382"/>
        <v>0</v>
      </c>
      <c r="M871" s="64">
        <f t="shared" si="383"/>
        <v>0</v>
      </c>
      <c r="N871" s="67">
        <f t="shared" si="387"/>
        <v>45374</v>
      </c>
      <c r="O871" s="64">
        <f t="shared" si="384"/>
        <v>1</v>
      </c>
      <c r="P871" s="64">
        <f t="shared" si="385"/>
        <v>0</v>
      </c>
      <c r="Q871" s="91" t="str">
        <f t="shared" si="378"/>
        <v>Selesai</v>
      </c>
      <c r="R871" s="64">
        <f t="shared" si="386"/>
        <v>0</v>
      </c>
      <c r="S871" s="67">
        <v>45409</v>
      </c>
      <c r="T871" s="67">
        <v>45427</v>
      </c>
      <c r="U871" s="64">
        <f t="shared" si="379"/>
        <v>1</v>
      </c>
      <c r="V871" s="66"/>
      <c r="W871" s="66"/>
      <c r="X871" s="93"/>
      <c r="Y871" s="94"/>
      <c r="Z871" s="91" t="str">
        <f t="shared" si="380"/>
        <v>100%</v>
      </c>
      <c r="AA871" s="67"/>
      <c r="AB871" s="473"/>
      <c r="AC871" s="478" t="s">
        <v>2711</v>
      </c>
      <c r="AD871" s="67"/>
    </row>
    <row r="872" spans="2:30">
      <c r="B872" s="64" t="s">
        <v>111</v>
      </c>
      <c r="C872" s="231" t="s">
        <v>362</v>
      </c>
      <c r="D872" s="66">
        <v>5.33</v>
      </c>
      <c r="E872" s="67">
        <v>45353</v>
      </c>
      <c r="F872" s="64">
        <f t="shared" si="388"/>
        <v>1</v>
      </c>
      <c r="G872" s="67">
        <v>45357</v>
      </c>
      <c r="H872" s="64">
        <f t="shared" si="376"/>
        <v>1</v>
      </c>
      <c r="I872" s="67">
        <f>+K872+5</f>
        <v>45371</v>
      </c>
      <c r="J872" s="64">
        <f t="shared" si="381"/>
        <v>0</v>
      </c>
      <c r="K872" s="67">
        <v>45366</v>
      </c>
      <c r="L872" s="64">
        <f t="shared" si="382"/>
        <v>0</v>
      </c>
      <c r="M872" s="64">
        <f t="shared" si="383"/>
        <v>0</v>
      </c>
      <c r="N872" s="67">
        <f t="shared" si="387"/>
        <v>45372</v>
      </c>
      <c r="O872" s="64">
        <f t="shared" si="384"/>
        <v>1</v>
      </c>
      <c r="P872" s="64">
        <f t="shared" si="385"/>
        <v>0</v>
      </c>
      <c r="Q872" s="91" t="str">
        <f t="shared" si="378"/>
        <v>Selesai</v>
      </c>
      <c r="R872" s="64">
        <f t="shared" si="386"/>
        <v>0</v>
      </c>
      <c r="S872" s="67">
        <v>45383</v>
      </c>
      <c r="T872" s="67">
        <v>45432</v>
      </c>
      <c r="U872" s="64">
        <f t="shared" si="379"/>
        <v>1</v>
      </c>
      <c r="V872" s="66"/>
      <c r="W872" s="66"/>
      <c r="X872" s="93"/>
      <c r="Y872" s="94"/>
      <c r="Z872" s="91" t="str">
        <f t="shared" si="380"/>
        <v>100%</v>
      </c>
      <c r="AA872" s="67"/>
      <c r="AB872" s="473"/>
      <c r="AC872" s="478" t="s">
        <v>2711</v>
      </c>
      <c r="AD872" s="67"/>
    </row>
    <row r="873" spans="2:30">
      <c r="B873" s="64" t="s">
        <v>107</v>
      </c>
      <c r="C873" s="65" t="s">
        <v>327</v>
      </c>
      <c r="D873" s="66">
        <v>6.48</v>
      </c>
      <c r="E873" s="67">
        <v>45314</v>
      </c>
      <c r="F873" s="64">
        <f t="shared" si="388"/>
        <v>1</v>
      </c>
      <c r="G873" s="67">
        <v>45315</v>
      </c>
      <c r="H873" s="64">
        <f t="shared" si="376"/>
        <v>1</v>
      </c>
      <c r="I873" s="67">
        <v>45334</v>
      </c>
      <c r="J873" s="64">
        <f t="shared" si="381"/>
        <v>0</v>
      </c>
      <c r="K873" s="67">
        <v>45337</v>
      </c>
      <c r="L873" s="64">
        <f t="shared" si="382"/>
        <v>0</v>
      </c>
      <c r="M873" s="64">
        <f t="shared" si="383"/>
        <v>0</v>
      </c>
      <c r="N873" s="67">
        <f t="shared" si="387"/>
        <v>45338</v>
      </c>
      <c r="O873" s="64">
        <f t="shared" si="384"/>
        <v>1</v>
      </c>
      <c r="P873" s="64">
        <f t="shared" si="385"/>
        <v>0</v>
      </c>
      <c r="Q873" s="91" t="str">
        <f t="shared" si="378"/>
        <v>Selesai</v>
      </c>
      <c r="R873" s="64">
        <f t="shared" si="386"/>
        <v>0</v>
      </c>
      <c r="S873" s="67">
        <v>45403</v>
      </c>
      <c r="T873" s="67">
        <v>45427</v>
      </c>
      <c r="U873" s="64">
        <f t="shared" si="379"/>
        <v>1</v>
      </c>
      <c r="V873" s="66"/>
      <c r="W873" s="66"/>
      <c r="X873" s="93"/>
      <c r="Y873" s="94"/>
      <c r="Z873" s="91" t="str">
        <f t="shared" si="380"/>
        <v>100%</v>
      </c>
      <c r="AA873" s="67"/>
      <c r="AB873" s="473"/>
      <c r="AC873" s="478" t="s">
        <v>2711</v>
      </c>
      <c r="AD873" s="67"/>
    </row>
    <row r="874" spans="2:30">
      <c r="B874" s="64" t="s">
        <v>109</v>
      </c>
      <c r="C874" s="65" t="s">
        <v>2541</v>
      </c>
      <c r="D874" s="66">
        <v>7.73</v>
      </c>
      <c r="E874" s="67">
        <v>45369</v>
      </c>
      <c r="F874" s="64">
        <f t="shared" si="388"/>
        <v>1</v>
      </c>
      <c r="G874" s="67">
        <v>45381</v>
      </c>
      <c r="H874" s="64">
        <f t="shared" si="376"/>
        <v>1</v>
      </c>
      <c r="I874" s="67">
        <v>45377</v>
      </c>
      <c r="J874" s="64">
        <f t="shared" si="381"/>
        <v>0</v>
      </c>
      <c r="K874" s="67">
        <v>45383</v>
      </c>
      <c r="L874" s="64">
        <f t="shared" si="382"/>
        <v>0</v>
      </c>
      <c r="M874" s="64">
        <f t="shared" si="383"/>
        <v>0</v>
      </c>
      <c r="N874" s="67">
        <f t="shared" si="387"/>
        <v>45384</v>
      </c>
      <c r="O874" s="64">
        <f t="shared" si="384"/>
        <v>1</v>
      </c>
      <c r="P874" s="64">
        <f t="shared" si="385"/>
        <v>0</v>
      </c>
      <c r="Q874" s="91" t="str">
        <f t="shared" si="378"/>
        <v>Selesai</v>
      </c>
      <c r="R874" s="64">
        <f t="shared" si="386"/>
        <v>0</v>
      </c>
      <c r="S874" s="67">
        <v>45409</v>
      </c>
      <c r="T874" s="67">
        <v>45429</v>
      </c>
      <c r="U874" s="64">
        <f t="shared" si="379"/>
        <v>1</v>
      </c>
      <c r="V874" s="66"/>
      <c r="W874" s="66"/>
      <c r="X874" s="93"/>
      <c r="Y874" s="94"/>
      <c r="Z874" s="91" t="str">
        <f t="shared" si="380"/>
        <v>100%</v>
      </c>
      <c r="AA874" s="67"/>
      <c r="AB874" s="473"/>
      <c r="AC874" s="478" t="s">
        <v>2711</v>
      </c>
      <c r="AD874" s="67"/>
    </row>
    <row r="875" spans="2:30">
      <c r="B875" s="64" t="s">
        <v>109</v>
      </c>
      <c r="C875" s="65" t="s">
        <v>2540</v>
      </c>
      <c r="D875" s="66">
        <v>9.41</v>
      </c>
      <c r="E875" s="67">
        <v>45369</v>
      </c>
      <c r="F875" s="64">
        <f t="shared" si="388"/>
        <v>1</v>
      </c>
      <c r="G875" s="67">
        <v>45381</v>
      </c>
      <c r="H875" s="64">
        <f t="shared" si="376"/>
        <v>1</v>
      </c>
      <c r="I875" s="67">
        <v>45382</v>
      </c>
      <c r="J875" s="64">
        <f t="shared" si="381"/>
        <v>0</v>
      </c>
      <c r="K875" s="67">
        <v>45383</v>
      </c>
      <c r="L875" s="64">
        <f t="shared" si="382"/>
        <v>0</v>
      </c>
      <c r="M875" s="64">
        <f t="shared" si="383"/>
        <v>0</v>
      </c>
      <c r="N875" s="67">
        <f t="shared" si="387"/>
        <v>45384</v>
      </c>
      <c r="O875" s="64">
        <f t="shared" si="384"/>
        <v>1</v>
      </c>
      <c r="P875" s="64">
        <f t="shared" si="385"/>
        <v>0</v>
      </c>
      <c r="Q875" s="91" t="str">
        <f t="shared" si="378"/>
        <v>Selesai</v>
      </c>
      <c r="R875" s="64">
        <f t="shared" si="386"/>
        <v>0</v>
      </c>
      <c r="S875" s="67">
        <v>45410</v>
      </c>
      <c r="T875" s="67">
        <v>45438</v>
      </c>
      <c r="U875" s="64">
        <f t="shared" si="379"/>
        <v>1</v>
      </c>
      <c r="V875" s="66"/>
      <c r="W875" s="66"/>
      <c r="X875" s="93"/>
      <c r="Y875" s="94"/>
      <c r="Z875" s="91" t="str">
        <f t="shared" si="380"/>
        <v>100%</v>
      </c>
      <c r="AA875" s="67"/>
      <c r="AB875" s="473"/>
      <c r="AC875" s="478" t="s">
        <v>2711</v>
      </c>
      <c r="AD875" s="67"/>
    </row>
    <row r="876" spans="2:30">
      <c r="B876" s="64" t="s">
        <v>116</v>
      </c>
      <c r="C876" s="65" t="s">
        <v>388</v>
      </c>
      <c r="D876" s="66">
        <v>11.08</v>
      </c>
      <c r="E876" s="67">
        <v>45352</v>
      </c>
      <c r="F876" s="64">
        <f t="shared" si="388"/>
        <v>1</v>
      </c>
      <c r="G876" s="67">
        <v>45353</v>
      </c>
      <c r="H876" s="64">
        <f t="shared" si="376"/>
        <v>1</v>
      </c>
      <c r="I876" s="67">
        <v>45369</v>
      </c>
      <c r="J876" s="64">
        <f t="shared" si="381"/>
        <v>0</v>
      </c>
      <c r="K876" s="67">
        <v>45376</v>
      </c>
      <c r="L876" s="64">
        <f t="shared" si="382"/>
        <v>0</v>
      </c>
      <c r="M876" s="64">
        <f t="shared" si="383"/>
        <v>0</v>
      </c>
      <c r="N876" s="67">
        <f t="shared" si="387"/>
        <v>45377</v>
      </c>
      <c r="O876" s="64">
        <f t="shared" si="384"/>
        <v>1</v>
      </c>
      <c r="P876" s="64">
        <f t="shared" si="385"/>
        <v>0</v>
      </c>
      <c r="Q876" s="91" t="str">
        <f t="shared" si="378"/>
        <v>Selesai</v>
      </c>
      <c r="R876" s="64">
        <f t="shared" si="386"/>
        <v>0</v>
      </c>
      <c r="S876" s="67">
        <v>45402</v>
      </c>
      <c r="T876" s="67">
        <v>45441</v>
      </c>
      <c r="U876" s="64">
        <f t="shared" si="379"/>
        <v>1</v>
      </c>
      <c r="V876" s="66"/>
      <c r="W876" s="66"/>
      <c r="X876" s="93"/>
      <c r="Y876" s="94"/>
      <c r="Z876" s="91" t="str">
        <f t="shared" si="380"/>
        <v>100%</v>
      </c>
      <c r="AA876" s="67"/>
      <c r="AB876" s="473"/>
      <c r="AC876" s="478" t="s">
        <v>2711</v>
      </c>
      <c r="AD876" s="67"/>
    </row>
    <row r="877" spans="2:30">
      <c r="B877" s="64" t="s">
        <v>109</v>
      </c>
      <c r="C877" s="65" t="s">
        <v>977</v>
      </c>
      <c r="D877" s="66">
        <v>4.42</v>
      </c>
      <c r="E877" s="67">
        <v>45402</v>
      </c>
      <c r="F877" s="64">
        <f t="shared" si="388"/>
        <v>1</v>
      </c>
      <c r="G877" s="67">
        <v>45407</v>
      </c>
      <c r="H877" s="64">
        <f t="shared" si="376"/>
        <v>1</v>
      </c>
      <c r="I877" s="67">
        <f>+K877+7</f>
        <v>45419</v>
      </c>
      <c r="J877" s="64">
        <f t="shared" si="381"/>
        <v>0</v>
      </c>
      <c r="K877" s="67">
        <v>45412</v>
      </c>
      <c r="L877" s="64">
        <f t="shared" si="382"/>
        <v>0</v>
      </c>
      <c r="M877" s="64">
        <f t="shared" si="383"/>
        <v>0</v>
      </c>
      <c r="N877" s="67">
        <f t="shared" si="387"/>
        <v>45420</v>
      </c>
      <c r="O877" s="64">
        <f t="shared" si="384"/>
        <v>1</v>
      </c>
      <c r="P877" s="64">
        <f t="shared" si="385"/>
        <v>0</v>
      </c>
      <c r="Q877" s="91" t="str">
        <f t="shared" si="378"/>
        <v>Selesai</v>
      </c>
      <c r="R877" s="64">
        <f t="shared" si="386"/>
        <v>0</v>
      </c>
      <c r="S877" s="67">
        <v>45424</v>
      </c>
      <c r="T877" s="67">
        <v>45438</v>
      </c>
      <c r="U877" s="64">
        <f t="shared" si="379"/>
        <v>1</v>
      </c>
      <c r="V877" s="66"/>
      <c r="W877" s="66"/>
      <c r="X877" s="93"/>
      <c r="Y877" s="94"/>
      <c r="Z877" s="91" t="str">
        <f t="shared" si="380"/>
        <v>100%</v>
      </c>
      <c r="AA877" s="67"/>
      <c r="AB877" s="473"/>
      <c r="AC877" s="478" t="s">
        <v>2711</v>
      </c>
      <c r="AD877" s="67"/>
    </row>
    <row r="878" spans="2:30">
      <c r="B878" s="64" t="s">
        <v>111</v>
      </c>
      <c r="C878" s="65" t="s">
        <v>2542</v>
      </c>
      <c r="D878" s="66">
        <v>0.6</v>
      </c>
      <c r="E878" s="67">
        <v>45416</v>
      </c>
      <c r="F878" s="64">
        <f t="shared" si="388"/>
        <v>1</v>
      </c>
      <c r="G878" s="67">
        <v>45421</v>
      </c>
      <c r="H878" s="64">
        <f t="shared" si="376"/>
        <v>1</v>
      </c>
      <c r="I878" s="67">
        <v>45421</v>
      </c>
      <c r="J878" s="64">
        <f t="shared" si="381"/>
        <v>0</v>
      </c>
      <c r="K878" s="67">
        <v>45425</v>
      </c>
      <c r="L878" s="64">
        <f t="shared" si="382"/>
        <v>0</v>
      </c>
      <c r="M878" s="64">
        <f t="shared" si="383"/>
        <v>0</v>
      </c>
      <c r="N878" s="67">
        <f t="shared" si="387"/>
        <v>45426</v>
      </c>
      <c r="O878" s="64">
        <f t="shared" si="384"/>
        <v>1</v>
      </c>
      <c r="P878" s="64">
        <f t="shared" si="385"/>
        <v>0</v>
      </c>
      <c r="Q878" s="91" t="str">
        <f t="shared" si="378"/>
        <v>Selesai</v>
      </c>
      <c r="R878" s="64">
        <f t="shared" si="386"/>
        <v>0</v>
      </c>
      <c r="S878" s="67">
        <v>45431</v>
      </c>
      <c r="T878" s="67">
        <v>45441</v>
      </c>
      <c r="U878" s="64">
        <f t="shared" si="379"/>
        <v>1</v>
      </c>
      <c r="V878" s="66"/>
      <c r="W878" s="66"/>
      <c r="X878" s="93"/>
      <c r="Y878" s="94"/>
      <c r="Z878" s="91" t="str">
        <f t="shared" si="380"/>
        <v>100%</v>
      </c>
      <c r="AA878" s="67"/>
      <c r="AB878" s="473"/>
      <c r="AC878" s="478" t="s">
        <v>2711</v>
      </c>
      <c r="AD878" s="67"/>
    </row>
    <row r="879" spans="2:30">
      <c r="B879" s="64" t="s">
        <v>109</v>
      </c>
      <c r="C879" s="65" t="s">
        <v>360</v>
      </c>
      <c r="D879" s="66">
        <v>10.98</v>
      </c>
      <c r="E879" s="67">
        <v>45349</v>
      </c>
      <c r="F879" s="64">
        <f t="shared" si="388"/>
        <v>1</v>
      </c>
      <c r="G879" s="67">
        <v>45350</v>
      </c>
      <c r="H879" s="64">
        <f t="shared" si="376"/>
        <v>1</v>
      </c>
      <c r="I879" s="67">
        <f>+K879+5</f>
        <v>45368</v>
      </c>
      <c r="J879" s="64">
        <f t="shared" si="381"/>
        <v>0</v>
      </c>
      <c r="K879" s="67">
        <v>45363</v>
      </c>
      <c r="L879" s="64">
        <f t="shared" si="382"/>
        <v>0</v>
      </c>
      <c r="M879" s="64">
        <f t="shared" si="383"/>
        <v>0</v>
      </c>
      <c r="N879" s="67">
        <f t="shared" si="387"/>
        <v>45369</v>
      </c>
      <c r="O879" s="64">
        <f t="shared" si="384"/>
        <v>1</v>
      </c>
      <c r="P879" s="64">
        <f t="shared" si="385"/>
        <v>0</v>
      </c>
      <c r="Q879" s="91" t="str">
        <f t="shared" si="378"/>
        <v>Selesai</v>
      </c>
      <c r="R879" s="64">
        <f t="shared" si="386"/>
        <v>0</v>
      </c>
      <c r="S879" s="67">
        <v>45408</v>
      </c>
      <c r="T879" s="67">
        <v>45442</v>
      </c>
      <c r="U879" s="64">
        <f t="shared" si="379"/>
        <v>1</v>
      </c>
      <c r="V879" s="66"/>
      <c r="W879" s="66"/>
      <c r="X879" s="93"/>
      <c r="Y879" s="94"/>
      <c r="Z879" s="91" t="str">
        <f t="shared" si="380"/>
        <v>100%</v>
      </c>
      <c r="AA879" s="67"/>
      <c r="AB879" s="473"/>
      <c r="AC879" s="478" t="s">
        <v>2711</v>
      </c>
      <c r="AD879" s="67"/>
    </row>
    <row r="880" spans="2:30">
      <c r="B880" s="64" t="s">
        <v>111</v>
      </c>
      <c r="C880" s="65" t="s">
        <v>395</v>
      </c>
      <c r="D880" s="66">
        <v>6.83</v>
      </c>
      <c r="E880" s="67">
        <v>45370</v>
      </c>
      <c r="F880" s="64">
        <f t="shared" si="388"/>
        <v>1</v>
      </c>
      <c r="G880" s="67">
        <v>45417</v>
      </c>
      <c r="H880" s="64">
        <f t="shared" ref="H880:H943" si="389">IF(G880&gt;0,1,0)</f>
        <v>1</v>
      </c>
      <c r="I880" s="67">
        <v>45392</v>
      </c>
      <c r="J880" s="64">
        <f t="shared" si="381"/>
        <v>0</v>
      </c>
      <c r="K880" s="67">
        <v>45418</v>
      </c>
      <c r="L880" s="64">
        <f t="shared" si="382"/>
        <v>0</v>
      </c>
      <c r="M880" s="64">
        <f t="shared" si="383"/>
        <v>0</v>
      </c>
      <c r="N880" s="67">
        <f t="shared" si="387"/>
        <v>45419</v>
      </c>
      <c r="O880" s="64">
        <f t="shared" si="384"/>
        <v>1</v>
      </c>
      <c r="P880" s="64">
        <f t="shared" si="385"/>
        <v>0</v>
      </c>
      <c r="Q880" s="91" t="str">
        <f t="shared" si="378"/>
        <v>Selesai</v>
      </c>
      <c r="R880" s="64">
        <f t="shared" si="386"/>
        <v>0</v>
      </c>
      <c r="S880" s="67">
        <v>45423</v>
      </c>
      <c r="T880" s="67">
        <v>45441</v>
      </c>
      <c r="U880" s="64">
        <f t="shared" si="379"/>
        <v>1</v>
      </c>
      <c r="V880" s="66"/>
      <c r="W880" s="66"/>
      <c r="X880" s="93"/>
      <c r="Y880" s="94"/>
      <c r="Z880" s="91" t="str">
        <f t="shared" si="380"/>
        <v>100%</v>
      </c>
      <c r="AA880" s="67"/>
      <c r="AB880" s="473"/>
      <c r="AC880" s="478" t="s">
        <v>2711</v>
      </c>
      <c r="AD880" s="67"/>
    </row>
    <row r="881" spans="2:30">
      <c r="B881" s="64" t="s">
        <v>107</v>
      </c>
      <c r="C881" s="65" t="s">
        <v>408</v>
      </c>
      <c r="D881" s="66">
        <v>9.9700000000000006</v>
      </c>
      <c r="E881" s="67">
        <v>45366</v>
      </c>
      <c r="F881" s="64">
        <f t="shared" si="388"/>
        <v>1</v>
      </c>
      <c r="G881" s="67">
        <v>45370</v>
      </c>
      <c r="H881" s="64">
        <f t="shared" si="389"/>
        <v>1</v>
      </c>
      <c r="I881" s="67">
        <v>45382</v>
      </c>
      <c r="J881" s="64">
        <f t="shared" si="381"/>
        <v>0</v>
      </c>
      <c r="K881" s="67">
        <v>45383</v>
      </c>
      <c r="L881" s="64">
        <f t="shared" si="382"/>
        <v>0</v>
      </c>
      <c r="M881" s="64">
        <f t="shared" si="383"/>
        <v>0</v>
      </c>
      <c r="N881" s="67">
        <f t="shared" si="387"/>
        <v>45384</v>
      </c>
      <c r="O881" s="64">
        <f t="shared" si="384"/>
        <v>1</v>
      </c>
      <c r="P881" s="64">
        <f t="shared" si="385"/>
        <v>0</v>
      </c>
      <c r="Q881" s="91" t="str">
        <f t="shared" si="378"/>
        <v>Selesai</v>
      </c>
      <c r="R881" s="64">
        <f t="shared" si="386"/>
        <v>0</v>
      </c>
      <c r="S881" s="67">
        <v>45415</v>
      </c>
      <c r="T881" s="67">
        <v>45442</v>
      </c>
      <c r="U881" s="64">
        <f t="shared" si="379"/>
        <v>1</v>
      </c>
      <c r="V881" s="66"/>
      <c r="W881" s="66"/>
      <c r="X881" s="93"/>
      <c r="Y881" s="94"/>
      <c r="Z881" s="91" t="str">
        <f t="shared" si="380"/>
        <v>100%</v>
      </c>
      <c r="AA881" s="67"/>
      <c r="AB881" s="473"/>
      <c r="AC881" s="478" t="s">
        <v>2711</v>
      </c>
      <c r="AD881" s="67"/>
    </row>
    <row r="882" spans="2:30">
      <c r="B882" s="64" t="s">
        <v>109</v>
      </c>
      <c r="C882" s="65" t="s">
        <v>171</v>
      </c>
      <c r="D882" s="66">
        <v>5.63</v>
      </c>
      <c r="E882" s="67">
        <v>45418</v>
      </c>
      <c r="F882" s="64">
        <f t="shared" si="388"/>
        <v>1</v>
      </c>
      <c r="G882" s="67">
        <v>45432</v>
      </c>
      <c r="H882" s="64">
        <f t="shared" si="389"/>
        <v>1</v>
      </c>
      <c r="I882" s="67">
        <v>45408</v>
      </c>
      <c r="J882" s="64">
        <f t="shared" si="381"/>
        <v>0</v>
      </c>
      <c r="K882" s="67">
        <v>45425</v>
      </c>
      <c r="L882" s="64">
        <f t="shared" si="382"/>
        <v>0</v>
      </c>
      <c r="M882" s="64">
        <f t="shared" si="383"/>
        <v>0</v>
      </c>
      <c r="N882" s="67">
        <f t="shared" si="387"/>
        <v>45426</v>
      </c>
      <c r="O882" s="64">
        <f t="shared" si="384"/>
        <v>1</v>
      </c>
      <c r="P882" s="64">
        <f t="shared" si="385"/>
        <v>0</v>
      </c>
      <c r="Q882" s="91" t="str">
        <f t="shared" si="378"/>
        <v>Selesai</v>
      </c>
      <c r="R882" s="64">
        <f t="shared" si="386"/>
        <v>0</v>
      </c>
      <c r="S882" s="67">
        <v>45433</v>
      </c>
      <c r="T882" s="67">
        <v>45443</v>
      </c>
      <c r="U882" s="64">
        <f t="shared" si="379"/>
        <v>1</v>
      </c>
      <c r="V882" s="66"/>
      <c r="W882" s="66"/>
      <c r="X882" s="93"/>
      <c r="Y882" s="94"/>
      <c r="Z882" s="91" t="str">
        <f t="shared" si="380"/>
        <v>100%</v>
      </c>
      <c r="AA882" s="67"/>
      <c r="AB882" s="473"/>
      <c r="AC882" s="478" t="s">
        <v>2711</v>
      </c>
      <c r="AD882" s="67"/>
    </row>
    <row r="883" spans="2:30">
      <c r="B883" s="64" t="s">
        <v>109</v>
      </c>
      <c r="C883" s="65" t="s">
        <v>401</v>
      </c>
      <c r="D883" s="66">
        <v>5.3</v>
      </c>
      <c r="E883" s="67">
        <v>45373</v>
      </c>
      <c r="F883" s="64">
        <f t="shared" si="388"/>
        <v>1</v>
      </c>
      <c r="G883" s="67">
        <v>45384</v>
      </c>
      <c r="H883" s="64">
        <f t="shared" si="389"/>
        <v>1</v>
      </c>
      <c r="I883" s="67">
        <f>+K883+7</f>
        <v>45393</v>
      </c>
      <c r="J883" s="64">
        <f t="shared" si="381"/>
        <v>0</v>
      </c>
      <c r="K883" s="67">
        <v>45386</v>
      </c>
      <c r="L883" s="64">
        <f t="shared" si="382"/>
        <v>0</v>
      </c>
      <c r="M883" s="64">
        <f t="shared" si="383"/>
        <v>0</v>
      </c>
      <c r="N883" s="67">
        <f t="shared" si="387"/>
        <v>45394</v>
      </c>
      <c r="O883" s="64">
        <f t="shared" si="384"/>
        <v>1</v>
      </c>
      <c r="P883" s="64">
        <f t="shared" si="385"/>
        <v>0</v>
      </c>
      <c r="Q883" s="91" t="str">
        <f t="shared" si="378"/>
        <v>Selesai</v>
      </c>
      <c r="R883" s="64">
        <f t="shared" si="386"/>
        <v>0</v>
      </c>
      <c r="S883" s="67">
        <v>45420</v>
      </c>
      <c r="T883" s="67">
        <v>45449</v>
      </c>
      <c r="U883" s="64">
        <f t="shared" si="379"/>
        <v>1</v>
      </c>
      <c r="V883" s="66"/>
      <c r="W883" s="66"/>
      <c r="X883" s="93"/>
      <c r="Y883" s="94"/>
      <c r="Z883" s="91" t="str">
        <f t="shared" si="380"/>
        <v>100%</v>
      </c>
      <c r="AA883" s="67"/>
      <c r="AB883" s="473"/>
      <c r="AC883" s="478" t="s">
        <v>2711</v>
      </c>
      <c r="AD883" s="67"/>
    </row>
    <row r="884" spans="2:30">
      <c r="B884" s="64" t="s">
        <v>109</v>
      </c>
      <c r="C884" s="65" t="s">
        <v>355</v>
      </c>
      <c r="D884" s="66">
        <v>8.1199999999999992</v>
      </c>
      <c r="E884" s="67">
        <v>45363</v>
      </c>
      <c r="F884" s="64">
        <f t="shared" si="388"/>
        <v>1</v>
      </c>
      <c r="G884" s="67">
        <v>45364</v>
      </c>
      <c r="H884" s="64">
        <f t="shared" si="389"/>
        <v>1</v>
      </c>
      <c r="I884" s="67">
        <v>45369</v>
      </c>
      <c r="J884" s="64">
        <f t="shared" si="381"/>
        <v>0</v>
      </c>
      <c r="K884" s="67">
        <v>45379</v>
      </c>
      <c r="L884" s="64">
        <f t="shared" si="382"/>
        <v>0</v>
      </c>
      <c r="M884" s="64">
        <f t="shared" si="383"/>
        <v>0</v>
      </c>
      <c r="N884" s="67">
        <f t="shared" si="387"/>
        <v>45380</v>
      </c>
      <c r="O884" s="64">
        <f t="shared" si="384"/>
        <v>1</v>
      </c>
      <c r="P884" s="64">
        <f t="shared" si="385"/>
        <v>0</v>
      </c>
      <c r="Q884" s="91" t="str">
        <f t="shared" si="378"/>
        <v>Selesai</v>
      </c>
      <c r="R884" s="64">
        <f t="shared" si="386"/>
        <v>0</v>
      </c>
      <c r="S884" s="67">
        <v>45428</v>
      </c>
      <c r="T884" s="67">
        <v>45458</v>
      </c>
      <c r="U884" s="64">
        <f t="shared" si="379"/>
        <v>1</v>
      </c>
      <c r="V884" s="66"/>
      <c r="W884" s="66"/>
      <c r="X884" s="93"/>
      <c r="Y884" s="94"/>
      <c r="Z884" s="91" t="str">
        <f t="shared" si="380"/>
        <v>100%</v>
      </c>
      <c r="AA884" s="67"/>
      <c r="AB884" s="473"/>
      <c r="AC884" s="478" t="s">
        <v>2711</v>
      </c>
      <c r="AD884" s="67"/>
    </row>
    <row r="885" spans="2:30">
      <c r="B885" s="64" t="s">
        <v>109</v>
      </c>
      <c r="C885" s="65" t="s">
        <v>980</v>
      </c>
      <c r="D885" s="66">
        <v>7.15</v>
      </c>
      <c r="E885" s="67">
        <v>45402</v>
      </c>
      <c r="F885" s="64">
        <f t="shared" si="388"/>
        <v>1</v>
      </c>
      <c r="G885" s="67">
        <v>45407</v>
      </c>
      <c r="H885" s="64">
        <f t="shared" si="389"/>
        <v>1</v>
      </c>
      <c r="I885" s="67">
        <f>+K885+8</f>
        <v>45420</v>
      </c>
      <c r="J885" s="64">
        <f t="shared" si="381"/>
        <v>0</v>
      </c>
      <c r="K885" s="67">
        <v>45412</v>
      </c>
      <c r="L885" s="64">
        <f t="shared" si="382"/>
        <v>0</v>
      </c>
      <c r="M885" s="64">
        <f t="shared" si="383"/>
        <v>0</v>
      </c>
      <c r="N885" s="67">
        <f t="shared" si="387"/>
        <v>45421</v>
      </c>
      <c r="O885" s="64">
        <f t="shared" si="384"/>
        <v>1</v>
      </c>
      <c r="P885" s="64">
        <f t="shared" si="385"/>
        <v>0</v>
      </c>
      <c r="Q885" s="91" t="str">
        <f t="shared" si="378"/>
        <v>Selesai</v>
      </c>
      <c r="R885" s="64">
        <f t="shared" si="386"/>
        <v>0</v>
      </c>
      <c r="S885" s="67">
        <v>45431</v>
      </c>
      <c r="T885" s="67">
        <v>45450</v>
      </c>
      <c r="U885" s="64">
        <f t="shared" si="379"/>
        <v>1</v>
      </c>
      <c r="V885" s="66"/>
      <c r="W885" s="66"/>
      <c r="X885" s="93"/>
      <c r="Y885" s="94"/>
      <c r="Z885" s="91" t="str">
        <f t="shared" si="380"/>
        <v>100%</v>
      </c>
      <c r="AA885" s="67"/>
      <c r="AB885" s="473"/>
      <c r="AC885" s="478" t="s">
        <v>2711</v>
      </c>
      <c r="AD885" s="67"/>
    </row>
    <row r="886" spans="2:30">
      <c r="B886" s="64" t="s">
        <v>111</v>
      </c>
      <c r="C886" s="65" t="s">
        <v>1008</v>
      </c>
      <c r="D886" s="66">
        <v>3.23</v>
      </c>
      <c r="E886" s="67">
        <v>45416</v>
      </c>
      <c r="F886" s="64">
        <f t="shared" si="388"/>
        <v>1</v>
      </c>
      <c r="G886" s="67">
        <v>45425</v>
      </c>
      <c r="H886" s="64">
        <f t="shared" si="389"/>
        <v>1</v>
      </c>
      <c r="I886" s="67">
        <v>45422</v>
      </c>
      <c r="J886" s="64">
        <f t="shared" si="381"/>
        <v>0</v>
      </c>
      <c r="K886" s="67">
        <v>45424</v>
      </c>
      <c r="L886" s="64">
        <f t="shared" si="382"/>
        <v>0</v>
      </c>
      <c r="M886" s="64">
        <f t="shared" si="383"/>
        <v>0</v>
      </c>
      <c r="N886" s="67">
        <f t="shared" si="387"/>
        <v>45425</v>
      </c>
      <c r="O886" s="64">
        <f t="shared" si="384"/>
        <v>1</v>
      </c>
      <c r="P886" s="64">
        <f t="shared" si="385"/>
        <v>0</v>
      </c>
      <c r="Q886" s="91" t="str">
        <f t="shared" si="378"/>
        <v>Selesai</v>
      </c>
      <c r="R886" s="64">
        <f t="shared" si="386"/>
        <v>0</v>
      </c>
      <c r="S886" s="67">
        <v>45426</v>
      </c>
      <c r="T886" s="67">
        <v>45450</v>
      </c>
      <c r="U886" s="64">
        <f t="shared" si="379"/>
        <v>1</v>
      </c>
      <c r="V886" s="66"/>
      <c r="W886" s="66"/>
      <c r="X886" s="93"/>
      <c r="Y886" s="94"/>
      <c r="Z886" s="91" t="str">
        <f t="shared" si="380"/>
        <v>100%</v>
      </c>
      <c r="AA886" s="67"/>
      <c r="AB886" s="473"/>
      <c r="AC886" s="478" t="s">
        <v>2711</v>
      </c>
      <c r="AD886" s="67"/>
    </row>
    <row r="887" spans="2:30">
      <c r="B887" s="64" t="s">
        <v>111</v>
      </c>
      <c r="C887" s="65" t="s">
        <v>994</v>
      </c>
      <c r="D887" s="66">
        <v>10.02</v>
      </c>
      <c r="E887" s="67">
        <v>45428</v>
      </c>
      <c r="F887" s="64">
        <f t="shared" si="388"/>
        <v>1</v>
      </c>
      <c r="G887" s="67">
        <v>45434</v>
      </c>
      <c r="H887" s="64">
        <f t="shared" si="389"/>
        <v>1</v>
      </c>
      <c r="I887" s="67">
        <f>+K887+3</f>
        <v>45435</v>
      </c>
      <c r="J887" s="64">
        <f t="shared" si="381"/>
        <v>0</v>
      </c>
      <c r="K887" s="67">
        <v>45432</v>
      </c>
      <c r="L887" s="64">
        <f t="shared" si="382"/>
        <v>0</v>
      </c>
      <c r="M887" s="64">
        <f t="shared" si="383"/>
        <v>0</v>
      </c>
      <c r="N887" s="67">
        <f t="shared" si="387"/>
        <v>45436</v>
      </c>
      <c r="O887" s="64">
        <f t="shared" si="384"/>
        <v>1</v>
      </c>
      <c r="P887" s="64">
        <f t="shared" si="385"/>
        <v>0</v>
      </c>
      <c r="Q887" s="91" t="str">
        <f t="shared" si="378"/>
        <v>Selesai</v>
      </c>
      <c r="R887" s="64">
        <f t="shared" si="386"/>
        <v>0</v>
      </c>
      <c r="S887" s="67">
        <v>45435</v>
      </c>
      <c r="T887" s="67">
        <v>45453</v>
      </c>
      <c r="U887" s="64">
        <f t="shared" si="379"/>
        <v>1</v>
      </c>
      <c r="V887" s="66"/>
      <c r="W887" s="66"/>
      <c r="X887" s="93"/>
      <c r="Y887" s="94"/>
      <c r="Z887" s="91" t="str">
        <f t="shared" si="380"/>
        <v>100%</v>
      </c>
      <c r="AA887" s="67"/>
      <c r="AB887" s="473"/>
      <c r="AC887" s="478" t="s">
        <v>2711</v>
      </c>
      <c r="AD887" s="67"/>
    </row>
    <row r="888" spans="2:30">
      <c r="B888" s="64" t="s">
        <v>109</v>
      </c>
      <c r="C888" s="65" t="s">
        <v>451</v>
      </c>
      <c r="D888" s="66">
        <v>11.08</v>
      </c>
      <c r="E888" s="67">
        <v>45420</v>
      </c>
      <c r="F888" s="64"/>
      <c r="G888" s="67">
        <v>45425</v>
      </c>
      <c r="H888" s="64">
        <f t="shared" si="389"/>
        <v>1</v>
      </c>
      <c r="I888" s="67">
        <v>45426</v>
      </c>
      <c r="J888" s="64">
        <f t="shared" si="381"/>
        <v>0</v>
      </c>
      <c r="K888" s="67">
        <v>45425</v>
      </c>
      <c r="L888" s="64">
        <f t="shared" si="382"/>
        <v>0</v>
      </c>
      <c r="M888" s="64">
        <f t="shared" si="383"/>
        <v>0</v>
      </c>
      <c r="N888" s="67">
        <f t="shared" si="387"/>
        <v>45427</v>
      </c>
      <c r="O888" s="64">
        <f t="shared" si="384"/>
        <v>1</v>
      </c>
      <c r="P888" s="64">
        <f t="shared" si="385"/>
        <v>0</v>
      </c>
      <c r="Q888" s="91" t="str">
        <f t="shared" si="378"/>
        <v>Selesai</v>
      </c>
      <c r="R888" s="64">
        <f t="shared" si="386"/>
        <v>0</v>
      </c>
      <c r="S888" s="67">
        <v>45428</v>
      </c>
      <c r="T888" s="67">
        <v>45463</v>
      </c>
      <c r="U888" s="64">
        <f t="shared" si="379"/>
        <v>1</v>
      </c>
      <c r="V888" s="66"/>
      <c r="W888" s="66"/>
      <c r="X888" s="93"/>
      <c r="Y888" s="94"/>
      <c r="Z888" s="91" t="str">
        <f t="shared" si="380"/>
        <v>100%</v>
      </c>
      <c r="AA888" s="67"/>
      <c r="AB888" s="473"/>
      <c r="AC888" s="478" t="s">
        <v>2711</v>
      </c>
      <c r="AD888" s="67"/>
    </row>
    <row r="889" spans="2:30">
      <c r="B889" s="64" t="s">
        <v>109</v>
      </c>
      <c r="C889" s="65" t="s">
        <v>445</v>
      </c>
      <c r="D889" s="66">
        <v>10.39</v>
      </c>
      <c r="E889" s="67">
        <v>45420</v>
      </c>
      <c r="F889" s="64">
        <f t="shared" ref="F889:F920" si="390">IF(E889&gt;0,1,0)</f>
        <v>1</v>
      </c>
      <c r="G889" s="67">
        <v>45439</v>
      </c>
      <c r="H889" s="64">
        <f t="shared" si="389"/>
        <v>1</v>
      </c>
      <c r="I889" s="67">
        <f>+K889+7</f>
        <v>45432</v>
      </c>
      <c r="J889" s="64">
        <f t="shared" si="381"/>
        <v>0</v>
      </c>
      <c r="K889" s="67">
        <v>45425</v>
      </c>
      <c r="L889" s="64">
        <f t="shared" si="382"/>
        <v>0</v>
      </c>
      <c r="M889" s="64">
        <f t="shared" si="383"/>
        <v>0</v>
      </c>
      <c r="N889" s="67">
        <f t="shared" si="387"/>
        <v>45433</v>
      </c>
      <c r="O889" s="64">
        <f t="shared" si="384"/>
        <v>1</v>
      </c>
      <c r="P889" s="64">
        <f t="shared" si="385"/>
        <v>0</v>
      </c>
      <c r="Q889" s="91" t="str">
        <f t="shared" si="378"/>
        <v>Selesai</v>
      </c>
      <c r="R889" s="64">
        <f t="shared" si="386"/>
        <v>0</v>
      </c>
      <c r="S889" s="67">
        <v>45441</v>
      </c>
      <c r="T889" s="67">
        <v>45473</v>
      </c>
      <c r="U889" s="64">
        <f t="shared" si="379"/>
        <v>1</v>
      </c>
      <c r="V889" s="66"/>
      <c r="W889" s="66"/>
      <c r="X889" s="93"/>
      <c r="Y889" s="94"/>
      <c r="Z889" s="91" t="str">
        <f t="shared" si="380"/>
        <v>100%</v>
      </c>
      <c r="AA889" s="67"/>
      <c r="AB889" s="473"/>
      <c r="AC889" s="478" t="s">
        <v>2711</v>
      </c>
      <c r="AD889" s="67"/>
    </row>
    <row r="890" spans="2:30">
      <c r="B890" s="64" t="s">
        <v>111</v>
      </c>
      <c r="C890" s="65" t="s">
        <v>359</v>
      </c>
      <c r="D890" s="66">
        <v>10.48</v>
      </c>
      <c r="E890" s="67">
        <v>45416</v>
      </c>
      <c r="F890" s="64">
        <f t="shared" si="390"/>
        <v>1</v>
      </c>
      <c r="G890" s="67">
        <v>45422</v>
      </c>
      <c r="H890" s="64">
        <f t="shared" si="389"/>
        <v>1</v>
      </c>
      <c r="I890" s="67">
        <f>+K890+10</f>
        <v>45427</v>
      </c>
      <c r="J890" s="64">
        <f t="shared" si="381"/>
        <v>0</v>
      </c>
      <c r="K890" s="67">
        <v>45417</v>
      </c>
      <c r="L890" s="64">
        <f t="shared" si="382"/>
        <v>0</v>
      </c>
      <c r="M890" s="64">
        <f t="shared" si="383"/>
        <v>0</v>
      </c>
      <c r="N890" s="67">
        <f t="shared" si="387"/>
        <v>45428</v>
      </c>
      <c r="O890" s="64">
        <f t="shared" si="384"/>
        <v>1</v>
      </c>
      <c r="P890" s="64">
        <f t="shared" si="385"/>
        <v>0</v>
      </c>
      <c r="Q890" s="91" t="str">
        <f t="shared" si="378"/>
        <v>Selesai</v>
      </c>
      <c r="R890" s="64">
        <f t="shared" si="386"/>
        <v>0</v>
      </c>
      <c r="S890" s="67">
        <v>45433</v>
      </c>
      <c r="T890" s="67">
        <v>45464</v>
      </c>
      <c r="U890" s="64">
        <f t="shared" si="379"/>
        <v>1</v>
      </c>
      <c r="V890" s="66"/>
      <c r="W890" s="66"/>
      <c r="X890" s="93"/>
      <c r="Y890" s="94"/>
      <c r="Z890" s="91" t="str">
        <f t="shared" si="380"/>
        <v>100%</v>
      </c>
      <c r="AA890" s="67"/>
      <c r="AB890" s="473"/>
      <c r="AC890" s="478" t="s">
        <v>2711</v>
      </c>
      <c r="AD890" s="67"/>
    </row>
    <row r="891" spans="2:30">
      <c r="B891" s="64" t="s">
        <v>109</v>
      </c>
      <c r="C891" s="65" t="s">
        <v>978</v>
      </c>
      <c r="D891" s="66">
        <v>6.81</v>
      </c>
      <c r="E891" s="67">
        <v>45402</v>
      </c>
      <c r="F891" s="64">
        <f t="shared" si="390"/>
        <v>1</v>
      </c>
      <c r="G891" s="67">
        <v>45407</v>
      </c>
      <c r="H891" s="64">
        <f t="shared" si="389"/>
        <v>1</v>
      </c>
      <c r="I891" s="67">
        <f>+K891+15</f>
        <v>45427</v>
      </c>
      <c r="J891" s="64">
        <f t="shared" si="381"/>
        <v>0</v>
      </c>
      <c r="K891" s="67">
        <v>45412</v>
      </c>
      <c r="L891" s="64">
        <f t="shared" si="382"/>
        <v>0</v>
      </c>
      <c r="M891" s="64">
        <f t="shared" si="383"/>
        <v>0</v>
      </c>
      <c r="N891" s="67">
        <f t="shared" si="387"/>
        <v>45428</v>
      </c>
      <c r="O891" s="64">
        <f t="shared" si="384"/>
        <v>1</v>
      </c>
      <c r="P891" s="64">
        <f t="shared" si="385"/>
        <v>0</v>
      </c>
      <c r="Q891" s="91" t="str">
        <f t="shared" si="378"/>
        <v>Selesai</v>
      </c>
      <c r="R891" s="64">
        <f t="shared" si="386"/>
        <v>0</v>
      </c>
      <c r="S891" s="67">
        <v>45437</v>
      </c>
      <c r="T891" s="67">
        <v>45468</v>
      </c>
      <c r="U891" s="64">
        <f t="shared" si="379"/>
        <v>1</v>
      </c>
      <c r="V891" s="66"/>
      <c r="W891" s="66"/>
      <c r="X891" s="93"/>
      <c r="Y891" s="94"/>
      <c r="Z891" s="91" t="str">
        <f t="shared" si="380"/>
        <v>100%</v>
      </c>
      <c r="AA891" s="67"/>
      <c r="AB891" s="473"/>
      <c r="AC891" s="478" t="s">
        <v>2711</v>
      </c>
      <c r="AD891" s="67"/>
    </row>
    <row r="892" spans="2:30">
      <c r="B892" s="64" t="s">
        <v>113</v>
      </c>
      <c r="C892" s="65" t="s">
        <v>856</v>
      </c>
      <c r="D892" s="66">
        <v>3.77</v>
      </c>
      <c r="E892" s="67">
        <v>45420</v>
      </c>
      <c r="F892" s="64">
        <f t="shared" si="390"/>
        <v>1</v>
      </c>
      <c r="G892" s="67">
        <v>45432</v>
      </c>
      <c r="H892" s="64">
        <f t="shared" si="389"/>
        <v>1</v>
      </c>
      <c r="I892" s="67">
        <v>45440</v>
      </c>
      <c r="J892" s="64">
        <f t="shared" si="381"/>
        <v>0</v>
      </c>
      <c r="K892" s="67">
        <v>45440</v>
      </c>
      <c r="L892" s="64">
        <f t="shared" si="382"/>
        <v>0</v>
      </c>
      <c r="M892" s="64">
        <f t="shared" si="383"/>
        <v>0</v>
      </c>
      <c r="N892" s="67">
        <f t="shared" si="387"/>
        <v>45441</v>
      </c>
      <c r="O892" s="64">
        <f t="shared" si="384"/>
        <v>1</v>
      </c>
      <c r="P892" s="64">
        <f t="shared" si="385"/>
        <v>0</v>
      </c>
      <c r="Q892" s="91" t="str">
        <f t="shared" si="378"/>
        <v>Selesai</v>
      </c>
      <c r="R892" s="64">
        <f t="shared" si="386"/>
        <v>0</v>
      </c>
      <c r="S892" s="67">
        <v>45449</v>
      </c>
      <c r="T892" s="67">
        <v>45473</v>
      </c>
      <c r="U892" s="64">
        <f t="shared" si="379"/>
        <v>1</v>
      </c>
      <c r="V892" s="66"/>
      <c r="W892" s="66"/>
      <c r="X892" s="93"/>
      <c r="Y892" s="94"/>
      <c r="Z892" s="91" t="str">
        <f t="shared" si="380"/>
        <v>100%</v>
      </c>
      <c r="AA892" s="67"/>
      <c r="AB892" s="473"/>
      <c r="AC892" s="478" t="s">
        <v>2711</v>
      </c>
      <c r="AD892" s="67"/>
    </row>
    <row r="893" spans="2:30">
      <c r="B893" s="64" t="s">
        <v>113</v>
      </c>
      <c r="C893" s="65" t="s">
        <v>340</v>
      </c>
      <c r="D893" s="66">
        <v>8.2200000000000006</v>
      </c>
      <c r="E893" s="67">
        <v>45376</v>
      </c>
      <c r="F893" s="64">
        <f t="shared" si="390"/>
        <v>1</v>
      </c>
      <c r="G893" s="67">
        <v>45422</v>
      </c>
      <c r="H893" s="64">
        <f t="shared" si="389"/>
        <v>1</v>
      </c>
      <c r="I893" s="67">
        <v>45408</v>
      </c>
      <c r="J893" s="64">
        <f t="shared" si="381"/>
        <v>0</v>
      </c>
      <c r="K893" s="67">
        <v>45399</v>
      </c>
      <c r="L893" s="64">
        <f t="shared" si="382"/>
        <v>0</v>
      </c>
      <c r="M893" s="64">
        <f t="shared" si="383"/>
        <v>0</v>
      </c>
      <c r="N893" s="67">
        <f t="shared" si="387"/>
        <v>45409</v>
      </c>
      <c r="O893" s="64">
        <f t="shared" si="384"/>
        <v>1</v>
      </c>
      <c r="P893" s="64">
        <f t="shared" si="385"/>
        <v>0</v>
      </c>
      <c r="Q893" s="91" t="str">
        <f t="shared" si="378"/>
        <v>Selesai</v>
      </c>
      <c r="R893" s="64">
        <f t="shared" si="386"/>
        <v>0</v>
      </c>
      <c r="S893" s="67">
        <v>45438</v>
      </c>
      <c r="T893" s="67">
        <v>45473</v>
      </c>
      <c r="U893" s="64">
        <f t="shared" si="379"/>
        <v>1</v>
      </c>
      <c r="V893" s="66"/>
      <c r="W893" s="66"/>
      <c r="X893" s="93"/>
      <c r="Y893" s="94"/>
      <c r="Z893" s="91" t="str">
        <f t="shared" si="380"/>
        <v>100%</v>
      </c>
      <c r="AA893" s="67"/>
      <c r="AB893" s="473"/>
      <c r="AC893" s="478" t="s">
        <v>2711</v>
      </c>
      <c r="AD893" s="67"/>
    </row>
    <row r="894" spans="2:30">
      <c r="B894" s="64" t="s">
        <v>111</v>
      </c>
      <c r="C894" s="65" t="s">
        <v>431</v>
      </c>
      <c r="D894" s="66">
        <v>4.25</v>
      </c>
      <c r="E894" s="67">
        <v>45428</v>
      </c>
      <c r="F894" s="64">
        <f t="shared" si="390"/>
        <v>1</v>
      </c>
      <c r="G894" s="67">
        <v>45440</v>
      </c>
      <c r="H894" s="64">
        <f t="shared" si="389"/>
        <v>1</v>
      </c>
      <c r="I894" s="67">
        <f>+G894+3</f>
        <v>45443</v>
      </c>
      <c r="J894" s="64">
        <f t="shared" si="381"/>
        <v>0</v>
      </c>
      <c r="K894" s="67">
        <v>45434</v>
      </c>
      <c r="L894" s="64">
        <f t="shared" si="382"/>
        <v>0</v>
      </c>
      <c r="M894" s="64">
        <f t="shared" si="383"/>
        <v>0</v>
      </c>
      <c r="N894" s="67">
        <f t="shared" si="387"/>
        <v>45444</v>
      </c>
      <c r="O894" s="64">
        <f t="shared" si="384"/>
        <v>1</v>
      </c>
      <c r="P894" s="64">
        <f t="shared" si="385"/>
        <v>0</v>
      </c>
      <c r="Q894" s="91" t="str">
        <f t="shared" si="378"/>
        <v>Selesai</v>
      </c>
      <c r="R894" s="64">
        <f t="shared" si="386"/>
        <v>0</v>
      </c>
      <c r="S894" s="67">
        <v>45446</v>
      </c>
      <c r="T894" s="67">
        <v>45473</v>
      </c>
      <c r="U894" s="64">
        <f t="shared" si="379"/>
        <v>1</v>
      </c>
      <c r="V894" s="66"/>
      <c r="W894" s="66"/>
      <c r="X894" s="93"/>
      <c r="Y894" s="94"/>
      <c r="Z894" s="91" t="str">
        <f t="shared" si="380"/>
        <v>100%</v>
      </c>
      <c r="AA894" s="67"/>
      <c r="AB894" s="473"/>
      <c r="AC894" s="478" t="s">
        <v>2711</v>
      </c>
      <c r="AD894" s="67"/>
    </row>
    <row r="895" spans="2:30">
      <c r="B895" s="64" t="s">
        <v>109</v>
      </c>
      <c r="C895" s="65" t="s">
        <v>956</v>
      </c>
      <c r="D895" s="66">
        <f>VLOOKUP($C895,[10]Nanas!$C$826:$E$1003,3,0)</f>
        <v>4.28</v>
      </c>
      <c r="E895" s="67">
        <v>45418</v>
      </c>
      <c r="F895" s="64">
        <f t="shared" si="390"/>
        <v>1</v>
      </c>
      <c r="G895" s="67">
        <v>45419</v>
      </c>
      <c r="H895" s="64">
        <f t="shared" si="389"/>
        <v>1</v>
      </c>
      <c r="I895" s="67">
        <v>45432</v>
      </c>
      <c r="J895" s="64">
        <f t="shared" si="381"/>
        <v>0</v>
      </c>
      <c r="K895" s="67">
        <v>45440</v>
      </c>
      <c r="L895" s="64">
        <f t="shared" si="382"/>
        <v>0</v>
      </c>
      <c r="M895" s="64">
        <f t="shared" si="383"/>
        <v>0</v>
      </c>
      <c r="N895" s="67">
        <f t="shared" si="387"/>
        <v>45441</v>
      </c>
      <c r="O895" s="64">
        <f t="shared" si="384"/>
        <v>1</v>
      </c>
      <c r="P895" s="64">
        <f t="shared" si="385"/>
        <v>0</v>
      </c>
      <c r="Q895" s="91" t="str">
        <f t="shared" si="378"/>
        <v>Selesai</v>
      </c>
      <c r="R895" s="64">
        <f t="shared" si="386"/>
        <v>0</v>
      </c>
      <c r="S895" s="67">
        <v>45458</v>
      </c>
      <c r="T895" s="67">
        <v>45483</v>
      </c>
      <c r="U895" s="64">
        <f t="shared" si="379"/>
        <v>1</v>
      </c>
      <c r="V895" s="66"/>
      <c r="W895" s="66"/>
      <c r="X895" s="93"/>
      <c r="Y895" s="94"/>
      <c r="Z895" s="91" t="str">
        <f t="shared" si="380"/>
        <v>100%</v>
      </c>
      <c r="AA895" s="67"/>
      <c r="AB895" s="473"/>
      <c r="AC895" s="478" t="s">
        <v>2711</v>
      </c>
      <c r="AD895" s="67"/>
    </row>
    <row r="896" spans="2:30">
      <c r="B896" s="64" t="s">
        <v>118</v>
      </c>
      <c r="C896" s="65" t="s">
        <v>357</v>
      </c>
      <c r="D896" s="66">
        <f>VLOOKUP($C896,[10]Nanas!$C$826:$E$1003,3,0)</f>
        <v>11.93</v>
      </c>
      <c r="E896" s="67">
        <v>45415</v>
      </c>
      <c r="F896" s="64">
        <f t="shared" si="390"/>
        <v>1</v>
      </c>
      <c r="G896" s="67">
        <v>45418</v>
      </c>
      <c r="H896" s="64">
        <f t="shared" si="389"/>
        <v>1</v>
      </c>
      <c r="I896" s="67">
        <f>+K896+7</f>
        <v>45432</v>
      </c>
      <c r="J896" s="64">
        <f t="shared" si="381"/>
        <v>0</v>
      </c>
      <c r="K896" s="67">
        <v>45425</v>
      </c>
      <c r="L896" s="64">
        <f t="shared" si="382"/>
        <v>0</v>
      </c>
      <c r="M896" s="64">
        <f t="shared" si="383"/>
        <v>0</v>
      </c>
      <c r="N896" s="67">
        <f t="shared" si="387"/>
        <v>45433</v>
      </c>
      <c r="O896" s="64">
        <f t="shared" si="384"/>
        <v>1</v>
      </c>
      <c r="P896" s="64">
        <f t="shared" si="385"/>
        <v>0</v>
      </c>
      <c r="Q896" s="91" t="str">
        <f t="shared" si="378"/>
        <v>Selesai</v>
      </c>
      <c r="R896" s="64">
        <f t="shared" si="386"/>
        <v>0</v>
      </c>
      <c r="S896" s="67">
        <v>45432</v>
      </c>
      <c r="T896" s="67">
        <v>45476</v>
      </c>
      <c r="U896" s="64">
        <f t="shared" si="379"/>
        <v>1</v>
      </c>
      <c r="V896" s="66"/>
      <c r="W896" s="66"/>
      <c r="X896" s="93"/>
      <c r="Y896" s="94"/>
      <c r="Z896" s="91" t="str">
        <f t="shared" si="380"/>
        <v>100%</v>
      </c>
      <c r="AA896" s="67"/>
      <c r="AB896" s="473"/>
      <c r="AC896" s="478" t="s">
        <v>2711</v>
      </c>
      <c r="AD896" s="67"/>
    </row>
    <row r="897" spans="2:30">
      <c r="B897" s="64" t="s">
        <v>109</v>
      </c>
      <c r="C897" s="65" t="s">
        <v>426</v>
      </c>
      <c r="D897" s="66">
        <f>VLOOKUP($C897,[10]Nanas!$C$826:$E$1003,3,0)</f>
        <v>10.31</v>
      </c>
      <c r="E897" s="67">
        <v>45418</v>
      </c>
      <c r="F897" s="64">
        <f t="shared" si="390"/>
        <v>1</v>
      </c>
      <c r="G897" s="67">
        <v>45419</v>
      </c>
      <c r="H897" s="64">
        <f t="shared" si="389"/>
        <v>1</v>
      </c>
      <c r="I897" s="67">
        <v>45437</v>
      </c>
      <c r="J897" s="64">
        <f t="shared" si="381"/>
        <v>0</v>
      </c>
      <c r="K897" s="67">
        <v>45440</v>
      </c>
      <c r="L897" s="64">
        <f t="shared" si="382"/>
        <v>0</v>
      </c>
      <c r="M897" s="64">
        <f t="shared" si="383"/>
        <v>0</v>
      </c>
      <c r="N897" s="67">
        <f t="shared" si="387"/>
        <v>45441</v>
      </c>
      <c r="O897" s="64">
        <f t="shared" si="384"/>
        <v>1</v>
      </c>
      <c r="P897" s="64">
        <f t="shared" si="385"/>
        <v>0</v>
      </c>
      <c r="Q897" s="91" t="str">
        <f t="shared" si="378"/>
        <v>Selesai</v>
      </c>
      <c r="R897" s="64">
        <f t="shared" si="386"/>
        <v>0</v>
      </c>
      <c r="S897" s="67">
        <v>45458</v>
      </c>
      <c r="T897" s="67">
        <v>45482</v>
      </c>
      <c r="U897" s="64">
        <f t="shared" si="379"/>
        <v>1</v>
      </c>
      <c r="V897" s="66"/>
      <c r="W897" s="66"/>
      <c r="X897" s="93"/>
      <c r="Y897" s="94"/>
      <c r="Z897" s="91" t="str">
        <f t="shared" si="380"/>
        <v>100%</v>
      </c>
      <c r="AA897" s="67"/>
      <c r="AB897" s="473"/>
      <c r="AC897" s="478" t="s">
        <v>2711</v>
      </c>
      <c r="AD897" s="67"/>
    </row>
    <row r="898" spans="2:30">
      <c r="B898" s="64" t="s">
        <v>113</v>
      </c>
      <c r="C898" s="65" t="s">
        <v>439</v>
      </c>
      <c r="D898" s="66">
        <f>VLOOKUP($C898,[10]Nanas!$C$826:$E$1003,3,0)</f>
        <v>8.75</v>
      </c>
      <c r="E898" s="67">
        <v>45441</v>
      </c>
      <c r="F898" s="64">
        <f t="shared" si="390"/>
        <v>1</v>
      </c>
      <c r="G898" s="67">
        <v>45448</v>
      </c>
      <c r="H898" s="64">
        <f t="shared" si="389"/>
        <v>1</v>
      </c>
      <c r="I898" s="67">
        <f>+K898+3</f>
        <v>45460</v>
      </c>
      <c r="J898" s="64">
        <f t="shared" si="381"/>
        <v>0</v>
      </c>
      <c r="K898" s="67">
        <v>45457</v>
      </c>
      <c r="L898" s="64">
        <f t="shared" si="382"/>
        <v>0</v>
      </c>
      <c r="M898" s="64">
        <f t="shared" si="383"/>
        <v>0</v>
      </c>
      <c r="N898" s="67">
        <f t="shared" si="387"/>
        <v>45461</v>
      </c>
      <c r="O898" s="64">
        <f t="shared" si="384"/>
        <v>1</v>
      </c>
      <c r="P898" s="64">
        <f t="shared" si="385"/>
        <v>0</v>
      </c>
      <c r="Q898" s="91" t="str">
        <f t="shared" si="378"/>
        <v>Selesai</v>
      </c>
      <c r="R898" s="64">
        <f t="shared" si="386"/>
        <v>0</v>
      </c>
      <c r="S898" s="67">
        <v>45458</v>
      </c>
      <c r="T898" s="67">
        <v>45495</v>
      </c>
      <c r="U898" s="64">
        <f t="shared" si="379"/>
        <v>1</v>
      </c>
      <c r="V898" s="66"/>
      <c r="W898" s="66"/>
      <c r="X898" s="93"/>
      <c r="Y898" s="94"/>
      <c r="Z898" s="91" t="str">
        <f t="shared" si="380"/>
        <v>100%</v>
      </c>
      <c r="AA898" s="67"/>
      <c r="AB898" s="473"/>
      <c r="AC898" s="478" t="s">
        <v>2711</v>
      </c>
      <c r="AD898" s="67"/>
    </row>
    <row r="899" spans="2:30">
      <c r="B899" s="64" t="s">
        <v>116</v>
      </c>
      <c r="C899" s="65" t="s">
        <v>398</v>
      </c>
      <c r="D899" s="66">
        <f>VLOOKUP($C899,[10]Nanas!$C$826:$E$1003,3,0)</f>
        <v>8.39</v>
      </c>
      <c r="E899" s="67">
        <v>45443</v>
      </c>
      <c r="F899" s="64">
        <f t="shared" si="390"/>
        <v>1</v>
      </c>
      <c r="G899" s="67">
        <v>45446</v>
      </c>
      <c r="H899" s="64">
        <f t="shared" si="389"/>
        <v>1</v>
      </c>
      <c r="I899" s="67">
        <f>+K899+3</f>
        <v>45460</v>
      </c>
      <c r="J899" s="64">
        <f t="shared" si="381"/>
        <v>0</v>
      </c>
      <c r="K899" s="67">
        <v>45457</v>
      </c>
      <c r="L899" s="64">
        <f t="shared" si="382"/>
        <v>0</v>
      </c>
      <c r="M899" s="64">
        <f t="shared" si="383"/>
        <v>0</v>
      </c>
      <c r="N899" s="67">
        <f t="shared" si="387"/>
        <v>45461</v>
      </c>
      <c r="O899" s="64">
        <f t="shared" si="384"/>
        <v>1</v>
      </c>
      <c r="P899" s="64">
        <f t="shared" si="385"/>
        <v>0</v>
      </c>
      <c r="Q899" s="91" t="str">
        <f t="shared" si="378"/>
        <v>Selesai</v>
      </c>
      <c r="R899" s="64">
        <f t="shared" si="386"/>
        <v>0</v>
      </c>
      <c r="S899" s="67">
        <v>45459</v>
      </c>
      <c r="T899" s="67">
        <v>45485</v>
      </c>
      <c r="U899" s="64">
        <f t="shared" si="379"/>
        <v>1</v>
      </c>
      <c r="V899" s="66"/>
      <c r="W899" s="66"/>
      <c r="X899" s="93"/>
      <c r="Y899" s="94"/>
      <c r="Z899" s="91" t="str">
        <f t="shared" si="380"/>
        <v>100%</v>
      </c>
      <c r="AA899" s="67"/>
      <c r="AB899" s="473"/>
      <c r="AC899" s="478" t="s">
        <v>2711</v>
      </c>
      <c r="AD899" s="67"/>
    </row>
    <row r="900" spans="2:30">
      <c r="B900" s="64" t="s">
        <v>113</v>
      </c>
      <c r="C900" s="65" t="s">
        <v>347</v>
      </c>
      <c r="D900" s="66">
        <f>VLOOKUP($C900,[10]Nanas!$C$826:$E$1003,3,0)</f>
        <v>5.84</v>
      </c>
      <c r="E900" s="67">
        <v>45448</v>
      </c>
      <c r="F900" s="64">
        <f t="shared" si="390"/>
        <v>1</v>
      </c>
      <c r="G900" s="67">
        <v>45450</v>
      </c>
      <c r="H900" s="64">
        <f t="shared" si="389"/>
        <v>1</v>
      </c>
      <c r="I900" s="67">
        <v>45458</v>
      </c>
      <c r="J900" s="64">
        <f t="shared" si="381"/>
        <v>0</v>
      </c>
      <c r="K900" s="67">
        <v>45461</v>
      </c>
      <c r="L900" s="64">
        <f t="shared" si="382"/>
        <v>0</v>
      </c>
      <c r="M900" s="64">
        <f t="shared" si="383"/>
        <v>0</v>
      </c>
      <c r="N900" s="67">
        <f t="shared" si="387"/>
        <v>45462</v>
      </c>
      <c r="O900" s="64">
        <f t="shared" si="384"/>
        <v>1</v>
      </c>
      <c r="P900" s="64">
        <f t="shared" si="385"/>
        <v>0</v>
      </c>
      <c r="Q900" s="91" t="str">
        <f t="shared" si="378"/>
        <v>Selesai</v>
      </c>
      <c r="R900" s="64">
        <f t="shared" si="386"/>
        <v>0</v>
      </c>
      <c r="S900" s="67">
        <v>45467</v>
      </c>
      <c r="T900" s="67">
        <v>45497</v>
      </c>
      <c r="U900" s="64">
        <f t="shared" si="379"/>
        <v>1</v>
      </c>
      <c r="V900" s="66"/>
      <c r="W900" s="66"/>
      <c r="X900" s="93"/>
      <c r="Y900" s="94"/>
      <c r="Z900" s="91" t="str">
        <f t="shared" si="380"/>
        <v>100%</v>
      </c>
      <c r="AA900" s="67"/>
      <c r="AB900" s="473"/>
      <c r="AC900" s="478" t="s">
        <v>2711</v>
      </c>
      <c r="AD900" s="67"/>
    </row>
    <row r="901" spans="2:30">
      <c r="B901" s="64" t="s">
        <v>113</v>
      </c>
      <c r="C901" s="65" t="s">
        <v>352</v>
      </c>
      <c r="D901" s="66">
        <f>VLOOKUP($C901,[10]Nanas!$C$826:$E$1003,3,0)</f>
        <v>7.61</v>
      </c>
      <c r="E901" s="67">
        <v>45448</v>
      </c>
      <c r="F901" s="64">
        <f t="shared" si="390"/>
        <v>1</v>
      </c>
      <c r="G901" s="67">
        <v>45450</v>
      </c>
      <c r="H901" s="64">
        <f t="shared" si="389"/>
        <v>1</v>
      </c>
      <c r="I901" s="67">
        <f>+K901+2</f>
        <v>45460</v>
      </c>
      <c r="J901" s="64">
        <f t="shared" si="381"/>
        <v>0</v>
      </c>
      <c r="K901" s="67">
        <v>45458</v>
      </c>
      <c r="L901" s="64">
        <f t="shared" si="382"/>
        <v>0</v>
      </c>
      <c r="M901" s="64">
        <f t="shared" si="383"/>
        <v>0</v>
      </c>
      <c r="N901" s="67">
        <f t="shared" si="387"/>
        <v>45461</v>
      </c>
      <c r="O901" s="64">
        <f t="shared" si="384"/>
        <v>1</v>
      </c>
      <c r="P901" s="64">
        <f t="shared" si="385"/>
        <v>0</v>
      </c>
      <c r="Q901" s="91" t="str">
        <f t="shared" si="378"/>
        <v>Selesai</v>
      </c>
      <c r="R901" s="64">
        <f t="shared" si="386"/>
        <v>0</v>
      </c>
      <c r="S901" s="67">
        <v>45460</v>
      </c>
      <c r="T901" s="67">
        <v>45498</v>
      </c>
      <c r="U901" s="64">
        <f t="shared" si="379"/>
        <v>1</v>
      </c>
      <c r="V901" s="66"/>
      <c r="W901" s="66"/>
      <c r="X901" s="93"/>
      <c r="Y901" s="94"/>
      <c r="Z901" s="91" t="str">
        <f t="shared" si="380"/>
        <v>100%</v>
      </c>
      <c r="AA901" s="67"/>
      <c r="AB901" s="473"/>
      <c r="AC901" s="478" t="s">
        <v>2711</v>
      </c>
      <c r="AD901" s="67"/>
    </row>
    <row r="902" spans="2:30">
      <c r="B902" s="232" t="s">
        <v>118</v>
      </c>
      <c r="C902" s="65" t="s">
        <v>444</v>
      </c>
      <c r="D902" s="66">
        <f>VLOOKUP($C902,[10]Nanas!$C$826:$E$1003,3,0)</f>
        <v>7.75</v>
      </c>
      <c r="E902" s="67">
        <v>45462</v>
      </c>
      <c r="F902" s="64">
        <f t="shared" si="390"/>
        <v>1</v>
      </c>
      <c r="G902" s="67">
        <v>45467</v>
      </c>
      <c r="H902" s="64">
        <f t="shared" si="389"/>
        <v>1</v>
      </c>
      <c r="I902" s="67">
        <f>+K902+4</f>
        <v>45471</v>
      </c>
      <c r="J902" s="64">
        <f t="shared" si="381"/>
        <v>0</v>
      </c>
      <c r="K902" s="67">
        <v>45467</v>
      </c>
      <c r="L902" s="64">
        <f t="shared" si="382"/>
        <v>0</v>
      </c>
      <c r="M902" s="64">
        <f t="shared" si="383"/>
        <v>0</v>
      </c>
      <c r="N902" s="67">
        <f t="shared" si="387"/>
        <v>45472</v>
      </c>
      <c r="O902" s="64">
        <f t="shared" si="384"/>
        <v>1</v>
      </c>
      <c r="P902" s="64">
        <f t="shared" si="385"/>
        <v>0</v>
      </c>
      <c r="Q902" s="91" t="str">
        <f t="shared" si="378"/>
        <v>Selesai</v>
      </c>
      <c r="R902" s="64">
        <f t="shared" si="386"/>
        <v>0</v>
      </c>
      <c r="S902" s="67">
        <v>45468</v>
      </c>
      <c r="T902" s="67">
        <v>45490</v>
      </c>
      <c r="U902" s="64">
        <f t="shared" si="379"/>
        <v>1</v>
      </c>
      <c r="V902" s="66"/>
      <c r="W902" s="66"/>
      <c r="X902" s="93"/>
      <c r="Y902" s="94"/>
      <c r="Z902" s="91" t="str">
        <f t="shared" si="380"/>
        <v>100%</v>
      </c>
      <c r="AA902" s="67"/>
      <c r="AB902" s="473"/>
      <c r="AC902" s="478" t="s">
        <v>2711</v>
      </c>
      <c r="AD902" s="67"/>
    </row>
    <row r="903" spans="2:30">
      <c r="B903" s="64" t="s">
        <v>111</v>
      </c>
      <c r="C903" s="65" t="s">
        <v>385</v>
      </c>
      <c r="D903" s="66">
        <f>VLOOKUP($C903,[10]Nanas!$C$826:$E$1003,3,0)</f>
        <v>8.4499999999999993</v>
      </c>
      <c r="E903" s="67">
        <v>45461</v>
      </c>
      <c r="F903" s="64">
        <f t="shared" si="390"/>
        <v>1</v>
      </c>
      <c r="G903" s="67">
        <v>45464</v>
      </c>
      <c r="H903" s="64">
        <f t="shared" si="389"/>
        <v>1</v>
      </c>
      <c r="I903" s="67">
        <f>+K903+7</f>
        <v>45470</v>
      </c>
      <c r="J903" s="64">
        <f t="shared" si="381"/>
        <v>0</v>
      </c>
      <c r="K903" s="67">
        <v>45463</v>
      </c>
      <c r="L903" s="64">
        <f t="shared" si="382"/>
        <v>0</v>
      </c>
      <c r="M903" s="64">
        <f t="shared" si="383"/>
        <v>0</v>
      </c>
      <c r="N903" s="67">
        <f t="shared" si="387"/>
        <v>45471</v>
      </c>
      <c r="O903" s="64">
        <f t="shared" si="384"/>
        <v>1</v>
      </c>
      <c r="P903" s="64">
        <f t="shared" si="385"/>
        <v>0</v>
      </c>
      <c r="Q903" s="91" t="str">
        <f t="shared" si="378"/>
        <v>Selesai</v>
      </c>
      <c r="R903" s="64">
        <f t="shared" si="386"/>
        <v>0</v>
      </c>
      <c r="S903" s="67">
        <v>45465</v>
      </c>
      <c r="T903" s="67">
        <v>45490</v>
      </c>
      <c r="U903" s="64">
        <f t="shared" si="379"/>
        <v>1</v>
      </c>
      <c r="V903" s="66"/>
      <c r="W903" s="66"/>
      <c r="X903" s="93"/>
      <c r="Y903" s="94"/>
      <c r="Z903" s="91" t="str">
        <f t="shared" si="380"/>
        <v>100%</v>
      </c>
      <c r="AA903" s="67"/>
      <c r="AB903" s="473"/>
      <c r="AC903" s="478" t="s">
        <v>2711</v>
      </c>
      <c r="AD903" s="67"/>
    </row>
    <row r="904" spans="2:30">
      <c r="B904" s="64" t="s">
        <v>111</v>
      </c>
      <c r="C904" s="65" t="s">
        <v>393</v>
      </c>
      <c r="D904" s="66">
        <f>VLOOKUP($C904,[10]Nanas!$C$826:$E$1003,3,0)</f>
        <v>6.24</v>
      </c>
      <c r="E904" s="67">
        <v>45462</v>
      </c>
      <c r="F904" s="64">
        <f t="shared" si="390"/>
        <v>1</v>
      </c>
      <c r="G904" s="67">
        <v>45464</v>
      </c>
      <c r="H904" s="64">
        <f t="shared" si="389"/>
        <v>1</v>
      </c>
      <c r="I904" s="67">
        <f>+K904+7</f>
        <v>45470</v>
      </c>
      <c r="J904" s="64">
        <f t="shared" si="381"/>
        <v>0</v>
      </c>
      <c r="K904" s="67">
        <v>45463</v>
      </c>
      <c r="L904" s="64">
        <f t="shared" si="382"/>
        <v>0</v>
      </c>
      <c r="M904" s="64">
        <f t="shared" si="383"/>
        <v>0</v>
      </c>
      <c r="N904" s="67">
        <f t="shared" si="387"/>
        <v>45471</v>
      </c>
      <c r="O904" s="64">
        <f t="shared" si="384"/>
        <v>1</v>
      </c>
      <c r="P904" s="64">
        <f t="shared" si="385"/>
        <v>0</v>
      </c>
      <c r="Q904" s="91" t="str">
        <f t="shared" si="378"/>
        <v>Selesai</v>
      </c>
      <c r="R904" s="64">
        <f t="shared" si="386"/>
        <v>0</v>
      </c>
      <c r="S904" s="67">
        <v>45467</v>
      </c>
      <c r="T904" s="67">
        <v>45490</v>
      </c>
      <c r="U904" s="64">
        <f t="shared" si="379"/>
        <v>1</v>
      </c>
      <c r="V904" s="66"/>
      <c r="W904" s="66"/>
      <c r="X904" s="93"/>
      <c r="Y904" s="94"/>
      <c r="Z904" s="91" t="str">
        <f t="shared" si="380"/>
        <v>100%</v>
      </c>
      <c r="AA904" s="67"/>
      <c r="AB904" s="473"/>
      <c r="AC904" s="478" t="s">
        <v>2711</v>
      </c>
      <c r="AD904" s="67"/>
    </row>
    <row r="905" spans="2:30">
      <c r="B905" s="64" t="s">
        <v>111</v>
      </c>
      <c r="C905" s="65" t="s">
        <v>384</v>
      </c>
      <c r="D905" s="66">
        <f>VLOOKUP($C905,[10]Nanas!$C$826:$E$1003,3,0)</f>
        <v>6.36</v>
      </c>
      <c r="E905" s="67">
        <v>45462</v>
      </c>
      <c r="F905" s="64">
        <f t="shared" si="390"/>
        <v>1</v>
      </c>
      <c r="G905" s="67">
        <v>45464</v>
      </c>
      <c r="H905" s="64">
        <f t="shared" si="389"/>
        <v>1</v>
      </c>
      <c r="I905" s="67">
        <f>+K905+7</f>
        <v>45470</v>
      </c>
      <c r="J905" s="64">
        <f t="shared" si="381"/>
        <v>0</v>
      </c>
      <c r="K905" s="67">
        <v>45463</v>
      </c>
      <c r="L905" s="64">
        <f t="shared" si="382"/>
        <v>0</v>
      </c>
      <c r="M905" s="64">
        <f t="shared" si="383"/>
        <v>0</v>
      </c>
      <c r="N905" s="67">
        <f t="shared" si="387"/>
        <v>45471</v>
      </c>
      <c r="O905" s="64">
        <f t="shared" si="384"/>
        <v>1</v>
      </c>
      <c r="P905" s="64">
        <f t="shared" si="385"/>
        <v>0</v>
      </c>
      <c r="Q905" s="91" t="str">
        <f t="shared" ref="Q905:Q965" si="391">IF(T905&gt;0,"Selesai","Proses")</f>
        <v>Selesai</v>
      </c>
      <c r="R905" s="64">
        <f t="shared" si="386"/>
        <v>0</v>
      </c>
      <c r="S905" s="67">
        <v>45468</v>
      </c>
      <c r="T905" s="67">
        <v>45490</v>
      </c>
      <c r="U905" s="64">
        <f t="shared" ref="U905:U968" si="392">IF(T905&gt;0,1,0)</f>
        <v>1</v>
      </c>
      <c r="V905" s="66"/>
      <c r="W905" s="66"/>
      <c r="X905" s="93"/>
      <c r="Y905" s="94"/>
      <c r="Z905" s="91" t="str">
        <f t="shared" si="380"/>
        <v>100%</v>
      </c>
      <c r="AA905" s="67"/>
      <c r="AB905" s="473"/>
      <c r="AC905" s="478" t="s">
        <v>2711</v>
      </c>
      <c r="AD905" s="67"/>
    </row>
    <row r="906" spans="2:30">
      <c r="B906" s="64" t="s">
        <v>111</v>
      </c>
      <c r="C906" s="65" t="s">
        <v>390</v>
      </c>
      <c r="D906" s="66">
        <f>VLOOKUP($C906,[10]Nanas!$C$826:$E$1003,3,0)</f>
        <v>1.97</v>
      </c>
      <c r="E906" s="67">
        <v>45462</v>
      </c>
      <c r="F906" s="64">
        <f t="shared" si="390"/>
        <v>1</v>
      </c>
      <c r="G906" s="67">
        <v>45464</v>
      </c>
      <c r="H906" s="64">
        <f t="shared" si="389"/>
        <v>1</v>
      </c>
      <c r="I906" s="67">
        <f>+K906+7</f>
        <v>45470</v>
      </c>
      <c r="J906" s="64">
        <f t="shared" si="381"/>
        <v>0</v>
      </c>
      <c r="K906" s="67">
        <v>45463</v>
      </c>
      <c r="L906" s="64">
        <f t="shared" si="382"/>
        <v>0</v>
      </c>
      <c r="M906" s="64">
        <f t="shared" si="383"/>
        <v>0</v>
      </c>
      <c r="N906" s="67">
        <f t="shared" si="387"/>
        <v>45471</v>
      </c>
      <c r="O906" s="64">
        <f t="shared" si="384"/>
        <v>1</v>
      </c>
      <c r="P906" s="64">
        <f t="shared" si="385"/>
        <v>0</v>
      </c>
      <c r="Q906" s="91" t="str">
        <f t="shared" si="391"/>
        <v>Selesai</v>
      </c>
      <c r="R906" s="64">
        <f t="shared" si="386"/>
        <v>0</v>
      </c>
      <c r="S906" s="67">
        <v>45469</v>
      </c>
      <c r="T906" s="67">
        <v>45490</v>
      </c>
      <c r="U906" s="64">
        <f t="shared" si="392"/>
        <v>1</v>
      </c>
      <c r="V906" s="66"/>
      <c r="W906" s="66"/>
      <c r="X906" s="93"/>
      <c r="Y906" s="94"/>
      <c r="Z906" s="91" t="str">
        <f t="shared" ref="Z906:Z969" si="393">IF(T906="","","100%")</f>
        <v>100%</v>
      </c>
      <c r="AA906" s="67"/>
      <c r="AB906" s="473"/>
      <c r="AC906" s="478" t="s">
        <v>2711</v>
      </c>
      <c r="AD906" s="67"/>
    </row>
    <row r="907" spans="2:30">
      <c r="B907" s="64" t="s">
        <v>107</v>
      </c>
      <c r="C907" s="65" t="s">
        <v>414</v>
      </c>
      <c r="D907" s="66">
        <f>VLOOKUP($C907,[10]Nanas!$C$826:$E$1003,3,0)</f>
        <v>5.32</v>
      </c>
      <c r="E907" s="67">
        <v>45447</v>
      </c>
      <c r="F907" s="64">
        <f t="shared" si="390"/>
        <v>1</v>
      </c>
      <c r="G907" s="67">
        <v>45457</v>
      </c>
      <c r="H907" s="64">
        <f t="shared" si="389"/>
        <v>1</v>
      </c>
      <c r="I907" s="67">
        <f>+K907+4</f>
        <v>45461</v>
      </c>
      <c r="J907" s="64">
        <f t="shared" si="381"/>
        <v>0</v>
      </c>
      <c r="K907" s="67">
        <v>45457</v>
      </c>
      <c r="L907" s="64">
        <f t="shared" si="382"/>
        <v>0</v>
      </c>
      <c r="M907" s="64">
        <f t="shared" si="383"/>
        <v>0</v>
      </c>
      <c r="N907" s="67">
        <f t="shared" si="387"/>
        <v>45462</v>
      </c>
      <c r="O907" s="64">
        <f t="shared" si="384"/>
        <v>1</v>
      </c>
      <c r="P907" s="64">
        <f t="shared" si="385"/>
        <v>0</v>
      </c>
      <c r="Q907" s="91" t="str">
        <f t="shared" si="391"/>
        <v>Selesai</v>
      </c>
      <c r="R907" s="64">
        <f t="shared" si="386"/>
        <v>0</v>
      </c>
      <c r="S907" s="67">
        <v>45462</v>
      </c>
      <c r="T907" s="67">
        <v>45495</v>
      </c>
      <c r="U907" s="64">
        <f t="shared" si="392"/>
        <v>1</v>
      </c>
      <c r="V907" s="66"/>
      <c r="W907" s="66"/>
      <c r="X907" s="93"/>
      <c r="Y907" s="94"/>
      <c r="Z907" s="91" t="str">
        <f t="shared" si="393"/>
        <v>100%</v>
      </c>
      <c r="AA907" s="67"/>
      <c r="AB907" s="473"/>
      <c r="AC907" s="478" t="s">
        <v>2711</v>
      </c>
      <c r="AD907" s="67"/>
    </row>
    <row r="908" spans="2:30">
      <c r="B908" s="64" t="s">
        <v>107</v>
      </c>
      <c r="C908" s="65" t="s">
        <v>879</v>
      </c>
      <c r="D908" s="66">
        <f>VLOOKUP($C908,[10]Nanas!$C$826:$E$1003,3,0)</f>
        <v>5.5</v>
      </c>
      <c r="E908" s="67">
        <v>45432</v>
      </c>
      <c r="F908" s="64">
        <f t="shared" si="390"/>
        <v>1</v>
      </c>
      <c r="G908" s="67">
        <v>45434</v>
      </c>
      <c r="H908" s="64">
        <f t="shared" si="389"/>
        <v>1</v>
      </c>
      <c r="I908" s="67">
        <f>+G908+5</f>
        <v>45439</v>
      </c>
      <c r="J908" s="64">
        <f t="shared" si="381"/>
        <v>0</v>
      </c>
      <c r="K908" s="67">
        <v>45448</v>
      </c>
      <c r="L908" s="64">
        <f t="shared" si="382"/>
        <v>0</v>
      </c>
      <c r="M908" s="64">
        <f t="shared" si="383"/>
        <v>0</v>
      </c>
      <c r="N908" s="67">
        <f t="shared" si="387"/>
        <v>45449</v>
      </c>
      <c r="O908" s="64">
        <f t="shared" si="384"/>
        <v>1</v>
      </c>
      <c r="P908" s="64">
        <f t="shared" si="385"/>
        <v>0</v>
      </c>
      <c r="Q908" s="91" t="str">
        <f t="shared" si="391"/>
        <v>Selesai</v>
      </c>
      <c r="R908" s="64">
        <f t="shared" si="386"/>
        <v>0</v>
      </c>
      <c r="S908" s="67">
        <v>45453</v>
      </c>
      <c r="T908" s="67">
        <v>45488</v>
      </c>
      <c r="U908" s="64">
        <f t="shared" si="392"/>
        <v>1</v>
      </c>
      <c r="V908" s="66"/>
      <c r="W908" s="66"/>
      <c r="X908" s="93"/>
      <c r="Y908" s="94"/>
      <c r="Z908" s="91" t="str">
        <f t="shared" si="393"/>
        <v>100%</v>
      </c>
      <c r="AA908" s="67"/>
      <c r="AB908" s="473"/>
      <c r="AC908" s="478" t="s">
        <v>2711</v>
      </c>
      <c r="AD908" s="67"/>
    </row>
    <row r="909" spans="2:30">
      <c r="B909" s="64" t="s">
        <v>107</v>
      </c>
      <c r="C909" s="65" t="s">
        <v>482</v>
      </c>
      <c r="D909" s="66">
        <f>VLOOKUP($C909,[10]Nanas!$C$826:$E$1003,3,0)</f>
        <v>3.87</v>
      </c>
      <c r="E909" s="67">
        <v>45447</v>
      </c>
      <c r="F909" s="64">
        <f t="shared" si="390"/>
        <v>1</v>
      </c>
      <c r="G909" s="67">
        <v>45462</v>
      </c>
      <c r="H909" s="64">
        <f t="shared" si="389"/>
        <v>1</v>
      </c>
      <c r="I909" s="67">
        <f>+K909+6</f>
        <v>45463</v>
      </c>
      <c r="J909" s="64">
        <f t="shared" si="381"/>
        <v>0</v>
      </c>
      <c r="K909" s="67">
        <v>45457</v>
      </c>
      <c r="L909" s="64">
        <f t="shared" si="382"/>
        <v>0</v>
      </c>
      <c r="M909" s="64">
        <f t="shared" si="383"/>
        <v>0</v>
      </c>
      <c r="N909" s="67">
        <f t="shared" si="387"/>
        <v>45464</v>
      </c>
      <c r="O909" s="64">
        <f t="shared" si="384"/>
        <v>1</v>
      </c>
      <c r="P909" s="64">
        <f t="shared" si="385"/>
        <v>0</v>
      </c>
      <c r="Q909" s="91" t="str">
        <f t="shared" si="391"/>
        <v>Selesai</v>
      </c>
      <c r="R909" s="64">
        <f t="shared" si="386"/>
        <v>0</v>
      </c>
      <c r="S909" s="67">
        <v>45479</v>
      </c>
      <c r="T909" s="67">
        <v>45497</v>
      </c>
      <c r="U909" s="64">
        <f t="shared" si="392"/>
        <v>1</v>
      </c>
      <c r="V909" s="66"/>
      <c r="W909" s="66"/>
      <c r="X909" s="93"/>
      <c r="Y909" s="94"/>
      <c r="Z909" s="91" t="str">
        <f t="shared" si="393"/>
        <v>100%</v>
      </c>
      <c r="AA909" s="67"/>
      <c r="AB909" s="473"/>
      <c r="AC909" s="478" t="s">
        <v>2711</v>
      </c>
      <c r="AD909" s="67"/>
    </row>
    <row r="910" spans="2:30">
      <c r="B910" s="64" t="s">
        <v>113</v>
      </c>
      <c r="C910" s="65" t="s">
        <v>441</v>
      </c>
      <c r="D910" s="66">
        <f>VLOOKUP($C910,[10]Nanas!$C$826:$E$1003,3,0)</f>
        <v>11.44</v>
      </c>
      <c r="E910" s="67">
        <v>45469</v>
      </c>
      <c r="F910" s="64">
        <f t="shared" si="390"/>
        <v>1</v>
      </c>
      <c r="G910" s="67">
        <v>45471</v>
      </c>
      <c r="H910" s="64">
        <f t="shared" si="389"/>
        <v>1</v>
      </c>
      <c r="I910" s="67">
        <f>+K910+5</f>
        <v>45475</v>
      </c>
      <c r="J910" s="64">
        <f t="shared" si="381"/>
        <v>0</v>
      </c>
      <c r="K910" s="67">
        <v>45470</v>
      </c>
      <c r="L910" s="64">
        <f t="shared" si="382"/>
        <v>0</v>
      </c>
      <c r="M910" s="64">
        <f t="shared" si="383"/>
        <v>0</v>
      </c>
      <c r="N910" s="67">
        <f t="shared" si="387"/>
        <v>45476</v>
      </c>
      <c r="O910" s="64">
        <f t="shared" si="384"/>
        <v>1</v>
      </c>
      <c r="P910" s="64">
        <f t="shared" si="385"/>
        <v>0</v>
      </c>
      <c r="Q910" s="91" t="str">
        <f t="shared" si="391"/>
        <v>Selesai</v>
      </c>
      <c r="R910" s="64">
        <f t="shared" si="386"/>
        <v>0</v>
      </c>
      <c r="S910" s="67">
        <v>45471</v>
      </c>
      <c r="T910" s="67">
        <v>45502</v>
      </c>
      <c r="U910" s="64">
        <f t="shared" si="392"/>
        <v>1</v>
      </c>
      <c r="V910" s="66"/>
      <c r="W910" s="66"/>
      <c r="X910" s="93"/>
      <c r="Y910" s="94"/>
      <c r="Z910" s="91" t="str">
        <f t="shared" si="393"/>
        <v>100%</v>
      </c>
      <c r="AA910" s="67"/>
      <c r="AB910" s="473"/>
      <c r="AC910" s="478" t="s">
        <v>2711</v>
      </c>
      <c r="AD910" s="67"/>
    </row>
    <row r="911" spans="2:30">
      <c r="B911" s="64" t="s">
        <v>111</v>
      </c>
      <c r="C911" s="65" t="s">
        <v>415</v>
      </c>
      <c r="D911" s="66">
        <f>VLOOKUP($C911,[10]Nanas!$C$826:$E$1003,3,0)</f>
        <v>1.45</v>
      </c>
      <c r="E911" s="67">
        <v>45470</v>
      </c>
      <c r="F911" s="64">
        <f t="shared" si="390"/>
        <v>1</v>
      </c>
      <c r="G911" s="67">
        <v>45473</v>
      </c>
      <c r="H911" s="64">
        <f t="shared" si="389"/>
        <v>1</v>
      </c>
      <c r="I911" s="67">
        <f>+K911+7</f>
        <v>45481</v>
      </c>
      <c r="J911" s="64">
        <f t="shared" si="381"/>
        <v>0</v>
      </c>
      <c r="K911" s="67">
        <v>45474</v>
      </c>
      <c r="L911" s="64">
        <f t="shared" si="382"/>
        <v>0</v>
      </c>
      <c r="M911" s="64">
        <f t="shared" si="383"/>
        <v>0</v>
      </c>
      <c r="N911" s="67">
        <f t="shared" si="387"/>
        <v>45482</v>
      </c>
      <c r="O911" s="64">
        <f t="shared" si="384"/>
        <v>1</v>
      </c>
      <c r="P911" s="64">
        <f t="shared" si="385"/>
        <v>0</v>
      </c>
      <c r="Q911" s="91" t="str">
        <f t="shared" si="391"/>
        <v>Selesai</v>
      </c>
      <c r="R911" s="64">
        <f t="shared" si="386"/>
        <v>0</v>
      </c>
      <c r="S911" s="67">
        <v>45479</v>
      </c>
      <c r="T911" s="67">
        <v>45499</v>
      </c>
      <c r="U911" s="64">
        <f t="shared" si="392"/>
        <v>1</v>
      </c>
      <c r="V911" s="66"/>
      <c r="W911" s="66"/>
      <c r="X911" s="93"/>
      <c r="Y911" s="94"/>
      <c r="Z911" s="91" t="str">
        <f t="shared" si="393"/>
        <v>100%</v>
      </c>
      <c r="AA911" s="67"/>
      <c r="AB911" s="473"/>
      <c r="AC911" s="478" t="s">
        <v>2711</v>
      </c>
      <c r="AD911" s="67"/>
    </row>
    <row r="912" spans="2:30">
      <c r="B912" s="64" t="s">
        <v>109</v>
      </c>
      <c r="C912" s="65" t="s">
        <v>982</v>
      </c>
      <c r="D912" s="66">
        <f>VLOOKUP($C912,[10]Nanas!$C$826:$E$1003,3,0)</f>
        <v>4.33</v>
      </c>
      <c r="E912" s="67">
        <v>45448</v>
      </c>
      <c r="F912" s="64">
        <f t="shared" si="390"/>
        <v>1</v>
      </c>
      <c r="G912" s="67">
        <v>45449</v>
      </c>
      <c r="H912" s="64">
        <f t="shared" si="389"/>
        <v>1</v>
      </c>
      <c r="I912" s="67">
        <f>+K912+7</f>
        <v>45457</v>
      </c>
      <c r="J912" s="64">
        <f t="shared" ref="J912:J975" si="394">IF(I912&gt;0,0,1)</f>
        <v>0</v>
      </c>
      <c r="K912" s="67">
        <v>45450</v>
      </c>
      <c r="L912" s="64">
        <f t="shared" ref="L912:L975" si="395">IF(K912&gt;0,0,1)</f>
        <v>0</v>
      </c>
      <c r="M912" s="64">
        <f t="shared" ref="M912:M975" si="396">IF(AND(J912&gt;0,L912&gt;0),1,0)</f>
        <v>0</v>
      </c>
      <c r="N912" s="67">
        <f t="shared" si="387"/>
        <v>45458</v>
      </c>
      <c r="O912" s="64">
        <f t="shared" ref="O912:O975" si="397">IF(N912&gt;0,1,0)</f>
        <v>1</v>
      </c>
      <c r="P912" s="64">
        <f t="shared" ref="P912:P975" si="398">IF(O912&gt;0,0,1)</f>
        <v>0</v>
      </c>
      <c r="Q912" s="91" t="str">
        <f t="shared" si="391"/>
        <v>Selesai</v>
      </c>
      <c r="R912" s="64">
        <f t="shared" ref="R912:R975" si="399">IF(Q912="proses",1,0)</f>
        <v>0</v>
      </c>
      <c r="S912" s="67">
        <v>45464</v>
      </c>
      <c r="T912" s="67">
        <v>45499</v>
      </c>
      <c r="U912" s="64">
        <f t="shared" si="392"/>
        <v>1</v>
      </c>
      <c r="V912" s="66"/>
      <c r="W912" s="66"/>
      <c r="X912" s="93"/>
      <c r="Y912" s="94"/>
      <c r="Z912" s="91" t="str">
        <f t="shared" si="393"/>
        <v>100%</v>
      </c>
      <c r="AA912" s="67"/>
      <c r="AB912" s="473"/>
      <c r="AC912" s="478" t="s">
        <v>2711</v>
      </c>
      <c r="AD912" s="67"/>
    </row>
    <row r="913" spans="2:30">
      <c r="B913" s="64" t="s">
        <v>111</v>
      </c>
      <c r="C913" s="65" t="s">
        <v>380</v>
      </c>
      <c r="D913" s="66">
        <f>VLOOKUP($C913,[10]Nanas!$C$826:$E$1003,3,0)</f>
        <v>8.51</v>
      </c>
      <c r="E913" s="67">
        <v>45464</v>
      </c>
      <c r="F913" s="64">
        <f t="shared" si="390"/>
        <v>1</v>
      </c>
      <c r="G913" s="67">
        <v>45468</v>
      </c>
      <c r="H913" s="64">
        <f t="shared" si="389"/>
        <v>1</v>
      </c>
      <c r="I913" s="67">
        <f>+K913+5</f>
        <v>45470</v>
      </c>
      <c r="J913" s="64">
        <f t="shared" si="394"/>
        <v>0</v>
      </c>
      <c r="K913" s="67">
        <v>45465</v>
      </c>
      <c r="L913" s="64">
        <f t="shared" si="395"/>
        <v>0</v>
      </c>
      <c r="M913" s="64">
        <f t="shared" si="396"/>
        <v>0</v>
      </c>
      <c r="N913" s="67">
        <f t="shared" ref="N913:N965" si="400">IF(AND(I913&gt;0,K913&gt;0),MAX(I913:K913)+1,"")</f>
        <v>45471</v>
      </c>
      <c r="O913" s="64">
        <f t="shared" si="397"/>
        <v>1</v>
      </c>
      <c r="P913" s="64">
        <f t="shared" si="398"/>
        <v>0</v>
      </c>
      <c r="Q913" s="91" t="str">
        <f t="shared" si="391"/>
        <v>Selesai</v>
      </c>
      <c r="R913" s="64">
        <f t="shared" si="399"/>
        <v>0</v>
      </c>
      <c r="S913" s="67">
        <v>45470</v>
      </c>
      <c r="T913" s="67">
        <v>45500</v>
      </c>
      <c r="U913" s="64">
        <f t="shared" si="392"/>
        <v>1</v>
      </c>
      <c r="V913" s="66"/>
      <c r="W913" s="66"/>
      <c r="X913" s="93"/>
      <c r="Y913" s="94"/>
      <c r="Z913" s="91" t="str">
        <f t="shared" si="393"/>
        <v>100%</v>
      </c>
      <c r="AA913" s="67"/>
      <c r="AB913" s="473"/>
      <c r="AC913" s="478" t="s">
        <v>2711</v>
      </c>
      <c r="AD913" s="67"/>
    </row>
    <row r="914" spans="2:30">
      <c r="B914" s="64" t="s">
        <v>107</v>
      </c>
      <c r="C914" s="65" t="s">
        <v>479</v>
      </c>
      <c r="D914" s="66">
        <f>VLOOKUP($C914,[10]Nanas!$C$826:$E$1003,3,0)</f>
        <v>6.34</v>
      </c>
      <c r="E914" s="67">
        <v>45464</v>
      </c>
      <c r="F914" s="64">
        <f t="shared" si="390"/>
        <v>1</v>
      </c>
      <c r="G914" s="67">
        <v>45476</v>
      </c>
      <c r="H914" s="64">
        <f t="shared" si="389"/>
        <v>1</v>
      </c>
      <c r="I914" s="67">
        <f>+K914+5</f>
        <v>45480</v>
      </c>
      <c r="J914" s="64">
        <f t="shared" si="394"/>
        <v>0</v>
      </c>
      <c r="K914" s="67">
        <v>45475</v>
      </c>
      <c r="L914" s="64">
        <f t="shared" si="395"/>
        <v>0</v>
      </c>
      <c r="M914" s="64">
        <f t="shared" si="396"/>
        <v>0</v>
      </c>
      <c r="N914" s="67">
        <f t="shared" si="400"/>
        <v>45481</v>
      </c>
      <c r="O914" s="64">
        <f t="shared" si="397"/>
        <v>1</v>
      </c>
      <c r="P914" s="64">
        <f t="shared" si="398"/>
        <v>0</v>
      </c>
      <c r="Q914" s="91" t="str">
        <f t="shared" si="391"/>
        <v>Selesai</v>
      </c>
      <c r="R914" s="64">
        <f t="shared" si="399"/>
        <v>0</v>
      </c>
      <c r="S914" s="67">
        <v>45477</v>
      </c>
      <c r="T914" s="67">
        <v>45501</v>
      </c>
      <c r="U914" s="64">
        <f t="shared" si="392"/>
        <v>1</v>
      </c>
      <c r="V914" s="66"/>
      <c r="W914" s="66"/>
      <c r="X914" s="93"/>
      <c r="Y914" s="94"/>
      <c r="Z914" s="91" t="str">
        <f t="shared" si="393"/>
        <v>100%</v>
      </c>
      <c r="AA914" s="67"/>
      <c r="AB914" s="473"/>
      <c r="AC914" s="478" t="s">
        <v>2711</v>
      </c>
      <c r="AD914" s="67"/>
    </row>
    <row r="915" spans="2:30">
      <c r="B915" s="64" t="s">
        <v>111</v>
      </c>
      <c r="C915" s="65" t="s">
        <v>409</v>
      </c>
      <c r="D915" s="66">
        <f>VLOOKUP($C915,[10]Nanas!$C$826:$E$1003,3,0)</f>
        <v>9.14</v>
      </c>
      <c r="E915" s="67">
        <v>45463</v>
      </c>
      <c r="F915" s="64">
        <f t="shared" si="390"/>
        <v>1</v>
      </c>
      <c r="G915" s="67">
        <v>45467</v>
      </c>
      <c r="H915" s="64">
        <f t="shared" si="389"/>
        <v>1</v>
      </c>
      <c r="I915" s="67">
        <f>+K915+5</f>
        <v>45470</v>
      </c>
      <c r="J915" s="64">
        <f t="shared" si="394"/>
        <v>0</v>
      </c>
      <c r="K915" s="67">
        <v>45465</v>
      </c>
      <c r="L915" s="64">
        <f t="shared" si="395"/>
        <v>0</v>
      </c>
      <c r="M915" s="64">
        <f t="shared" si="396"/>
        <v>0</v>
      </c>
      <c r="N915" s="67">
        <f t="shared" si="400"/>
        <v>45471</v>
      </c>
      <c r="O915" s="64">
        <f t="shared" si="397"/>
        <v>1</v>
      </c>
      <c r="P915" s="64">
        <f t="shared" si="398"/>
        <v>0</v>
      </c>
      <c r="Q915" s="91" t="str">
        <f t="shared" si="391"/>
        <v>Selesai</v>
      </c>
      <c r="R915" s="64">
        <f t="shared" si="399"/>
        <v>0</v>
      </c>
      <c r="S915" s="67">
        <v>45473</v>
      </c>
      <c r="T915" s="67">
        <v>45500</v>
      </c>
      <c r="U915" s="64">
        <f t="shared" si="392"/>
        <v>1</v>
      </c>
      <c r="V915" s="66"/>
      <c r="W915" s="66"/>
      <c r="X915" s="93"/>
      <c r="Y915" s="94"/>
      <c r="Z915" s="91" t="str">
        <f t="shared" si="393"/>
        <v>100%</v>
      </c>
      <c r="AA915" s="67"/>
      <c r="AB915" s="473"/>
      <c r="AC915" s="478" t="s">
        <v>2711</v>
      </c>
      <c r="AD915" s="67"/>
    </row>
    <row r="916" spans="2:30">
      <c r="B916" s="64" t="s">
        <v>111</v>
      </c>
      <c r="C916" s="65" t="s">
        <v>379</v>
      </c>
      <c r="D916" s="66">
        <f>VLOOKUP($C916,[10]Nanas!$C$826:$E$1003,3,0)</f>
        <v>6.72</v>
      </c>
      <c r="E916" s="67">
        <v>45465</v>
      </c>
      <c r="F916" s="64">
        <f t="shared" si="390"/>
        <v>1</v>
      </c>
      <c r="G916" s="67">
        <v>45469</v>
      </c>
      <c r="H916" s="64">
        <f t="shared" si="389"/>
        <v>1</v>
      </c>
      <c r="I916" s="67">
        <f>+K916+5</f>
        <v>45474</v>
      </c>
      <c r="J916" s="64">
        <f t="shared" si="394"/>
        <v>0</v>
      </c>
      <c r="K916" s="67">
        <v>45469</v>
      </c>
      <c r="L916" s="64">
        <f t="shared" si="395"/>
        <v>0</v>
      </c>
      <c r="M916" s="64">
        <f t="shared" si="396"/>
        <v>0</v>
      </c>
      <c r="N916" s="67">
        <f t="shared" si="400"/>
        <v>45475</v>
      </c>
      <c r="O916" s="64">
        <f t="shared" si="397"/>
        <v>1</v>
      </c>
      <c r="P916" s="64">
        <f t="shared" si="398"/>
        <v>0</v>
      </c>
      <c r="Q916" s="91" t="str">
        <f t="shared" si="391"/>
        <v>Selesai</v>
      </c>
      <c r="R916" s="64">
        <f t="shared" si="399"/>
        <v>0</v>
      </c>
      <c r="S916" s="67">
        <v>45476</v>
      </c>
      <c r="T916" s="67">
        <v>45500</v>
      </c>
      <c r="U916" s="64">
        <f t="shared" si="392"/>
        <v>1</v>
      </c>
      <c r="V916" s="66"/>
      <c r="W916" s="66"/>
      <c r="X916" s="93"/>
      <c r="Y916" s="94"/>
      <c r="Z916" s="91" t="str">
        <f t="shared" si="393"/>
        <v>100%</v>
      </c>
      <c r="AA916" s="67"/>
      <c r="AB916" s="473"/>
      <c r="AC916" s="478" t="s">
        <v>2711</v>
      </c>
      <c r="AD916" s="67"/>
    </row>
    <row r="917" spans="2:30">
      <c r="B917" s="64" t="s">
        <v>109</v>
      </c>
      <c r="C917" s="65" t="s">
        <v>453</v>
      </c>
      <c r="D917" s="66">
        <f>VLOOKUP($C917,[10]Nanas!$C$826:$E$1003,3,0)</f>
        <v>6.63</v>
      </c>
      <c r="E917" s="67">
        <v>45475</v>
      </c>
      <c r="F917" s="64">
        <f t="shared" si="390"/>
        <v>1</v>
      </c>
      <c r="G917" s="67">
        <v>45480</v>
      </c>
      <c r="H917" s="64">
        <f t="shared" si="389"/>
        <v>1</v>
      </c>
      <c r="I917" s="67">
        <f>+K917+5</f>
        <v>45481</v>
      </c>
      <c r="J917" s="64">
        <f t="shared" si="394"/>
        <v>0</v>
      </c>
      <c r="K917" s="67">
        <v>45476</v>
      </c>
      <c r="L917" s="64">
        <f t="shared" si="395"/>
        <v>0</v>
      </c>
      <c r="M917" s="64">
        <f t="shared" si="396"/>
        <v>0</v>
      </c>
      <c r="N917" s="67">
        <f t="shared" si="400"/>
        <v>45482</v>
      </c>
      <c r="O917" s="64">
        <f t="shared" si="397"/>
        <v>1</v>
      </c>
      <c r="P917" s="64">
        <f t="shared" si="398"/>
        <v>0</v>
      </c>
      <c r="Q917" s="91" t="str">
        <f t="shared" si="391"/>
        <v>Selesai</v>
      </c>
      <c r="R917" s="64">
        <f t="shared" si="399"/>
        <v>0</v>
      </c>
      <c r="S917" s="67">
        <v>45479</v>
      </c>
      <c r="T917" s="67">
        <v>45502</v>
      </c>
      <c r="U917" s="64">
        <f t="shared" si="392"/>
        <v>1</v>
      </c>
      <c r="V917" s="66"/>
      <c r="W917" s="66"/>
      <c r="X917" s="93"/>
      <c r="Y917" s="94"/>
      <c r="Z917" s="91" t="str">
        <f t="shared" si="393"/>
        <v>100%</v>
      </c>
      <c r="AA917" s="67"/>
      <c r="AB917" s="473"/>
      <c r="AC917" s="478" t="s">
        <v>2711</v>
      </c>
      <c r="AD917" s="67"/>
    </row>
    <row r="918" spans="2:30">
      <c r="B918" s="64" t="s">
        <v>118</v>
      </c>
      <c r="C918" s="65" t="s">
        <v>381</v>
      </c>
      <c r="D918" s="66">
        <v>8.6</v>
      </c>
      <c r="E918" s="67">
        <v>45471</v>
      </c>
      <c r="F918" s="64">
        <f t="shared" si="390"/>
        <v>1</v>
      </c>
      <c r="G918" s="67">
        <v>45475</v>
      </c>
      <c r="H918" s="64">
        <f t="shared" si="389"/>
        <v>1</v>
      </c>
      <c r="I918" s="67">
        <f>+K918+7</f>
        <v>45485</v>
      </c>
      <c r="J918" s="64">
        <f t="shared" si="394"/>
        <v>0</v>
      </c>
      <c r="K918" s="67">
        <v>45478</v>
      </c>
      <c r="L918" s="64">
        <f t="shared" si="395"/>
        <v>0</v>
      </c>
      <c r="M918" s="64">
        <f t="shared" si="396"/>
        <v>0</v>
      </c>
      <c r="N918" s="67">
        <f t="shared" si="400"/>
        <v>45486</v>
      </c>
      <c r="O918" s="64">
        <f t="shared" si="397"/>
        <v>1</v>
      </c>
      <c r="P918" s="64">
        <f t="shared" si="398"/>
        <v>0</v>
      </c>
      <c r="Q918" s="91" t="str">
        <f t="shared" si="391"/>
        <v>Selesai</v>
      </c>
      <c r="R918" s="64">
        <f t="shared" si="399"/>
        <v>0</v>
      </c>
      <c r="S918" s="67">
        <v>45487</v>
      </c>
      <c r="T918" s="67">
        <v>45510</v>
      </c>
      <c r="U918" s="64">
        <f t="shared" si="392"/>
        <v>1</v>
      </c>
      <c r="V918" s="66"/>
      <c r="W918" s="66"/>
      <c r="X918" s="93"/>
      <c r="Y918" s="94"/>
      <c r="Z918" s="91" t="str">
        <f t="shared" si="393"/>
        <v>100%</v>
      </c>
      <c r="AA918" s="67"/>
      <c r="AB918" s="473"/>
      <c r="AC918" s="478" t="s">
        <v>2711</v>
      </c>
      <c r="AD918" s="67"/>
    </row>
    <row r="919" spans="2:30">
      <c r="B919" s="64" t="s">
        <v>111</v>
      </c>
      <c r="C919" s="65" t="s">
        <v>430</v>
      </c>
      <c r="D919" s="66">
        <v>7.78</v>
      </c>
      <c r="E919" s="67">
        <v>45470</v>
      </c>
      <c r="F919" s="64">
        <f t="shared" si="390"/>
        <v>1</v>
      </c>
      <c r="G919" s="67">
        <v>45473</v>
      </c>
      <c r="H919" s="64">
        <f t="shared" si="389"/>
        <v>1</v>
      </c>
      <c r="I919" s="67">
        <f>+K919+7</f>
        <v>45481</v>
      </c>
      <c r="J919" s="64">
        <f t="shared" si="394"/>
        <v>0</v>
      </c>
      <c r="K919" s="67">
        <v>45474</v>
      </c>
      <c r="L919" s="64">
        <f t="shared" si="395"/>
        <v>0</v>
      </c>
      <c r="M919" s="64">
        <f t="shared" si="396"/>
        <v>0</v>
      </c>
      <c r="N919" s="67">
        <f t="shared" si="400"/>
        <v>45482</v>
      </c>
      <c r="O919" s="64">
        <f t="shared" si="397"/>
        <v>1</v>
      </c>
      <c r="P919" s="64">
        <f t="shared" si="398"/>
        <v>0</v>
      </c>
      <c r="Q919" s="91" t="str">
        <f t="shared" si="391"/>
        <v>Selesai</v>
      </c>
      <c r="R919" s="64">
        <f t="shared" si="399"/>
        <v>0</v>
      </c>
      <c r="S919" s="67">
        <v>45481</v>
      </c>
      <c r="T919" s="67">
        <v>45508</v>
      </c>
      <c r="U919" s="64">
        <f t="shared" si="392"/>
        <v>1</v>
      </c>
      <c r="V919" s="66"/>
      <c r="W919" s="66"/>
      <c r="X919" s="93"/>
      <c r="Y919" s="94"/>
      <c r="Z919" s="91" t="str">
        <f t="shared" si="393"/>
        <v>100%</v>
      </c>
      <c r="AA919" s="67"/>
      <c r="AB919" s="473"/>
      <c r="AC919" s="478" t="s">
        <v>2711</v>
      </c>
      <c r="AD919" s="67"/>
    </row>
    <row r="920" spans="2:30">
      <c r="B920" s="64" t="s">
        <v>111</v>
      </c>
      <c r="C920" s="65" t="s">
        <v>432</v>
      </c>
      <c r="D920" s="66">
        <v>10</v>
      </c>
      <c r="E920" s="67">
        <v>45468</v>
      </c>
      <c r="F920" s="64">
        <f t="shared" si="390"/>
        <v>1</v>
      </c>
      <c r="G920" s="67">
        <v>45471</v>
      </c>
      <c r="H920" s="64">
        <f t="shared" si="389"/>
        <v>1</v>
      </c>
      <c r="I920" s="67">
        <f>+K920+7</f>
        <v>45472</v>
      </c>
      <c r="J920" s="64">
        <f t="shared" si="394"/>
        <v>0</v>
      </c>
      <c r="K920" s="67">
        <v>45465</v>
      </c>
      <c r="L920" s="64">
        <f t="shared" si="395"/>
        <v>0</v>
      </c>
      <c r="M920" s="64">
        <f t="shared" si="396"/>
        <v>0</v>
      </c>
      <c r="N920" s="67">
        <f t="shared" si="400"/>
        <v>45473</v>
      </c>
      <c r="O920" s="64">
        <f t="shared" si="397"/>
        <v>1</v>
      </c>
      <c r="P920" s="64">
        <f t="shared" si="398"/>
        <v>0</v>
      </c>
      <c r="Q920" s="91" t="str">
        <f t="shared" si="391"/>
        <v>Selesai</v>
      </c>
      <c r="R920" s="64">
        <f t="shared" si="399"/>
        <v>0</v>
      </c>
      <c r="S920" s="67">
        <v>45482</v>
      </c>
      <c r="T920" s="67">
        <v>45517</v>
      </c>
      <c r="U920" s="64">
        <f t="shared" si="392"/>
        <v>1</v>
      </c>
      <c r="V920" s="66"/>
      <c r="W920" s="66"/>
      <c r="X920" s="93"/>
      <c r="Y920" s="94"/>
      <c r="Z920" s="91" t="str">
        <f t="shared" si="393"/>
        <v>100%</v>
      </c>
      <c r="AA920" s="67"/>
      <c r="AB920" s="473"/>
      <c r="AC920" s="478" t="s">
        <v>2711</v>
      </c>
      <c r="AD920" s="67"/>
    </row>
    <row r="921" spans="2:30">
      <c r="B921" s="64" t="s">
        <v>107</v>
      </c>
      <c r="C921" s="65" t="s">
        <v>425</v>
      </c>
      <c r="D921" s="66">
        <v>9.33</v>
      </c>
      <c r="E921" s="67">
        <v>45464</v>
      </c>
      <c r="F921" s="64">
        <f t="shared" ref="F921:F952" si="401">IF(E921&gt;0,1,0)</f>
        <v>1</v>
      </c>
      <c r="G921" s="67">
        <v>45465</v>
      </c>
      <c r="H921" s="64">
        <f t="shared" si="389"/>
        <v>1</v>
      </c>
      <c r="I921" s="67">
        <f>+K921+5</f>
        <v>45470</v>
      </c>
      <c r="J921" s="64">
        <f t="shared" si="394"/>
        <v>0</v>
      </c>
      <c r="K921" s="67">
        <v>45465</v>
      </c>
      <c r="L921" s="64">
        <f t="shared" si="395"/>
        <v>0</v>
      </c>
      <c r="M921" s="64">
        <f t="shared" si="396"/>
        <v>0</v>
      </c>
      <c r="N921" s="67">
        <f t="shared" si="400"/>
        <v>45471</v>
      </c>
      <c r="O921" s="64">
        <f t="shared" si="397"/>
        <v>1</v>
      </c>
      <c r="P921" s="64">
        <f t="shared" si="398"/>
        <v>0</v>
      </c>
      <c r="Q921" s="91" t="str">
        <f t="shared" si="391"/>
        <v>Selesai</v>
      </c>
      <c r="R921" s="64">
        <f t="shared" si="399"/>
        <v>0</v>
      </c>
      <c r="S921" s="67">
        <v>45466</v>
      </c>
      <c r="T921" s="67">
        <v>45510</v>
      </c>
      <c r="U921" s="64">
        <f t="shared" si="392"/>
        <v>1</v>
      </c>
      <c r="V921" s="66"/>
      <c r="W921" s="66"/>
      <c r="X921" s="93"/>
      <c r="Y921" s="94"/>
      <c r="Z921" s="91" t="str">
        <f t="shared" si="393"/>
        <v>100%</v>
      </c>
      <c r="AA921" s="67"/>
      <c r="AB921" s="473"/>
      <c r="AC921" s="478" t="s">
        <v>2711</v>
      </c>
      <c r="AD921" s="67"/>
    </row>
    <row r="922" spans="2:30">
      <c r="B922" s="64" t="s">
        <v>111</v>
      </c>
      <c r="C922" s="65" t="s">
        <v>407</v>
      </c>
      <c r="D922" s="66">
        <v>6.17</v>
      </c>
      <c r="E922" s="67">
        <v>45468</v>
      </c>
      <c r="F922" s="64">
        <f t="shared" si="401"/>
        <v>1</v>
      </c>
      <c r="G922" s="67">
        <v>45471</v>
      </c>
      <c r="H922" s="64">
        <f t="shared" si="389"/>
        <v>1</v>
      </c>
      <c r="I922" s="67">
        <f>+K922+7</f>
        <v>45476</v>
      </c>
      <c r="J922" s="64">
        <f t="shared" si="394"/>
        <v>0</v>
      </c>
      <c r="K922" s="67">
        <v>45469</v>
      </c>
      <c r="L922" s="64">
        <f t="shared" si="395"/>
        <v>0</v>
      </c>
      <c r="M922" s="64">
        <f t="shared" si="396"/>
        <v>0</v>
      </c>
      <c r="N922" s="67">
        <f t="shared" si="400"/>
        <v>45477</v>
      </c>
      <c r="O922" s="64">
        <f t="shared" si="397"/>
        <v>1</v>
      </c>
      <c r="P922" s="64">
        <f t="shared" si="398"/>
        <v>0</v>
      </c>
      <c r="Q922" s="91" t="str">
        <f t="shared" si="391"/>
        <v>Selesai</v>
      </c>
      <c r="R922" s="64">
        <f t="shared" si="399"/>
        <v>0</v>
      </c>
      <c r="S922" s="67">
        <v>45480</v>
      </c>
      <c r="T922" s="67">
        <v>45519</v>
      </c>
      <c r="U922" s="64">
        <f t="shared" si="392"/>
        <v>1</v>
      </c>
      <c r="V922" s="66"/>
      <c r="W922" s="66"/>
      <c r="X922" s="93"/>
      <c r="Y922" s="94"/>
      <c r="Z922" s="91" t="str">
        <f t="shared" si="393"/>
        <v>100%</v>
      </c>
      <c r="AA922" s="67"/>
      <c r="AB922" s="473"/>
      <c r="AC922" s="478" t="s">
        <v>2711</v>
      </c>
      <c r="AD922" s="67"/>
    </row>
    <row r="923" spans="2:30">
      <c r="B923" s="64" t="s">
        <v>111</v>
      </c>
      <c r="C923" s="65" t="s">
        <v>417</v>
      </c>
      <c r="D923" s="66">
        <v>11</v>
      </c>
      <c r="E923" s="67">
        <v>45463</v>
      </c>
      <c r="F923" s="64">
        <f t="shared" si="401"/>
        <v>1</v>
      </c>
      <c r="G923" s="67">
        <v>45467</v>
      </c>
      <c r="H923" s="64">
        <f t="shared" si="389"/>
        <v>1</v>
      </c>
      <c r="I923" s="67">
        <f>+K923+7</f>
        <v>45472</v>
      </c>
      <c r="J923" s="64">
        <f t="shared" si="394"/>
        <v>0</v>
      </c>
      <c r="K923" s="67">
        <v>45465</v>
      </c>
      <c r="L923" s="64">
        <f t="shared" si="395"/>
        <v>0</v>
      </c>
      <c r="M923" s="64">
        <f t="shared" si="396"/>
        <v>0</v>
      </c>
      <c r="N923" s="67">
        <f t="shared" si="400"/>
        <v>45473</v>
      </c>
      <c r="O923" s="64">
        <f t="shared" si="397"/>
        <v>1</v>
      </c>
      <c r="P923" s="64">
        <f t="shared" si="398"/>
        <v>0</v>
      </c>
      <c r="Q923" s="91" t="str">
        <f t="shared" si="391"/>
        <v>Selesai</v>
      </c>
      <c r="R923" s="64">
        <f t="shared" si="399"/>
        <v>0</v>
      </c>
      <c r="S923" s="67">
        <v>45475</v>
      </c>
      <c r="T923" s="67">
        <v>45530</v>
      </c>
      <c r="U923" s="64">
        <f t="shared" si="392"/>
        <v>1</v>
      </c>
      <c r="V923" s="66"/>
      <c r="W923" s="66"/>
      <c r="X923" s="93"/>
      <c r="Y923" s="94"/>
      <c r="Z923" s="91" t="str">
        <f t="shared" si="393"/>
        <v>100%</v>
      </c>
      <c r="AA923" s="67"/>
      <c r="AB923" s="473"/>
      <c r="AC923" s="478" t="s">
        <v>2711</v>
      </c>
      <c r="AD923" s="67"/>
    </row>
    <row r="924" spans="2:30">
      <c r="B924" s="64" t="s">
        <v>105</v>
      </c>
      <c r="C924" s="65" t="s">
        <v>410</v>
      </c>
      <c r="D924" s="66">
        <v>4</v>
      </c>
      <c r="E924" s="67">
        <v>45451</v>
      </c>
      <c r="F924" s="64">
        <f t="shared" si="401"/>
        <v>1</v>
      </c>
      <c r="G924" s="67">
        <v>45462</v>
      </c>
      <c r="H924" s="64">
        <f t="shared" si="389"/>
        <v>1</v>
      </c>
      <c r="I924" s="67">
        <f>+K924+3</f>
        <v>45477</v>
      </c>
      <c r="J924" s="64">
        <f t="shared" si="394"/>
        <v>0</v>
      </c>
      <c r="K924" s="67">
        <v>45474</v>
      </c>
      <c r="L924" s="64">
        <f t="shared" si="395"/>
        <v>0</v>
      </c>
      <c r="M924" s="64">
        <f t="shared" si="396"/>
        <v>0</v>
      </c>
      <c r="N924" s="67">
        <f t="shared" si="400"/>
        <v>45478</v>
      </c>
      <c r="O924" s="64">
        <f t="shared" si="397"/>
        <v>1</v>
      </c>
      <c r="P924" s="64">
        <f t="shared" si="398"/>
        <v>0</v>
      </c>
      <c r="Q924" s="91" t="str">
        <f t="shared" si="391"/>
        <v>Selesai</v>
      </c>
      <c r="R924" s="64">
        <f t="shared" si="399"/>
        <v>0</v>
      </c>
      <c r="S924" s="67">
        <v>45490</v>
      </c>
      <c r="T924" s="67">
        <v>45513</v>
      </c>
      <c r="U924" s="64">
        <f t="shared" si="392"/>
        <v>1</v>
      </c>
      <c r="V924" s="66"/>
      <c r="W924" s="66"/>
      <c r="X924" s="93"/>
      <c r="Y924" s="94"/>
      <c r="Z924" s="91" t="str">
        <f t="shared" si="393"/>
        <v>100%</v>
      </c>
      <c r="AA924" s="67"/>
      <c r="AB924" s="473"/>
      <c r="AC924" s="478" t="s">
        <v>2711</v>
      </c>
      <c r="AD924" s="67"/>
    </row>
    <row r="925" spans="2:30">
      <c r="B925" s="64" t="s">
        <v>113</v>
      </c>
      <c r="C925" s="65" t="s">
        <v>465</v>
      </c>
      <c r="D925" s="66">
        <v>12</v>
      </c>
      <c r="E925" s="67">
        <v>45484</v>
      </c>
      <c r="F925" s="64">
        <f t="shared" si="401"/>
        <v>1</v>
      </c>
      <c r="G925" s="67">
        <v>45488</v>
      </c>
      <c r="H925" s="64">
        <f t="shared" si="389"/>
        <v>1</v>
      </c>
      <c r="I925" s="67">
        <f t="shared" ref="I925:I930" si="402">+K925+5</f>
        <v>45493</v>
      </c>
      <c r="J925" s="64">
        <f t="shared" si="394"/>
        <v>0</v>
      </c>
      <c r="K925" s="67">
        <v>45488</v>
      </c>
      <c r="L925" s="64">
        <f t="shared" si="395"/>
        <v>0</v>
      </c>
      <c r="M925" s="64">
        <f t="shared" si="396"/>
        <v>0</v>
      </c>
      <c r="N925" s="67">
        <f t="shared" si="400"/>
        <v>45494</v>
      </c>
      <c r="O925" s="64">
        <f t="shared" si="397"/>
        <v>1</v>
      </c>
      <c r="P925" s="64">
        <f t="shared" si="398"/>
        <v>0</v>
      </c>
      <c r="Q925" s="91" t="str">
        <f t="shared" si="391"/>
        <v>Selesai</v>
      </c>
      <c r="R925" s="64">
        <f t="shared" si="399"/>
        <v>0</v>
      </c>
      <c r="S925" s="67">
        <v>45489</v>
      </c>
      <c r="T925" s="67">
        <v>45518</v>
      </c>
      <c r="U925" s="64">
        <f t="shared" si="392"/>
        <v>1</v>
      </c>
      <c r="V925" s="66"/>
      <c r="W925" s="66"/>
      <c r="X925" s="93"/>
      <c r="Y925" s="94"/>
      <c r="Z925" s="91" t="str">
        <f t="shared" si="393"/>
        <v>100%</v>
      </c>
      <c r="AA925" s="67"/>
      <c r="AB925" s="473"/>
      <c r="AC925" s="478" t="s">
        <v>2711</v>
      </c>
      <c r="AD925" s="67"/>
    </row>
    <row r="926" spans="2:30">
      <c r="B926" s="64" t="s">
        <v>109</v>
      </c>
      <c r="C926" s="65" t="s">
        <v>1790</v>
      </c>
      <c r="D926" s="66">
        <v>3.99</v>
      </c>
      <c r="E926" s="67">
        <v>45474</v>
      </c>
      <c r="F926" s="64">
        <f t="shared" si="401"/>
        <v>1</v>
      </c>
      <c r="G926" s="67">
        <v>45478</v>
      </c>
      <c r="H926" s="64">
        <f t="shared" si="389"/>
        <v>1</v>
      </c>
      <c r="I926" s="67">
        <f t="shared" si="402"/>
        <v>45489</v>
      </c>
      <c r="J926" s="64">
        <f t="shared" si="394"/>
        <v>0</v>
      </c>
      <c r="K926" s="67">
        <v>45484</v>
      </c>
      <c r="L926" s="64">
        <f t="shared" si="395"/>
        <v>0</v>
      </c>
      <c r="M926" s="64">
        <f t="shared" si="396"/>
        <v>0</v>
      </c>
      <c r="N926" s="67">
        <f t="shared" si="400"/>
        <v>45490</v>
      </c>
      <c r="O926" s="64">
        <f t="shared" si="397"/>
        <v>1</v>
      </c>
      <c r="P926" s="64">
        <f t="shared" si="398"/>
        <v>0</v>
      </c>
      <c r="Q926" s="91" t="str">
        <f t="shared" si="391"/>
        <v>Selesai</v>
      </c>
      <c r="R926" s="64">
        <f t="shared" si="399"/>
        <v>0</v>
      </c>
      <c r="S926" s="67">
        <v>45484</v>
      </c>
      <c r="T926" s="67">
        <v>45517</v>
      </c>
      <c r="U926" s="64">
        <f t="shared" si="392"/>
        <v>1</v>
      </c>
      <c r="V926" s="66"/>
      <c r="W926" s="66"/>
      <c r="X926" s="93"/>
      <c r="Y926" s="94"/>
      <c r="Z926" s="91" t="str">
        <f t="shared" si="393"/>
        <v>100%</v>
      </c>
      <c r="AA926" s="67"/>
      <c r="AB926" s="473"/>
      <c r="AC926" s="478" t="s">
        <v>2711</v>
      </c>
      <c r="AD926" s="67"/>
    </row>
    <row r="927" spans="2:30">
      <c r="B927" s="64" t="s">
        <v>109</v>
      </c>
      <c r="C927" s="65" t="s">
        <v>1791</v>
      </c>
      <c r="D927" s="66">
        <v>5.28</v>
      </c>
      <c r="E927" s="67">
        <v>45474</v>
      </c>
      <c r="F927" s="64">
        <f t="shared" si="401"/>
        <v>1</v>
      </c>
      <c r="G927" s="67">
        <v>45478</v>
      </c>
      <c r="H927" s="64">
        <f t="shared" si="389"/>
        <v>1</v>
      </c>
      <c r="I927" s="67">
        <f t="shared" si="402"/>
        <v>45489</v>
      </c>
      <c r="J927" s="64">
        <f t="shared" si="394"/>
        <v>0</v>
      </c>
      <c r="K927" s="67">
        <v>45484</v>
      </c>
      <c r="L927" s="64">
        <f t="shared" si="395"/>
        <v>0</v>
      </c>
      <c r="M927" s="64">
        <f t="shared" si="396"/>
        <v>0</v>
      </c>
      <c r="N927" s="67">
        <f t="shared" si="400"/>
        <v>45490</v>
      </c>
      <c r="O927" s="64">
        <f t="shared" si="397"/>
        <v>1</v>
      </c>
      <c r="P927" s="64">
        <f t="shared" si="398"/>
        <v>0</v>
      </c>
      <c r="Q927" s="91" t="str">
        <f t="shared" si="391"/>
        <v>Selesai</v>
      </c>
      <c r="R927" s="64">
        <f t="shared" si="399"/>
        <v>0</v>
      </c>
      <c r="S927" s="67">
        <v>45484</v>
      </c>
      <c r="T927" s="67">
        <v>45517</v>
      </c>
      <c r="U927" s="64">
        <f t="shared" si="392"/>
        <v>1</v>
      </c>
      <c r="V927" s="66"/>
      <c r="W927" s="66"/>
      <c r="X927" s="93"/>
      <c r="Y927" s="94"/>
      <c r="Z927" s="91" t="str">
        <f t="shared" si="393"/>
        <v>100%</v>
      </c>
      <c r="AA927" s="67"/>
      <c r="AB927" s="473"/>
      <c r="AC927" s="478" t="s">
        <v>2711</v>
      </c>
      <c r="AD927" s="67"/>
    </row>
    <row r="928" spans="2:30">
      <c r="B928" s="64" t="s">
        <v>116</v>
      </c>
      <c r="C928" s="65" t="s">
        <v>483</v>
      </c>
      <c r="D928" s="66">
        <v>9.64</v>
      </c>
      <c r="E928" s="67">
        <v>45476</v>
      </c>
      <c r="F928" s="64">
        <f t="shared" si="401"/>
        <v>1</v>
      </c>
      <c r="G928" s="67">
        <v>45483</v>
      </c>
      <c r="H928" s="64">
        <f t="shared" si="389"/>
        <v>1</v>
      </c>
      <c r="I928" s="67">
        <f t="shared" si="402"/>
        <v>45488</v>
      </c>
      <c r="J928" s="64">
        <f t="shared" si="394"/>
        <v>0</v>
      </c>
      <c r="K928" s="67">
        <v>45483</v>
      </c>
      <c r="L928" s="64">
        <f t="shared" si="395"/>
        <v>0</v>
      </c>
      <c r="M928" s="64">
        <f t="shared" si="396"/>
        <v>0</v>
      </c>
      <c r="N928" s="67">
        <f t="shared" si="400"/>
        <v>45489</v>
      </c>
      <c r="O928" s="64">
        <f t="shared" si="397"/>
        <v>1</v>
      </c>
      <c r="P928" s="64">
        <f t="shared" si="398"/>
        <v>0</v>
      </c>
      <c r="Q928" s="91" t="str">
        <f t="shared" si="391"/>
        <v>Selesai</v>
      </c>
      <c r="R928" s="64">
        <f t="shared" si="399"/>
        <v>0</v>
      </c>
      <c r="S928" s="67">
        <v>45489</v>
      </c>
      <c r="T928" s="67">
        <v>45517</v>
      </c>
      <c r="U928" s="64">
        <f t="shared" si="392"/>
        <v>1</v>
      </c>
      <c r="V928" s="66"/>
      <c r="W928" s="66"/>
      <c r="X928" s="93"/>
      <c r="Y928" s="94"/>
      <c r="Z928" s="91" t="str">
        <f t="shared" si="393"/>
        <v>100%</v>
      </c>
      <c r="AA928" s="67"/>
      <c r="AB928" s="473"/>
      <c r="AC928" s="478" t="s">
        <v>2711</v>
      </c>
      <c r="AD928" s="67"/>
    </row>
    <row r="929" spans="2:30">
      <c r="B929" s="64" t="s">
        <v>107</v>
      </c>
      <c r="C929" s="65" t="s">
        <v>1705</v>
      </c>
      <c r="D929" s="66">
        <v>6.03</v>
      </c>
      <c r="E929" s="67">
        <v>45472</v>
      </c>
      <c r="F929" s="64">
        <f t="shared" si="401"/>
        <v>1</v>
      </c>
      <c r="G929" s="67">
        <v>45476</v>
      </c>
      <c r="H929" s="64">
        <f t="shared" si="389"/>
        <v>1</v>
      </c>
      <c r="I929" s="67">
        <f t="shared" si="402"/>
        <v>45487</v>
      </c>
      <c r="J929" s="64">
        <f t="shared" si="394"/>
        <v>0</v>
      </c>
      <c r="K929" s="67">
        <v>45482</v>
      </c>
      <c r="L929" s="64">
        <f t="shared" si="395"/>
        <v>0</v>
      </c>
      <c r="M929" s="64">
        <f t="shared" si="396"/>
        <v>0</v>
      </c>
      <c r="N929" s="67">
        <f t="shared" si="400"/>
        <v>45488</v>
      </c>
      <c r="O929" s="64">
        <f t="shared" si="397"/>
        <v>1</v>
      </c>
      <c r="P929" s="64">
        <f t="shared" si="398"/>
        <v>0</v>
      </c>
      <c r="Q929" s="91" t="str">
        <f t="shared" si="391"/>
        <v>Selesai</v>
      </c>
      <c r="R929" s="64">
        <f t="shared" si="399"/>
        <v>0</v>
      </c>
      <c r="S929" s="67">
        <v>45490</v>
      </c>
      <c r="T929" s="67">
        <v>45518</v>
      </c>
      <c r="U929" s="64">
        <f t="shared" si="392"/>
        <v>1</v>
      </c>
      <c r="V929" s="66"/>
      <c r="W929" s="66"/>
      <c r="X929" s="93"/>
      <c r="Y929" s="94"/>
      <c r="Z929" s="91" t="str">
        <f t="shared" si="393"/>
        <v>100%</v>
      </c>
      <c r="AA929" s="67"/>
      <c r="AB929" s="473"/>
      <c r="AC929" s="478" t="s">
        <v>2711</v>
      </c>
      <c r="AD929" s="67"/>
    </row>
    <row r="930" spans="2:30">
      <c r="B930" s="64" t="s">
        <v>107</v>
      </c>
      <c r="C930" s="65" t="s">
        <v>1706</v>
      </c>
      <c r="D930" s="66">
        <v>6.34</v>
      </c>
      <c r="E930" s="67">
        <v>45472</v>
      </c>
      <c r="F930" s="64">
        <f t="shared" si="401"/>
        <v>1</v>
      </c>
      <c r="G930" s="67">
        <v>45476</v>
      </c>
      <c r="H930" s="64">
        <f t="shared" si="389"/>
        <v>1</v>
      </c>
      <c r="I930" s="67">
        <f t="shared" si="402"/>
        <v>45487</v>
      </c>
      <c r="J930" s="64">
        <f t="shared" si="394"/>
        <v>0</v>
      </c>
      <c r="K930" s="67">
        <v>45482</v>
      </c>
      <c r="L930" s="64">
        <f t="shared" si="395"/>
        <v>0</v>
      </c>
      <c r="M930" s="64">
        <f t="shared" si="396"/>
        <v>0</v>
      </c>
      <c r="N930" s="67">
        <f t="shared" si="400"/>
        <v>45488</v>
      </c>
      <c r="O930" s="64">
        <f t="shared" si="397"/>
        <v>1</v>
      </c>
      <c r="P930" s="64">
        <f t="shared" si="398"/>
        <v>0</v>
      </c>
      <c r="Q930" s="91" t="str">
        <f t="shared" si="391"/>
        <v>Selesai</v>
      </c>
      <c r="R930" s="64">
        <f t="shared" si="399"/>
        <v>0</v>
      </c>
      <c r="S930" s="67">
        <v>45487</v>
      </c>
      <c r="T930" s="67">
        <v>45518</v>
      </c>
      <c r="U930" s="64">
        <f t="shared" si="392"/>
        <v>1</v>
      </c>
      <c r="V930" s="66"/>
      <c r="W930" s="66"/>
      <c r="X930" s="93"/>
      <c r="Y930" s="94"/>
      <c r="Z930" s="91" t="str">
        <f t="shared" si="393"/>
        <v>100%</v>
      </c>
      <c r="AA930" s="67"/>
      <c r="AB930" s="473"/>
      <c r="AC930" s="478" t="s">
        <v>2711</v>
      </c>
      <c r="AD930" s="67"/>
    </row>
    <row r="931" spans="2:30">
      <c r="B931" s="64" t="s">
        <v>107</v>
      </c>
      <c r="C931" s="65" t="s">
        <v>883</v>
      </c>
      <c r="D931" s="66">
        <v>7.22</v>
      </c>
      <c r="E931" s="67">
        <v>45483</v>
      </c>
      <c r="F931" s="64">
        <f t="shared" si="401"/>
        <v>1</v>
      </c>
      <c r="G931" s="67">
        <v>45486</v>
      </c>
      <c r="H931" s="64">
        <f t="shared" si="389"/>
        <v>1</v>
      </c>
      <c r="I931" s="67">
        <v>45494</v>
      </c>
      <c r="J931" s="64">
        <f t="shared" si="394"/>
        <v>0</v>
      </c>
      <c r="K931" s="67">
        <v>45486</v>
      </c>
      <c r="L931" s="64">
        <f t="shared" si="395"/>
        <v>0</v>
      </c>
      <c r="M931" s="64">
        <f t="shared" si="396"/>
        <v>0</v>
      </c>
      <c r="N931" s="67">
        <f t="shared" si="400"/>
        <v>45495</v>
      </c>
      <c r="O931" s="64">
        <f t="shared" si="397"/>
        <v>1</v>
      </c>
      <c r="P931" s="64">
        <f t="shared" si="398"/>
        <v>0</v>
      </c>
      <c r="Q931" s="91" t="str">
        <f t="shared" si="391"/>
        <v>Selesai</v>
      </c>
      <c r="R931" s="64">
        <f t="shared" si="399"/>
        <v>0</v>
      </c>
      <c r="S931" s="67">
        <v>45497</v>
      </c>
      <c r="T931" s="67">
        <v>45518</v>
      </c>
      <c r="U931" s="64">
        <f t="shared" si="392"/>
        <v>1</v>
      </c>
      <c r="V931" s="66"/>
      <c r="W931" s="66"/>
      <c r="X931" s="93"/>
      <c r="Y931" s="94"/>
      <c r="Z931" s="91" t="str">
        <f t="shared" si="393"/>
        <v>100%</v>
      </c>
      <c r="AA931" s="67"/>
      <c r="AB931" s="473"/>
      <c r="AC931" s="478" t="s">
        <v>2711</v>
      </c>
      <c r="AD931" s="67"/>
    </row>
    <row r="932" spans="2:30">
      <c r="B932" s="64" t="s">
        <v>111</v>
      </c>
      <c r="C932" s="65" t="s">
        <v>406</v>
      </c>
      <c r="D932" s="66">
        <v>10.8</v>
      </c>
      <c r="E932" s="67">
        <v>45486</v>
      </c>
      <c r="F932" s="64">
        <f t="shared" si="401"/>
        <v>1</v>
      </c>
      <c r="G932" s="67">
        <v>45490</v>
      </c>
      <c r="H932" s="64">
        <f t="shared" si="389"/>
        <v>1</v>
      </c>
      <c r="I932" s="67">
        <f>+K932+5</f>
        <v>45500</v>
      </c>
      <c r="J932" s="64">
        <f t="shared" si="394"/>
        <v>0</v>
      </c>
      <c r="K932" s="67">
        <v>45495</v>
      </c>
      <c r="L932" s="64">
        <f t="shared" si="395"/>
        <v>0</v>
      </c>
      <c r="M932" s="64">
        <f t="shared" si="396"/>
        <v>0</v>
      </c>
      <c r="N932" s="67">
        <f t="shared" si="400"/>
        <v>45501</v>
      </c>
      <c r="O932" s="64">
        <f t="shared" si="397"/>
        <v>1</v>
      </c>
      <c r="P932" s="64">
        <f t="shared" si="398"/>
        <v>0</v>
      </c>
      <c r="Q932" s="91" t="str">
        <f t="shared" si="391"/>
        <v>Selesai</v>
      </c>
      <c r="R932" s="64">
        <f t="shared" si="399"/>
        <v>0</v>
      </c>
      <c r="S932" s="67">
        <v>45498</v>
      </c>
      <c r="T932" s="67">
        <v>45518</v>
      </c>
      <c r="U932" s="64">
        <f t="shared" si="392"/>
        <v>1</v>
      </c>
      <c r="V932" s="66"/>
      <c r="W932" s="66"/>
      <c r="X932" s="93"/>
      <c r="Y932" s="94"/>
      <c r="Z932" s="91" t="str">
        <f t="shared" si="393"/>
        <v>100%</v>
      </c>
      <c r="AA932" s="67"/>
      <c r="AB932" s="473"/>
      <c r="AC932" s="478" t="s">
        <v>2711</v>
      </c>
      <c r="AD932" s="67"/>
    </row>
    <row r="933" spans="2:30">
      <c r="B933" s="64" t="s">
        <v>118</v>
      </c>
      <c r="C933" s="65" t="s">
        <v>476</v>
      </c>
      <c r="D933" s="66">
        <v>5.39</v>
      </c>
      <c r="E933" s="67">
        <v>45489</v>
      </c>
      <c r="F933" s="64">
        <f t="shared" si="401"/>
        <v>1</v>
      </c>
      <c r="G933" s="67">
        <v>45491</v>
      </c>
      <c r="H933" s="64">
        <f t="shared" si="389"/>
        <v>1</v>
      </c>
      <c r="I933" s="67">
        <f>+K933+5</f>
        <v>45498</v>
      </c>
      <c r="J933" s="64">
        <f t="shared" si="394"/>
        <v>0</v>
      </c>
      <c r="K933" s="67">
        <v>45493</v>
      </c>
      <c r="L933" s="64">
        <f t="shared" si="395"/>
        <v>0</v>
      </c>
      <c r="M933" s="64">
        <f t="shared" si="396"/>
        <v>0</v>
      </c>
      <c r="N933" s="67">
        <f t="shared" si="400"/>
        <v>45499</v>
      </c>
      <c r="O933" s="64">
        <f t="shared" si="397"/>
        <v>1</v>
      </c>
      <c r="P933" s="64">
        <f t="shared" si="398"/>
        <v>0</v>
      </c>
      <c r="Q933" s="91" t="str">
        <f t="shared" si="391"/>
        <v>Selesai</v>
      </c>
      <c r="R933" s="64">
        <f t="shared" si="399"/>
        <v>0</v>
      </c>
      <c r="S933" s="67">
        <v>45500</v>
      </c>
      <c r="T933" s="67">
        <v>45518</v>
      </c>
      <c r="U933" s="64">
        <f t="shared" si="392"/>
        <v>1</v>
      </c>
      <c r="V933" s="66"/>
      <c r="W933" s="66"/>
      <c r="X933" s="93"/>
      <c r="Y933" s="94"/>
      <c r="Z933" s="91" t="str">
        <f t="shared" si="393"/>
        <v>100%</v>
      </c>
      <c r="AA933" s="67"/>
      <c r="AB933" s="473"/>
      <c r="AC933" s="478" t="s">
        <v>2711</v>
      </c>
      <c r="AD933" s="67"/>
    </row>
    <row r="934" spans="2:30">
      <c r="B934" s="64" t="s">
        <v>105</v>
      </c>
      <c r="C934" s="65" t="s">
        <v>954</v>
      </c>
      <c r="D934" s="66">
        <v>9.91</v>
      </c>
      <c r="E934" s="67">
        <v>45490</v>
      </c>
      <c r="F934" s="64">
        <f t="shared" si="401"/>
        <v>1</v>
      </c>
      <c r="G934" s="67">
        <v>45495</v>
      </c>
      <c r="H934" s="64">
        <f t="shared" si="389"/>
        <v>1</v>
      </c>
      <c r="I934" s="67">
        <v>45495</v>
      </c>
      <c r="J934" s="64">
        <f t="shared" si="394"/>
        <v>0</v>
      </c>
      <c r="K934" s="67">
        <v>45498</v>
      </c>
      <c r="L934" s="64">
        <f t="shared" si="395"/>
        <v>0</v>
      </c>
      <c r="M934" s="64">
        <f t="shared" si="396"/>
        <v>0</v>
      </c>
      <c r="N934" s="67">
        <f t="shared" si="400"/>
        <v>45499</v>
      </c>
      <c r="O934" s="64">
        <f t="shared" si="397"/>
        <v>1</v>
      </c>
      <c r="P934" s="64">
        <f t="shared" si="398"/>
        <v>0</v>
      </c>
      <c r="Q934" s="91" t="str">
        <f t="shared" si="391"/>
        <v>Selesai</v>
      </c>
      <c r="R934" s="64">
        <f t="shared" si="399"/>
        <v>0</v>
      </c>
      <c r="S934" s="67">
        <v>45499</v>
      </c>
      <c r="T934" s="67">
        <v>45526</v>
      </c>
      <c r="U934" s="64">
        <f t="shared" si="392"/>
        <v>1</v>
      </c>
      <c r="V934" s="66"/>
      <c r="W934" s="66"/>
      <c r="X934" s="93"/>
      <c r="Y934" s="94"/>
      <c r="Z934" s="91" t="str">
        <f t="shared" si="393"/>
        <v>100%</v>
      </c>
      <c r="AA934" s="67"/>
      <c r="AB934" s="473"/>
      <c r="AC934" s="478" t="s">
        <v>2711</v>
      </c>
      <c r="AD934" s="67"/>
    </row>
    <row r="935" spans="2:30">
      <c r="B935" s="64" t="s">
        <v>105</v>
      </c>
      <c r="C935" s="65" t="s">
        <v>403</v>
      </c>
      <c r="D935" s="66">
        <v>5.96</v>
      </c>
      <c r="E935" s="67">
        <v>45492</v>
      </c>
      <c r="F935" s="64">
        <f t="shared" si="401"/>
        <v>1</v>
      </c>
      <c r="G935" s="67">
        <v>45502</v>
      </c>
      <c r="H935" s="64">
        <f t="shared" si="389"/>
        <v>1</v>
      </c>
      <c r="I935" s="67">
        <v>45500</v>
      </c>
      <c r="J935" s="64">
        <f t="shared" si="394"/>
        <v>0</v>
      </c>
      <c r="K935" s="67">
        <v>45498</v>
      </c>
      <c r="L935" s="64">
        <f t="shared" si="395"/>
        <v>0</v>
      </c>
      <c r="M935" s="64">
        <f t="shared" si="396"/>
        <v>0</v>
      </c>
      <c r="N935" s="67">
        <f t="shared" si="400"/>
        <v>45501</v>
      </c>
      <c r="O935" s="64">
        <f t="shared" si="397"/>
        <v>1</v>
      </c>
      <c r="P935" s="64">
        <f t="shared" si="398"/>
        <v>0</v>
      </c>
      <c r="Q935" s="91" t="str">
        <f t="shared" si="391"/>
        <v>Selesai</v>
      </c>
      <c r="R935" s="64">
        <f t="shared" si="399"/>
        <v>0</v>
      </c>
      <c r="S935" s="67">
        <v>45506</v>
      </c>
      <c r="T935" s="67">
        <v>45523</v>
      </c>
      <c r="U935" s="64">
        <f t="shared" si="392"/>
        <v>1</v>
      </c>
      <c r="V935" s="66"/>
      <c r="W935" s="66"/>
      <c r="X935" s="93"/>
      <c r="Y935" s="94"/>
      <c r="Z935" s="91" t="str">
        <f t="shared" si="393"/>
        <v>100%</v>
      </c>
      <c r="AA935" s="67"/>
      <c r="AB935" s="473"/>
      <c r="AC935" s="478" t="s">
        <v>2711</v>
      </c>
      <c r="AD935" s="67"/>
    </row>
    <row r="936" spans="2:30">
      <c r="B936" s="64" t="s">
        <v>105</v>
      </c>
      <c r="C936" s="65" t="s">
        <v>400</v>
      </c>
      <c r="D936" s="66">
        <v>8.56</v>
      </c>
      <c r="E936" s="67">
        <v>45492</v>
      </c>
      <c r="F936" s="64">
        <f t="shared" si="401"/>
        <v>1</v>
      </c>
      <c r="G936" s="67">
        <v>45502</v>
      </c>
      <c r="H936" s="64">
        <f t="shared" si="389"/>
        <v>1</v>
      </c>
      <c r="I936" s="67">
        <f>+K936+3</f>
        <v>45506</v>
      </c>
      <c r="J936" s="64">
        <f t="shared" si="394"/>
        <v>0</v>
      </c>
      <c r="K936" s="67">
        <v>45503</v>
      </c>
      <c r="L936" s="64">
        <f t="shared" si="395"/>
        <v>0</v>
      </c>
      <c r="M936" s="64">
        <f t="shared" si="396"/>
        <v>0</v>
      </c>
      <c r="N936" s="67">
        <f t="shared" si="400"/>
        <v>45507</v>
      </c>
      <c r="O936" s="64">
        <f t="shared" si="397"/>
        <v>1</v>
      </c>
      <c r="P936" s="64">
        <f t="shared" si="398"/>
        <v>0</v>
      </c>
      <c r="Q936" s="91" t="str">
        <f t="shared" si="391"/>
        <v>Selesai</v>
      </c>
      <c r="R936" s="64">
        <f t="shared" si="399"/>
        <v>0</v>
      </c>
      <c r="S936" s="67">
        <v>45504</v>
      </c>
      <c r="T936" s="67">
        <v>45523</v>
      </c>
      <c r="U936" s="64">
        <f t="shared" si="392"/>
        <v>1</v>
      </c>
      <c r="V936" s="66"/>
      <c r="W936" s="66"/>
      <c r="X936" s="93"/>
      <c r="Y936" s="94"/>
      <c r="Z936" s="91" t="str">
        <f t="shared" si="393"/>
        <v>100%</v>
      </c>
      <c r="AA936" s="67"/>
      <c r="AB936" s="473"/>
      <c r="AC936" s="478" t="s">
        <v>2711</v>
      </c>
      <c r="AD936" s="67"/>
    </row>
    <row r="937" spans="2:30">
      <c r="B937" s="64" t="s">
        <v>118</v>
      </c>
      <c r="C937" s="65" t="s">
        <v>449</v>
      </c>
      <c r="D937" s="66">
        <v>5.56</v>
      </c>
      <c r="E937" s="67">
        <v>45471</v>
      </c>
      <c r="F937" s="64">
        <f t="shared" si="401"/>
        <v>1</v>
      </c>
      <c r="G937" s="67">
        <v>45475</v>
      </c>
      <c r="H937" s="64">
        <f t="shared" si="389"/>
        <v>1</v>
      </c>
      <c r="I937" s="67">
        <f>+K937+9</f>
        <v>45487</v>
      </c>
      <c r="J937" s="64">
        <f t="shared" si="394"/>
        <v>0</v>
      </c>
      <c r="K937" s="67">
        <v>45478</v>
      </c>
      <c r="L937" s="64">
        <f t="shared" si="395"/>
        <v>0</v>
      </c>
      <c r="M937" s="64">
        <f t="shared" si="396"/>
        <v>0</v>
      </c>
      <c r="N937" s="67">
        <f t="shared" si="400"/>
        <v>45488</v>
      </c>
      <c r="O937" s="64">
        <f t="shared" si="397"/>
        <v>1</v>
      </c>
      <c r="P937" s="64">
        <f t="shared" si="398"/>
        <v>0</v>
      </c>
      <c r="Q937" s="91" t="str">
        <f t="shared" si="391"/>
        <v>Selesai</v>
      </c>
      <c r="R937" s="64">
        <f t="shared" si="399"/>
        <v>0</v>
      </c>
      <c r="S937" s="67">
        <v>45488</v>
      </c>
      <c r="T937" s="67">
        <v>45530</v>
      </c>
      <c r="U937" s="64">
        <f t="shared" si="392"/>
        <v>1</v>
      </c>
      <c r="V937" s="66"/>
      <c r="W937" s="66"/>
      <c r="X937" s="93"/>
      <c r="Y937" s="94"/>
      <c r="Z937" s="91" t="str">
        <f t="shared" si="393"/>
        <v>100%</v>
      </c>
      <c r="AA937" s="67"/>
      <c r="AB937" s="473"/>
      <c r="AC937" s="478" t="s">
        <v>2711</v>
      </c>
      <c r="AD937" s="67"/>
    </row>
    <row r="938" spans="2:30">
      <c r="B938" s="64" t="s">
        <v>111</v>
      </c>
      <c r="C938" s="65" t="s">
        <v>422</v>
      </c>
      <c r="D938" s="66">
        <v>6.39</v>
      </c>
      <c r="E938" s="67">
        <v>45467</v>
      </c>
      <c r="F938" s="64">
        <f t="shared" si="401"/>
        <v>1</v>
      </c>
      <c r="G938" s="67">
        <v>45469</v>
      </c>
      <c r="H938" s="64">
        <f t="shared" si="389"/>
        <v>1</v>
      </c>
      <c r="I938" s="67">
        <v>45488</v>
      </c>
      <c r="J938" s="64">
        <f t="shared" si="394"/>
        <v>0</v>
      </c>
      <c r="K938" s="67">
        <v>45465</v>
      </c>
      <c r="L938" s="64">
        <f t="shared" si="395"/>
        <v>0</v>
      </c>
      <c r="M938" s="64">
        <f t="shared" si="396"/>
        <v>0</v>
      </c>
      <c r="N938" s="67">
        <f t="shared" si="400"/>
        <v>45489</v>
      </c>
      <c r="O938" s="64">
        <f t="shared" si="397"/>
        <v>1</v>
      </c>
      <c r="P938" s="64">
        <f t="shared" si="398"/>
        <v>0</v>
      </c>
      <c r="Q938" s="91" t="str">
        <f t="shared" si="391"/>
        <v>Selesai</v>
      </c>
      <c r="R938" s="64">
        <f t="shared" si="399"/>
        <v>0</v>
      </c>
      <c r="S938" s="67">
        <v>45496</v>
      </c>
      <c r="T938" s="67">
        <v>45529</v>
      </c>
      <c r="U938" s="64">
        <f t="shared" si="392"/>
        <v>1</v>
      </c>
      <c r="V938" s="66"/>
      <c r="W938" s="66"/>
      <c r="X938" s="93"/>
      <c r="Y938" s="94"/>
      <c r="Z938" s="91" t="str">
        <f t="shared" si="393"/>
        <v>100%</v>
      </c>
      <c r="AA938" s="67"/>
      <c r="AB938" s="473"/>
      <c r="AC938" s="478" t="s">
        <v>2711</v>
      </c>
      <c r="AD938" s="67"/>
    </row>
    <row r="939" spans="2:30">
      <c r="B939" s="64" t="s">
        <v>107</v>
      </c>
      <c r="C939" s="65" t="s">
        <v>2203</v>
      </c>
      <c r="D939" s="66">
        <v>5.03</v>
      </c>
      <c r="E939" s="67">
        <v>45483</v>
      </c>
      <c r="F939" s="64">
        <f t="shared" si="401"/>
        <v>1</v>
      </c>
      <c r="G939" s="67">
        <v>45487</v>
      </c>
      <c r="H939" s="64">
        <f t="shared" si="389"/>
        <v>1</v>
      </c>
      <c r="I939" s="67">
        <v>45493</v>
      </c>
      <c r="J939" s="64">
        <f t="shared" si="394"/>
        <v>0</v>
      </c>
      <c r="K939" s="67">
        <v>45488</v>
      </c>
      <c r="L939" s="64">
        <f t="shared" si="395"/>
        <v>0</v>
      </c>
      <c r="M939" s="64">
        <f t="shared" si="396"/>
        <v>0</v>
      </c>
      <c r="N939" s="67">
        <f t="shared" si="400"/>
        <v>45494</v>
      </c>
      <c r="O939" s="64">
        <f t="shared" si="397"/>
        <v>1</v>
      </c>
      <c r="P939" s="64">
        <f t="shared" si="398"/>
        <v>0</v>
      </c>
      <c r="Q939" s="91" t="str">
        <f t="shared" si="391"/>
        <v>Selesai</v>
      </c>
      <c r="R939" s="64">
        <f t="shared" si="399"/>
        <v>0</v>
      </c>
      <c r="S939" s="67">
        <v>45501</v>
      </c>
      <c r="T939" s="67">
        <v>45535</v>
      </c>
      <c r="U939" s="64">
        <f t="shared" si="392"/>
        <v>1</v>
      </c>
      <c r="V939" s="66"/>
      <c r="W939" s="66"/>
      <c r="X939" s="93"/>
      <c r="Y939" s="94"/>
      <c r="Z939" s="91" t="str">
        <f t="shared" si="393"/>
        <v>100%</v>
      </c>
      <c r="AA939" s="67"/>
      <c r="AB939" s="473"/>
      <c r="AC939" s="478" t="s">
        <v>2711</v>
      </c>
      <c r="AD939" s="67"/>
    </row>
    <row r="940" spans="2:30">
      <c r="B940" s="64" t="s">
        <v>111</v>
      </c>
      <c r="C940" s="65" t="s">
        <v>397</v>
      </c>
      <c r="D940" s="66">
        <v>12.41</v>
      </c>
      <c r="E940" s="67">
        <v>45500</v>
      </c>
      <c r="F940" s="64">
        <f t="shared" si="401"/>
        <v>1</v>
      </c>
      <c r="G940" s="67">
        <v>45503</v>
      </c>
      <c r="H940" s="64">
        <f t="shared" si="389"/>
        <v>1</v>
      </c>
      <c r="I940" s="67">
        <f>+K940+7</f>
        <v>45511</v>
      </c>
      <c r="J940" s="64">
        <f t="shared" si="394"/>
        <v>0</v>
      </c>
      <c r="K940" s="67">
        <v>45504</v>
      </c>
      <c r="L940" s="64">
        <f t="shared" si="395"/>
        <v>0</v>
      </c>
      <c r="M940" s="64">
        <f t="shared" si="396"/>
        <v>0</v>
      </c>
      <c r="N940" s="67">
        <f t="shared" si="400"/>
        <v>45512</v>
      </c>
      <c r="O940" s="64">
        <f t="shared" si="397"/>
        <v>1</v>
      </c>
      <c r="P940" s="64">
        <f t="shared" si="398"/>
        <v>0</v>
      </c>
      <c r="Q940" s="91" t="str">
        <f t="shared" si="391"/>
        <v>Selesai</v>
      </c>
      <c r="R940" s="64">
        <f t="shared" si="399"/>
        <v>0</v>
      </c>
      <c r="S940" s="67">
        <v>45505</v>
      </c>
      <c r="T940" s="67">
        <v>45531</v>
      </c>
      <c r="U940" s="64">
        <f t="shared" si="392"/>
        <v>1</v>
      </c>
      <c r="V940" s="66"/>
      <c r="W940" s="66"/>
      <c r="X940" s="93"/>
      <c r="Y940" s="94"/>
      <c r="Z940" s="91" t="str">
        <f t="shared" si="393"/>
        <v>100%</v>
      </c>
      <c r="AA940" s="67"/>
      <c r="AB940" s="473"/>
      <c r="AC940" s="478" t="s">
        <v>2711</v>
      </c>
      <c r="AD940" s="67"/>
    </row>
    <row r="941" spans="2:30">
      <c r="B941" s="64" t="s">
        <v>109</v>
      </c>
      <c r="C941" s="65" t="s">
        <v>534</v>
      </c>
      <c r="D941" s="66">
        <v>7.07</v>
      </c>
      <c r="E941" s="67">
        <v>45497</v>
      </c>
      <c r="F941" s="64">
        <f t="shared" si="401"/>
        <v>1</v>
      </c>
      <c r="G941" s="67">
        <v>45516</v>
      </c>
      <c r="H941" s="64">
        <f t="shared" si="389"/>
        <v>1</v>
      </c>
      <c r="I941" s="67">
        <v>45502</v>
      </c>
      <c r="J941" s="64">
        <f t="shared" si="394"/>
        <v>0</v>
      </c>
      <c r="K941" s="67">
        <v>45514</v>
      </c>
      <c r="L941" s="64">
        <f t="shared" si="395"/>
        <v>0</v>
      </c>
      <c r="M941" s="64">
        <f t="shared" si="396"/>
        <v>0</v>
      </c>
      <c r="N941" s="67">
        <f t="shared" si="400"/>
        <v>45515</v>
      </c>
      <c r="O941" s="64">
        <f t="shared" si="397"/>
        <v>1</v>
      </c>
      <c r="P941" s="64">
        <f t="shared" si="398"/>
        <v>0</v>
      </c>
      <c r="Q941" s="91" t="str">
        <f t="shared" si="391"/>
        <v>Selesai</v>
      </c>
      <c r="R941" s="64">
        <f t="shared" si="399"/>
        <v>0</v>
      </c>
      <c r="S941" s="67">
        <v>45519</v>
      </c>
      <c r="T941" s="67">
        <v>45535</v>
      </c>
      <c r="U941" s="64">
        <f t="shared" si="392"/>
        <v>1</v>
      </c>
      <c r="V941" s="66"/>
      <c r="W941" s="66"/>
      <c r="X941" s="93"/>
      <c r="Y941" s="94"/>
      <c r="Z941" s="91" t="str">
        <f t="shared" si="393"/>
        <v>100%</v>
      </c>
      <c r="AA941" s="67"/>
      <c r="AB941" s="473"/>
      <c r="AC941" s="478" t="s">
        <v>2711</v>
      </c>
      <c r="AD941" s="67"/>
    </row>
    <row r="942" spans="2:30">
      <c r="B942" s="64" t="s">
        <v>109</v>
      </c>
      <c r="C942" s="65" t="s">
        <v>461</v>
      </c>
      <c r="D942" s="66">
        <v>12.78</v>
      </c>
      <c r="E942" s="67">
        <v>45496</v>
      </c>
      <c r="F942" s="64">
        <f t="shared" si="401"/>
        <v>1</v>
      </c>
      <c r="G942" s="67">
        <v>45512</v>
      </c>
      <c r="H942" s="64">
        <f t="shared" si="389"/>
        <v>1</v>
      </c>
      <c r="I942" s="67">
        <v>45503</v>
      </c>
      <c r="J942" s="64">
        <f t="shared" si="394"/>
        <v>0</v>
      </c>
      <c r="K942" s="67">
        <v>45510</v>
      </c>
      <c r="L942" s="64">
        <f t="shared" si="395"/>
        <v>0</v>
      </c>
      <c r="M942" s="64">
        <f t="shared" si="396"/>
        <v>0</v>
      </c>
      <c r="N942" s="67">
        <f t="shared" si="400"/>
        <v>45511</v>
      </c>
      <c r="O942" s="64">
        <f t="shared" si="397"/>
        <v>1</v>
      </c>
      <c r="P942" s="64">
        <f t="shared" si="398"/>
        <v>0</v>
      </c>
      <c r="Q942" s="91" t="str">
        <f t="shared" si="391"/>
        <v>Selesai</v>
      </c>
      <c r="R942" s="64">
        <f t="shared" si="399"/>
        <v>0</v>
      </c>
      <c r="S942" s="67">
        <v>45513</v>
      </c>
      <c r="T942" s="67">
        <v>45535</v>
      </c>
      <c r="U942" s="64">
        <f t="shared" si="392"/>
        <v>1</v>
      </c>
      <c r="V942" s="66"/>
      <c r="W942" s="66"/>
      <c r="X942" s="93"/>
      <c r="Y942" s="94"/>
      <c r="Z942" s="91" t="str">
        <f t="shared" si="393"/>
        <v>100%</v>
      </c>
      <c r="AA942" s="67"/>
      <c r="AB942" s="473"/>
      <c r="AC942" s="478" t="s">
        <v>2711</v>
      </c>
      <c r="AD942" s="67"/>
    </row>
    <row r="943" spans="2:30">
      <c r="B943" s="64" t="s">
        <v>109</v>
      </c>
      <c r="C943" s="65" t="s">
        <v>462</v>
      </c>
      <c r="D943" s="66">
        <v>6.51</v>
      </c>
      <c r="E943" s="67">
        <v>45507</v>
      </c>
      <c r="F943" s="64">
        <f t="shared" si="401"/>
        <v>1</v>
      </c>
      <c r="G943" s="67">
        <v>45510</v>
      </c>
      <c r="H943" s="64">
        <f t="shared" si="389"/>
        <v>1</v>
      </c>
      <c r="I943" s="67">
        <f>+K943+7</f>
        <v>45519</v>
      </c>
      <c r="J943" s="64">
        <f t="shared" si="394"/>
        <v>0</v>
      </c>
      <c r="K943" s="67">
        <v>45512</v>
      </c>
      <c r="L943" s="64">
        <f t="shared" si="395"/>
        <v>0</v>
      </c>
      <c r="M943" s="64">
        <f t="shared" si="396"/>
        <v>0</v>
      </c>
      <c r="N943" s="67">
        <f t="shared" si="400"/>
        <v>45520</v>
      </c>
      <c r="O943" s="64">
        <f t="shared" si="397"/>
        <v>1</v>
      </c>
      <c r="P943" s="64">
        <f t="shared" si="398"/>
        <v>0</v>
      </c>
      <c r="Q943" s="91" t="str">
        <f t="shared" si="391"/>
        <v>Selesai</v>
      </c>
      <c r="R943" s="64">
        <f t="shared" si="399"/>
        <v>0</v>
      </c>
      <c r="S943" s="67">
        <v>45519</v>
      </c>
      <c r="T943" s="67">
        <v>45535</v>
      </c>
      <c r="U943" s="64">
        <f t="shared" si="392"/>
        <v>1</v>
      </c>
      <c r="V943" s="66"/>
      <c r="W943" s="66"/>
      <c r="X943" s="93"/>
      <c r="Y943" s="94"/>
      <c r="Z943" s="91" t="str">
        <f t="shared" si="393"/>
        <v>100%</v>
      </c>
      <c r="AA943" s="67"/>
      <c r="AB943" s="473"/>
      <c r="AC943" s="478" t="s">
        <v>2711</v>
      </c>
      <c r="AD943" s="67"/>
    </row>
    <row r="944" spans="2:30">
      <c r="B944" s="64" t="s">
        <v>109</v>
      </c>
      <c r="C944" s="65" t="s">
        <v>1592</v>
      </c>
      <c r="D944" s="66">
        <v>5.0599999999999996</v>
      </c>
      <c r="E944" s="67">
        <v>45505</v>
      </c>
      <c r="F944" s="64">
        <f t="shared" si="401"/>
        <v>1</v>
      </c>
      <c r="G944" s="67">
        <v>45509</v>
      </c>
      <c r="H944" s="64">
        <f t="shared" ref="H944:H965" si="403">IF(G944&gt;0,1,0)</f>
        <v>1</v>
      </c>
      <c r="I944" s="67">
        <v>45514</v>
      </c>
      <c r="J944" s="64">
        <f t="shared" si="394"/>
        <v>0</v>
      </c>
      <c r="K944" s="67">
        <v>45512</v>
      </c>
      <c r="L944" s="64">
        <f t="shared" si="395"/>
        <v>0</v>
      </c>
      <c r="M944" s="64">
        <f t="shared" si="396"/>
        <v>0</v>
      </c>
      <c r="N944" s="67">
        <f t="shared" si="400"/>
        <v>45515</v>
      </c>
      <c r="O944" s="64">
        <f t="shared" si="397"/>
        <v>1</v>
      </c>
      <c r="P944" s="64">
        <f t="shared" si="398"/>
        <v>0</v>
      </c>
      <c r="Q944" s="91" t="str">
        <f t="shared" si="391"/>
        <v>Selesai</v>
      </c>
      <c r="R944" s="64">
        <f t="shared" si="399"/>
        <v>0</v>
      </c>
      <c r="S944" s="67">
        <v>45525</v>
      </c>
      <c r="T944" s="67">
        <v>45535</v>
      </c>
      <c r="U944" s="64">
        <f t="shared" si="392"/>
        <v>1</v>
      </c>
      <c r="V944" s="66"/>
      <c r="W944" s="66"/>
      <c r="X944" s="93"/>
      <c r="Y944" s="94"/>
      <c r="Z944" s="91" t="str">
        <f t="shared" si="393"/>
        <v>100%</v>
      </c>
      <c r="AA944" s="67"/>
      <c r="AB944" s="473"/>
      <c r="AC944" s="478" t="s">
        <v>2711</v>
      </c>
      <c r="AD944" s="67"/>
    </row>
    <row r="945" spans="2:30">
      <c r="B945" s="64" t="s">
        <v>109</v>
      </c>
      <c r="C945" s="65" t="s">
        <v>1593</v>
      </c>
      <c r="D945" s="66">
        <v>4.91</v>
      </c>
      <c r="E945" s="67">
        <v>45505</v>
      </c>
      <c r="F945" s="64">
        <f t="shared" si="401"/>
        <v>1</v>
      </c>
      <c r="G945" s="67">
        <v>45509</v>
      </c>
      <c r="H945" s="64">
        <f t="shared" si="403"/>
        <v>1</v>
      </c>
      <c r="I945" s="67">
        <f>+K945+5</f>
        <v>45518</v>
      </c>
      <c r="J945" s="64">
        <f t="shared" si="394"/>
        <v>0</v>
      </c>
      <c r="K945" s="67">
        <v>45513</v>
      </c>
      <c r="L945" s="64">
        <f t="shared" si="395"/>
        <v>0</v>
      </c>
      <c r="M945" s="64">
        <f t="shared" si="396"/>
        <v>0</v>
      </c>
      <c r="N945" s="67">
        <f t="shared" si="400"/>
        <v>45519</v>
      </c>
      <c r="O945" s="64">
        <f t="shared" si="397"/>
        <v>1</v>
      </c>
      <c r="P945" s="64">
        <f t="shared" si="398"/>
        <v>0</v>
      </c>
      <c r="Q945" s="91" t="str">
        <f t="shared" si="391"/>
        <v>Selesai</v>
      </c>
      <c r="R945" s="64">
        <f t="shared" si="399"/>
        <v>0</v>
      </c>
      <c r="S945" s="67">
        <v>45515</v>
      </c>
      <c r="T945" s="67">
        <v>45535</v>
      </c>
      <c r="U945" s="64">
        <f t="shared" si="392"/>
        <v>1</v>
      </c>
      <c r="V945" s="66"/>
      <c r="W945" s="66"/>
      <c r="X945" s="93"/>
      <c r="Y945" s="94"/>
      <c r="Z945" s="91" t="str">
        <f t="shared" si="393"/>
        <v>100%</v>
      </c>
      <c r="AA945" s="67"/>
      <c r="AB945" s="473"/>
      <c r="AC945" s="478" t="s">
        <v>2711</v>
      </c>
      <c r="AD945" s="67"/>
    </row>
    <row r="946" spans="2:30">
      <c r="B946" s="64" t="s">
        <v>109</v>
      </c>
      <c r="C946" s="65" t="s">
        <v>1594</v>
      </c>
      <c r="D946" s="66">
        <v>4.5599999999999996</v>
      </c>
      <c r="E946" s="67">
        <v>45505</v>
      </c>
      <c r="F946" s="64">
        <f t="shared" si="401"/>
        <v>1</v>
      </c>
      <c r="G946" s="67">
        <v>45509</v>
      </c>
      <c r="H946" s="64">
        <f t="shared" si="403"/>
        <v>1</v>
      </c>
      <c r="I946" s="67">
        <f>+K946+5</f>
        <v>45518</v>
      </c>
      <c r="J946" s="64">
        <f t="shared" si="394"/>
        <v>0</v>
      </c>
      <c r="K946" s="67">
        <v>45513</v>
      </c>
      <c r="L946" s="64">
        <f t="shared" si="395"/>
        <v>0</v>
      </c>
      <c r="M946" s="64">
        <f t="shared" si="396"/>
        <v>0</v>
      </c>
      <c r="N946" s="67">
        <f t="shared" si="400"/>
        <v>45519</v>
      </c>
      <c r="O946" s="64">
        <f t="shared" si="397"/>
        <v>1</v>
      </c>
      <c r="P946" s="64">
        <f t="shared" si="398"/>
        <v>0</v>
      </c>
      <c r="Q946" s="91" t="str">
        <f t="shared" si="391"/>
        <v>Selesai</v>
      </c>
      <c r="R946" s="64">
        <f t="shared" si="399"/>
        <v>0</v>
      </c>
      <c r="S946" s="67">
        <v>45514</v>
      </c>
      <c r="T946" s="67">
        <v>45535</v>
      </c>
      <c r="U946" s="64">
        <f t="shared" si="392"/>
        <v>1</v>
      </c>
      <c r="V946" s="66"/>
      <c r="W946" s="66"/>
      <c r="X946" s="93"/>
      <c r="Y946" s="94"/>
      <c r="Z946" s="91" t="str">
        <f t="shared" si="393"/>
        <v>100%</v>
      </c>
      <c r="AA946" s="67"/>
      <c r="AB946" s="473"/>
      <c r="AC946" s="478" t="s">
        <v>2711</v>
      </c>
      <c r="AD946" s="67"/>
    </row>
    <row r="947" spans="2:30">
      <c r="B947" s="64" t="s">
        <v>111</v>
      </c>
      <c r="C947" s="65" t="s">
        <v>413</v>
      </c>
      <c r="D947" s="66">
        <v>12</v>
      </c>
      <c r="E947" s="67">
        <v>45485</v>
      </c>
      <c r="F947" s="64">
        <f t="shared" si="401"/>
        <v>1</v>
      </c>
      <c r="G947" s="67">
        <v>45494</v>
      </c>
      <c r="H947" s="64">
        <f t="shared" si="403"/>
        <v>1</v>
      </c>
      <c r="I947" s="67">
        <f>+K947+7</f>
        <v>45502</v>
      </c>
      <c r="J947" s="64">
        <f t="shared" si="394"/>
        <v>0</v>
      </c>
      <c r="K947" s="67">
        <v>45495</v>
      </c>
      <c r="L947" s="64">
        <f t="shared" si="395"/>
        <v>0</v>
      </c>
      <c r="M947" s="64">
        <f t="shared" si="396"/>
        <v>0</v>
      </c>
      <c r="N947" s="67">
        <f t="shared" si="400"/>
        <v>45503</v>
      </c>
      <c r="O947" s="64">
        <f t="shared" si="397"/>
        <v>1</v>
      </c>
      <c r="P947" s="64">
        <f t="shared" si="398"/>
        <v>0</v>
      </c>
      <c r="Q947" s="91" t="str">
        <f t="shared" si="391"/>
        <v>Selesai</v>
      </c>
      <c r="R947" s="64">
        <f t="shared" si="399"/>
        <v>0</v>
      </c>
      <c r="S947" s="67">
        <v>45505</v>
      </c>
      <c r="T947" s="67">
        <v>45535</v>
      </c>
      <c r="U947" s="64">
        <f t="shared" si="392"/>
        <v>1</v>
      </c>
      <c r="V947" s="66"/>
      <c r="W947" s="66"/>
      <c r="X947" s="93"/>
      <c r="Y947" s="94"/>
      <c r="Z947" s="91" t="str">
        <f t="shared" si="393"/>
        <v>100%</v>
      </c>
      <c r="AA947" s="67"/>
      <c r="AB947" s="473"/>
      <c r="AC947" s="478" t="s">
        <v>2711</v>
      </c>
      <c r="AD947" s="67"/>
    </row>
    <row r="948" spans="2:30">
      <c r="B948" s="64" t="s">
        <v>111</v>
      </c>
      <c r="C948" s="65" t="s">
        <v>420</v>
      </c>
      <c r="D948" s="66">
        <v>13.46</v>
      </c>
      <c r="E948" s="67">
        <v>45499</v>
      </c>
      <c r="F948" s="64">
        <f t="shared" si="401"/>
        <v>1</v>
      </c>
      <c r="G948" s="67">
        <v>45502</v>
      </c>
      <c r="H948" s="64">
        <f t="shared" si="403"/>
        <v>1</v>
      </c>
      <c r="I948" s="67">
        <v>45499</v>
      </c>
      <c r="J948" s="64">
        <f t="shared" si="394"/>
        <v>0</v>
      </c>
      <c r="K948" s="67">
        <v>45498</v>
      </c>
      <c r="L948" s="64">
        <f t="shared" si="395"/>
        <v>0</v>
      </c>
      <c r="M948" s="64">
        <f t="shared" si="396"/>
        <v>0</v>
      </c>
      <c r="N948" s="67">
        <f t="shared" si="400"/>
        <v>45500</v>
      </c>
      <c r="O948" s="64">
        <f t="shared" si="397"/>
        <v>1</v>
      </c>
      <c r="P948" s="64">
        <f t="shared" si="398"/>
        <v>0</v>
      </c>
      <c r="Q948" s="91" t="str">
        <f t="shared" si="391"/>
        <v>Selesai</v>
      </c>
      <c r="R948" s="64">
        <f t="shared" si="399"/>
        <v>0</v>
      </c>
      <c r="S948" s="67">
        <v>45512</v>
      </c>
      <c r="T948" s="67">
        <v>45535</v>
      </c>
      <c r="U948" s="64">
        <f t="shared" si="392"/>
        <v>1</v>
      </c>
      <c r="V948" s="66"/>
      <c r="W948" s="66"/>
      <c r="X948" s="93"/>
      <c r="Y948" s="94"/>
      <c r="Z948" s="91" t="str">
        <f t="shared" si="393"/>
        <v>100%</v>
      </c>
      <c r="AA948" s="67"/>
      <c r="AB948" s="473"/>
      <c r="AC948" s="478" t="s">
        <v>2711</v>
      </c>
      <c r="AD948" s="67"/>
    </row>
    <row r="949" spans="2:30">
      <c r="B949" s="64" t="s">
        <v>116</v>
      </c>
      <c r="C949" s="65" t="s">
        <v>411</v>
      </c>
      <c r="D949" s="66">
        <v>9.73</v>
      </c>
      <c r="E949" s="67">
        <v>45489</v>
      </c>
      <c r="F949" s="64">
        <f t="shared" si="401"/>
        <v>1</v>
      </c>
      <c r="G949" s="67">
        <v>45491</v>
      </c>
      <c r="H949" s="64">
        <f t="shared" si="403"/>
        <v>1</v>
      </c>
      <c r="I949" s="67">
        <f>+K949+7</f>
        <v>45500</v>
      </c>
      <c r="J949" s="64">
        <f t="shared" si="394"/>
        <v>0</v>
      </c>
      <c r="K949" s="67">
        <v>45493</v>
      </c>
      <c r="L949" s="64">
        <f t="shared" si="395"/>
        <v>0</v>
      </c>
      <c r="M949" s="64">
        <f t="shared" si="396"/>
        <v>0</v>
      </c>
      <c r="N949" s="67">
        <f t="shared" si="400"/>
        <v>45501</v>
      </c>
      <c r="O949" s="64">
        <f t="shared" si="397"/>
        <v>1</v>
      </c>
      <c r="P949" s="64">
        <f t="shared" si="398"/>
        <v>0</v>
      </c>
      <c r="Q949" s="91" t="str">
        <f t="shared" si="391"/>
        <v>Selesai</v>
      </c>
      <c r="R949" s="64">
        <f t="shared" si="399"/>
        <v>0</v>
      </c>
      <c r="S949" s="67">
        <v>45505</v>
      </c>
      <c r="T949" s="67">
        <v>45535</v>
      </c>
      <c r="U949" s="64">
        <f t="shared" si="392"/>
        <v>1</v>
      </c>
      <c r="V949" s="66"/>
      <c r="W949" s="66"/>
      <c r="X949" s="93"/>
      <c r="Y949" s="94"/>
      <c r="Z949" s="91" t="str">
        <f t="shared" si="393"/>
        <v>100%</v>
      </c>
      <c r="AA949" s="67"/>
      <c r="AB949" s="473"/>
      <c r="AC949" s="478" t="s">
        <v>2711</v>
      </c>
      <c r="AD949" s="67"/>
    </row>
    <row r="950" spans="2:30">
      <c r="B950" s="64" t="s">
        <v>111</v>
      </c>
      <c r="C950" s="65" t="s">
        <v>399</v>
      </c>
      <c r="D950" s="66">
        <v>7.95</v>
      </c>
      <c r="E950" s="67">
        <v>45479</v>
      </c>
      <c r="F950" s="64">
        <f t="shared" si="401"/>
        <v>1</v>
      </c>
      <c r="G950" s="67">
        <v>45493</v>
      </c>
      <c r="H950" s="64">
        <f t="shared" si="403"/>
        <v>1</v>
      </c>
      <c r="I950" s="67">
        <f>+K950+7</f>
        <v>45495</v>
      </c>
      <c r="J950" s="64">
        <f t="shared" si="394"/>
        <v>0</v>
      </c>
      <c r="K950" s="67">
        <v>45488</v>
      </c>
      <c r="L950" s="64">
        <f t="shared" si="395"/>
        <v>0</v>
      </c>
      <c r="M950" s="64">
        <f t="shared" si="396"/>
        <v>0</v>
      </c>
      <c r="N950" s="67">
        <f t="shared" si="400"/>
        <v>45496</v>
      </c>
      <c r="O950" s="64">
        <f t="shared" si="397"/>
        <v>1</v>
      </c>
      <c r="P950" s="64">
        <f t="shared" si="398"/>
        <v>0</v>
      </c>
      <c r="Q950" s="91" t="str">
        <f t="shared" si="391"/>
        <v>Selesai</v>
      </c>
      <c r="R950" s="64">
        <f t="shared" si="399"/>
        <v>0</v>
      </c>
      <c r="S950" s="67">
        <v>45495</v>
      </c>
      <c r="T950" s="67">
        <v>45539</v>
      </c>
      <c r="U950" s="64">
        <f t="shared" si="392"/>
        <v>1</v>
      </c>
      <c r="V950" s="66"/>
      <c r="W950" s="66"/>
      <c r="X950" s="93"/>
      <c r="Y950" s="94"/>
      <c r="Z950" s="91" t="str">
        <f t="shared" si="393"/>
        <v>100%</v>
      </c>
      <c r="AA950" s="67"/>
      <c r="AB950" s="473"/>
      <c r="AC950" s="478" t="s">
        <v>2711</v>
      </c>
      <c r="AD950" s="67"/>
    </row>
    <row r="951" spans="2:30">
      <c r="B951" s="64" t="s">
        <v>109</v>
      </c>
      <c r="C951" s="65" t="s">
        <v>471</v>
      </c>
      <c r="D951" s="66">
        <v>7.57</v>
      </c>
      <c r="E951" s="67">
        <v>45509</v>
      </c>
      <c r="F951" s="64">
        <f t="shared" si="401"/>
        <v>1</v>
      </c>
      <c r="G951" s="67">
        <v>45514</v>
      </c>
      <c r="H951" s="64">
        <f t="shared" si="403"/>
        <v>1</v>
      </c>
      <c r="I951" s="67">
        <f>+K951+7</f>
        <v>45519</v>
      </c>
      <c r="J951" s="64">
        <f t="shared" si="394"/>
        <v>0</v>
      </c>
      <c r="K951" s="67">
        <v>45512</v>
      </c>
      <c r="L951" s="64">
        <f t="shared" si="395"/>
        <v>0</v>
      </c>
      <c r="M951" s="64">
        <f t="shared" si="396"/>
        <v>0</v>
      </c>
      <c r="N951" s="67">
        <f t="shared" si="400"/>
        <v>45520</v>
      </c>
      <c r="O951" s="64">
        <f t="shared" si="397"/>
        <v>1</v>
      </c>
      <c r="P951" s="64">
        <f t="shared" si="398"/>
        <v>0</v>
      </c>
      <c r="Q951" s="91" t="str">
        <f t="shared" si="391"/>
        <v>Selesai</v>
      </c>
      <c r="R951" s="64">
        <f t="shared" si="399"/>
        <v>0</v>
      </c>
      <c r="S951" s="67">
        <v>45527</v>
      </c>
      <c r="T951" s="67">
        <v>45549</v>
      </c>
      <c r="U951" s="64">
        <f t="shared" si="392"/>
        <v>1</v>
      </c>
      <c r="V951" s="66"/>
      <c r="W951" s="66"/>
      <c r="X951" s="93"/>
      <c r="Y951" s="94"/>
      <c r="Z951" s="91" t="str">
        <f t="shared" si="393"/>
        <v>100%</v>
      </c>
      <c r="AA951" s="67"/>
      <c r="AB951" s="473"/>
      <c r="AC951" s="478" t="s">
        <v>2711</v>
      </c>
      <c r="AD951" s="67"/>
    </row>
    <row r="952" spans="2:30">
      <c r="B952" s="64" t="s">
        <v>111</v>
      </c>
      <c r="C952" s="65" t="s">
        <v>428</v>
      </c>
      <c r="D952" s="66">
        <v>9.0299999999999994</v>
      </c>
      <c r="E952" s="67">
        <v>45500</v>
      </c>
      <c r="F952" s="64">
        <f t="shared" si="401"/>
        <v>1</v>
      </c>
      <c r="G952" s="67">
        <v>45510</v>
      </c>
      <c r="H952" s="64">
        <f t="shared" si="403"/>
        <v>1</v>
      </c>
      <c r="I952" s="67">
        <v>45517</v>
      </c>
      <c r="J952" s="64">
        <f t="shared" si="394"/>
        <v>0</v>
      </c>
      <c r="K952" s="67">
        <v>45510</v>
      </c>
      <c r="L952" s="64">
        <f t="shared" si="395"/>
        <v>0</v>
      </c>
      <c r="M952" s="64">
        <f t="shared" si="396"/>
        <v>0</v>
      </c>
      <c r="N952" s="67">
        <f t="shared" si="400"/>
        <v>45518</v>
      </c>
      <c r="O952" s="64">
        <f t="shared" si="397"/>
        <v>1</v>
      </c>
      <c r="P952" s="64">
        <f t="shared" si="398"/>
        <v>0</v>
      </c>
      <c r="Q952" s="91" t="str">
        <f t="shared" si="391"/>
        <v>Selesai</v>
      </c>
      <c r="R952" s="64">
        <f t="shared" si="399"/>
        <v>0</v>
      </c>
      <c r="S952" s="67">
        <v>45517</v>
      </c>
      <c r="T952" s="67">
        <v>45543</v>
      </c>
      <c r="U952" s="64">
        <f t="shared" si="392"/>
        <v>1</v>
      </c>
      <c r="V952" s="66"/>
      <c r="W952" s="66"/>
      <c r="X952" s="93"/>
      <c r="Y952" s="94"/>
      <c r="Z952" s="91" t="str">
        <f t="shared" si="393"/>
        <v>100%</v>
      </c>
      <c r="AA952" s="67"/>
      <c r="AB952" s="473"/>
      <c r="AC952" s="478" t="s">
        <v>2711</v>
      </c>
      <c r="AD952" s="67"/>
    </row>
    <row r="953" spans="2:30">
      <c r="B953" s="64" t="s">
        <v>111</v>
      </c>
      <c r="C953" s="65" t="s">
        <v>447</v>
      </c>
      <c r="D953" s="66">
        <v>6.74</v>
      </c>
      <c r="E953" s="67">
        <v>45502</v>
      </c>
      <c r="F953" s="64">
        <f t="shared" ref="F953:F965" si="404">IF(E953&gt;0,1,0)</f>
        <v>1</v>
      </c>
      <c r="G953" s="67">
        <v>45503</v>
      </c>
      <c r="H953" s="64">
        <f t="shared" si="403"/>
        <v>1</v>
      </c>
      <c r="I953" s="67">
        <v>45513</v>
      </c>
      <c r="J953" s="64">
        <f t="shared" si="394"/>
        <v>0</v>
      </c>
      <c r="K953" s="67">
        <v>45505</v>
      </c>
      <c r="L953" s="64">
        <f t="shared" si="395"/>
        <v>0</v>
      </c>
      <c r="M953" s="64">
        <f t="shared" si="396"/>
        <v>0</v>
      </c>
      <c r="N953" s="67">
        <f t="shared" si="400"/>
        <v>45514</v>
      </c>
      <c r="O953" s="64">
        <f t="shared" si="397"/>
        <v>1</v>
      </c>
      <c r="P953" s="64">
        <f t="shared" si="398"/>
        <v>0</v>
      </c>
      <c r="Q953" s="91" t="str">
        <f t="shared" si="391"/>
        <v>Selesai</v>
      </c>
      <c r="R953" s="64">
        <f t="shared" si="399"/>
        <v>0</v>
      </c>
      <c r="S953" s="67">
        <v>45529</v>
      </c>
      <c r="T953" s="67">
        <v>45546</v>
      </c>
      <c r="U953" s="64">
        <f t="shared" si="392"/>
        <v>1</v>
      </c>
      <c r="V953" s="66"/>
      <c r="W953" s="66"/>
      <c r="X953" s="93"/>
      <c r="Y953" s="94"/>
      <c r="Z953" s="91" t="str">
        <f t="shared" si="393"/>
        <v>100%</v>
      </c>
      <c r="AA953" s="67"/>
      <c r="AB953" s="473"/>
      <c r="AC953" s="478" t="s">
        <v>2711</v>
      </c>
      <c r="AD953" s="67"/>
    </row>
    <row r="954" spans="2:30">
      <c r="B954" s="64" t="s">
        <v>111</v>
      </c>
      <c r="C954" s="65" t="s">
        <v>454</v>
      </c>
      <c r="D954" s="66">
        <v>6.82</v>
      </c>
      <c r="E954" s="67">
        <v>45503</v>
      </c>
      <c r="F954" s="64">
        <f t="shared" si="404"/>
        <v>1</v>
      </c>
      <c r="G954" s="67">
        <v>45506</v>
      </c>
      <c r="H954" s="64">
        <f t="shared" si="403"/>
        <v>1</v>
      </c>
      <c r="I954" s="67">
        <v>45513</v>
      </c>
      <c r="J954" s="64">
        <f t="shared" si="394"/>
        <v>0</v>
      </c>
      <c r="K954" s="67">
        <v>45505</v>
      </c>
      <c r="L954" s="64">
        <f t="shared" si="395"/>
        <v>0</v>
      </c>
      <c r="M954" s="64">
        <f t="shared" si="396"/>
        <v>0</v>
      </c>
      <c r="N954" s="67">
        <f t="shared" si="400"/>
        <v>45514</v>
      </c>
      <c r="O954" s="64">
        <f t="shared" si="397"/>
        <v>1</v>
      </c>
      <c r="P954" s="64">
        <f t="shared" si="398"/>
        <v>0</v>
      </c>
      <c r="Q954" s="91" t="str">
        <f t="shared" si="391"/>
        <v>Selesai</v>
      </c>
      <c r="R954" s="64">
        <f t="shared" si="399"/>
        <v>0</v>
      </c>
      <c r="S954" s="67">
        <v>45524</v>
      </c>
      <c r="T954" s="67">
        <v>45555</v>
      </c>
      <c r="U954" s="64">
        <f t="shared" si="392"/>
        <v>1</v>
      </c>
      <c r="V954" s="66"/>
      <c r="W954" s="66"/>
      <c r="X954" s="93"/>
      <c r="Y954" s="94"/>
      <c r="Z954" s="91" t="str">
        <f t="shared" si="393"/>
        <v>100%</v>
      </c>
      <c r="AA954" s="67"/>
      <c r="AB954" s="473"/>
      <c r="AC954" s="478" t="s">
        <v>2711</v>
      </c>
      <c r="AD954" s="67"/>
    </row>
    <row r="955" spans="2:30">
      <c r="B955" s="64" t="s">
        <v>105</v>
      </c>
      <c r="C955" s="65" t="s">
        <v>427</v>
      </c>
      <c r="D955" s="66">
        <v>4.04</v>
      </c>
      <c r="E955" s="67">
        <v>45507</v>
      </c>
      <c r="F955" s="64">
        <f t="shared" si="404"/>
        <v>1</v>
      </c>
      <c r="G955" s="67">
        <v>45525</v>
      </c>
      <c r="H955" s="64">
        <f t="shared" si="403"/>
        <v>1</v>
      </c>
      <c r="I955" s="67">
        <f>+K955+7</f>
        <v>45520</v>
      </c>
      <c r="J955" s="64">
        <f t="shared" si="394"/>
        <v>0</v>
      </c>
      <c r="K955" s="67">
        <v>45513</v>
      </c>
      <c r="L955" s="64">
        <f t="shared" si="395"/>
        <v>0</v>
      </c>
      <c r="M955" s="64">
        <f t="shared" si="396"/>
        <v>0</v>
      </c>
      <c r="N955" s="67">
        <f t="shared" si="400"/>
        <v>45521</v>
      </c>
      <c r="O955" s="64">
        <f t="shared" si="397"/>
        <v>1</v>
      </c>
      <c r="P955" s="64">
        <f t="shared" si="398"/>
        <v>0</v>
      </c>
      <c r="Q955" s="91" t="str">
        <f t="shared" si="391"/>
        <v>Selesai</v>
      </c>
      <c r="R955" s="64">
        <f t="shared" si="399"/>
        <v>0</v>
      </c>
      <c r="S955" s="67">
        <v>45529</v>
      </c>
      <c r="T955" s="67">
        <v>45547</v>
      </c>
      <c r="U955" s="64">
        <f t="shared" si="392"/>
        <v>1</v>
      </c>
      <c r="V955" s="66"/>
      <c r="W955" s="66"/>
      <c r="X955" s="93"/>
      <c r="Y955" s="94"/>
      <c r="Z955" s="91" t="str">
        <f t="shared" si="393"/>
        <v>100%</v>
      </c>
      <c r="AA955" s="67"/>
      <c r="AB955" s="473"/>
      <c r="AC955" s="478" t="s">
        <v>2711</v>
      </c>
      <c r="AD955" s="67"/>
    </row>
    <row r="956" spans="2:30">
      <c r="B956" s="64" t="s">
        <v>116</v>
      </c>
      <c r="C956" s="65" t="s">
        <v>488</v>
      </c>
      <c r="D956" s="66">
        <v>12.09</v>
      </c>
      <c r="E956" s="67">
        <v>45527</v>
      </c>
      <c r="F956" s="64">
        <f t="shared" si="404"/>
        <v>1</v>
      </c>
      <c r="G956" s="67">
        <v>45533</v>
      </c>
      <c r="H956" s="64">
        <f t="shared" si="403"/>
        <v>1</v>
      </c>
      <c r="I956" s="67">
        <v>45534</v>
      </c>
      <c r="J956" s="64">
        <f t="shared" si="394"/>
        <v>0</v>
      </c>
      <c r="K956" s="67">
        <v>45529</v>
      </c>
      <c r="L956" s="64">
        <f t="shared" si="395"/>
        <v>0</v>
      </c>
      <c r="M956" s="64">
        <f t="shared" si="396"/>
        <v>0</v>
      </c>
      <c r="N956" s="67">
        <f t="shared" si="400"/>
        <v>45535</v>
      </c>
      <c r="O956" s="64">
        <f t="shared" si="397"/>
        <v>1</v>
      </c>
      <c r="P956" s="64">
        <f t="shared" si="398"/>
        <v>0</v>
      </c>
      <c r="Q956" s="91" t="str">
        <f t="shared" si="391"/>
        <v>Selesai</v>
      </c>
      <c r="R956" s="64">
        <f t="shared" si="399"/>
        <v>0</v>
      </c>
      <c r="S956" s="67">
        <v>45536</v>
      </c>
      <c r="T956" s="67">
        <v>45547</v>
      </c>
      <c r="U956" s="64">
        <f t="shared" si="392"/>
        <v>1</v>
      </c>
      <c r="V956" s="66"/>
      <c r="W956" s="66"/>
      <c r="X956" s="93"/>
      <c r="Y956" s="94"/>
      <c r="Z956" s="91" t="str">
        <f t="shared" si="393"/>
        <v>100%</v>
      </c>
      <c r="AA956" s="67"/>
      <c r="AB956" s="473"/>
      <c r="AC956" s="478" t="s">
        <v>2711</v>
      </c>
      <c r="AD956" s="67"/>
    </row>
    <row r="957" spans="2:30">
      <c r="B957" s="64" t="s">
        <v>113</v>
      </c>
      <c r="C957" s="65" t="s">
        <v>440</v>
      </c>
      <c r="D957" s="66">
        <v>10.25</v>
      </c>
      <c r="E957" s="67">
        <v>45509</v>
      </c>
      <c r="F957" s="64">
        <f t="shared" si="404"/>
        <v>1</v>
      </c>
      <c r="G957" s="67">
        <v>45511</v>
      </c>
      <c r="H957" s="64">
        <f t="shared" si="403"/>
        <v>1</v>
      </c>
      <c r="I957" s="67">
        <f>+K957+8</f>
        <v>45519</v>
      </c>
      <c r="J957" s="64">
        <f t="shared" si="394"/>
        <v>0</v>
      </c>
      <c r="K957" s="67">
        <v>45511</v>
      </c>
      <c r="L957" s="64">
        <f t="shared" si="395"/>
        <v>0</v>
      </c>
      <c r="M957" s="64">
        <f t="shared" si="396"/>
        <v>0</v>
      </c>
      <c r="N957" s="67">
        <f t="shared" si="400"/>
        <v>45520</v>
      </c>
      <c r="O957" s="64">
        <f t="shared" si="397"/>
        <v>1</v>
      </c>
      <c r="P957" s="64">
        <f t="shared" si="398"/>
        <v>0</v>
      </c>
      <c r="Q957" s="91" t="str">
        <f t="shared" si="391"/>
        <v>Selesai</v>
      </c>
      <c r="R957" s="64">
        <f t="shared" si="399"/>
        <v>0</v>
      </c>
      <c r="S957" s="67">
        <v>45525</v>
      </c>
      <c r="T957" s="67">
        <v>45549</v>
      </c>
      <c r="U957" s="64">
        <f t="shared" si="392"/>
        <v>1</v>
      </c>
      <c r="V957" s="66"/>
      <c r="W957" s="66"/>
      <c r="X957" s="93"/>
      <c r="Y957" s="94"/>
      <c r="Z957" s="91" t="str">
        <f t="shared" si="393"/>
        <v>100%</v>
      </c>
      <c r="AA957" s="67"/>
      <c r="AB957" s="473"/>
      <c r="AC957" s="478" t="s">
        <v>2711</v>
      </c>
      <c r="AD957" s="67"/>
    </row>
    <row r="958" spans="2:30">
      <c r="B958" s="64" t="s">
        <v>113</v>
      </c>
      <c r="C958" s="65" t="s">
        <v>492</v>
      </c>
      <c r="D958" s="66">
        <v>9.56</v>
      </c>
      <c r="E958" s="67">
        <v>45510</v>
      </c>
      <c r="F958" s="64">
        <f t="shared" si="404"/>
        <v>1</v>
      </c>
      <c r="G958" s="67">
        <v>45530</v>
      </c>
      <c r="H958" s="64">
        <f t="shared" si="403"/>
        <v>1</v>
      </c>
      <c r="I958" s="67">
        <v>45519</v>
      </c>
      <c r="J958" s="64">
        <f t="shared" si="394"/>
        <v>0</v>
      </c>
      <c r="K958" s="67">
        <v>45531</v>
      </c>
      <c r="L958" s="64">
        <f t="shared" si="395"/>
        <v>0</v>
      </c>
      <c r="M958" s="64">
        <f t="shared" si="396"/>
        <v>0</v>
      </c>
      <c r="N958" s="67">
        <f t="shared" si="400"/>
        <v>45532</v>
      </c>
      <c r="O958" s="64">
        <f t="shared" si="397"/>
        <v>1</v>
      </c>
      <c r="P958" s="64">
        <f t="shared" si="398"/>
        <v>0</v>
      </c>
      <c r="Q958" s="91" t="str">
        <f t="shared" si="391"/>
        <v>Selesai</v>
      </c>
      <c r="R958" s="64">
        <f t="shared" si="399"/>
        <v>0</v>
      </c>
      <c r="S958" s="67">
        <v>45534</v>
      </c>
      <c r="T958" s="67">
        <v>45550</v>
      </c>
      <c r="U958" s="64">
        <f t="shared" si="392"/>
        <v>1</v>
      </c>
      <c r="V958" s="66"/>
      <c r="W958" s="66"/>
      <c r="X958" s="93"/>
      <c r="Y958" s="94"/>
      <c r="Z958" s="91" t="str">
        <f t="shared" si="393"/>
        <v>100%</v>
      </c>
      <c r="AA958" s="67"/>
      <c r="AB958" s="473"/>
      <c r="AC958" s="478" t="s">
        <v>2711</v>
      </c>
      <c r="AD958" s="67"/>
    </row>
    <row r="959" spans="2:30">
      <c r="B959" s="64" t="s">
        <v>116</v>
      </c>
      <c r="C959" s="65" t="s">
        <v>478</v>
      </c>
      <c r="D959" s="66">
        <v>7.53</v>
      </c>
      <c r="E959" s="67">
        <v>45527</v>
      </c>
      <c r="F959" s="64">
        <f t="shared" si="404"/>
        <v>1</v>
      </c>
      <c r="G959" s="67">
        <v>45533</v>
      </c>
      <c r="H959" s="64">
        <f t="shared" si="403"/>
        <v>1</v>
      </c>
      <c r="I959" s="67">
        <v>45538</v>
      </c>
      <c r="J959" s="64">
        <f t="shared" si="394"/>
        <v>0</v>
      </c>
      <c r="K959" s="67">
        <v>45538</v>
      </c>
      <c r="L959" s="64">
        <f t="shared" si="395"/>
        <v>0</v>
      </c>
      <c r="M959" s="64">
        <f t="shared" si="396"/>
        <v>0</v>
      </c>
      <c r="N959" s="67">
        <f t="shared" si="400"/>
        <v>45539</v>
      </c>
      <c r="O959" s="64">
        <f t="shared" si="397"/>
        <v>1</v>
      </c>
      <c r="P959" s="64">
        <f t="shared" si="398"/>
        <v>0</v>
      </c>
      <c r="Q959" s="91" t="str">
        <f t="shared" si="391"/>
        <v>Selesai</v>
      </c>
      <c r="R959" s="64">
        <f t="shared" si="399"/>
        <v>0</v>
      </c>
      <c r="S959" s="67">
        <v>45539</v>
      </c>
      <c r="T959" s="67">
        <v>45555</v>
      </c>
      <c r="U959" s="64">
        <f t="shared" si="392"/>
        <v>1</v>
      </c>
      <c r="V959" s="66"/>
      <c r="W959" s="66"/>
      <c r="X959" s="93"/>
      <c r="Y959" s="94"/>
      <c r="Z959" s="91" t="str">
        <f t="shared" si="393"/>
        <v>100%</v>
      </c>
      <c r="AA959" s="67"/>
      <c r="AB959" s="473"/>
      <c r="AC959" s="478" t="s">
        <v>2711</v>
      </c>
      <c r="AD959" s="67"/>
    </row>
    <row r="960" spans="2:30">
      <c r="B960" s="64" t="s">
        <v>111</v>
      </c>
      <c r="C960" s="65" t="s">
        <v>997</v>
      </c>
      <c r="D960" s="66">
        <v>4.3600000000000003</v>
      </c>
      <c r="E960" s="67">
        <v>45516</v>
      </c>
      <c r="F960" s="64">
        <f t="shared" si="404"/>
        <v>1</v>
      </c>
      <c r="G960" s="67">
        <v>45542</v>
      </c>
      <c r="H960" s="64">
        <f t="shared" si="403"/>
        <v>1</v>
      </c>
      <c r="I960" s="67">
        <f>+K960+4</f>
        <v>45544</v>
      </c>
      <c r="J960" s="64">
        <f t="shared" si="394"/>
        <v>0</v>
      </c>
      <c r="K960" s="67">
        <v>45540</v>
      </c>
      <c r="L960" s="64">
        <f t="shared" si="395"/>
        <v>0</v>
      </c>
      <c r="M960" s="64">
        <f t="shared" si="396"/>
        <v>0</v>
      </c>
      <c r="N960" s="67">
        <f t="shared" si="400"/>
        <v>45545</v>
      </c>
      <c r="O960" s="64">
        <f t="shared" si="397"/>
        <v>1</v>
      </c>
      <c r="P960" s="64">
        <f t="shared" si="398"/>
        <v>0</v>
      </c>
      <c r="Q960" s="91" t="str">
        <f t="shared" si="391"/>
        <v>Selesai</v>
      </c>
      <c r="R960" s="64">
        <f t="shared" si="399"/>
        <v>0</v>
      </c>
      <c r="S960" s="67">
        <v>45542</v>
      </c>
      <c r="T960" s="67">
        <v>45554</v>
      </c>
      <c r="U960" s="64">
        <f t="shared" si="392"/>
        <v>1</v>
      </c>
      <c r="V960" s="66"/>
      <c r="W960" s="66"/>
      <c r="X960" s="93"/>
      <c r="Y960" s="94"/>
      <c r="Z960" s="91" t="str">
        <f t="shared" si="393"/>
        <v>100%</v>
      </c>
      <c r="AA960" s="67"/>
      <c r="AB960" s="473"/>
      <c r="AC960" s="478" t="s">
        <v>2711</v>
      </c>
      <c r="AD960" s="67"/>
    </row>
    <row r="961" spans="2:30">
      <c r="B961" s="64" t="s">
        <v>116</v>
      </c>
      <c r="C961" s="65" t="s">
        <v>463</v>
      </c>
      <c r="D961" s="66">
        <v>7.58</v>
      </c>
      <c r="E961" s="67">
        <v>45503</v>
      </c>
      <c r="F961" s="64">
        <f t="shared" si="404"/>
        <v>1</v>
      </c>
      <c r="G961" s="67">
        <v>45509</v>
      </c>
      <c r="H961" s="64">
        <f t="shared" si="403"/>
        <v>1</v>
      </c>
      <c r="I961" s="67">
        <f>+K961+7</f>
        <v>45519</v>
      </c>
      <c r="J961" s="64">
        <f t="shared" si="394"/>
        <v>0</v>
      </c>
      <c r="K961" s="67">
        <v>45512</v>
      </c>
      <c r="L961" s="64">
        <f t="shared" si="395"/>
        <v>0</v>
      </c>
      <c r="M961" s="64">
        <f t="shared" si="396"/>
        <v>0</v>
      </c>
      <c r="N961" s="67">
        <f t="shared" si="400"/>
        <v>45520</v>
      </c>
      <c r="O961" s="64">
        <f t="shared" si="397"/>
        <v>1</v>
      </c>
      <c r="P961" s="64">
        <f t="shared" si="398"/>
        <v>0</v>
      </c>
      <c r="Q961" s="91" t="str">
        <f t="shared" si="391"/>
        <v>Selesai</v>
      </c>
      <c r="R961" s="64">
        <f t="shared" si="399"/>
        <v>0</v>
      </c>
      <c r="S961" s="67">
        <v>45547</v>
      </c>
      <c r="T961" s="67">
        <v>45557</v>
      </c>
      <c r="U961" s="64">
        <f t="shared" si="392"/>
        <v>1</v>
      </c>
      <c r="V961" s="66"/>
      <c r="W961" s="66"/>
      <c r="X961" s="93"/>
      <c r="Y961" s="94"/>
      <c r="Z961" s="91" t="str">
        <f t="shared" si="393"/>
        <v>100%</v>
      </c>
      <c r="AA961" s="67"/>
      <c r="AB961" s="473"/>
      <c r="AC961" s="478" t="s">
        <v>2711</v>
      </c>
      <c r="AD961" s="67"/>
    </row>
    <row r="962" spans="2:30">
      <c r="B962" s="64" t="s">
        <v>118</v>
      </c>
      <c r="C962" s="65" t="s">
        <v>464</v>
      </c>
      <c r="D962" s="66">
        <v>9.6199999999999992</v>
      </c>
      <c r="E962" s="67">
        <v>45504</v>
      </c>
      <c r="F962" s="64">
        <f t="shared" si="404"/>
        <v>1</v>
      </c>
      <c r="G962" s="67">
        <v>45509</v>
      </c>
      <c r="H962" s="64">
        <f t="shared" si="403"/>
        <v>1</v>
      </c>
      <c r="I962" s="67">
        <f>+K962+7</f>
        <v>45519</v>
      </c>
      <c r="J962" s="64">
        <f t="shared" si="394"/>
        <v>0</v>
      </c>
      <c r="K962" s="67">
        <v>45512</v>
      </c>
      <c r="L962" s="64">
        <f t="shared" si="395"/>
        <v>0</v>
      </c>
      <c r="M962" s="64">
        <f t="shared" si="396"/>
        <v>0</v>
      </c>
      <c r="N962" s="67">
        <f t="shared" si="400"/>
        <v>45520</v>
      </c>
      <c r="O962" s="64">
        <f t="shared" si="397"/>
        <v>1</v>
      </c>
      <c r="P962" s="64">
        <f t="shared" si="398"/>
        <v>0</v>
      </c>
      <c r="Q962" s="91" t="str">
        <f t="shared" si="391"/>
        <v>Selesai</v>
      </c>
      <c r="R962" s="64">
        <f t="shared" si="399"/>
        <v>0</v>
      </c>
      <c r="S962" s="67">
        <v>45529</v>
      </c>
      <c r="T962" s="67">
        <v>45560</v>
      </c>
      <c r="U962" s="64">
        <f t="shared" si="392"/>
        <v>1</v>
      </c>
      <c r="V962" s="66"/>
      <c r="W962" s="66"/>
      <c r="X962" s="93"/>
      <c r="Y962" s="94"/>
      <c r="Z962" s="91" t="str">
        <f t="shared" si="393"/>
        <v>100%</v>
      </c>
      <c r="AA962" s="67"/>
      <c r="AB962" s="473"/>
      <c r="AC962" s="478" t="s">
        <v>2711</v>
      </c>
      <c r="AD962" s="67"/>
    </row>
    <row r="963" spans="2:30">
      <c r="B963" s="64" t="s">
        <v>105</v>
      </c>
      <c r="C963" s="65" t="s">
        <v>472</v>
      </c>
      <c r="D963" s="66">
        <v>15.3</v>
      </c>
      <c r="E963" s="67">
        <v>45517</v>
      </c>
      <c r="F963" s="64">
        <f t="shared" si="404"/>
        <v>1</v>
      </c>
      <c r="G963" s="67">
        <v>45542</v>
      </c>
      <c r="H963" s="64">
        <f t="shared" si="403"/>
        <v>1</v>
      </c>
      <c r="I963" s="67">
        <f>+K963+4</f>
        <v>45544</v>
      </c>
      <c r="J963" s="64">
        <f t="shared" si="394"/>
        <v>0</v>
      </c>
      <c r="K963" s="67">
        <v>45540</v>
      </c>
      <c r="L963" s="64">
        <f t="shared" si="395"/>
        <v>0</v>
      </c>
      <c r="M963" s="64">
        <f t="shared" si="396"/>
        <v>0</v>
      </c>
      <c r="N963" s="67">
        <f t="shared" si="400"/>
        <v>45545</v>
      </c>
      <c r="O963" s="64">
        <f t="shared" si="397"/>
        <v>1</v>
      </c>
      <c r="P963" s="64">
        <f t="shared" si="398"/>
        <v>0</v>
      </c>
      <c r="Q963" s="91" t="str">
        <f t="shared" si="391"/>
        <v>Selesai</v>
      </c>
      <c r="R963" s="64">
        <f t="shared" si="399"/>
        <v>0</v>
      </c>
      <c r="S963" s="67">
        <v>45543</v>
      </c>
      <c r="T963" s="67">
        <v>45564</v>
      </c>
      <c r="U963" s="64">
        <f t="shared" si="392"/>
        <v>1</v>
      </c>
      <c r="V963" s="66"/>
      <c r="W963" s="66"/>
      <c r="X963" s="93"/>
      <c r="Y963" s="94"/>
      <c r="Z963" s="91" t="str">
        <f t="shared" si="393"/>
        <v>100%</v>
      </c>
      <c r="AA963" s="67"/>
      <c r="AB963" s="473"/>
      <c r="AC963" s="478" t="s">
        <v>2711</v>
      </c>
      <c r="AD963" s="67"/>
    </row>
    <row r="964" spans="2:30">
      <c r="B964" s="64" t="s">
        <v>116</v>
      </c>
      <c r="C964" s="65" t="s">
        <v>443</v>
      </c>
      <c r="D964" s="66">
        <v>12.14</v>
      </c>
      <c r="E964" s="67">
        <v>45544</v>
      </c>
      <c r="F964" s="64">
        <f t="shared" si="404"/>
        <v>1</v>
      </c>
      <c r="G964" s="67">
        <v>45552</v>
      </c>
      <c r="H964" s="64">
        <f t="shared" si="403"/>
        <v>1</v>
      </c>
      <c r="I964" s="67">
        <v>45552</v>
      </c>
      <c r="J964" s="64">
        <f t="shared" si="394"/>
        <v>0</v>
      </c>
      <c r="K964" s="234">
        <v>45552</v>
      </c>
      <c r="L964" s="64">
        <f t="shared" si="395"/>
        <v>0</v>
      </c>
      <c r="M964" s="64">
        <f t="shared" si="396"/>
        <v>0</v>
      </c>
      <c r="N964" s="67">
        <f t="shared" si="400"/>
        <v>45553</v>
      </c>
      <c r="O964" s="64">
        <f t="shared" si="397"/>
        <v>1</v>
      </c>
      <c r="P964" s="64">
        <f t="shared" si="398"/>
        <v>0</v>
      </c>
      <c r="Q964" s="91" t="str">
        <f t="shared" si="391"/>
        <v>Selesai</v>
      </c>
      <c r="R964" s="64">
        <f t="shared" si="399"/>
        <v>0</v>
      </c>
      <c r="S964" s="67">
        <v>45553</v>
      </c>
      <c r="T964" s="67">
        <v>45564</v>
      </c>
      <c r="U964" s="64">
        <f t="shared" si="392"/>
        <v>1</v>
      </c>
      <c r="V964" s="66"/>
      <c r="W964" s="66"/>
      <c r="X964" s="93"/>
      <c r="Y964" s="94"/>
      <c r="Z964" s="91" t="str">
        <f t="shared" si="393"/>
        <v>100%</v>
      </c>
      <c r="AA964" s="67"/>
      <c r="AB964" s="473"/>
      <c r="AC964" s="478" t="s">
        <v>2711</v>
      </c>
      <c r="AD964" s="67"/>
    </row>
    <row r="965" spans="2:30">
      <c r="B965" s="64" t="s">
        <v>113</v>
      </c>
      <c r="C965" s="65" t="s">
        <v>490</v>
      </c>
      <c r="D965" s="66">
        <v>13.68</v>
      </c>
      <c r="E965" s="67">
        <v>45544</v>
      </c>
      <c r="F965" s="64">
        <f t="shared" si="404"/>
        <v>1</v>
      </c>
      <c r="G965" s="67">
        <v>45552</v>
      </c>
      <c r="H965" s="64">
        <f t="shared" si="403"/>
        <v>1</v>
      </c>
      <c r="I965" s="67">
        <v>45552</v>
      </c>
      <c r="J965" s="64">
        <f t="shared" si="394"/>
        <v>0</v>
      </c>
      <c r="K965" s="67">
        <v>45552</v>
      </c>
      <c r="L965" s="64">
        <f t="shared" si="395"/>
        <v>0</v>
      </c>
      <c r="M965" s="64">
        <f t="shared" si="396"/>
        <v>0</v>
      </c>
      <c r="N965" s="67">
        <f t="shared" si="400"/>
        <v>45553</v>
      </c>
      <c r="O965" s="64">
        <f t="shared" si="397"/>
        <v>1</v>
      </c>
      <c r="P965" s="64">
        <f t="shared" si="398"/>
        <v>0</v>
      </c>
      <c r="Q965" s="91" t="str">
        <f t="shared" si="391"/>
        <v>Selesai</v>
      </c>
      <c r="R965" s="64">
        <f t="shared" si="399"/>
        <v>0</v>
      </c>
      <c r="S965" s="67">
        <v>45553</v>
      </c>
      <c r="T965" s="67">
        <v>45564</v>
      </c>
      <c r="U965" s="64">
        <f t="shared" si="392"/>
        <v>1</v>
      </c>
      <c r="V965" s="66"/>
      <c r="W965" s="66"/>
      <c r="X965" s="93"/>
      <c r="Y965" s="94"/>
      <c r="Z965" s="91" t="str">
        <f t="shared" si="393"/>
        <v>100%</v>
      </c>
      <c r="AA965" s="67"/>
      <c r="AB965" s="473"/>
      <c r="AC965" s="478" t="s">
        <v>2711</v>
      </c>
      <c r="AD965" s="67"/>
    </row>
    <row r="966" spans="2:30">
      <c r="B966" s="64" t="s">
        <v>118</v>
      </c>
      <c r="C966" s="65" t="s">
        <v>421</v>
      </c>
      <c r="D966" s="66">
        <v>8.4</v>
      </c>
      <c r="E966" s="67">
        <v>45530</v>
      </c>
      <c r="F966" s="64">
        <v>1</v>
      </c>
      <c r="G966" s="67">
        <v>45545</v>
      </c>
      <c r="H966" s="64">
        <v>1</v>
      </c>
      <c r="I966" s="67">
        <v>45549</v>
      </c>
      <c r="J966" s="64">
        <f t="shared" si="394"/>
        <v>0</v>
      </c>
      <c r="K966" s="67">
        <v>45546</v>
      </c>
      <c r="L966" s="64">
        <f t="shared" si="395"/>
        <v>0</v>
      </c>
      <c r="M966" s="64">
        <f t="shared" si="396"/>
        <v>0</v>
      </c>
      <c r="N966" s="67">
        <v>45550</v>
      </c>
      <c r="O966" s="64">
        <f t="shared" si="397"/>
        <v>1</v>
      </c>
      <c r="P966" s="64">
        <f t="shared" si="398"/>
        <v>0</v>
      </c>
      <c r="Q966" s="91" t="s">
        <v>2551</v>
      </c>
      <c r="R966" s="64">
        <f t="shared" si="399"/>
        <v>0</v>
      </c>
      <c r="S966" s="67">
        <v>45556</v>
      </c>
      <c r="T966" s="67">
        <v>45567</v>
      </c>
      <c r="U966" s="64">
        <f t="shared" si="392"/>
        <v>1</v>
      </c>
      <c r="V966" s="66"/>
      <c r="W966" s="66"/>
      <c r="X966" s="93"/>
      <c r="Y966" s="94"/>
      <c r="Z966" s="91" t="str">
        <f t="shared" si="393"/>
        <v>100%</v>
      </c>
      <c r="AA966" s="67"/>
      <c r="AB966" s="473"/>
      <c r="AC966" s="478" t="s">
        <v>2711</v>
      </c>
      <c r="AD966" s="67"/>
    </row>
    <row r="967" spans="2:30">
      <c r="B967" s="64" t="s">
        <v>113</v>
      </c>
      <c r="C967" s="65" t="s">
        <v>876</v>
      </c>
      <c r="D967" s="66">
        <v>4.68</v>
      </c>
      <c r="E967" s="67">
        <v>45534</v>
      </c>
      <c r="F967" s="64">
        <v>1</v>
      </c>
      <c r="G967" s="67">
        <v>45537</v>
      </c>
      <c r="H967" s="64">
        <v>1</v>
      </c>
      <c r="I967" s="67">
        <v>45540</v>
      </c>
      <c r="J967" s="64">
        <f t="shared" si="394"/>
        <v>0</v>
      </c>
      <c r="K967" s="67">
        <v>45546</v>
      </c>
      <c r="L967" s="64">
        <f t="shared" si="395"/>
        <v>0</v>
      </c>
      <c r="M967" s="64">
        <f t="shared" si="396"/>
        <v>0</v>
      </c>
      <c r="N967" s="67">
        <v>45547</v>
      </c>
      <c r="O967" s="64">
        <f t="shared" si="397"/>
        <v>1</v>
      </c>
      <c r="P967" s="64">
        <f t="shared" si="398"/>
        <v>0</v>
      </c>
      <c r="Q967" s="91" t="s">
        <v>2551</v>
      </c>
      <c r="R967" s="64">
        <f t="shared" si="399"/>
        <v>0</v>
      </c>
      <c r="S967" s="67">
        <v>45547</v>
      </c>
      <c r="T967" s="67">
        <v>45569</v>
      </c>
      <c r="U967" s="64">
        <f t="shared" si="392"/>
        <v>1</v>
      </c>
      <c r="V967" s="66"/>
      <c r="W967" s="66"/>
      <c r="X967" s="93"/>
      <c r="Y967" s="94"/>
      <c r="Z967" s="91" t="str">
        <f t="shared" si="393"/>
        <v>100%</v>
      </c>
      <c r="AA967" s="67"/>
      <c r="AB967" s="473"/>
      <c r="AC967" s="478" t="s">
        <v>2711</v>
      </c>
      <c r="AD967" s="67"/>
    </row>
    <row r="968" spans="2:30">
      <c r="B968" s="64" t="s">
        <v>116</v>
      </c>
      <c r="C968" s="65" t="s">
        <v>491</v>
      </c>
      <c r="D968" s="66">
        <v>5.97</v>
      </c>
      <c r="E968" s="67">
        <v>45547</v>
      </c>
      <c r="F968" s="64">
        <v>1</v>
      </c>
      <c r="G968" s="67">
        <v>45549</v>
      </c>
      <c r="H968" s="64">
        <v>1</v>
      </c>
      <c r="I968" s="67">
        <v>45553</v>
      </c>
      <c r="J968" s="64">
        <f t="shared" si="394"/>
        <v>0</v>
      </c>
      <c r="K968" s="67">
        <v>45552</v>
      </c>
      <c r="L968" s="64">
        <f t="shared" si="395"/>
        <v>0</v>
      </c>
      <c r="M968" s="64">
        <f t="shared" si="396"/>
        <v>0</v>
      </c>
      <c r="N968" s="67">
        <v>45554</v>
      </c>
      <c r="O968" s="64">
        <f t="shared" si="397"/>
        <v>1</v>
      </c>
      <c r="P968" s="64">
        <f t="shared" si="398"/>
        <v>0</v>
      </c>
      <c r="Q968" s="91" t="s">
        <v>2551</v>
      </c>
      <c r="R968" s="64">
        <f t="shared" si="399"/>
        <v>0</v>
      </c>
      <c r="S968" s="67">
        <v>45558</v>
      </c>
      <c r="T968" s="67">
        <v>45569</v>
      </c>
      <c r="U968" s="64">
        <f t="shared" si="392"/>
        <v>1</v>
      </c>
      <c r="V968" s="66"/>
      <c r="W968" s="66"/>
      <c r="X968" s="93"/>
      <c r="Y968" s="94"/>
      <c r="Z968" s="91" t="str">
        <f t="shared" si="393"/>
        <v>100%</v>
      </c>
      <c r="AA968" s="67"/>
      <c r="AB968" s="473"/>
      <c r="AC968" s="478" t="s">
        <v>2711</v>
      </c>
      <c r="AD968" s="67"/>
    </row>
    <row r="969" spans="2:30">
      <c r="B969" s="64" t="s">
        <v>107</v>
      </c>
      <c r="C969" s="65" t="s">
        <v>818</v>
      </c>
      <c r="D969" s="66">
        <v>9.7799999999999994</v>
      </c>
      <c r="E969" s="67">
        <v>45546</v>
      </c>
      <c r="F969" s="64">
        <v>1</v>
      </c>
      <c r="G969" s="67">
        <v>45548</v>
      </c>
      <c r="H969" s="64">
        <v>1</v>
      </c>
      <c r="I969" s="67">
        <v>45555</v>
      </c>
      <c r="J969" s="64">
        <f t="shared" si="394"/>
        <v>0</v>
      </c>
      <c r="K969" s="67">
        <v>45554</v>
      </c>
      <c r="L969" s="64">
        <f t="shared" si="395"/>
        <v>0</v>
      </c>
      <c r="M969" s="64">
        <f t="shared" si="396"/>
        <v>0</v>
      </c>
      <c r="N969" s="67">
        <v>45556</v>
      </c>
      <c r="O969" s="64">
        <f t="shared" si="397"/>
        <v>1</v>
      </c>
      <c r="P969" s="64">
        <f t="shared" si="398"/>
        <v>0</v>
      </c>
      <c r="Q969" s="91" t="s">
        <v>2551</v>
      </c>
      <c r="R969" s="64">
        <f t="shared" si="399"/>
        <v>0</v>
      </c>
      <c r="S969" s="67">
        <v>45556</v>
      </c>
      <c r="T969" s="67">
        <v>45577</v>
      </c>
      <c r="U969" s="64">
        <f t="shared" ref="U969:U1027" si="405">IF(T969&gt;0,1,0)</f>
        <v>1</v>
      </c>
      <c r="V969" s="66"/>
      <c r="W969" s="66"/>
      <c r="X969" s="93"/>
      <c r="Y969" s="94"/>
      <c r="Z969" s="91" t="str">
        <f t="shared" si="393"/>
        <v>100%</v>
      </c>
      <c r="AA969" s="67"/>
      <c r="AB969" s="473"/>
      <c r="AC969" s="478" t="s">
        <v>2711</v>
      </c>
      <c r="AD969" s="67"/>
    </row>
    <row r="970" spans="2:30">
      <c r="B970" s="64" t="s">
        <v>105</v>
      </c>
      <c r="C970" s="65" t="s">
        <v>457</v>
      </c>
      <c r="D970" s="66">
        <v>9.77</v>
      </c>
      <c r="E970" s="67">
        <v>45548</v>
      </c>
      <c r="F970" s="64">
        <v>1</v>
      </c>
      <c r="G970" s="67">
        <v>45550</v>
      </c>
      <c r="H970" s="64">
        <v>1</v>
      </c>
      <c r="I970" s="67">
        <v>45555</v>
      </c>
      <c r="J970" s="64">
        <f t="shared" si="394"/>
        <v>0</v>
      </c>
      <c r="K970" s="67">
        <v>45552</v>
      </c>
      <c r="L970" s="64">
        <f t="shared" si="395"/>
        <v>0</v>
      </c>
      <c r="M970" s="64">
        <f t="shared" si="396"/>
        <v>0</v>
      </c>
      <c r="N970" s="67">
        <v>45556</v>
      </c>
      <c r="O970" s="64">
        <f t="shared" si="397"/>
        <v>1</v>
      </c>
      <c r="P970" s="64">
        <f t="shared" si="398"/>
        <v>0</v>
      </c>
      <c r="Q970" s="91" t="s">
        <v>2551</v>
      </c>
      <c r="R970" s="64">
        <f t="shared" si="399"/>
        <v>0</v>
      </c>
      <c r="S970" s="67">
        <v>45557</v>
      </c>
      <c r="T970" s="67">
        <v>45580</v>
      </c>
      <c r="U970" s="64">
        <f t="shared" si="405"/>
        <v>1</v>
      </c>
      <c r="V970" s="66"/>
      <c r="W970" s="66"/>
      <c r="X970" s="93"/>
      <c r="Y970" s="94"/>
      <c r="Z970" s="91" t="str">
        <f t="shared" ref="Z970:Z1033" si="406">IF(T970="","","100%")</f>
        <v>100%</v>
      </c>
      <c r="AA970" s="67"/>
      <c r="AB970" s="473"/>
      <c r="AC970" s="478" t="s">
        <v>2711</v>
      </c>
      <c r="AD970" s="67"/>
    </row>
    <row r="971" spans="2:30">
      <c r="B971" s="64" t="s">
        <v>118</v>
      </c>
      <c r="C971" s="65" t="s">
        <v>456</v>
      </c>
      <c r="D971" s="66">
        <v>6.58</v>
      </c>
      <c r="E971" s="67">
        <v>45547</v>
      </c>
      <c r="F971" s="64">
        <v>1</v>
      </c>
      <c r="G971" s="67">
        <v>45549</v>
      </c>
      <c r="H971" s="64">
        <v>1</v>
      </c>
      <c r="I971" s="67">
        <v>45550</v>
      </c>
      <c r="J971" s="64">
        <f t="shared" si="394"/>
        <v>0</v>
      </c>
      <c r="K971" s="67">
        <v>45554</v>
      </c>
      <c r="L971" s="64">
        <f t="shared" si="395"/>
        <v>0</v>
      </c>
      <c r="M971" s="64">
        <f t="shared" si="396"/>
        <v>0</v>
      </c>
      <c r="N971" s="67">
        <v>45555</v>
      </c>
      <c r="O971" s="64">
        <f t="shared" si="397"/>
        <v>1</v>
      </c>
      <c r="P971" s="64">
        <f t="shared" si="398"/>
        <v>0</v>
      </c>
      <c r="Q971" s="91" t="s">
        <v>2551</v>
      </c>
      <c r="R971" s="64">
        <f t="shared" si="399"/>
        <v>0</v>
      </c>
      <c r="S971" s="67">
        <v>45560</v>
      </c>
      <c r="T971" s="67">
        <v>45574</v>
      </c>
      <c r="U971" s="64">
        <f t="shared" si="405"/>
        <v>1</v>
      </c>
      <c r="V971" s="66"/>
      <c r="W971" s="66"/>
      <c r="X971" s="93"/>
      <c r="Y971" s="94"/>
      <c r="Z971" s="91" t="str">
        <f t="shared" si="406"/>
        <v>100%</v>
      </c>
      <c r="AA971" s="67"/>
      <c r="AB971" s="473"/>
      <c r="AC971" s="478" t="s">
        <v>2711</v>
      </c>
      <c r="AD971" s="67"/>
    </row>
    <row r="972" spans="2:30">
      <c r="B972" s="64" t="s">
        <v>111</v>
      </c>
      <c r="C972" s="65" t="s">
        <v>477</v>
      </c>
      <c r="D972" s="66">
        <v>6.48</v>
      </c>
      <c r="E972" s="67">
        <v>45553</v>
      </c>
      <c r="F972" s="64">
        <v>1</v>
      </c>
      <c r="G972" s="67">
        <v>45558</v>
      </c>
      <c r="H972" s="64">
        <v>1</v>
      </c>
      <c r="I972" s="67">
        <v>45562</v>
      </c>
      <c r="J972" s="64">
        <f t="shared" si="394"/>
        <v>0</v>
      </c>
      <c r="K972" s="67">
        <v>45563</v>
      </c>
      <c r="L972" s="64">
        <f t="shared" si="395"/>
        <v>0</v>
      </c>
      <c r="M972" s="64">
        <f t="shared" si="396"/>
        <v>0</v>
      </c>
      <c r="N972" s="67">
        <v>45564</v>
      </c>
      <c r="O972" s="64">
        <f t="shared" si="397"/>
        <v>1</v>
      </c>
      <c r="P972" s="64">
        <f t="shared" si="398"/>
        <v>0</v>
      </c>
      <c r="Q972" s="91" t="s">
        <v>2551</v>
      </c>
      <c r="R972" s="64">
        <f t="shared" si="399"/>
        <v>0</v>
      </c>
      <c r="S972" s="67">
        <v>45565</v>
      </c>
      <c r="T972" s="67">
        <v>45575</v>
      </c>
      <c r="U972" s="64">
        <f t="shared" si="405"/>
        <v>1</v>
      </c>
      <c r="V972" s="66"/>
      <c r="W972" s="66"/>
      <c r="X972" s="93"/>
      <c r="Y972" s="94"/>
      <c r="Z972" s="91" t="str">
        <f t="shared" si="406"/>
        <v>100%</v>
      </c>
      <c r="AA972" s="67"/>
      <c r="AB972" s="473"/>
      <c r="AC972" s="478" t="s">
        <v>2711</v>
      </c>
      <c r="AD972" s="67"/>
    </row>
    <row r="973" spans="2:30">
      <c r="B973" s="64" t="s">
        <v>111</v>
      </c>
      <c r="C973" s="65" t="s">
        <v>993</v>
      </c>
      <c r="D973" s="66">
        <v>9.82</v>
      </c>
      <c r="E973" s="67">
        <v>45548</v>
      </c>
      <c r="F973" s="64">
        <v>1</v>
      </c>
      <c r="G973" s="67">
        <v>45563</v>
      </c>
      <c r="H973" s="64">
        <v>1</v>
      </c>
      <c r="I973" s="67">
        <v>45564</v>
      </c>
      <c r="J973" s="64">
        <f t="shared" si="394"/>
        <v>0</v>
      </c>
      <c r="K973" s="67">
        <v>45562</v>
      </c>
      <c r="L973" s="64">
        <f t="shared" si="395"/>
        <v>0</v>
      </c>
      <c r="M973" s="64">
        <f t="shared" si="396"/>
        <v>0</v>
      </c>
      <c r="N973" s="67">
        <v>45565</v>
      </c>
      <c r="O973" s="64">
        <f t="shared" si="397"/>
        <v>1</v>
      </c>
      <c r="P973" s="64">
        <f t="shared" si="398"/>
        <v>0</v>
      </c>
      <c r="Q973" s="91" t="s">
        <v>2551</v>
      </c>
      <c r="R973" s="64">
        <f t="shared" si="399"/>
        <v>0</v>
      </c>
      <c r="S973" s="67">
        <v>45564</v>
      </c>
      <c r="T973" s="67">
        <v>45576</v>
      </c>
      <c r="U973" s="64">
        <f t="shared" si="405"/>
        <v>1</v>
      </c>
      <c r="V973" s="66"/>
      <c r="W973" s="66"/>
      <c r="X973" s="93"/>
      <c r="Y973" s="94"/>
      <c r="Z973" s="91" t="str">
        <f t="shared" si="406"/>
        <v>100%</v>
      </c>
      <c r="AA973" s="67"/>
      <c r="AB973" s="473"/>
      <c r="AC973" s="478" t="s">
        <v>2711</v>
      </c>
      <c r="AD973" s="67"/>
    </row>
    <row r="974" spans="2:30">
      <c r="B974" s="64" t="s">
        <v>111</v>
      </c>
      <c r="C974" s="65" t="s">
        <v>455</v>
      </c>
      <c r="D974" s="66">
        <v>7.21</v>
      </c>
      <c r="E974" s="67">
        <v>45502</v>
      </c>
      <c r="F974" s="64">
        <v>1</v>
      </c>
      <c r="G974" s="67">
        <v>45510</v>
      </c>
      <c r="H974" s="64">
        <v>1</v>
      </c>
      <c r="I974" s="67">
        <v>45515</v>
      </c>
      <c r="J974" s="64">
        <f t="shared" si="394"/>
        <v>0</v>
      </c>
      <c r="K974" s="67">
        <v>45505</v>
      </c>
      <c r="L974" s="64">
        <f t="shared" si="395"/>
        <v>0</v>
      </c>
      <c r="M974" s="64">
        <f t="shared" si="396"/>
        <v>0</v>
      </c>
      <c r="N974" s="67">
        <v>45516</v>
      </c>
      <c r="O974" s="64">
        <f t="shared" si="397"/>
        <v>1</v>
      </c>
      <c r="P974" s="64">
        <f t="shared" si="398"/>
        <v>0</v>
      </c>
      <c r="Q974" s="91" t="s">
        <v>2551</v>
      </c>
      <c r="R974" s="64">
        <f t="shared" si="399"/>
        <v>0</v>
      </c>
      <c r="S974" s="67">
        <v>45554</v>
      </c>
      <c r="T974" s="67">
        <v>45576</v>
      </c>
      <c r="U974" s="64">
        <f t="shared" si="405"/>
        <v>1</v>
      </c>
      <c r="V974" s="66"/>
      <c r="W974" s="66"/>
      <c r="X974" s="93"/>
      <c r="Y974" s="94"/>
      <c r="Z974" s="91" t="str">
        <f t="shared" si="406"/>
        <v>100%</v>
      </c>
      <c r="AA974" s="67"/>
      <c r="AB974" s="473"/>
      <c r="AC974" s="478" t="s">
        <v>2711</v>
      </c>
      <c r="AD974" s="67"/>
    </row>
    <row r="975" spans="2:30">
      <c r="B975" s="64" t="s">
        <v>107</v>
      </c>
      <c r="C975" s="65" t="s">
        <v>816</v>
      </c>
      <c r="D975" s="66">
        <v>4.3600000000000003</v>
      </c>
      <c r="E975" s="67">
        <v>45546</v>
      </c>
      <c r="F975" s="64">
        <v>1</v>
      </c>
      <c r="G975" s="67">
        <v>45548</v>
      </c>
      <c r="H975" s="64">
        <v>1</v>
      </c>
      <c r="I975" s="67">
        <v>45558</v>
      </c>
      <c r="J975" s="64">
        <f t="shared" si="394"/>
        <v>0</v>
      </c>
      <c r="K975" s="67">
        <v>45559</v>
      </c>
      <c r="L975" s="64">
        <f t="shared" si="395"/>
        <v>0</v>
      </c>
      <c r="M975" s="64">
        <f t="shared" si="396"/>
        <v>0</v>
      </c>
      <c r="N975" s="67">
        <v>45560</v>
      </c>
      <c r="O975" s="64">
        <f t="shared" si="397"/>
        <v>1</v>
      </c>
      <c r="P975" s="64">
        <f t="shared" si="398"/>
        <v>0</v>
      </c>
      <c r="Q975" s="91" t="s">
        <v>2551</v>
      </c>
      <c r="R975" s="64">
        <f t="shared" si="399"/>
        <v>0</v>
      </c>
      <c r="S975" s="67">
        <v>45563</v>
      </c>
      <c r="T975" s="67">
        <v>45577</v>
      </c>
      <c r="U975" s="64">
        <f t="shared" si="405"/>
        <v>1</v>
      </c>
      <c r="V975" s="66"/>
      <c r="W975" s="66"/>
      <c r="X975" s="93"/>
      <c r="Y975" s="94"/>
      <c r="Z975" s="91" t="str">
        <f t="shared" si="406"/>
        <v>100%</v>
      </c>
      <c r="AA975" s="67"/>
      <c r="AB975" s="473"/>
      <c r="AC975" s="478" t="s">
        <v>2711</v>
      </c>
      <c r="AD975" s="67"/>
    </row>
    <row r="976" spans="2:30">
      <c r="B976" s="64" t="s">
        <v>118</v>
      </c>
      <c r="C976" s="65" t="s">
        <v>419</v>
      </c>
      <c r="D976" s="66">
        <v>13.21</v>
      </c>
      <c r="E976" s="67">
        <v>45538</v>
      </c>
      <c r="F976" s="64">
        <v>1</v>
      </c>
      <c r="G976" s="67">
        <v>45545</v>
      </c>
      <c r="H976" s="64">
        <v>1</v>
      </c>
      <c r="I976" s="67">
        <v>45549</v>
      </c>
      <c r="J976" s="64">
        <f t="shared" ref="J976:J1039" si="407">IF(I976&gt;0,0,1)</f>
        <v>0</v>
      </c>
      <c r="K976" s="67">
        <v>45563</v>
      </c>
      <c r="L976" s="64">
        <f t="shared" ref="L976:L1039" si="408">IF(K976&gt;0,0,1)</f>
        <v>0</v>
      </c>
      <c r="M976" s="64">
        <f t="shared" ref="M976:M1039" si="409">IF(AND(J976&gt;0,L976&gt;0),1,0)</f>
        <v>0</v>
      </c>
      <c r="N976" s="67">
        <v>45564</v>
      </c>
      <c r="O976" s="64">
        <f t="shared" ref="O976:O1039" si="410">IF(N976&gt;0,1,0)</f>
        <v>1</v>
      </c>
      <c r="P976" s="64">
        <f t="shared" ref="P976:P1039" si="411">IF(O976&gt;0,0,1)</f>
        <v>0</v>
      </c>
      <c r="Q976" s="91" t="s">
        <v>2551</v>
      </c>
      <c r="R976" s="64">
        <f t="shared" ref="R976:R1039" si="412">IF(Q976="proses",1,0)</f>
        <v>0</v>
      </c>
      <c r="S976" s="67">
        <v>45567</v>
      </c>
      <c r="T976" s="67">
        <v>45583</v>
      </c>
      <c r="U976" s="64">
        <f t="shared" si="405"/>
        <v>1</v>
      </c>
      <c r="V976" s="66"/>
      <c r="W976" s="66"/>
      <c r="X976" s="93"/>
      <c r="Y976" s="94"/>
      <c r="Z976" s="91" t="str">
        <f t="shared" si="406"/>
        <v>100%</v>
      </c>
      <c r="AA976" s="67"/>
      <c r="AB976" s="473"/>
      <c r="AC976" s="478" t="s">
        <v>2711</v>
      </c>
      <c r="AD976" s="67"/>
    </row>
    <row r="977" spans="2:30">
      <c r="B977" s="64" t="s">
        <v>111</v>
      </c>
      <c r="C977" s="65" t="s">
        <v>991</v>
      </c>
      <c r="D977" s="66">
        <v>9.24</v>
      </c>
      <c r="E977" s="67">
        <v>45523</v>
      </c>
      <c r="F977" s="64">
        <v>1</v>
      </c>
      <c r="G977" s="67">
        <v>45558</v>
      </c>
      <c r="H977" s="64">
        <v>1</v>
      </c>
      <c r="I977" s="67">
        <v>45545</v>
      </c>
      <c r="J977" s="64">
        <f t="shared" si="407"/>
        <v>0</v>
      </c>
      <c r="K977" s="67">
        <v>45553</v>
      </c>
      <c r="L977" s="64">
        <f t="shared" si="408"/>
        <v>0</v>
      </c>
      <c r="M977" s="64">
        <f t="shared" si="409"/>
        <v>0</v>
      </c>
      <c r="N977" s="67">
        <v>45554</v>
      </c>
      <c r="O977" s="64">
        <f t="shared" si="410"/>
        <v>1</v>
      </c>
      <c r="P977" s="64">
        <f t="shared" si="411"/>
        <v>0</v>
      </c>
      <c r="Q977" s="91" t="s">
        <v>2551</v>
      </c>
      <c r="R977" s="64">
        <f t="shared" si="412"/>
        <v>0</v>
      </c>
      <c r="S977" s="67">
        <v>45559</v>
      </c>
      <c r="T977" s="67">
        <v>45580</v>
      </c>
      <c r="U977" s="64">
        <f t="shared" si="405"/>
        <v>1</v>
      </c>
      <c r="V977" s="66"/>
      <c r="W977" s="66"/>
      <c r="X977" s="93"/>
      <c r="Y977" s="94"/>
      <c r="Z977" s="91" t="str">
        <f t="shared" si="406"/>
        <v>100%</v>
      </c>
      <c r="AA977" s="67"/>
      <c r="AB977" s="473"/>
      <c r="AC977" s="478" t="s">
        <v>2711</v>
      </c>
      <c r="AD977" s="67"/>
    </row>
    <row r="978" spans="2:30">
      <c r="B978" s="64" t="s">
        <v>111</v>
      </c>
      <c r="C978" s="65" t="s">
        <v>468</v>
      </c>
      <c r="D978" s="66">
        <v>7.41</v>
      </c>
      <c r="E978" s="67">
        <v>45498</v>
      </c>
      <c r="F978" s="64">
        <v>1</v>
      </c>
      <c r="G978" s="67">
        <v>45506</v>
      </c>
      <c r="H978" s="64">
        <v>1</v>
      </c>
      <c r="I978" s="67">
        <v>45515</v>
      </c>
      <c r="J978" s="64">
        <f t="shared" si="407"/>
        <v>0</v>
      </c>
      <c r="K978" s="67">
        <v>45505</v>
      </c>
      <c r="L978" s="64">
        <f t="shared" si="408"/>
        <v>0</v>
      </c>
      <c r="M978" s="64">
        <f t="shared" si="409"/>
        <v>0</v>
      </c>
      <c r="N978" s="67">
        <v>45516</v>
      </c>
      <c r="O978" s="64">
        <f t="shared" si="410"/>
        <v>1</v>
      </c>
      <c r="P978" s="64">
        <f t="shared" si="411"/>
        <v>0</v>
      </c>
      <c r="Q978" s="91" t="s">
        <v>2551</v>
      </c>
      <c r="R978" s="64">
        <f t="shared" si="412"/>
        <v>0</v>
      </c>
      <c r="S978" s="67">
        <v>45533</v>
      </c>
      <c r="T978" s="67">
        <v>45582</v>
      </c>
      <c r="U978" s="64">
        <f t="shared" si="405"/>
        <v>1</v>
      </c>
      <c r="V978" s="66"/>
      <c r="W978" s="66"/>
      <c r="X978" s="93"/>
      <c r="Y978" s="94"/>
      <c r="Z978" s="91" t="str">
        <f t="shared" si="406"/>
        <v>100%</v>
      </c>
      <c r="AA978" s="67"/>
      <c r="AB978" s="473"/>
      <c r="AC978" s="478" t="s">
        <v>2711</v>
      </c>
      <c r="AD978" s="67"/>
    </row>
    <row r="979" spans="2:30">
      <c r="B979" s="64" t="s">
        <v>107</v>
      </c>
      <c r="C979" s="65" t="s">
        <v>500</v>
      </c>
      <c r="D979" s="66">
        <v>4.4400000000000004</v>
      </c>
      <c r="E979" s="67">
        <v>45547</v>
      </c>
      <c r="F979" s="64">
        <v>1</v>
      </c>
      <c r="G979" s="67">
        <v>45565</v>
      </c>
      <c r="H979" s="64">
        <v>1</v>
      </c>
      <c r="I979" s="67">
        <v>45559</v>
      </c>
      <c r="J979" s="64">
        <f t="shared" si="407"/>
        <v>0</v>
      </c>
      <c r="K979" s="67">
        <v>45566</v>
      </c>
      <c r="L979" s="64">
        <f t="shared" si="408"/>
        <v>0</v>
      </c>
      <c r="M979" s="64">
        <f t="shared" si="409"/>
        <v>0</v>
      </c>
      <c r="N979" s="67">
        <v>45567</v>
      </c>
      <c r="O979" s="64">
        <f t="shared" si="410"/>
        <v>1</v>
      </c>
      <c r="P979" s="64">
        <f t="shared" si="411"/>
        <v>0</v>
      </c>
      <c r="Q979" s="91" t="s">
        <v>2551</v>
      </c>
      <c r="R979" s="64">
        <f t="shared" si="412"/>
        <v>0</v>
      </c>
      <c r="S979" s="67">
        <v>45569</v>
      </c>
      <c r="T979" s="67">
        <v>45584</v>
      </c>
      <c r="U979" s="64">
        <f t="shared" si="405"/>
        <v>1</v>
      </c>
      <c r="V979" s="66"/>
      <c r="W979" s="66"/>
      <c r="X979" s="93"/>
      <c r="Y979" s="94"/>
      <c r="Z979" s="91" t="str">
        <f t="shared" si="406"/>
        <v>100%</v>
      </c>
      <c r="AA979" s="67"/>
      <c r="AB979" s="473"/>
      <c r="AC979" s="478" t="s">
        <v>2711</v>
      </c>
      <c r="AD979" s="67"/>
    </row>
    <row r="980" spans="2:30">
      <c r="B980" s="64" t="s">
        <v>113</v>
      </c>
      <c r="C980" s="65" t="s">
        <v>517</v>
      </c>
      <c r="D980" s="66">
        <v>3.7</v>
      </c>
      <c r="E980" s="67">
        <v>45562</v>
      </c>
      <c r="F980" s="64">
        <v>1</v>
      </c>
      <c r="G980" s="67">
        <v>45563</v>
      </c>
      <c r="H980" s="64">
        <v>1</v>
      </c>
      <c r="I980" s="67">
        <v>45571</v>
      </c>
      <c r="J980" s="64">
        <f t="shared" si="407"/>
        <v>0</v>
      </c>
      <c r="K980" s="67">
        <v>45569</v>
      </c>
      <c r="L980" s="64">
        <f t="shared" si="408"/>
        <v>0</v>
      </c>
      <c r="M980" s="64">
        <f t="shared" si="409"/>
        <v>0</v>
      </c>
      <c r="N980" s="67">
        <v>45572</v>
      </c>
      <c r="O980" s="64">
        <f t="shared" si="410"/>
        <v>1</v>
      </c>
      <c r="P980" s="64">
        <f t="shared" si="411"/>
        <v>0</v>
      </c>
      <c r="Q980" s="91" t="s">
        <v>2551</v>
      </c>
      <c r="R980" s="64">
        <f t="shared" si="412"/>
        <v>0</v>
      </c>
      <c r="S980" s="67">
        <v>45572</v>
      </c>
      <c r="T980" s="67">
        <v>45588</v>
      </c>
      <c r="U980" s="64">
        <f t="shared" si="405"/>
        <v>1</v>
      </c>
      <c r="V980" s="66"/>
      <c r="W980" s="66"/>
      <c r="X980" s="93"/>
      <c r="Y980" s="94"/>
      <c r="Z980" s="91" t="str">
        <f t="shared" si="406"/>
        <v>100%</v>
      </c>
      <c r="AA980" s="67"/>
      <c r="AB980" s="473"/>
      <c r="AC980" s="478" t="s">
        <v>2711</v>
      </c>
      <c r="AD980" s="67"/>
    </row>
    <row r="981" spans="2:30">
      <c r="B981" s="64" t="s">
        <v>116</v>
      </c>
      <c r="C981" s="65" t="s">
        <v>497</v>
      </c>
      <c r="D981" s="66">
        <v>7.3</v>
      </c>
      <c r="E981" s="67">
        <v>45553</v>
      </c>
      <c r="F981" s="64">
        <v>1</v>
      </c>
      <c r="G981" s="67">
        <v>45568</v>
      </c>
      <c r="H981" s="64">
        <v>1</v>
      </c>
      <c r="I981" s="67">
        <v>45572</v>
      </c>
      <c r="J981" s="64">
        <f t="shared" si="407"/>
        <v>0</v>
      </c>
      <c r="K981" s="67">
        <v>45567</v>
      </c>
      <c r="L981" s="64">
        <f t="shared" si="408"/>
        <v>0</v>
      </c>
      <c r="M981" s="64">
        <f t="shared" si="409"/>
        <v>0</v>
      </c>
      <c r="N981" s="67">
        <v>45573</v>
      </c>
      <c r="O981" s="64">
        <f t="shared" si="410"/>
        <v>1</v>
      </c>
      <c r="P981" s="64">
        <f t="shared" si="411"/>
        <v>0</v>
      </c>
      <c r="Q981" s="91" t="s">
        <v>2551</v>
      </c>
      <c r="R981" s="64">
        <f t="shared" si="412"/>
        <v>0</v>
      </c>
      <c r="S981" s="67">
        <v>45573</v>
      </c>
      <c r="T981" s="67">
        <v>45587</v>
      </c>
      <c r="U981" s="64">
        <f t="shared" si="405"/>
        <v>1</v>
      </c>
      <c r="V981" s="66"/>
      <c r="W981" s="66"/>
      <c r="X981" s="93"/>
      <c r="Y981" s="94"/>
      <c r="Z981" s="91" t="str">
        <f t="shared" si="406"/>
        <v>100%</v>
      </c>
      <c r="AA981" s="67"/>
      <c r="AB981" s="473"/>
      <c r="AC981" s="478" t="s">
        <v>2711</v>
      </c>
      <c r="AD981" s="67"/>
    </row>
    <row r="982" spans="2:30">
      <c r="B982" s="64" t="s">
        <v>116</v>
      </c>
      <c r="C982" s="65" t="s">
        <v>469</v>
      </c>
      <c r="D982" s="66">
        <v>7.64</v>
      </c>
      <c r="E982" s="67">
        <v>45553</v>
      </c>
      <c r="F982" s="64">
        <v>1</v>
      </c>
      <c r="G982" s="67">
        <v>45568</v>
      </c>
      <c r="H982" s="64">
        <v>1</v>
      </c>
      <c r="I982" s="67">
        <v>45574</v>
      </c>
      <c r="J982" s="64">
        <f t="shared" si="407"/>
        <v>0</v>
      </c>
      <c r="K982" s="67">
        <v>45567</v>
      </c>
      <c r="L982" s="64">
        <f t="shared" si="408"/>
        <v>0</v>
      </c>
      <c r="M982" s="64">
        <f t="shared" si="409"/>
        <v>0</v>
      </c>
      <c r="N982" s="67">
        <v>45575</v>
      </c>
      <c r="O982" s="64">
        <f t="shared" si="410"/>
        <v>1</v>
      </c>
      <c r="P982" s="64">
        <f t="shared" si="411"/>
        <v>0</v>
      </c>
      <c r="Q982" s="91" t="s">
        <v>2551</v>
      </c>
      <c r="R982" s="64">
        <f t="shared" si="412"/>
        <v>0</v>
      </c>
      <c r="S982" s="67">
        <v>45575</v>
      </c>
      <c r="T982" s="67">
        <v>45587</v>
      </c>
      <c r="U982" s="64">
        <f t="shared" si="405"/>
        <v>1</v>
      </c>
      <c r="V982" s="66"/>
      <c r="W982" s="66"/>
      <c r="X982" s="93"/>
      <c r="Y982" s="94"/>
      <c r="Z982" s="91" t="str">
        <f t="shared" si="406"/>
        <v>100%</v>
      </c>
      <c r="AA982" s="67"/>
      <c r="AB982" s="473"/>
      <c r="AC982" s="478" t="s">
        <v>2711</v>
      </c>
      <c r="AD982" s="67"/>
    </row>
    <row r="983" spans="2:30">
      <c r="B983" s="64" t="s">
        <v>116</v>
      </c>
      <c r="C983" s="65" t="s">
        <v>507</v>
      </c>
      <c r="D983" s="66">
        <v>12.32</v>
      </c>
      <c r="E983" s="67">
        <v>45560</v>
      </c>
      <c r="F983" s="64">
        <v>1</v>
      </c>
      <c r="G983" s="67">
        <v>45568</v>
      </c>
      <c r="H983" s="64">
        <v>1</v>
      </c>
      <c r="I983" s="67">
        <v>45575</v>
      </c>
      <c r="J983" s="64">
        <f t="shared" si="407"/>
        <v>0</v>
      </c>
      <c r="K983" s="67">
        <v>45567</v>
      </c>
      <c r="L983" s="64">
        <f t="shared" si="408"/>
        <v>0</v>
      </c>
      <c r="M983" s="64">
        <f t="shared" si="409"/>
        <v>0</v>
      </c>
      <c r="N983" s="67">
        <v>45576</v>
      </c>
      <c r="O983" s="64">
        <f t="shared" si="410"/>
        <v>1</v>
      </c>
      <c r="P983" s="64">
        <f t="shared" si="411"/>
        <v>0</v>
      </c>
      <c r="Q983" s="91" t="s">
        <v>2551</v>
      </c>
      <c r="R983" s="64">
        <f t="shared" si="412"/>
        <v>0</v>
      </c>
      <c r="S983" s="67">
        <v>45577</v>
      </c>
      <c r="T983" s="67">
        <v>45591</v>
      </c>
      <c r="U983" s="64">
        <f t="shared" si="405"/>
        <v>1</v>
      </c>
      <c r="V983" s="66"/>
      <c r="W983" s="66"/>
      <c r="X983" s="93"/>
      <c r="Y983" s="94"/>
      <c r="Z983" s="91" t="str">
        <f t="shared" si="406"/>
        <v>100%</v>
      </c>
      <c r="AA983" s="67"/>
      <c r="AB983" s="473"/>
      <c r="AC983" s="478" t="s">
        <v>2711</v>
      </c>
      <c r="AD983" s="67"/>
    </row>
    <row r="984" spans="2:30">
      <c r="B984" s="64" t="s">
        <v>109</v>
      </c>
      <c r="C984" s="65" t="s">
        <v>484</v>
      </c>
      <c r="D984" s="66">
        <v>10.8</v>
      </c>
      <c r="E984" s="67">
        <v>45563</v>
      </c>
      <c r="F984" s="64">
        <v>1</v>
      </c>
      <c r="G984" s="67">
        <v>45570</v>
      </c>
      <c r="H984" s="64">
        <v>1</v>
      </c>
      <c r="I984" s="67">
        <v>45574</v>
      </c>
      <c r="J984" s="64">
        <f t="shared" si="407"/>
        <v>0</v>
      </c>
      <c r="K984" s="67">
        <v>45573</v>
      </c>
      <c r="L984" s="64">
        <f t="shared" si="408"/>
        <v>0</v>
      </c>
      <c r="M984" s="64">
        <f t="shared" si="409"/>
        <v>0</v>
      </c>
      <c r="N984" s="67">
        <v>45575</v>
      </c>
      <c r="O984" s="64">
        <f t="shared" si="410"/>
        <v>1</v>
      </c>
      <c r="P984" s="64">
        <f t="shared" si="411"/>
        <v>0</v>
      </c>
      <c r="Q984" s="91" t="s">
        <v>2551</v>
      </c>
      <c r="R984" s="64">
        <f t="shared" si="412"/>
        <v>0</v>
      </c>
      <c r="S984" s="67">
        <v>45575</v>
      </c>
      <c r="T984" s="67">
        <v>45596</v>
      </c>
      <c r="U984" s="64">
        <f t="shared" si="405"/>
        <v>1</v>
      </c>
      <c r="V984" s="66"/>
      <c r="W984" s="66"/>
      <c r="X984" s="93"/>
      <c r="Y984" s="94"/>
      <c r="Z984" s="91" t="str">
        <f t="shared" si="406"/>
        <v>100%</v>
      </c>
      <c r="AA984" s="67"/>
      <c r="AB984" s="473"/>
      <c r="AC984" s="478" t="s">
        <v>2711</v>
      </c>
      <c r="AD984" s="67"/>
    </row>
    <row r="985" spans="2:30">
      <c r="B985" s="64" t="s">
        <v>107</v>
      </c>
      <c r="C985" s="65" t="s">
        <v>509</v>
      </c>
      <c r="D985" s="66">
        <v>8.56</v>
      </c>
      <c r="E985" s="67">
        <v>45547</v>
      </c>
      <c r="F985" s="64">
        <v>1</v>
      </c>
      <c r="G985" s="67">
        <v>45565</v>
      </c>
      <c r="H985" s="64">
        <v>1</v>
      </c>
      <c r="I985" s="67">
        <v>45559</v>
      </c>
      <c r="J985" s="64">
        <f t="shared" si="407"/>
        <v>0</v>
      </c>
      <c r="K985" s="67">
        <v>45566</v>
      </c>
      <c r="L985" s="64">
        <f t="shared" si="408"/>
        <v>0</v>
      </c>
      <c r="M985" s="64">
        <f t="shared" si="409"/>
        <v>0</v>
      </c>
      <c r="N985" s="67">
        <v>45567</v>
      </c>
      <c r="O985" s="64">
        <f t="shared" si="410"/>
        <v>1</v>
      </c>
      <c r="P985" s="64">
        <f t="shared" si="411"/>
        <v>0</v>
      </c>
      <c r="Q985" s="91" t="str">
        <f t="shared" ref="Q985:Q1016" si="413">IF(T985&gt;0,"Selesai","Proses")</f>
        <v>Selesai</v>
      </c>
      <c r="R985" s="64">
        <f t="shared" si="412"/>
        <v>0</v>
      </c>
      <c r="S985" s="67">
        <v>45568</v>
      </c>
      <c r="T985" s="67">
        <v>45600</v>
      </c>
      <c r="U985" s="64">
        <f t="shared" si="405"/>
        <v>1</v>
      </c>
      <c r="V985" s="66"/>
      <c r="W985" s="66"/>
      <c r="X985" s="93"/>
      <c r="Y985" s="94"/>
      <c r="Z985" s="91" t="str">
        <f t="shared" si="406"/>
        <v>100%</v>
      </c>
      <c r="AA985" s="67"/>
      <c r="AB985" s="473"/>
      <c r="AC985" s="478" t="s">
        <v>2711</v>
      </c>
      <c r="AD985" s="67"/>
    </row>
    <row r="986" spans="2:30">
      <c r="B986" s="64" t="s">
        <v>107</v>
      </c>
      <c r="C986" s="65" t="s">
        <v>515</v>
      </c>
      <c r="D986" s="66">
        <v>7.85</v>
      </c>
      <c r="E986" s="67">
        <v>45545</v>
      </c>
      <c r="F986" s="64">
        <f t="shared" ref="F986:F1017" si="414">IF(E986&gt;0,1,0)</f>
        <v>1</v>
      </c>
      <c r="G986" s="67">
        <v>45565</v>
      </c>
      <c r="H986" s="64">
        <f t="shared" ref="H986:H1017" si="415">IF(G986&gt;0,1,0)</f>
        <v>1</v>
      </c>
      <c r="I986" s="67">
        <f>+E986+12</f>
        <v>45557</v>
      </c>
      <c r="J986" s="64">
        <f t="shared" si="407"/>
        <v>0</v>
      </c>
      <c r="K986" s="67">
        <v>45566</v>
      </c>
      <c r="L986" s="64">
        <f t="shared" si="408"/>
        <v>0</v>
      </c>
      <c r="M986" s="64">
        <f t="shared" si="409"/>
        <v>0</v>
      </c>
      <c r="N986" s="67">
        <f t="shared" ref="N986:N1002" si="416">IF(AND(I986&gt;0,K986&gt;0),MAX(I986:K986)+1,"")</f>
        <v>45567</v>
      </c>
      <c r="O986" s="64">
        <f t="shared" si="410"/>
        <v>1</v>
      </c>
      <c r="P986" s="64">
        <f t="shared" si="411"/>
        <v>0</v>
      </c>
      <c r="Q986" s="91" t="str">
        <f t="shared" si="413"/>
        <v>Selesai</v>
      </c>
      <c r="R986" s="64">
        <f t="shared" si="412"/>
        <v>0</v>
      </c>
      <c r="S986" s="67">
        <v>45569</v>
      </c>
      <c r="T986" s="67">
        <v>45598</v>
      </c>
      <c r="U986" s="64">
        <f t="shared" si="405"/>
        <v>1</v>
      </c>
      <c r="V986" s="66"/>
      <c r="W986" s="66"/>
      <c r="X986" s="93"/>
      <c r="Y986" s="94"/>
      <c r="Z986" s="91" t="str">
        <f t="shared" si="406"/>
        <v>100%</v>
      </c>
      <c r="AA986" s="67"/>
      <c r="AB986" s="473"/>
      <c r="AC986" s="478" t="s">
        <v>2711</v>
      </c>
      <c r="AD986" s="67"/>
    </row>
    <row r="987" spans="2:30">
      <c r="B987" s="64" t="s">
        <v>116</v>
      </c>
      <c r="C987" s="65" t="s">
        <v>485</v>
      </c>
      <c r="D987" s="66">
        <v>6.84</v>
      </c>
      <c r="E987" s="67">
        <v>45556</v>
      </c>
      <c r="F987" s="64">
        <f t="shared" si="414"/>
        <v>1</v>
      </c>
      <c r="G987" s="67">
        <v>45572</v>
      </c>
      <c r="H987" s="64">
        <f t="shared" si="415"/>
        <v>1</v>
      </c>
      <c r="I987" s="67">
        <f>+K987+3</f>
        <v>45586</v>
      </c>
      <c r="J987" s="64">
        <f t="shared" si="407"/>
        <v>0</v>
      </c>
      <c r="K987" s="67">
        <v>45583</v>
      </c>
      <c r="L987" s="64">
        <f t="shared" si="408"/>
        <v>0</v>
      </c>
      <c r="M987" s="64">
        <f t="shared" si="409"/>
        <v>0</v>
      </c>
      <c r="N987" s="67">
        <f t="shared" si="416"/>
        <v>45587</v>
      </c>
      <c r="O987" s="64">
        <f t="shared" si="410"/>
        <v>1</v>
      </c>
      <c r="P987" s="64">
        <f t="shared" si="411"/>
        <v>0</v>
      </c>
      <c r="Q987" s="91" t="str">
        <f t="shared" si="413"/>
        <v>Selesai</v>
      </c>
      <c r="R987" s="64">
        <f t="shared" si="412"/>
        <v>0</v>
      </c>
      <c r="S987" s="67">
        <v>45590</v>
      </c>
      <c r="T987" s="67">
        <v>45602</v>
      </c>
      <c r="U987" s="64">
        <f t="shared" si="405"/>
        <v>1</v>
      </c>
      <c r="V987" s="66"/>
      <c r="W987" s="66"/>
      <c r="X987" s="93"/>
      <c r="Y987" s="94"/>
      <c r="Z987" s="91" t="str">
        <f t="shared" si="406"/>
        <v>100%</v>
      </c>
      <c r="AA987" s="67"/>
      <c r="AB987" s="473"/>
      <c r="AC987" s="478" t="s">
        <v>2711</v>
      </c>
      <c r="AD987" s="67"/>
    </row>
    <row r="988" spans="2:30">
      <c r="B988" s="64" t="s">
        <v>105</v>
      </c>
      <c r="C988" s="65" t="s">
        <v>498</v>
      </c>
      <c r="D988" s="66">
        <v>8.1999999999999993</v>
      </c>
      <c r="E988" s="67">
        <v>45572</v>
      </c>
      <c r="F988" s="64">
        <f t="shared" si="414"/>
        <v>1</v>
      </c>
      <c r="G988" s="67">
        <v>45588</v>
      </c>
      <c r="H988" s="64">
        <f t="shared" si="415"/>
        <v>1</v>
      </c>
      <c r="I988" s="67">
        <f>+K988+1</f>
        <v>45588</v>
      </c>
      <c r="J988" s="64">
        <f t="shared" si="407"/>
        <v>0</v>
      </c>
      <c r="K988" s="67">
        <v>45587</v>
      </c>
      <c r="L988" s="64">
        <f t="shared" si="408"/>
        <v>0</v>
      </c>
      <c r="M988" s="64">
        <f t="shared" si="409"/>
        <v>0</v>
      </c>
      <c r="N988" s="67">
        <f t="shared" si="416"/>
        <v>45589</v>
      </c>
      <c r="O988" s="64">
        <f t="shared" si="410"/>
        <v>1</v>
      </c>
      <c r="P988" s="64">
        <f t="shared" si="411"/>
        <v>0</v>
      </c>
      <c r="Q988" s="91" t="str">
        <f t="shared" si="413"/>
        <v>Selesai</v>
      </c>
      <c r="R988" s="64">
        <f t="shared" si="412"/>
        <v>0</v>
      </c>
      <c r="S988" s="67">
        <v>45589</v>
      </c>
      <c r="T988" s="67">
        <v>45606</v>
      </c>
      <c r="U988" s="64">
        <f t="shared" si="405"/>
        <v>1</v>
      </c>
      <c r="V988" s="66"/>
      <c r="W988" s="66"/>
      <c r="X988" s="93"/>
      <c r="Y988" s="94"/>
      <c r="Z988" s="91" t="str">
        <f t="shared" si="406"/>
        <v>100%</v>
      </c>
      <c r="AA988" s="67"/>
      <c r="AB988" s="473"/>
      <c r="AC988" s="478" t="s">
        <v>2711</v>
      </c>
      <c r="AD988" s="67"/>
    </row>
    <row r="989" spans="2:30">
      <c r="B989" s="64" t="s">
        <v>107</v>
      </c>
      <c r="C989" s="65" t="s">
        <v>813</v>
      </c>
      <c r="D989" s="66">
        <v>9.82</v>
      </c>
      <c r="E989" s="67">
        <v>45555</v>
      </c>
      <c r="F989" s="64">
        <f t="shared" si="414"/>
        <v>1</v>
      </c>
      <c r="G989" s="67">
        <v>45560</v>
      </c>
      <c r="H989" s="64">
        <f t="shared" si="415"/>
        <v>1</v>
      </c>
      <c r="I989" s="67">
        <f>+K989+8</f>
        <v>45578</v>
      </c>
      <c r="J989" s="64">
        <f t="shared" si="407"/>
        <v>0</v>
      </c>
      <c r="K989" s="67">
        <v>45570</v>
      </c>
      <c r="L989" s="64">
        <f t="shared" si="408"/>
        <v>0</v>
      </c>
      <c r="M989" s="64">
        <f t="shared" si="409"/>
        <v>0</v>
      </c>
      <c r="N989" s="67">
        <f t="shared" si="416"/>
        <v>45579</v>
      </c>
      <c r="O989" s="64">
        <f t="shared" si="410"/>
        <v>1</v>
      </c>
      <c r="P989" s="64">
        <f t="shared" si="411"/>
        <v>0</v>
      </c>
      <c r="Q989" s="91" t="str">
        <f t="shared" si="413"/>
        <v>Selesai</v>
      </c>
      <c r="R989" s="64">
        <f t="shared" si="412"/>
        <v>0</v>
      </c>
      <c r="S989" s="67">
        <v>45580</v>
      </c>
      <c r="T989" s="67">
        <v>45608</v>
      </c>
      <c r="U989" s="64">
        <f t="shared" si="405"/>
        <v>1</v>
      </c>
      <c r="V989" s="66"/>
      <c r="W989" s="66"/>
      <c r="X989" s="93"/>
      <c r="Y989" s="94"/>
      <c r="Z989" s="91" t="str">
        <f t="shared" si="406"/>
        <v>100%</v>
      </c>
      <c r="AA989" s="67"/>
      <c r="AB989" s="473"/>
      <c r="AC989" s="478" t="s">
        <v>2711</v>
      </c>
      <c r="AD989" s="67"/>
    </row>
    <row r="990" spans="2:30">
      <c r="B990" s="64" t="s">
        <v>116</v>
      </c>
      <c r="C990" s="65" t="s">
        <v>470</v>
      </c>
      <c r="D990" s="66">
        <v>10.23</v>
      </c>
      <c r="E990" s="67">
        <v>45565</v>
      </c>
      <c r="F990" s="64">
        <f t="shared" si="414"/>
        <v>1</v>
      </c>
      <c r="G990" s="67">
        <v>45571</v>
      </c>
      <c r="H990" s="64">
        <f t="shared" si="415"/>
        <v>1</v>
      </c>
      <c r="I990" s="67">
        <f>+K990+3</f>
        <v>45586</v>
      </c>
      <c r="J990" s="64">
        <f t="shared" si="407"/>
        <v>0</v>
      </c>
      <c r="K990" s="67">
        <v>45583</v>
      </c>
      <c r="L990" s="64">
        <f t="shared" si="408"/>
        <v>0</v>
      </c>
      <c r="M990" s="64">
        <f t="shared" si="409"/>
        <v>0</v>
      </c>
      <c r="N990" s="67">
        <f t="shared" si="416"/>
        <v>45587</v>
      </c>
      <c r="O990" s="64">
        <f t="shared" si="410"/>
        <v>1</v>
      </c>
      <c r="P990" s="64">
        <f t="shared" si="411"/>
        <v>0</v>
      </c>
      <c r="Q990" s="91" t="str">
        <f t="shared" si="413"/>
        <v>Selesai</v>
      </c>
      <c r="R990" s="64">
        <f t="shared" si="412"/>
        <v>0</v>
      </c>
      <c r="S990" s="67">
        <v>45594</v>
      </c>
      <c r="T990" s="67">
        <v>45609</v>
      </c>
      <c r="U990" s="64">
        <f t="shared" si="405"/>
        <v>1</v>
      </c>
      <c r="V990" s="66"/>
      <c r="W990" s="66"/>
      <c r="X990" s="93"/>
      <c r="Y990" s="94"/>
      <c r="Z990" s="91" t="str">
        <f t="shared" si="406"/>
        <v>100%</v>
      </c>
      <c r="AA990" s="67"/>
      <c r="AB990" s="473"/>
      <c r="AC990" s="478" t="s">
        <v>2711</v>
      </c>
      <c r="AD990" s="67"/>
    </row>
    <row r="991" spans="2:30">
      <c r="B991" s="64" t="s">
        <v>113</v>
      </c>
      <c r="C991" s="65" t="s">
        <v>2548</v>
      </c>
      <c r="D991" s="66">
        <v>6.83</v>
      </c>
      <c r="E991" s="67">
        <v>45581</v>
      </c>
      <c r="F991" s="64">
        <f t="shared" si="414"/>
        <v>1</v>
      </c>
      <c r="G991" s="67">
        <v>45589</v>
      </c>
      <c r="H991" s="64">
        <f t="shared" si="415"/>
        <v>1</v>
      </c>
      <c r="I991" s="67">
        <f>+K991+5</f>
        <v>45599</v>
      </c>
      <c r="J991" s="64">
        <f t="shared" si="407"/>
        <v>0</v>
      </c>
      <c r="K991" s="67">
        <v>45594</v>
      </c>
      <c r="L991" s="64">
        <f t="shared" si="408"/>
        <v>0</v>
      </c>
      <c r="M991" s="64">
        <f t="shared" si="409"/>
        <v>0</v>
      </c>
      <c r="N991" s="67">
        <f t="shared" si="416"/>
        <v>45600</v>
      </c>
      <c r="O991" s="64">
        <f t="shared" si="410"/>
        <v>1</v>
      </c>
      <c r="P991" s="64">
        <f t="shared" si="411"/>
        <v>0</v>
      </c>
      <c r="Q991" s="91" t="str">
        <f t="shared" si="413"/>
        <v>Selesai</v>
      </c>
      <c r="R991" s="64">
        <f t="shared" si="412"/>
        <v>0</v>
      </c>
      <c r="S991" s="67">
        <v>45600</v>
      </c>
      <c r="T991" s="67">
        <v>45614</v>
      </c>
      <c r="U991" s="64">
        <f t="shared" si="405"/>
        <v>1</v>
      </c>
      <c r="V991" s="66"/>
      <c r="W991" s="66"/>
      <c r="X991" s="93"/>
      <c r="Y991" s="94"/>
      <c r="Z991" s="91" t="str">
        <f t="shared" si="406"/>
        <v>100%</v>
      </c>
      <c r="AA991" s="67"/>
      <c r="AB991" s="473"/>
      <c r="AC991" s="478" t="s">
        <v>2711</v>
      </c>
      <c r="AD991" s="67"/>
    </row>
    <row r="992" spans="2:30">
      <c r="B992" s="64" t="s">
        <v>113</v>
      </c>
      <c r="C992" s="65" t="s">
        <v>2547</v>
      </c>
      <c r="D992" s="66">
        <v>4.97</v>
      </c>
      <c r="E992" s="67">
        <v>45581</v>
      </c>
      <c r="F992" s="64">
        <f t="shared" si="414"/>
        <v>1</v>
      </c>
      <c r="G992" s="67">
        <v>45589</v>
      </c>
      <c r="H992" s="64">
        <f t="shared" si="415"/>
        <v>1</v>
      </c>
      <c r="I992" s="67">
        <f>+K992</f>
        <v>45594</v>
      </c>
      <c r="J992" s="64">
        <f t="shared" si="407"/>
        <v>0</v>
      </c>
      <c r="K992" s="67">
        <v>45594</v>
      </c>
      <c r="L992" s="64">
        <f t="shared" si="408"/>
        <v>0</v>
      </c>
      <c r="M992" s="64">
        <f t="shared" si="409"/>
        <v>0</v>
      </c>
      <c r="N992" s="67">
        <f t="shared" si="416"/>
        <v>45595</v>
      </c>
      <c r="O992" s="64">
        <f t="shared" si="410"/>
        <v>1</v>
      </c>
      <c r="P992" s="64">
        <f t="shared" si="411"/>
        <v>0</v>
      </c>
      <c r="Q992" s="91" t="str">
        <f t="shared" si="413"/>
        <v>Selesai</v>
      </c>
      <c r="R992" s="64">
        <f t="shared" si="412"/>
        <v>0</v>
      </c>
      <c r="S992" s="67">
        <v>45595</v>
      </c>
      <c r="T992" s="67">
        <v>45615</v>
      </c>
      <c r="U992" s="64">
        <f t="shared" si="405"/>
        <v>1</v>
      </c>
      <c r="V992" s="66"/>
      <c r="W992" s="66"/>
      <c r="X992" s="93"/>
      <c r="Y992" s="94"/>
      <c r="Z992" s="91" t="str">
        <f t="shared" si="406"/>
        <v>100%</v>
      </c>
      <c r="AA992" s="67"/>
      <c r="AB992" s="473"/>
      <c r="AC992" s="478" t="s">
        <v>2711</v>
      </c>
      <c r="AD992" s="67"/>
    </row>
    <row r="993" spans="2:30">
      <c r="B993" s="64" t="s">
        <v>113</v>
      </c>
      <c r="C993" s="65" t="s">
        <v>502</v>
      </c>
      <c r="D993" s="66">
        <v>10.199999999999999</v>
      </c>
      <c r="E993" s="67">
        <v>45580</v>
      </c>
      <c r="F993" s="64">
        <f t="shared" si="414"/>
        <v>1</v>
      </c>
      <c r="G993" s="67">
        <v>45589</v>
      </c>
      <c r="H993" s="64">
        <f t="shared" si="415"/>
        <v>1</v>
      </c>
      <c r="I993" s="67">
        <f>+K993+5</f>
        <v>45599</v>
      </c>
      <c r="J993" s="64">
        <f t="shared" si="407"/>
        <v>0</v>
      </c>
      <c r="K993" s="67">
        <v>45594</v>
      </c>
      <c r="L993" s="64">
        <f t="shared" si="408"/>
        <v>0</v>
      </c>
      <c r="M993" s="64">
        <f t="shared" si="409"/>
        <v>0</v>
      </c>
      <c r="N993" s="67">
        <f t="shared" si="416"/>
        <v>45600</v>
      </c>
      <c r="O993" s="64">
        <f t="shared" si="410"/>
        <v>1</v>
      </c>
      <c r="P993" s="64">
        <f t="shared" si="411"/>
        <v>0</v>
      </c>
      <c r="Q993" s="91" t="str">
        <f t="shared" si="413"/>
        <v>Selesai</v>
      </c>
      <c r="R993" s="64">
        <f t="shared" si="412"/>
        <v>0</v>
      </c>
      <c r="S993" s="67">
        <v>45603</v>
      </c>
      <c r="T993" s="67">
        <v>45621</v>
      </c>
      <c r="U993" s="64">
        <f t="shared" si="405"/>
        <v>1</v>
      </c>
      <c r="V993" s="66"/>
      <c r="W993" s="66"/>
      <c r="X993" s="93"/>
      <c r="Y993" s="94"/>
      <c r="Z993" s="91" t="str">
        <f t="shared" si="406"/>
        <v>100%</v>
      </c>
      <c r="AA993" s="67"/>
      <c r="AB993" s="473"/>
      <c r="AC993" s="478" t="s">
        <v>2711</v>
      </c>
      <c r="AD993" s="67"/>
    </row>
    <row r="994" spans="2:30">
      <c r="B994" s="64" t="s">
        <v>113</v>
      </c>
      <c r="C994" s="65" t="s">
        <v>496</v>
      </c>
      <c r="D994" s="66">
        <v>9.3000000000000007</v>
      </c>
      <c r="E994" s="67">
        <v>45580</v>
      </c>
      <c r="F994" s="64">
        <f t="shared" si="414"/>
        <v>1</v>
      </c>
      <c r="G994" s="67">
        <v>45589</v>
      </c>
      <c r="H994" s="64">
        <f t="shared" si="415"/>
        <v>1</v>
      </c>
      <c r="I994" s="67">
        <f>+K994+5</f>
        <v>45599</v>
      </c>
      <c r="J994" s="64">
        <f t="shared" si="407"/>
        <v>0</v>
      </c>
      <c r="K994" s="67">
        <v>45594</v>
      </c>
      <c r="L994" s="64">
        <f t="shared" si="408"/>
        <v>0</v>
      </c>
      <c r="M994" s="64">
        <f t="shared" si="409"/>
        <v>0</v>
      </c>
      <c r="N994" s="67">
        <f t="shared" si="416"/>
        <v>45600</v>
      </c>
      <c r="O994" s="64">
        <f t="shared" si="410"/>
        <v>1</v>
      </c>
      <c r="P994" s="64">
        <f t="shared" si="411"/>
        <v>0</v>
      </c>
      <c r="Q994" s="91" t="str">
        <f t="shared" si="413"/>
        <v>Selesai</v>
      </c>
      <c r="R994" s="64">
        <f t="shared" si="412"/>
        <v>0</v>
      </c>
      <c r="S994" s="67">
        <v>45606</v>
      </c>
      <c r="T994" s="67">
        <v>45621</v>
      </c>
      <c r="U994" s="64">
        <f t="shared" si="405"/>
        <v>1</v>
      </c>
      <c r="V994" s="66"/>
      <c r="W994" s="66"/>
      <c r="X994" s="93"/>
      <c r="Y994" s="93"/>
      <c r="Z994" s="91" t="str">
        <f t="shared" si="406"/>
        <v>100%</v>
      </c>
      <c r="AA994" s="67"/>
      <c r="AB994" s="473"/>
      <c r="AC994" s="478" t="s">
        <v>2711</v>
      </c>
      <c r="AD994" s="67"/>
    </row>
    <row r="995" spans="2:30">
      <c r="B995" s="64" t="s">
        <v>111</v>
      </c>
      <c r="C995" s="65" t="s">
        <v>442</v>
      </c>
      <c r="D995" s="66">
        <v>7.68</v>
      </c>
      <c r="E995" s="67">
        <v>45516</v>
      </c>
      <c r="F995" s="64">
        <f t="shared" si="414"/>
        <v>1</v>
      </c>
      <c r="G995" s="67">
        <v>45518</v>
      </c>
      <c r="H995" s="64">
        <f t="shared" si="415"/>
        <v>1</v>
      </c>
      <c r="I995" s="67">
        <f>+K995+7</f>
        <v>45534</v>
      </c>
      <c r="J995" s="64">
        <f t="shared" si="407"/>
        <v>0</v>
      </c>
      <c r="K995" s="67">
        <v>45527</v>
      </c>
      <c r="L995" s="64">
        <f t="shared" si="408"/>
        <v>0</v>
      </c>
      <c r="M995" s="64">
        <f t="shared" si="409"/>
        <v>0</v>
      </c>
      <c r="N995" s="67">
        <f t="shared" si="416"/>
        <v>45535</v>
      </c>
      <c r="O995" s="64">
        <f t="shared" si="410"/>
        <v>1</v>
      </c>
      <c r="P995" s="64">
        <f t="shared" si="411"/>
        <v>0</v>
      </c>
      <c r="Q995" s="91" t="str">
        <f t="shared" si="413"/>
        <v>Selesai</v>
      </c>
      <c r="R995" s="64">
        <f t="shared" si="412"/>
        <v>0</v>
      </c>
      <c r="S995" s="67">
        <v>45579</v>
      </c>
      <c r="T995" s="67">
        <v>45625</v>
      </c>
      <c r="U995" s="64">
        <f t="shared" si="405"/>
        <v>1</v>
      </c>
      <c r="V995" s="66"/>
      <c r="W995" s="66"/>
      <c r="X995" s="93"/>
      <c r="Y995" s="94"/>
      <c r="Z995" s="91" t="str">
        <f t="shared" si="406"/>
        <v>100%</v>
      </c>
      <c r="AA995" s="67"/>
      <c r="AB995" s="473"/>
      <c r="AC995" s="478" t="s">
        <v>2711</v>
      </c>
      <c r="AD995" s="67"/>
    </row>
    <row r="996" spans="2:30">
      <c r="B996" s="64" t="s">
        <v>107</v>
      </c>
      <c r="C996" s="65" t="s">
        <v>2139</v>
      </c>
      <c r="D996" s="66">
        <v>7.17</v>
      </c>
      <c r="E996" s="67">
        <v>45559</v>
      </c>
      <c r="F996" s="64">
        <f t="shared" si="414"/>
        <v>1</v>
      </c>
      <c r="G996" s="67">
        <v>45560</v>
      </c>
      <c r="H996" s="64">
        <f t="shared" si="415"/>
        <v>1</v>
      </c>
      <c r="I996" s="67">
        <f>+K996+7</f>
        <v>45577</v>
      </c>
      <c r="J996" s="64">
        <f t="shared" si="407"/>
        <v>0</v>
      </c>
      <c r="K996" s="67">
        <v>45570</v>
      </c>
      <c r="L996" s="64">
        <f t="shared" si="408"/>
        <v>0</v>
      </c>
      <c r="M996" s="64">
        <f t="shared" si="409"/>
        <v>0</v>
      </c>
      <c r="N996" s="67">
        <f t="shared" si="416"/>
        <v>45578</v>
      </c>
      <c r="O996" s="64">
        <f t="shared" si="410"/>
        <v>1</v>
      </c>
      <c r="P996" s="64">
        <f t="shared" si="411"/>
        <v>0</v>
      </c>
      <c r="Q996" s="91" t="str">
        <f t="shared" si="413"/>
        <v>Selesai</v>
      </c>
      <c r="R996" s="64">
        <f t="shared" si="412"/>
        <v>0</v>
      </c>
      <c r="S996" s="67">
        <v>45602</v>
      </c>
      <c r="T996" s="67">
        <v>45626</v>
      </c>
      <c r="U996" s="64">
        <f t="shared" si="405"/>
        <v>1</v>
      </c>
      <c r="V996" s="66"/>
      <c r="W996" s="66"/>
      <c r="X996" s="93"/>
      <c r="Y996" s="94"/>
      <c r="Z996" s="91" t="str">
        <f t="shared" si="406"/>
        <v>100%</v>
      </c>
      <c r="AA996" s="67"/>
      <c r="AB996" s="473"/>
      <c r="AC996" s="478" t="s">
        <v>2711</v>
      </c>
      <c r="AD996" s="67"/>
    </row>
    <row r="997" spans="2:30">
      <c r="B997" s="64" t="s">
        <v>105</v>
      </c>
      <c r="C997" s="65" t="s">
        <v>562</v>
      </c>
      <c r="D997" s="66">
        <v>4.9800000000000004</v>
      </c>
      <c r="E997" s="67">
        <v>45581</v>
      </c>
      <c r="F997" s="64">
        <f t="shared" si="414"/>
        <v>1</v>
      </c>
      <c r="G997" s="67">
        <v>45595</v>
      </c>
      <c r="H997" s="64">
        <f t="shared" si="415"/>
        <v>1</v>
      </c>
      <c r="I997" s="67">
        <f t="shared" ref="I997:I1002" si="417">+K997+5</f>
        <v>45603</v>
      </c>
      <c r="J997" s="64">
        <f t="shared" si="407"/>
        <v>0</v>
      </c>
      <c r="K997" s="67">
        <v>45598</v>
      </c>
      <c r="L997" s="64">
        <f t="shared" si="408"/>
        <v>0</v>
      </c>
      <c r="M997" s="64">
        <f t="shared" si="409"/>
        <v>0</v>
      </c>
      <c r="N997" s="67">
        <f t="shared" si="416"/>
        <v>45604</v>
      </c>
      <c r="O997" s="64">
        <f t="shared" si="410"/>
        <v>1</v>
      </c>
      <c r="P997" s="64">
        <f t="shared" si="411"/>
        <v>0</v>
      </c>
      <c r="Q997" s="91" t="str">
        <f t="shared" si="413"/>
        <v>Selesai</v>
      </c>
      <c r="R997" s="64">
        <f t="shared" si="412"/>
        <v>0</v>
      </c>
      <c r="S997" s="67">
        <v>45611</v>
      </c>
      <c r="T997" s="67">
        <v>45626</v>
      </c>
      <c r="U997" s="64">
        <f t="shared" si="405"/>
        <v>1</v>
      </c>
      <c r="V997" s="66"/>
      <c r="W997" s="66"/>
      <c r="X997" s="93"/>
      <c r="Y997" s="94"/>
      <c r="Z997" s="91" t="str">
        <f t="shared" si="406"/>
        <v>100%</v>
      </c>
      <c r="AA997" s="67"/>
      <c r="AB997" s="473"/>
      <c r="AC997" s="478" t="s">
        <v>2711</v>
      </c>
      <c r="AD997" s="67"/>
    </row>
    <row r="998" spans="2:30">
      <c r="B998" s="64" t="s">
        <v>118</v>
      </c>
      <c r="C998" s="65" t="s">
        <v>2549</v>
      </c>
      <c r="D998" s="66">
        <v>1.51</v>
      </c>
      <c r="E998" s="67">
        <v>45574</v>
      </c>
      <c r="F998" s="64">
        <f t="shared" si="414"/>
        <v>1</v>
      </c>
      <c r="G998" s="67">
        <v>45590</v>
      </c>
      <c r="H998" s="64">
        <f t="shared" si="415"/>
        <v>1</v>
      </c>
      <c r="I998" s="67">
        <f t="shared" si="417"/>
        <v>45607</v>
      </c>
      <c r="J998" s="64">
        <f t="shared" si="407"/>
        <v>0</v>
      </c>
      <c r="K998" s="67">
        <v>45602</v>
      </c>
      <c r="L998" s="64">
        <f t="shared" si="408"/>
        <v>0</v>
      </c>
      <c r="M998" s="64">
        <f t="shared" si="409"/>
        <v>0</v>
      </c>
      <c r="N998" s="67">
        <f t="shared" si="416"/>
        <v>45608</v>
      </c>
      <c r="O998" s="64">
        <f t="shared" si="410"/>
        <v>1</v>
      </c>
      <c r="P998" s="64">
        <f t="shared" si="411"/>
        <v>0</v>
      </c>
      <c r="Q998" s="91" t="str">
        <f t="shared" si="413"/>
        <v>Selesai</v>
      </c>
      <c r="R998" s="64">
        <f t="shared" si="412"/>
        <v>0</v>
      </c>
      <c r="S998" s="67">
        <v>45611</v>
      </c>
      <c r="T998" s="67">
        <v>45626</v>
      </c>
      <c r="U998" s="64">
        <f t="shared" si="405"/>
        <v>1</v>
      </c>
      <c r="V998" s="66"/>
      <c r="W998" s="66"/>
      <c r="X998" s="93"/>
      <c r="Y998" s="94"/>
      <c r="Z998" s="91" t="str">
        <f t="shared" si="406"/>
        <v>100%</v>
      </c>
      <c r="AA998" s="67"/>
      <c r="AB998" s="473"/>
      <c r="AC998" s="478" t="s">
        <v>2711</v>
      </c>
      <c r="AD998" s="67"/>
    </row>
    <row r="999" spans="2:30">
      <c r="B999" s="64" t="s">
        <v>118</v>
      </c>
      <c r="C999" s="65" t="s">
        <v>2550</v>
      </c>
      <c r="D999" s="66">
        <v>2.4</v>
      </c>
      <c r="E999" s="67">
        <v>45574</v>
      </c>
      <c r="F999" s="64">
        <f t="shared" si="414"/>
        <v>1</v>
      </c>
      <c r="G999" s="67">
        <v>45590</v>
      </c>
      <c r="H999" s="64">
        <f t="shared" si="415"/>
        <v>1</v>
      </c>
      <c r="I999" s="67">
        <f t="shared" si="417"/>
        <v>45607</v>
      </c>
      <c r="J999" s="64">
        <f t="shared" si="407"/>
        <v>0</v>
      </c>
      <c r="K999" s="67">
        <v>45602</v>
      </c>
      <c r="L999" s="64">
        <f t="shared" si="408"/>
        <v>0</v>
      </c>
      <c r="M999" s="64">
        <f t="shared" si="409"/>
        <v>0</v>
      </c>
      <c r="N999" s="67">
        <f t="shared" si="416"/>
        <v>45608</v>
      </c>
      <c r="O999" s="64">
        <f t="shared" si="410"/>
        <v>1</v>
      </c>
      <c r="P999" s="64">
        <f t="shared" si="411"/>
        <v>0</v>
      </c>
      <c r="Q999" s="91" t="str">
        <f t="shared" si="413"/>
        <v>Selesai</v>
      </c>
      <c r="R999" s="64">
        <f t="shared" si="412"/>
        <v>0</v>
      </c>
      <c r="S999" s="67">
        <v>45615</v>
      </c>
      <c r="T999" s="67">
        <v>45626</v>
      </c>
      <c r="U999" s="64">
        <f t="shared" si="405"/>
        <v>1</v>
      </c>
      <c r="V999" s="66"/>
      <c r="W999" s="66"/>
      <c r="X999" s="93"/>
      <c r="Y999" s="94"/>
      <c r="Z999" s="91" t="str">
        <f t="shared" si="406"/>
        <v>100%</v>
      </c>
      <c r="AA999" s="67"/>
      <c r="AB999" s="473"/>
      <c r="AC999" s="478" t="s">
        <v>2711</v>
      </c>
      <c r="AD999" s="67"/>
    </row>
    <row r="1000" spans="2:30">
      <c r="B1000" s="64" t="s">
        <v>118</v>
      </c>
      <c r="C1000" s="65" t="s">
        <v>513</v>
      </c>
      <c r="D1000" s="66">
        <v>9.73</v>
      </c>
      <c r="E1000" s="67">
        <v>45573</v>
      </c>
      <c r="F1000" s="64">
        <f t="shared" si="414"/>
        <v>1</v>
      </c>
      <c r="G1000" s="67">
        <v>45590</v>
      </c>
      <c r="H1000" s="64">
        <f t="shared" si="415"/>
        <v>1</v>
      </c>
      <c r="I1000" s="67">
        <f t="shared" si="417"/>
        <v>45596</v>
      </c>
      <c r="J1000" s="64">
        <f t="shared" si="407"/>
        <v>0</v>
      </c>
      <c r="K1000" s="67">
        <v>45591</v>
      </c>
      <c r="L1000" s="64">
        <f t="shared" si="408"/>
        <v>0</v>
      </c>
      <c r="M1000" s="64">
        <f t="shared" si="409"/>
        <v>0</v>
      </c>
      <c r="N1000" s="67">
        <f t="shared" si="416"/>
        <v>45597</v>
      </c>
      <c r="O1000" s="64">
        <f t="shared" si="410"/>
        <v>1</v>
      </c>
      <c r="P1000" s="64">
        <f t="shared" si="411"/>
        <v>0</v>
      </c>
      <c r="Q1000" s="91" t="str">
        <f t="shared" si="413"/>
        <v>Selesai</v>
      </c>
      <c r="R1000" s="64">
        <f t="shared" si="412"/>
        <v>0</v>
      </c>
      <c r="S1000" s="67">
        <v>45603</v>
      </c>
      <c r="T1000" s="67">
        <v>45631</v>
      </c>
      <c r="U1000" s="64">
        <f t="shared" si="405"/>
        <v>1</v>
      </c>
      <c r="V1000" s="66"/>
      <c r="W1000" s="66"/>
      <c r="X1000" s="93"/>
      <c r="Y1000" s="94"/>
      <c r="Z1000" s="91" t="str">
        <f t="shared" si="406"/>
        <v>100%</v>
      </c>
      <c r="AA1000" s="67"/>
      <c r="AB1000" s="473"/>
      <c r="AC1000" s="478" t="s">
        <v>2711</v>
      </c>
      <c r="AD1000" s="67"/>
    </row>
    <row r="1001" spans="2:30">
      <c r="B1001" s="64" t="s">
        <v>105</v>
      </c>
      <c r="C1001" s="65" t="s">
        <v>2552</v>
      </c>
      <c r="D1001" s="66">
        <v>3.41</v>
      </c>
      <c r="E1001" s="67">
        <v>45603</v>
      </c>
      <c r="F1001" s="64">
        <f t="shared" si="414"/>
        <v>1</v>
      </c>
      <c r="G1001" s="67">
        <v>45614</v>
      </c>
      <c r="H1001" s="64">
        <f t="shared" si="415"/>
        <v>1</v>
      </c>
      <c r="I1001" s="67">
        <f t="shared" si="417"/>
        <v>45616</v>
      </c>
      <c r="J1001" s="64">
        <f t="shared" si="407"/>
        <v>0</v>
      </c>
      <c r="K1001" s="67">
        <v>45611</v>
      </c>
      <c r="L1001" s="64">
        <f t="shared" si="408"/>
        <v>0</v>
      </c>
      <c r="M1001" s="64">
        <f t="shared" si="409"/>
        <v>0</v>
      </c>
      <c r="N1001" s="67">
        <f t="shared" si="416"/>
        <v>45617</v>
      </c>
      <c r="O1001" s="64">
        <f t="shared" si="410"/>
        <v>1</v>
      </c>
      <c r="P1001" s="64">
        <f t="shared" si="411"/>
        <v>0</v>
      </c>
      <c r="Q1001" s="91" t="str">
        <f t="shared" si="413"/>
        <v>Selesai</v>
      </c>
      <c r="R1001" s="64">
        <f t="shared" si="412"/>
        <v>0</v>
      </c>
      <c r="S1001" s="67">
        <v>45617</v>
      </c>
      <c r="T1001" s="67">
        <v>45629</v>
      </c>
      <c r="U1001" s="64">
        <f t="shared" si="405"/>
        <v>1</v>
      </c>
      <c r="V1001" s="66"/>
      <c r="W1001" s="66"/>
      <c r="X1001" s="93"/>
      <c r="Y1001" s="94"/>
      <c r="Z1001" s="91" t="str">
        <f t="shared" si="406"/>
        <v>100%</v>
      </c>
      <c r="AA1001" s="67"/>
      <c r="AB1001" s="473"/>
      <c r="AC1001" s="478" t="s">
        <v>2711</v>
      </c>
      <c r="AD1001" s="67"/>
    </row>
    <row r="1002" spans="2:30">
      <c r="B1002" s="64" t="s">
        <v>113</v>
      </c>
      <c r="C1002" s="65" t="s">
        <v>494</v>
      </c>
      <c r="D1002" s="66">
        <v>10.27</v>
      </c>
      <c r="E1002" s="67">
        <v>45575</v>
      </c>
      <c r="F1002" s="64">
        <f t="shared" si="414"/>
        <v>1</v>
      </c>
      <c r="G1002" s="67">
        <v>45595</v>
      </c>
      <c r="H1002" s="64">
        <f t="shared" si="415"/>
        <v>1</v>
      </c>
      <c r="I1002" s="67">
        <f t="shared" si="417"/>
        <v>45599</v>
      </c>
      <c r="J1002" s="64">
        <f t="shared" si="407"/>
        <v>0</v>
      </c>
      <c r="K1002" s="67">
        <v>45594</v>
      </c>
      <c r="L1002" s="64">
        <f t="shared" si="408"/>
        <v>0</v>
      </c>
      <c r="M1002" s="64">
        <f t="shared" si="409"/>
        <v>0</v>
      </c>
      <c r="N1002" s="67">
        <f t="shared" si="416"/>
        <v>45600</v>
      </c>
      <c r="O1002" s="64">
        <f t="shared" si="410"/>
        <v>1</v>
      </c>
      <c r="P1002" s="64">
        <f t="shared" si="411"/>
        <v>0</v>
      </c>
      <c r="Q1002" s="91" t="str">
        <f t="shared" si="413"/>
        <v>Selesai</v>
      </c>
      <c r="R1002" s="64">
        <f t="shared" si="412"/>
        <v>0</v>
      </c>
      <c r="S1002" s="67">
        <v>45621</v>
      </c>
      <c r="T1002" s="67">
        <v>45629</v>
      </c>
      <c r="U1002" s="64">
        <f t="shared" si="405"/>
        <v>1</v>
      </c>
      <c r="V1002" s="66"/>
      <c r="W1002" s="66"/>
      <c r="X1002" s="93"/>
      <c r="Y1002" s="94"/>
      <c r="Z1002" s="91" t="str">
        <f t="shared" si="406"/>
        <v>100%</v>
      </c>
      <c r="AA1002" s="67"/>
      <c r="AB1002" s="473"/>
      <c r="AC1002" s="478" t="s">
        <v>2711</v>
      </c>
      <c r="AD1002" s="67"/>
    </row>
    <row r="1003" spans="2:30">
      <c r="B1003" s="64" t="s">
        <v>111</v>
      </c>
      <c r="C1003" s="65" t="s">
        <v>559</v>
      </c>
      <c r="D1003" s="66">
        <v>7.07</v>
      </c>
      <c r="E1003" s="67">
        <v>45516</v>
      </c>
      <c r="F1003" s="64">
        <f t="shared" si="414"/>
        <v>1</v>
      </c>
      <c r="G1003" s="67">
        <v>45530</v>
      </c>
      <c r="H1003" s="64">
        <f t="shared" si="415"/>
        <v>1</v>
      </c>
      <c r="I1003" s="67">
        <v>45537</v>
      </c>
      <c r="J1003" s="64">
        <f t="shared" si="407"/>
        <v>0</v>
      </c>
      <c r="K1003" s="234">
        <v>45534</v>
      </c>
      <c r="L1003" s="64">
        <f t="shared" si="408"/>
        <v>0</v>
      </c>
      <c r="M1003" s="64">
        <f t="shared" si="409"/>
        <v>0</v>
      </c>
      <c r="N1003" s="67">
        <v>45566</v>
      </c>
      <c r="O1003" s="64">
        <f t="shared" si="410"/>
        <v>1</v>
      </c>
      <c r="P1003" s="64">
        <f t="shared" si="411"/>
        <v>0</v>
      </c>
      <c r="Q1003" s="91" t="str">
        <f t="shared" si="413"/>
        <v>Selesai</v>
      </c>
      <c r="R1003" s="64">
        <f t="shared" si="412"/>
        <v>0</v>
      </c>
      <c r="S1003" s="67">
        <v>45572</v>
      </c>
      <c r="T1003" s="67">
        <v>45635</v>
      </c>
      <c r="U1003" s="64">
        <f t="shared" si="405"/>
        <v>1</v>
      </c>
      <c r="V1003" s="66"/>
      <c r="W1003" s="66"/>
      <c r="X1003" s="93"/>
      <c r="Y1003" s="94"/>
      <c r="Z1003" s="91" t="str">
        <f t="shared" si="406"/>
        <v>100%</v>
      </c>
      <c r="AA1003" s="67"/>
      <c r="AB1003" s="473"/>
      <c r="AC1003" s="478" t="s">
        <v>2711</v>
      </c>
      <c r="AD1003" s="67"/>
    </row>
    <row r="1004" spans="2:30">
      <c r="B1004" s="64" t="s">
        <v>118</v>
      </c>
      <c r="C1004" s="65" t="s">
        <v>523</v>
      </c>
      <c r="D1004" s="66">
        <v>9.4499999999999993</v>
      </c>
      <c r="E1004" s="67">
        <v>45573</v>
      </c>
      <c r="F1004" s="64">
        <f t="shared" si="414"/>
        <v>1</v>
      </c>
      <c r="G1004" s="67">
        <v>45590</v>
      </c>
      <c r="H1004" s="64">
        <f t="shared" si="415"/>
        <v>1</v>
      </c>
      <c r="I1004" s="67">
        <f>+K1004+5</f>
        <v>45596</v>
      </c>
      <c r="J1004" s="64">
        <f t="shared" si="407"/>
        <v>0</v>
      </c>
      <c r="K1004" s="67">
        <v>45591</v>
      </c>
      <c r="L1004" s="64">
        <f t="shared" si="408"/>
        <v>0</v>
      </c>
      <c r="M1004" s="64">
        <f t="shared" si="409"/>
        <v>0</v>
      </c>
      <c r="N1004" s="67">
        <f t="shared" ref="N1004:N1045" si="418">IF(AND(I1004&gt;0,K1004&gt;0),MAX(I1004:K1004)+1,"")</f>
        <v>45597</v>
      </c>
      <c r="O1004" s="64">
        <f t="shared" si="410"/>
        <v>1</v>
      </c>
      <c r="P1004" s="64">
        <f t="shared" si="411"/>
        <v>0</v>
      </c>
      <c r="Q1004" s="91" t="str">
        <f t="shared" si="413"/>
        <v>Selesai</v>
      </c>
      <c r="R1004" s="64">
        <f t="shared" si="412"/>
        <v>0</v>
      </c>
      <c r="S1004" s="67">
        <v>45600</v>
      </c>
      <c r="T1004" s="67">
        <v>45631</v>
      </c>
      <c r="U1004" s="64">
        <f t="shared" si="405"/>
        <v>1</v>
      </c>
      <c r="V1004" s="66"/>
      <c r="W1004" s="66"/>
      <c r="X1004" s="93"/>
      <c r="Y1004" s="94"/>
      <c r="Z1004" s="91" t="str">
        <f t="shared" si="406"/>
        <v>100%</v>
      </c>
      <c r="AA1004" s="67"/>
      <c r="AB1004" s="473"/>
      <c r="AC1004" s="478" t="s">
        <v>2711</v>
      </c>
      <c r="AD1004" s="67"/>
    </row>
    <row r="1005" spans="2:30">
      <c r="B1005" s="64" t="s">
        <v>105</v>
      </c>
      <c r="C1005" s="65" t="s">
        <v>2553</v>
      </c>
      <c r="D1005" s="66">
        <v>8.2899999999999991</v>
      </c>
      <c r="E1005" s="67">
        <v>45589</v>
      </c>
      <c r="F1005" s="64">
        <f t="shared" si="414"/>
        <v>1</v>
      </c>
      <c r="G1005" s="67">
        <v>45614</v>
      </c>
      <c r="H1005" s="64">
        <f t="shared" si="415"/>
        <v>1</v>
      </c>
      <c r="I1005" s="67">
        <v>45616</v>
      </c>
      <c r="J1005" s="64">
        <f t="shared" si="407"/>
        <v>0</v>
      </c>
      <c r="K1005" s="67">
        <v>45611</v>
      </c>
      <c r="L1005" s="64">
        <f t="shared" si="408"/>
        <v>0</v>
      </c>
      <c r="M1005" s="64">
        <f t="shared" si="409"/>
        <v>0</v>
      </c>
      <c r="N1005" s="67">
        <f t="shared" si="418"/>
        <v>45617</v>
      </c>
      <c r="O1005" s="64">
        <f t="shared" si="410"/>
        <v>1</v>
      </c>
      <c r="P1005" s="64">
        <f t="shared" si="411"/>
        <v>0</v>
      </c>
      <c r="Q1005" s="91" t="str">
        <f t="shared" si="413"/>
        <v>Selesai</v>
      </c>
      <c r="R1005" s="64">
        <f t="shared" si="412"/>
        <v>0</v>
      </c>
      <c r="S1005" s="67">
        <v>45619</v>
      </c>
      <c r="T1005" s="67">
        <v>45635</v>
      </c>
      <c r="U1005" s="64">
        <f t="shared" si="405"/>
        <v>1</v>
      </c>
      <c r="V1005" s="66"/>
      <c r="W1005" s="66"/>
      <c r="X1005" s="93"/>
      <c r="Y1005" s="94"/>
      <c r="Z1005" s="91" t="str">
        <f t="shared" si="406"/>
        <v>100%</v>
      </c>
      <c r="AA1005" s="67"/>
      <c r="AB1005" s="473"/>
      <c r="AC1005" s="478" t="s">
        <v>2711</v>
      </c>
      <c r="AD1005" s="67"/>
    </row>
    <row r="1006" spans="2:30">
      <c r="B1006" s="64" t="s">
        <v>111</v>
      </c>
      <c r="C1006" s="65" t="s">
        <v>487</v>
      </c>
      <c r="D1006" s="66">
        <v>13.44</v>
      </c>
      <c r="E1006" s="67">
        <v>45554</v>
      </c>
      <c r="F1006" s="64">
        <f t="shared" si="414"/>
        <v>1</v>
      </c>
      <c r="G1006" s="67">
        <v>45558</v>
      </c>
      <c r="H1006" s="64">
        <f t="shared" si="415"/>
        <v>1</v>
      </c>
      <c r="I1006" s="67">
        <f>+K1006+7</f>
        <v>45586</v>
      </c>
      <c r="J1006" s="64">
        <f t="shared" si="407"/>
        <v>0</v>
      </c>
      <c r="K1006" s="67">
        <v>45579</v>
      </c>
      <c r="L1006" s="64">
        <f t="shared" si="408"/>
        <v>0</v>
      </c>
      <c r="M1006" s="64">
        <f t="shared" si="409"/>
        <v>0</v>
      </c>
      <c r="N1006" s="67">
        <f t="shared" si="418"/>
        <v>45587</v>
      </c>
      <c r="O1006" s="64">
        <f t="shared" si="410"/>
        <v>1</v>
      </c>
      <c r="P1006" s="64">
        <f t="shared" si="411"/>
        <v>0</v>
      </c>
      <c r="Q1006" s="91" t="str">
        <f t="shared" si="413"/>
        <v>Selesai</v>
      </c>
      <c r="R1006" s="64">
        <f t="shared" si="412"/>
        <v>0</v>
      </c>
      <c r="S1006" s="67">
        <v>45587</v>
      </c>
      <c r="T1006" s="67">
        <v>45637</v>
      </c>
      <c r="U1006" s="64">
        <f t="shared" si="405"/>
        <v>1</v>
      </c>
      <c r="V1006" s="66"/>
      <c r="W1006" s="66"/>
      <c r="X1006" s="93"/>
      <c r="Y1006" s="94"/>
      <c r="Z1006" s="91" t="str">
        <f t="shared" si="406"/>
        <v>100%</v>
      </c>
      <c r="AA1006" s="67"/>
      <c r="AB1006" s="473"/>
      <c r="AC1006" s="478" t="s">
        <v>2711</v>
      </c>
      <c r="AD1006" s="67"/>
    </row>
    <row r="1007" spans="2:30">
      <c r="B1007" s="64" t="s">
        <v>116</v>
      </c>
      <c r="C1007" s="65" t="s">
        <v>474</v>
      </c>
      <c r="D1007" s="66">
        <v>7.3</v>
      </c>
      <c r="E1007" s="67">
        <v>45574</v>
      </c>
      <c r="F1007" s="64">
        <f t="shared" si="414"/>
        <v>1</v>
      </c>
      <c r="G1007" s="67">
        <v>45583</v>
      </c>
      <c r="H1007" s="64">
        <f t="shared" si="415"/>
        <v>1</v>
      </c>
      <c r="I1007" s="67">
        <f>+K1007+7</f>
        <v>45586</v>
      </c>
      <c r="J1007" s="64">
        <f t="shared" si="407"/>
        <v>0</v>
      </c>
      <c r="K1007" s="67">
        <v>45579</v>
      </c>
      <c r="L1007" s="64">
        <f t="shared" si="408"/>
        <v>0</v>
      </c>
      <c r="M1007" s="64">
        <f t="shared" si="409"/>
        <v>0</v>
      </c>
      <c r="N1007" s="67">
        <f t="shared" si="418"/>
        <v>45587</v>
      </c>
      <c r="O1007" s="64">
        <f t="shared" si="410"/>
        <v>1</v>
      </c>
      <c r="P1007" s="64">
        <f t="shared" si="411"/>
        <v>0</v>
      </c>
      <c r="Q1007" s="91" t="str">
        <f t="shared" si="413"/>
        <v>Selesai</v>
      </c>
      <c r="R1007" s="64">
        <f t="shared" si="412"/>
        <v>0</v>
      </c>
      <c r="S1007" s="67">
        <v>45605</v>
      </c>
      <c r="T1007" s="67">
        <v>45636</v>
      </c>
      <c r="U1007" s="64">
        <f t="shared" si="405"/>
        <v>1</v>
      </c>
      <c r="V1007" s="66"/>
      <c r="W1007" s="66"/>
      <c r="X1007" s="93"/>
      <c r="Y1007" s="94"/>
      <c r="Z1007" s="91" t="str">
        <f t="shared" si="406"/>
        <v>100%</v>
      </c>
      <c r="AA1007" s="67"/>
      <c r="AB1007" s="473"/>
      <c r="AC1007" s="478" t="s">
        <v>2711</v>
      </c>
      <c r="AD1007" s="67"/>
    </row>
    <row r="1008" spans="2:30">
      <c r="B1008" s="64" t="s">
        <v>118</v>
      </c>
      <c r="C1008" s="65" t="s">
        <v>546</v>
      </c>
      <c r="D1008" s="66">
        <v>3.62</v>
      </c>
      <c r="E1008" s="67">
        <v>45565</v>
      </c>
      <c r="F1008" s="64">
        <f t="shared" si="414"/>
        <v>1</v>
      </c>
      <c r="G1008" s="67">
        <v>45571</v>
      </c>
      <c r="H1008" s="64">
        <f t="shared" si="415"/>
        <v>1</v>
      </c>
      <c r="I1008" s="67">
        <f>+K1008+5</f>
        <v>45585</v>
      </c>
      <c r="J1008" s="64">
        <f t="shared" si="407"/>
        <v>0</v>
      </c>
      <c r="K1008" s="67">
        <v>45580</v>
      </c>
      <c r="L1008" s="64">
        <f t="shared" si="408"/>
        <v>0</v>
      </c>
      <c r="M1008" s="64">
        <f t="shared" si="409"/>
        <v>0</v>
      </c>
      <c r="N1008" s="67">
        <f t="shared" si="418"/>
        <v>45586</v>
      </c>
      <c r="O1008" s="64">
        <f t="shared" si="410"/>
        <v>1</v>
      </c>
      <c r="P1008" s="64">
        <f t="shared" si="411"/>
        <v>0</v>
      </c>
      <c r="Q1008" s="91" t="str">
        <f t="shared" si="413"/>
        <v>Selesai</v>
      </c>
      <c r="R1008" s="64">
        <f t="shared" si="412"/>
        <v>0</v>
      </c>
      <c r="S1008" s="67">
        <v>45611</v>
      </c>
      <c r="T1008" s="67">
        <v>45638</v>
      </c>
      <c r="U1008" s="64">
        <f t="shared" si="405"/>
        <v>1</v>
      </c>
      <c r="V1008" s="66"/>
      <c r="W1008" s="66"/>
      <c r="X1008" s="93"/>
      <c r="Y1008" s="94"/>
      <c r="Z1008" s="91" t="str">
        <f t="shared" si="406"/>
        <v>100%</v>
      </c>
      <c r="AA1008" s="67"/>
      <c r="AB1008" s="473"/>
      <c r="AC1008" s="478" t="s">
        <v>2711</v>
      </c>
      <c r="AD1008" s="67"/>
    </row>
    <row r="1009" spans="2:30">
      <c r="B1009" s="64" t="s">
        <v>107</v>
      </c>
      <c r="C1009" s="65" t="s">
        <v>2204</v>
      </c>
      <c r="D1009" s="66">
        <v>7.17</v>
      </c>
      <c r="E1009" s="67">
        <v>45562</v>
      </c>
      <c r="F1009" s="64">
        <f t="shared" si="414"/>
        <v>1</v>
      </c>
      <c r="G1009" s="67">
        <v>45563</v>
      </c>
      <c r="H1009" s="64">
        <f t="shared" si="415"/>
        <v>1</v>
      </c>
      <c r="I1009" s="67">
        <f>+K1009+7</f>
        <v>45584</v>
      </c>
      <c r="J1009" s="64">
        <f t="shared" si="407"/>
        <v>0</v>
      </c>
      <c r="K1009" s="67">
        <v>45577</v>
      </c>
      <c r="L1009" s="64">
        <f t="shared" si="408"/>
        <v>0</v>
      </c>
      <c r="M1009" s="64">
        <f t="shared" si="409"/>
        <v>0</v>
      </c>
      <c r="N1009" s="67">
        <f t="shared" si="418"/>
        <v>45585</v>
      </c>
      <c r="O1009" s="64">
        <f t="shared" si="410"/>
        <v>1</v>
      </c>
      <c r="P1009" s="64">
        <f t="shared" si="411"/>
        <v>0</v>
      </c>
      <c r="Q1009" s="91" t="str">
        <f t="shared" si="413"/>
        <v>Selesai</v>
      </c>
      <c r="R1009" s="64">
        <f t="shared" si="412"/>
        <v>0</v>
      </c>
      <c r="S1009" s="67">
        <v>45587</v>
      </c>
      <c r="T1009" s="67">
        <v>45639</v>
      </c>
      <c r="U1009" s="64">
        <f t="shared" si="405"/>
        <v>1</v>
      </c>
      <c r="V1009" s="66"/>
      <c r="W1009" s="66"/>
      <c r="X1009" s="93"/>
      <c r="Y1009" s="94"/>
      <c r="Z1009" s="91" t="str">
        <f t="shared" si="406"/>
        <v>100%</v>
      </c>
      <c r="AA1009" s="67"/>
      <c r="AB1009" s="473"/>
      <c r="AC1009" s="478" t="s">
        <v>2711</v>
      </c>
      <c r="AD1009" s="67"/>
    </row>
    <row r="1010" spans="2:30">
      <c r="B1010" s="64" t="s">
        <v>105</v>
      </c>
      <c r="C1010" s="65" t="s">
        <v>518</v>
      </c>
      <c r="D1010" s="66">
        <v>10.72</v>
      </c>
      <c r="E1010" s="67">
        <v>45589</v>
      </c>
      <c r="F1010" s="64">
        <f t="shared" si="414"/>
        <v>1</v>
      </c>
      <c r="G1010" s="67">
        <v>45625</v>
      </c>
      <c r="H1010" s="64">
        <f t="shared" si="415"/>
        <v>1</v>
      </c>
      <c r="I1010" s="67">
        <f>+K1010+20</f>
        <v>45622</v>
      </c>
      <c r="J1010" s="64">
        <f t="shared" si="407"/>
        <v>0</v>
      </c>
      <c r="K1010" s="67">
        <v>45602</v>
      </c>
      <c r="L1010" s="64">
        <f t="shared" si="408"/>
        <v>0</v>
      </c>
      <c r="M1010" s="64">
        <f t="shared" si="409"/>
        <v>0</v>
      </c>
      <c r="N1010" s="67">
        <f t="shared" si="418"/>
        <v>45623</v>
      </c>
      <c r="O1010" s="64">
        <f t="shared" si="410"/>
        <v>1</v>
      </c>
      <c r="P1010" s="64">
        <f t="shared" si="411"/>
        <v>0</v>
      </c>
      <c r="Q1010" s="91" t="str">
        <f t="shared" si="413"/>
        <v>Selesai</v>
      </c>
      <c r="R1010" s="64">
        <f t="shared" si="412"/>
        <v>0</v>
      </c>
      <c r="S1010" s="67">
        <v>45627</v>
      </c>
      <c r="T1010" s="67">
        <v>45643</v>
      </c>
      <c r="U1010" s="64">
        <f t="shared" si="405"/>
        <v>1</v>
      </c>
      <c r="V1010" s="66"/>
      <c r="W1010" s="66"/>
      <c r="X1010" s="93"/>
      <c r="Y1010" s="94"/>
      <c r="Z1010" s="91" t="str">
        <f t="shared" si="406"/>
        <v>100%</v>
      </c>
      <c r="AA1010" s="67"/>
      <c r="AB1010" s="473"/>
      <c r="AC1010" s="478" t="s">
        <v>2711</v>
      </c>
      <c r="AD1010" s="67"/>
    </row>
    <row r="1011" spans="2:30">
      <c r="B1011" s="64" t="s">
        <v>111</v>
      </c>
      <c r="C1011" s="65" t="s">
        <v>512</v>
      </c>
      <c r="D1011" s="66">
        <v>10.41</v>
      </c>
      <c r="E1011" s="67">
        <v>45608</v>
      </c>
      <c r="F1011" s="64">
        <f t="shared" si="414"/>
        <v>1</v>
      </c>
      <c r="G1011" s="67">
        <v>45626</v>
      </c>
      <c r="H1011" s="64">
        <f t="shared" si="415"/>
        <v>1</v>
      </c>
      <c r="I1011" s="67">
        <f>+K1011+5</f>
        <v>45627</v>
      </c>
      <c r="J1011" s="64">
        <f t="shared" si="407"/>
        <v>0</v>
      </c>
      <c r="K1011" s="67">
        <v>45622</v>
      </c>
      <c r="L1011" s="64">
        <f t="shared" si="408"/>
        <v>0</v>
      </c>
      <c r="M1011" s="64">
        <f t="shared" si="409"/>
        <v>0</v>
      </c>
      <c r="N1011" s="67">
        <f t="shared" si="418"/>
        <v>45628</v>
      </c>
      <c r="O1011" s="64">
        <f t="shared" si="410"/>
        <v>1</v>
      </c>
      <c r="P1011" s="64">
        <f t="shared" si="411"/>
        <v>0</v>
      </c>
      <c r="Q1011" s="91" t="str">
        <f t="shared" si="413"/>
        <v>Selesai</v>
      </c>
      <c r="R1011" s="64">
        <f t="shared" si="412"/>
        <v>0</v>
      </c>
      <c r="S1011" s="67">
        <v>45635</v>
      </c>
      <c r="T1011" s="67">
        <v>45656</v>
      </c>
      <c r="U1011" s="64">
        <f t="shared" si="405"/>
        <v>1</v>
      </c>
      <c r="V1011" s="66"/>
      <c r="W1011" s="66"/>
      <c r="X1011" s="93"/>
      <c r="Y1011" s="94"/>
      <c r="Z1011" s="91" t="str">
        <f t="shared" si="406"/>
        <v>100%</v>
      </c>
      <c r="AA1011" s="67"/>
      <c r="AB1011" s="473"/>
      <c r="AC1011" s="478" t="s">
        <v>2711</v>
      </c>
      <c r="AD1011" s="67"/>
    </row>
    <row r="1012" spans="2:30">
      <c r="B1012" s="64" t="s">
        <v>118</v>
      </c>
      <c r="C1012" s="65" t="s">
        <v>423</v>
      </c>
      <c r="D1012" s="66">
        <v>5.89</v>
      </c>
      <c r="E1012" s="67">
        <v>45574</v>
      </c>
      <c r="F1012" s="64">
        <f t="shared" si="414"/>
        <v>1</v>
      </c>
      <c r="G1012" s="67">
        <v>45590</v>
      </c>
      <c r="H1012" s="64">
        <f t="shared" si="415"/>
        <v>1</v>
      </c>
      <c r="I1012" s="67">
        <f>+K1012+5</f>
        <v>45599</v>
      </c>
      <c r="J1012" s="64">
        <f t="shared" si="407"/>
        <v>0</v>
      </c>
      <c r="K1012" s="67">
        <v>45594</v>
      </c>
      <c r="L1012" s="64">
        <f t="shared" si="408"/>
        <v>0</v>
      </c>
      <c r="M1012" s="64">
        <f t="shared" si="409"/>
        <v>0</v>
      </c>
      <c r="N1012" s="67">
        <f t="shared" si="418"/>
        <v>45600</v>
      </c>
      <c r="O1012" s="64">
        <f t="shared" si="410"/>
        <v>1</v>
      </c>
      <c r="P1012" s="64">
        <f t="shared" si="411"/>
        <v>0</v>
      </c>
      <c r="Q1012" s="91" t="str">
        <f t="shared" si="413"/>
        <v>Selesai</v>
      </c>
      <c r="R1012" s="64">
        <f t="shared" si="412"/>
        <v>0</v>
      </c>
      <c r="S1012" s="67">
        <v>45626</v>
      </c>
      <c r="T1012" s="67">
        <v>45645</v>
      </c>
      <c r="U1012" s="64">
        <f t="shared" si="405"/>
        <v>1</v>
      </c>
      <c r="V1012" s="66"/>
      <c r="W1012" s="66"/>
      <c r="X1012" s="93"/>
      <c r="Y1012" s="94"/>
      <c r="Z1012" s="91" t="str">
        <f t="shared" si="406"/>
        <v>100%</v>
      </c>
      <c r="AA1012" s="67"/>
      <c r="AB1012" s="473"/>
      <c r="AC1012" s="478" t="s">
        <v>2711</v>
      </c>
      <c r="AD1012" s="67"/>
    </row>
    <row r="1013" spans="2:30">
      <c r="B1013" s="64" t="s">
        <v>109</v>
      </c>
      <c r="C1013" s="65" t="s">
        <v>547</v>
      </c>
      <c r="D1013" s="66">
        <v>5.54</v>
      </c>
      <c r="E1013" s="67">
        <v>45603</v>
      </c>
      <c r="F1013" s="64">
        <f t="shared" si="414"/>
        <v>1</v>
      </c>
      <c r="G1013" s="67">
        <v>45625</v>
      </c>
      <c r="H1013" s="64">
        <f t="shared" si="415"/>
        <v>1</v>
      </c>
      <c r="I1013" s="67">
        <f>+K1013+12</f>
        <v>45626</v>
      </c>
      <c r="J1013" s="64">
        <f t="shared" si="407"/>
        <v>0</v>
      </c>
      <c r="K1013" s="67">
        <v>45614</v>
      </c>
      <c r="L1013" s="64">
        <f t="shared" si="408"/>
        <v>0</v>
      </c>
      <c r="M1013" s="64">
        <f t="shared" si="409"/>
        <v>0</v>
      </c>
      <c r="N1013" s="67">
        <f t="shared" si="418"/>
        <v>45627</v>
      </c>
      <c r="O1013" s="64">
        <f t="shared" si="410"/>
        <v>1</v>
      </c>
      <c r="P1013" s="64">
        <f t="shared" si="411"/>
        <v>0</v>
      </c>
      <c r="Q1013" s="91" t="str">
        <f t="shared" si="413"/>
        <v>Selesai</v>
      </c>
      <c r="R1013" s="64">
        <f t="shared" si="412"/>
        <v>0</v>
      </c>
      <c r="S1013" s="67">
        <v>45632</v>
      </c>
      <c r="T1013" s="67">
        <v>45649</v>
      </c>
      <c r="U1013" s="64">
        <f t="shared" si="405"/>
        <v>1</v>
      </c>
      <c r="V1013" s="66"/>
      <c r="W1013" s="66"/>
      <c r="X1013" s="93"/>
      <c r="Y1013" s="94"/>
      <c r="Z1013" s="91" t="str">
        <f t="shared" si="406"/>
        <v>100%</v>
      </c>
      <c r="AA1013" s="67"/>
      <c r="AB1013" s="473"/>
      <c r="AC1013" s="478" t="s">
        <v>2711</v>
      </c>
      <c r="AD1013" s="67"/>
    </row>
    <row r="1014" spans="2:30">
      <c r="B1014" s="64" t="s">
        <v>107</v>
      </c>
      <c r="C1014" s="65" t="s">
        <v>2140</v>
      </c>
      <c r="D1014" s="66">
        <v>7.29</v>
      </c>
      <c r="E1014" s="67">
        <v>45559</v>
      </c>
      <c r="F1014" s="64">
        <f t="shared" si="414"/>
        <v>1</v>
      </c>
      <c r="G1014" s="67">
        <v>45560</v>
      </c>
      <c r="H1014" s="64">
        <f t="shared" si="415"/>
        <v>1</v>
      </c>
      <c r="I1014" s="67">
        <f>+K1014+7</f>
        <v>45577</v>
      </c>
      <c r="J1014" s="64">
        <f t="shared" si="407"/>
        <v>0</v>
      </c>
      <c r="K1014" s="67">
        <v>45570</v>
      </c>
      <c r="L1014" s="64">
        <f t="shared" si="408"/>
        <v>0</v>
      </c>
      <c r="M1014" s="64">
        <f t="shared" si="409"/>
        <v>0</v>
      </c>
      <c r="N1014" s="67">
        <f t="shared" si="418"/>
        <v>45578</v>
      </c>
      <c r="O1014" s="64">
        <f t="shared" si="410"/>
        <v>1</v>
      </c>
      <c r="P1014" s="64">
        <f t="shared" si="411"/>
        <v>0</v>
      </c>
      <c r="Q1014" s="91" t="str">
        <f t="shared" si="413"/>
        <v>Selesai</v>
      </c>
      <c r="R1014" s="64">
        <f t="shared" si="412"/>
        <v>0</v>
      </c>
      <c r="S1014" s="67">
        <v>45638</v>
      </c>
      <c r="T1014" s="67">
        <v>45656</v>
      </c>
      <c r="U1014" s="64">
        <f t="shared" si="405"/>
        <v>1</v>
      </c>
      <c r="V1014" s="66"/>
      <c r="W1014" s="66"/>
      <c r="X1014" s="93"/>
      <c r="Y1014" s="94"/>
      <c r="Z1014" s="91" t="str">
        <f t="shared" si="406"/>
        <v>100%</v>
      </c>
      <c r="AA1014" s="67"/>
      <c r="AB1014" s="473"/>
      <c r="AC1014" s="478" t="s">
        <v>2711</v>
      </c>
      <c r="AD1014" s="67"/>
    </row>
    <row r="1015" spans="2:30">
      <c r="B1015" s="64" t="s">
        <v>116</v>
      </c>
      <c r="C1015" s="65" t="s">
        <v>554</v>
      </c>
      <c r="D1015" s="66">
        <v>6.15</v>
      </c>
      <c r="E1015" s="67">
        <v>45567</v>
      </c>
      <c r="F1015" s="64">
        <f t="shared" si="414"/>
        <v>1</v>
      </c>
      <c r="G1015" s="67">
        <v>45596</v>
      </c>
      <c r="H1015" s="64">
        <f t="shared" si="415"/>
        <v>1</v>
      </c>
      <c r="I1015" s="67">
        <f>+K1015+5</f>
        <v>45605</v>
      </c>
      <c r="J1015" s="64">
        <f t="shared" si="407"/>
        <v>0</v>
      </c>
      <c r="K1015" s="67">
        <v>45600</v>
      </c>
      <c r="L1015" s="64">
        <f t="shared" si="408"/>
        <v>0</v>
      </c>
      <c r="M1015" s="64">
        <f t="shared" si="409"/>
        <v>0</v>
      </c>
      <c r="N1015" s="67">
        <f t="shared" si="418"/>
        <v>45606</v>
      </c>
      <c r="O1015" s="64">
        <f t="shared" si="410"/>
        <v>1</v>
      </c>
      <c r="P1015" s="64">
        <f t="shared" si="411"/>
        <v>0</v>
      </c>
      <c r="Q1015" s="91" t="str">
        <f t="shared" si="413"/>
        <v>Selesai</v>
      </c>
      <c r="R1015" s="64">
        <f t="shared" si="412"/>
        <v>0</v>
      </c>
      <c r="S1015" s="67">
        <v>45630</v>
      </c>
      <c r="T1015" s="67">
        <v>45656</v>
      </c>
      <c r="U1015" s="64">
        <f t="shared" si="405"/>
        <v>1</v>
      </c>
      <c r="V1015" s="66"/>
      <c r="W1015" s="66"/>
      <c r="X1015" s="93"/>
      <c r="Y1015" s="94"/>
      <c r="Z1015" s="91" t="str">
        <f t="shared" si="406"/>
        <v>100%</v>
      </c>
      <c r="AA1015" s="67"/>
      <c r="AB1015" s="473"/>
      <c r="AC1015" s="478" t="s">
        <v>2711</v>
      </c>
      <c r="AD1015" s="67"/>
    </row>
    <row r="1016" spans="2:30">
      <c r="B1016" s="64" t="s">
        <v>107</v>
      </c>
      <c r="C1016" s="65" t="s">
        <v>2141</v>
      </c>
      <c r="D1016" s="66">
        <v>4.33</v>
      </c>
      <c r="E1016" s="67">
        <v>45616</v>
      </c>
      <c r="F1016" s="64">
        <f t="shared" si="414"/>
        <v>1</v>
      </c>
      <c r="G1016" s="67">
        <v>45621</v>
      </c>
      <c r="H1016" s="64">
        <f t="shared" si="415"/>
        <v>1</v>
      </c>
      <c r="I1016" s="67">
        <v>45627</v>
      </c>
      <c r="J1016" s="64">
        <f t="shared" si="407"/>
        <v>0</v>
      </c>
      <c r="K1016" s="67">
        <v>45622</v>
      </c>
      <c r="L1016" s="64">
        <f t="shared" si="408"/>
        <v>0</v>
      </c>
      <c r="M1016" s="64">
        <f t="shared" si="409"/>
        <v>0</v>
      </c>
      <c r="N1016" s="67">
        <f t="shared" si="418"/>
        <v>45628</v>
      </c>
      <c r="O1016" s="64">
        <f t="shared" si="410"/>
        <v>1</v>
      </c>
      <c r="P1016" s="64">
        <f t="shared" si="411"/>
        <v>0</v>
      </c>
      <c r="Q1016" s="91" t="str">
        <f t="shared" si="413"/>
        <v>Selesai</v>
      </c>
      <c r="R1016" s="64">
        <f t="shared" si="412"/>
        <v>0</v>
      </c>
      <c r="S1016" s="67">
        <v>45641</v>
      </c>
      <c r="T1016" s="67">
        <v>45656</v>
      </c>
      <c r="U1016" s="64">
        <f t="shared" si="405"/>
        <v>1</v>
      </c>
      <c r="V1016" s="66"/>
      <c r="W1016" s="66"/>
      <c r="X1016" s="93"/>
      <c r="Y1016" s="94"/>
      <c r="Z1016" s="91" t="str">
        <f t="shared" si="406"/>
        <v>100%</v>
      </c>
      <c r="AA1016" s="67"/>
      <c r="AB1016" s="473"/>
      <c r="AC1016" s="478" t="s">
        <v>2711</v>
      </c>
      <c r="AD1016" s="67"/>
    </row>
    <row r="1017" spans="2:30">
      <c r="B1017" s="64" t="s">
        <v>105</v>
      </c>
      <c r="C1017" s="65" t="s">
        <v>1591</v>
      </c>
      <c r="D1017" s="66">
        <v>9.17</v>
      </c>
      <c r="E1017" s="67">
        <v>45563</v>
      </c>
      <c r="F1017" s="64">
        <f t="shared" si="414"/>
        <v>1</v>
      </c>
      <c r="G1017" s="67">
        <v>45570</v>
      </c>
      <c r="H1017" s="64">
        <f t="shared" si="415"/>
        <v>1</v>
      </c>
      <c r="I1017" s="67">
        <f>+K1017+7</f>
        <v>45589</v>
      </c>
      <c r="J1017" s="64">
        <f t="shared" si="407"/>
        <v>0</v>
      </c>
      <c r="K1017" s="67">
        <v>45582</v>
      </c>
      <c r="L1017" s="64">
        <f t="shared" si="408"/>
        <v>0</v>
      </c>
      <c r="M1017" s="64">
        <f t="shared" si="409"/>
        <v>0</v>
      </c>
      <c r="N1017" s="67">
        <f t="shared" si="418"/>
        <v>45590</v>
      </c>
      <c r="O1017" s="64">
        <f t="shared" si="410"/>
        <v>1</v>
      </c>
      <c r="P1017" s="64">
        <f t="shared" si="411"/>
        <v>0</v>
      </c>
      <c r="Q1017" s="91" t="str">
        <f t="shared" ref="Q1017:Q1045" si="419">IF(T1017&gt;0,"Selesai","Proses")</f>
        <v>Selesai</v>
      </c>
      <c r="R1017" s="64">
        <f t="shared" si="412"/>
        <v>0</v>
      </c>
      <c r="S1017" s="67">
        <v>45619</v>
      </c>
      <c r="T1017" s="67">
        <v>45657</v>
      </c>
      <c r="U1017" s="64">
        <f t="shared" si="405"/>
        <v>1</v>
      </c>
      <c r="V1017" s="66"/>
      <c r="W1017" s="66"/>
      <c r="X1017" s="93"/>
      <c r="Y1017" s="94"/>
      <c r="Z1017" s="91" t="str">
        <f t="shared" si="406"/>
        <v>100%</v>
      </c>
      <c r="AA1017" s="67"/>
      <c r="AB1017" s="473"/>
      <c r="AC1017" s="478" t="s">
        <v>2711</v>
      </c>
      <c r="AD1017" s="67"/>
    </row>
    <row r="1018" spans="2:30">
      <c r="B1018" s="64" t="s">
        <v>116</v>
      </c>
      <c r="C1018" s="65" t="s">
        <v>556</v>
      </c>
      <c r="D1018" s="66">
        <v>9.1300000000000008</v>
      </c>
      <c r="E1018" s="67">
        <v>45567</v>
      </c>
      <c r="F1018" s="64">
        <f t="shared" ref="F1018:F1045" si="420">IF(E1018&gt;0,1,0)</f>
        <v>1</v>
      </c>
      <c r="G1018" s="67">
        <v>45596</v>
      </c>
      <c r="H1018" s="64">
        <f t="shared" ref="H1018:H1045" si="421">IF(G1018&gt;0,1,0)</f>
        <v>1</v>
      </c>
      <c r="I1018" s="67">
        <f>+K1018+5</f>
        <v>45605</v>
      </c>
      <c r="J1018" s="64">
        <f t="shared" si="407"/>
        <v>0</v>
      </c>
      <c r="K1018" s="67">
        <v>45600</v>
      </c>
      <c r="L1018" s="64">
        <f t="shared" si="408"/>
        <v>0</v>
      </c>
      <c r="M1018" s="64">
        <f t="shared" si="409"/>
        <v>0</v>
      </c>
      <c r="N1018" s="67">
        <f t="shared" si="418"/>
        <v>45606</v>
      </c>
      <c r="O1018" s="64">
        <f t="shared" si="410"/>
        <v>1</v>
      </c>
      <c r="P1018" s="64">
        <f t="shared" si="411"/>
        <v>0</v>
      </c>
      <c r="Q1018" s="91" t="str">
        <f t="shared" si="419"/>
        <v>Selesai</v>
      </c>
      <c r="R1018" s="64">
        <f t="shared" si="412"/>
        <v>0</v>
      </c>
      <c r="S1018" s="67">
        <v>45639</v>
      </c>
      <c r="T1018" s="67">
        <v>45656</v>
      </c>
      <c r="U1018" s="64">
        <f t="shared" si="405"/>
        <v>1</v>
      </c>
      <c r="V1018" s="66"/>
      <c r="W1018" s="66"/>
      <c r="X1018" s="93"/>
      <c r="Y1018" s="94"/>
      <c r="Z1018" s="91" t="str">
        <f t="shared" si="406"/>
        <v>100%</v>
      </c>
      <c r="AA1018" s="67"/>
      <c r="AB1018" s="473"/>
      <c r="AC1018" s="478" t="s">
        <v>2711</v>
      </c>
      <c r="AD1018" s="67"/>
    </row>
    <row r="1019" spans="2:30">
      <c r="B1019" s="64" t="s">
        <v>113</v>
      </c>
      <c r="C1019" s="65" t="s">
        <v>874</v>
      </c>
      <c r="D1019" s="66">
        <v>5.43</v>
      </c>
      <c r="E1019" s="67">
        <v>45566</v>
      </c>
      <c r="F1019" s="64">
        <f t="shared" si="420"/>
        <v>1</v>
      </c>
      <c r="G1019" s="67">
        <v>45572</v>
      </c>
      <c r="H1019" s="64">
        <f t="shared" si="421"/>
        <v>1</v>
      </c>
      <c r="I1019" s="67">
        <f>+K1019+5</f>
        <v>45582</v>
      </c>
      <c r="J1019" s="64">
        <f t="shared" si="407"/>
        <v>0</v>
      </c>
      <c r="K1019" s="67">
        <v>45577</v>
      </c>
      <c r="L1019" s="64">
        <f t="shared" si="408"/>
        <v>0</v>
      </c>
      <c r="M1019" s="64">
        <f t="shared" si="409"/>
        <v>0</v>
      </c>
      <c r="N1019" s="67">
        <f t="shared" si="418"/>
        <v>45583</v>
      </c>
      <c r="O1019" s="64">
        <f t="shared" si="410"/>
        <v>1</v>
      </c>
      <c r="P1019" s="64">
        <f t="shared" si="411"/>
        <v>0</v>
      </c>
      <c r="Q1019" s="91" t="str">
        <f t="shared" si="419"/>
        <v>Selesai</v>
      </c>
      <c r="R1019" s="64">
        <f t="shared" si="412"/>
        <v>0</v>
      </c>
      <c r="S1019" s="67">
        <v>45650</v>
      </c>
      <c r="T1019" s="100">
        <f>VLOOKUP($C1019,[11]Real!$B$11:$AF$27,24,0)</f>
        <v>45670</v>
      </c>
      <c r="U1019" s="64">
        <f t="shared" si="405"/>
        <v>1</v>
      </c>
      <c r="V1019" s="66"/>
      <c r="W1019" s="66"/>
      <c r="X1019" s="93"/>
      <c r="Y1019" s="94"/>
      <c r="Z1019" s="91" t="str">
        <f t="shared" si="406"/>
        <v>100%</v>
      </c>
      <c r="AA1019" s="67"/>
      <c r="AB1019" s="473"/>
      <c r="AC1019" s="478" t="s">
        <v>2711</v>
      </c>
      <c r="AD1019" s="67"/>
    </row>
    <row r="1020" spans="2:30">
      <c r="B1020" s="64" t="s">
        <v>105</v>
      </c>
      <c r="C1020" s="65" t="s">
        <v>522</v>
      </c>
      <c r="D1020" s="66">
        <v>9.32</v>
      </c>
      <c r="E1020" s="67">
        <v>45622</v>
      </c>
      <c r="F1020" s="64">
        <f t="shared" si="420"/>
        <v>1</v>
      </c>
      <c r="G1020" s="67">
        <v>45635</v>
      </c>
      <c r="H1020" s="64">
        <f t="shared" si="421"/>
        <v>1</v>
      </c>
      <c r="I1020" s="67">
        <f>+K1020+0</f>
        <v>45647</v>
      </c>
      <c r="J1020" s="64">
        <f t="shared" si="407"/>
        <v>0</v>
      </c>
      <c r="K1020" s="67">
        <v>45647</v>
      </c>
      <c r="L1020" s="64">
        <f t="shared" si="408"/>
        <v>0</v>
      </c>
      <c r="M1020" s="64">
        <f t="shared" si="409"/>
        <v>0</v>
      </c>
      <c r="N1020" s="67">
        <f t="shared" si="418"/>
        <v>45648</v>
      </c>
      <c r="O1020" s="64">
        <f t="shared" si="410"/>
        <v>1</v>
      </c>
      <c r="P1020" s="64">
        <f t="shared" si="411"/>
        <v>0</v>
      </c>
      <c r="Q1020" s="91" t="str">
        <f t="shared" si="419"/>
        <v>Selesai</v>
      </c>
      <c r="R1020" s="64">
        <f t="shared" si="412"/>
        <v>0</v>
      </c>
      <c r="S1020" s="67">
        <v>45648</v>
      </c>
      <c r="T1020" s="100">
        <f>VLOOKUP($C1020,[11]Real!$B$11:$AF$27,24,0)</f>
        <v>45670</v>
      </c>
      <c r="U1020" s="64">
        <f t="shared" si="405"/>
        <v>1</v>
      </c>
      <c r="V1020" s="66"/>
      <c r="W1020" s="66"/>
      <c r="X1020" s="93"/>
      <c r="Y1020" s="94"/>
      <c r="Z1020" s="91" t="str">
        <f t="shared" si="406"/>
        <v>100%</v>
      </c>
      <c r="AA1020" s="67"/>
      <c r="AB1020" s="473"/>
      <c r="AC1020" s="478" t="s">
        <v>2711</v>
      </c>
      <c r="AD1020" s="67"/>
    </row>
    <row r="1021" spans="2:30">
      <c r="B1021" s="64" t="s">
        <v>111</v>
      </c>
      <c r="C1021" s="65" t="s">
        <v>505</v>
      </c>
      <c r="D1021" s="66">
        <v>9.8699999999999992</v>
      </c>
      <c r="E1021" s="67">
        <v>45608</v>
      </c>
      <c r="F1021" s="64">
        <f t="shared" si="420"/>
        <v>1</v>
      </c>
      <c r="G1021" s="67">
        <v>45626</v>
      </c>
      <c r="H1021" s="64">
        <f t="shared" si="421"/>
        <v>1</v>
      </c>
      <c r="I1021" s="67">
        <v>45617</v>
      </c>
      <c r="J1021" s="64">
        <f t="shared" si="407"/>
        <v>0</v>
      </c>
      <c r="K1021" s="67">
        <v>45612</v>
      </c>
      <c r="L1021" s="64">
        <f t="shared" si="408"/>
        <v>0</v>
      </c>
      <c r="M1021" s="64">
        <f t="shared" si="409"/>
        <v>0</v>
      </c>
      <c r="N1021" s="67">
        <f t="shared" si="418"/>
        <v>45618</v>
      </c>
      <c r="O1021" s="64">
        <f t="shared" si="410"/>
        <v>1</v>
      </c>
      <c r="P1021" s="64">
        <f t="shared" si="411"/>
        <v>0</v>
      </c>
      <c r="Q1021" s="91" t="str">
        <f t="shared" si="419"/>
        <v>Selesai</v>
      </c>
      <c r="R1021" s="64">
        <f t="shared" si="412"/>
        <v>0</v>
      </c>
      <c r="S1021" s="67">
        <v>45643</v>
      </c>
      <c r="T1021" s="100">
        <f>VLOOKUP($C1021,[11]Real!$B$11:$AF$27,24,0)</f>
        <v>45670</v>
      </c>
      <c r="U1021" s="64">
        <f t="shared" si="405"/>
        <v>1</v>
      </c>
      <c r="V1021" s="66"/>
      <c r="W1021" s="66"/>
      <c r="X1021" s="93"/>
      <c r="Y1021" s="94"/>
      <c r="Z1021" s="91" t="str">
        <f t="shared" si="406"/>
        <v>100%</v>
      </c>
      <c r="AA1021" s="67"/>
      <c r="AB1021" s="473"/>
      <c r="AC1021" s="478" t="s">
        <v>2711</v>
      </c>
      <c r="AD1021" s="67"/>
    </row>
    <row r="1022" spans="2:30">
      <c r="B1022" s="64" t="s">
        <v>111</v>
      </c>
      <c r="C1022" s="65" t="s">
        <v>2545</v>
      </c>
      <c r="D1022" s="66">
        <v>10.91</v>
      </c>
      <c r="E1022" s="67">
        <v>45560</v>
      </c>
      <c r="F1022" s="64">
        <f t="shared" si="420"/>
        <v>1</v>
      </c>
      <c r="G1022" s="67">
        <v>45579</v>
      </c>
      <c r="H1022" s="64">
        <f t="shared" si="421"/>
        <v>1</v>
      </c>
      <c r="I1022" s="67">
        <f>+K1022+4</f>
        <v>45586</v>
      </c>
      <c r="J1022" s="64">
        <f t="shared" si="407"/>
        <v>0</v>
      </c>
      <c r="K1022" s="67">
        <v>45582</v>
      </c>
      <c r="L1022" s="64">
        <f t="shared" si="408"/>
        <v>0</v>
      </c>
      <c r="M1022" s="64">
        <f t="shared" si="409"/>
        <v>0</v>
      </c>
      <c r="N1022" s="67">
        <f t="shared" si="418"/>
        <v>45587</v>
      </c>
      <c r="O1022" s="64">
        <f t="shared" si="410"/>
        <v>1</v>
      </c>
      <c r="P1022" s="64">
        <f t="shared" si="411"/>
        <v>0</v>
      </c>
      <c r="Q1022" s="91" t="str">
        <f t="shared" si="419"/>
        <v>Selesai</v>
      </c>
      <c r="R1022" s="64">
        <f t="shared" si="412"/>
        <v>0</v>
      </c>
      <c r="S1022" s="67">
        <v>45644</v>
      </c>
      <c r="T1022" s="100">
        <f>VLOOKUP($C1022,[11]Real!$B$11:$AF$27,24,0)</f>
        <v>45670</v>
      </c>
      <c r="U1022" s="64">
        <f t="shared" si="405"/>
        <v>1</v>
      </c>
      <c r="V1022" s="66"/>
      <c r="W1022" s="66"/>
      <c r="X1022" s="93"/>
      <c r="Y1022" s="94"/>
      <c r="Z1022" s="91" t="str">
        <f t="shared" si="406"/>
        <v>100%</v>
      </c>
      <c r="AA1022" s="67"/>
      <c r="AB1022" s="473"/>
      <c r="AC1022" s="478" t="s">
        <v>2711</v>
      </c>
      <c r="AD1022" s="67"/>
    </row>
    <row r="1023" spans="2:30">
      <c r="B1023" s="64" t="s">
        <v>111</v>
      </c>
      <c r="C1023" s="65" t="s">
        <v>2546</v>
      </c>
      <c r="D1023" s="66">
        <v>6.14</v>
      </c>
      <c r="E1023" s="67">
        <v>45560</v>
      </c>
      <c r="F1023" s="64">
        <f t="shared" si="420"/>
        <v>1</v>
      </c>
      <c r="G1023" s="67">
        <v>45579</v>
      </c>
      <c r="H1023" s="64">
        <f t="shared" si="421"/>
        <v>1</v>
      </c>
      <c r="I1023" s="67">
        <f>+K1023+4</f>
        <v>45586</v>
      </c>
      <c r="J1023" s="64">
        <f t="shared" si="407"/>
        <v>0</v>
      </c>
      <c r="K1023" s="67">
        <v>45582</v>
      </c>
      <c r="L1023" s="64">
        <f t="shared" si="408"/>
        <v>0</v>
      </c>
      <c r="M1023" s="64">
        <f t="shared" si="409"/>
        <v>0</v>
      </c>
      <c r="N1023" s="67">
        <f t="shared" si="418"/>
        <v>45587</v>
      </c>
      <c r="O1023" s="64">
        <f t="shared" si="410"/>
        <v>1</v>
      </c>
      <c r="P1023" s="64">
        <f t="shared" si="411"/>
        <v>0</v>
      </c>
      <c r="Q1023" s="91" t="str">
        <f t="shared" si="419"/>
        <v>Selesai</v>
      </c>
      <c r="R1023" s="64">
        <f t="shared" si="412"/>
        <v>0</v>
      </c>
      <c r="S1023" s="67">
        <v>45644</v>
      </c>
      <c r="T1023" s="100">
        <f>VLOOKUP($C1023,[11]Real!$B$11:$AF$27,24,0)</f>
        <v>45671</v>
      </c>
      <c r="U1023" s="64">
        <f t="shared" si="405"/>
        <v>1</v>
      </c>
      <c r="V1023" s="66"/>
      <c r="W1023" s="66"/>
      <c r="X1023" s="93"/>
      <c r="Y1023" s="94"/>
      <c r="Z1023" s="91" t="str">
        <f t="shared" si="406"/>
        <v>100%</v>
      </c>
      <c r="AA1023" s="67"/>
      <c r="AB1023" s="473"/>
      <c r="AC1023" s="478" t="s">
        <v>2711</v>
      </c>
      <c r="AD1023" s="67"/>
    </row>
    <row r="1024" spans="2:30">
      <c r="B1024" s="64" t="s">
        <v>109</v>
      </c>
      <c r="C1024" s="65" t="s">
        <v>960</v>
      </c>
      <c r="D1024" s="66">
        <v>6.94</v>
      </c>
      <c r="E1024" s="67">
        <v>45572</v>
      </c>
      <c r="F1024" s="64">
        <f t="shared" si="420"/>
        <v>1</v>
      </c>
      <c r="G1024" s="67">
        <v>45579</v>
      </c>
      <c r="H1024" s="64">
        <f t="shared" si="421"/>
        <v>1</v>
      </c>
      <c r="I1024" s="67">
        <f>+K1024+5</f>
        <v>45584</v>
      </c>
      <c r="J1024" s="64">
        <f t="shared" si="407"/>
        <v>0</v>
      </c>
      <c r="K1024" s="67">
        <v>45579</v>
      </c>
      <c r="L1024" s="64">
        <f t="shared" si="408"/>
        <v>0</v>
      </c>
      <c r="M1024" s="64">
        <f t="shared" si="409"/>
        <v>0</v>
      </c>
      <c r="N1024" s="67">
        <f t="shared" si="418"/>
        <v>45585</v>
      </c>
      <c r="O1024" s="64">
        <f t="shared" si="410"/>
        <v>1</v>
      </c>
      <c r="P1024" s="64">
        <f t="shared" si="411"/>
        <v>0</v>
      </c>
      <c r="Q1024" s="91" t="str">
        <f t="shared" si="419"/>
        <v>Selesai</v>
      </c>
      <c r="R1024" s="64">
        <f t="shared" si="412"/>
        <v>0</v>
      </c>
      <c r="S1024" s="67">
        <v>45652</v>
      </c>
      <c r="T1024" s="100">
        <f>VLOOKUP($C1024,[11]Real!$B$11:$AF$27,24,0)</f>
        <v>45675</v>
      </c>
      <c r="U1024" s="64">
        <f t="shared" si="405"/>
        <v>1</v>
      </c>
      <c r="V1024" s="66"/>
      <c r="W1024" s="66"/>
      <c r="X1024" s="93"/>
      <c r="Y1024" s="94"/>
      <c r="Z1024" s="91" t="str">
        <f t="shared" si="406"/>
        <v>100%</v>
      </c>
      <c r="AA1024" s="67"/>
      <c r="AB1024" s="473"/>
      <c r="AC1024" s="478" t="s">
        <v>2711</v>
      </c>
      <c r="AD1024" s="67"/>
    </row>
    <row r="1025" spans="2:30">
      <c r="B1025" s="64" t="s">
        <v>116</v>
      </c>
      <c r="C1025" s="65" t="s">
        <v>467</v>
      </c>
      <c r="D1025" s="66">
        <v>5.27</v>
      </c>
      <c r="E1025" s="67">
        <v>45615</v>
      </c>
      <c r="F1025" s="64">
        <f t="shared" si="420"/>
        <v>1</v>
      </c>
      <c r="G1025" s="67">
        <v>45616</v>
      </c>
      <c r="H1025" s="64">
        <f t="shared" si="421"/>
        <v>1</v>
      </c>
      <c r="I1025" s="67">
        <f>+K1025+2</f>
        <v>45644</v>
      </c>
      <c r="J1025" s="64">
        <f t="shared" si="407"/>
        <v>0</v>
      </c>
      <c r="K1025" s="67">
        <v>45642</v>
      </c>
      <c r="L1025" s="64">
        <f t="shared" si="408"/>
        <v>0</v>
      </c>
      <c r="M1025" s="64">
        <f t="shared" si="409"/>
        <v>0</v>
      </c>
      <c r="N1025" s="67">
        <f t="shared" si="418"/>
        <v>45645</v>
      </c>
      <c r="O1025" s="64">
        <f t="shared" si="410"/>
        <v>1</v>
      </c>
      <c r="P1025" s="64">
        <f t="shared" si="411"/>
        <v>0</v>
      </c>
      <c r="Q1025" s="91" t="str">
        <f t="shared" si="419"/>
        <v>Selesai</v>
      </c>
      <c r="R1025" s="64">
        <f t="shared" si="412"/>
        <v>0</v>
      </c>
      <c r="S1025" s="67">
        <v>45663</v>
      </c>
      <c r="T1025" s="100">
        <f>VLOOKUP($C1025,[11]Real!$B$11:$AF$27,24,0)</f>
        <v>45679</v>
      </c>
      <c r="U1025" s="64">
        <f t="shared" si="405"/>
        <v>1</v>
      </c>
      <c r="V1025" s="66"/>
      <c r="W1025" s="66"/>
      <c r="X1025" s="93"/>
      <c r="Y1025" s="94"/>
      <c r="Z1025" s="91" t="str">
        <f t="shared" si="406"/>
        <v>100%</v>
      </c>
      <c r="AA1025" s="67"/>
      <c r="AB1025" s="473"/>
      <c r="AC1025" s="478" t="s">
        <v>2711</v>
      </c>
      <c r="AD1025" s="67"/>
    </row>
    <row r="1026" spans="2:30">
      <c r="B1026" s="64" t="s">
        <v>118</v>
      </c>
      <c r="C1026" s="65" t="s">
        <v>499</v>
      </c>
      <c r="D1026" s="66">
        <v>7.22</v>
      </c>
      <c r="E1026" s="67">
        <v>45609</v>
      </c>
      <c r="F1026" s="64">
        <f t="shared" si="420"/>
        <v>1</v>
      </c>
      <c r="G1026" s="67">
        <v>45633</v>
      </c>
      <c r="H1026" s="64">
        <f t="shared" si="421"/>
        <v>1</v>
      </c>
      <c r="I1026" s="67">
        <v>45626</v>
      </c>
      <c r="J1026" s="64">
        <f t="shared" si="407"/>
        <v>0</v>
      </c>
      <c r="K1026" s="67">
        <v>45621</v>
      </c>
      <c r="L1026" s="64">
        <f t="shared" si="408"/>
        <v>0</v>
      </c>
      <c r="M1026" s="64">
        <f t="shared" si="409"/>
        <v>0</v>
      </c>
      <c r="N1026" s="67">
        <f t="shared" si="418"/>
        <v>45627</v>
      </c>
      <c r="O1026" s="64">
        <f t="shared" si="410"/>
        <v>1</v>
      </c>
      <c r="P1026" s="64">
        <f t="shared" si="411"/>
        <v>0</v>
      </c>
      <c r="Q1026" s="91" t="str">
        <f t="shared" si="419"/>
        <v>Selesai</v>
      </c>
      <c r="R1026" s="64">
        <f t="shared" si="412"/>
        <v>0</v>
      </c>
      <c r="S1026" s="67">
        <v>45657</v>
      </c>
      <c r="T1026" s="100">
        <f>VLOOKUP($C1026,[11]Real!$B$11:$AF$27,24,0)</f>
        <v>45679</v>
      </c>
      <c r="U1026" s="64">
        <f t="shared" si="405"/>
        <v>1</v>
      </c>
      <c r="V1026" s="66"/>
      <c r="W1026" s="66"/>
      <c r="X1026" s="93"/>
      <c r="Y1026" s="94"/>
      <c r="Z1026" s="91" t="str">
        <f t="shared" si="406"/>
        <v>100%</v>
      </c>
      <c r="AA1026" s="67"/>
      <c r="AB1026" s="473"/>
      <c r="AC1026" s="478" t="s">
        <v>2711</v>
      </c>
      <c r="AD1026" s="67"/>
    </row>
    <row r="1027" spans="2:30">
      <c r="B1027" s="64" t="s">
        <v>118</v>
      </c>
      <c r="C1027" s="65" t="s">
        <v>504</v>
      </c>
      <c r="D1027" s="66">
        <v>6.93</v>
      </c>
      <c r="E1027" s="67">
        <v>45615</v>
      </c>
      <c r="F1027" s="64">
        <f t="shared" si="420"/>
        <v>1</v>
      </c>
      <c r="G1027" s="67">
        <v>45633</v>
      </c>
      <c r="H1027" s="64">
        <f t="shared" si="421"/>
        <v>1</v>
      </c>
      <c r="I1027" s="67">
        <v>45634</v>
      </c>
      <c r="J1027" s="64">
        <f t="shared" si="407"/>
        <v>0</v>
      </c>
      <c r="K1027" s="67">
        <v>45629</v>
      </c>
      <c r="L1027" s="64">
        <f t="shared" si="408"/>
        <v>0</v>
      </c>
      <c r="M1027" s="64">
        <f t="shared" si="409"/>
        <v>0</v>
      </c>
      <c r="N1027" s="67">
        <f t="shared" si="418"/>
        <v>45635</v>
      </c>
      <c r="O1027" s="64">
        <f t="shared" si="410"/>
        <v>1</v>
      </c>
      <c r="P1027" s="64">
        <f t="shared" si="411"/>
        <v>0</v>
      </c>
      <c r="Q1027" s="91" t="str">
        <f t="shared" si="419"/>
        <v>Selesai</v>
      </c>
      <c r="R1027" s="64">
        <f t="shared" si="412"/>
        <v>0</v>
      </c>
      <c r="S1027" s="67">
        <v>45662</v>
      </c>
      <c r="T1027" s="100">
        <f>VLOOKUP($C1027,[11]Real!$B$11:$AF$27,24,0)</f>
        <v>45679</v>
      </c>
      <c r="U1027" s="64">
        <f t="shared" si="405"/>
        <v>1</v>
      </c>
      <c r="V1027" s="66"/>
      <c r="W1027" s="66"/>
      <c r="X1027" s="93"/>
      <c r="Y1027" s="94"/>
      <c r="Z1027" s="91" t="str">
        <f t="shared" si="406"/>
        <v>100%</v>
      </c>
      <c r="AA1027" s="67"/>
      <c r="AB1027" s="473"/>
      <c r="AC1027" s="478" t="s">
        <v>2711</v>
      </c>
      <c r="AD1027" s="67"/>
    </row>
    <row r="1028" spans="2:30">
      <c r="B1028" s="64" t="s">
        <v>107</v>
      </c>
      <c r="C1028" s="65" t="s">
        <v>525</v>
      </c>
      <c r="D1028" s="66">
        <v>4.76</v>
      </c>
      <c r="E1028" s="67">
        <v>45616</v>
      </c>
      <c r="F1028" s="64">
        <f t="shared" si="420"/>
        <v>1</v>
      </c>
      <c r="G1028" s="67">
        <v>45621</v>
      </c>
      <c r="H1028" s="64">
        <f t="shared" si="421"/>
        <v>1</v>
      </c>
      <c r="I1028" s="67">
        <f>+K1028+12</f>
        <v>45626</v>
      </c>
      <c r="J1028" s="64">
        <f t="shared" si="407"/>
        <v>0</v>
      </c>
      <c r="K1028" s="67">
        <v>45614</v>
      </c>
      <c r="L1028" s="64">
        <f t="shared" si="408"/>
        <v>0</v>
      </c>
      <c r="M1028" s="64">
        <f t="shared" si="409"/>
        <v>0</v>
      </c>
      <c r="N1028" s="67">
        <f t="shared" si="418"/>
        <v>45627</v>
      </c>
      <c r="O1028" s="64">
        <f t="shared" si="410"/>
        <v>1</v>
      </c>
      <c r="P1028" s="64">
        <f t="shared" si="411"/>
        <v>0</v>
      </c>
      <c r="Q1028" s="91" t="str">
        <f t="shared" si="419"/>
        <v>Selesai</v>
      </c>
      <c r="R1028" s="64">
        <f t="shared" si="412"/>
        <v>0</v>
      </c>
      <c r="S1028" s="67">
        <v>45665</v>
      </c>
      <c r="T1028" s="100">
        <f>VLOOKUP($C1028,[11]Real!$B$11:$AF$27,24,0)</f>
        <v>45682</v>
      </c>
      <c r="U1028" s="64"/>
      <c r="V1028" s="66"/>
      <c r="W1028" s="66"/>
      <c r="X1028" s="93"/>
      <c r="Y1028" s="94"/>
      <c r="Z1028" s="91" t="str">
        <f t="shared" si="406"/>
        <v>100%</v>
      </c>
      <c r="AA1028" s="67"/>
      <c r="AB1028" s="473"/>
      <c r="AC1028" s="478" t="s">
        <v>2711</v>
      </c>
      <c r="AD1028" s="67"/>
    </row>
    <row r="1029" spans="2:30">
      <c r="B1029" s="64" t="s">
        <v>109</v>
      </c>
      <c r="C1029" s="65" t="s">
        <v>2554</v>
      </c>
      <c r="D1029" s="66">
        <v>6.64</v>
      </c>
      <c r="E1029" s="67">
        <v>45632</v>
      </c>
      <c r="F1029" s="64">
        <f t="shared" si="420"/>
        <v>1</v>
      </c>
      <c r="G1029" s="67">
        <v>45640</v>
      </c>
      <c r="H1029" s="64">
        <f t="shared" si="421"/>
        <v>1</v>
      </c>
      <c r="I1029" s="67">
        <v>45650</v>
      </c>
      <c r="J1029" s="64">
        <f t="shared" si="407"/>
        <v>0</v>
      </c>
      <c r="K1029" s="67">
        <v>45657</v>
      </c>
      <c r="L1029" s="64">
        <f t="shared" si="408"/>
        <v>0</v>
      </c>
      <c r="M1029" s="64">
        <f t="shared" si="409"/>
        <v>0</v>
      </c>
      <c r="N1029" s="67">
        <f t="shared" si="418"/>
        <v>45658</v>
      </c>
      <c r="O1029" s="64">
        <f t="shared" si="410"/>
        <v>1</v>
      </c>
      <c r="P1029" s="64">
        <f t="shared" si="411"/>
        <v>0</v>
      </c>
      <c r="Q1029" s="91" t="str">
        <f t="shared" si="419"/>
        <v>Selesai</v>
      </c>
      <c r="R1029" s="64">
        <f t="shared" si="412"/>
        <v>0</v>
      </c>
      <c r="S1029" s="67">
        <v>45667</v>
      </c>
      <c r="T1029" s="100">
        <f>VLOOKUP($C1029,[11]Real!$B$11:$AF$27,24,0)</f>
        <v>45682</v>
      </c>
      <c r="U1029" s="64"/>
      <c r="V1029" s="66"/>
      <c r="W1029" s="66"/>
      <c r="X1029" s="93"/>
      <c r="Y1029" s="94"/>
      <c r="Z1029" s="91" t="str">
        <f t="shared" si="406"/>
        <v>100%</v>
      </c>
      <c r="AA1029" s="67"/>
      <c r="AB1029" s="473"/>
      <c r="AC1029" s="478" t="s">
        <v>2711</v>
      </c>
      <c r="AD1029" s="67"/>
    </row>
    <row r="1030" spans="2:30">
      <c r="B1030" s="64" t="s">
        <v>109</v>
      </c>
      <c r="C1030" s="65" t="s">
        <v>2555</v>
      </c>
      <c r="D1030" s="66">
        <v>7.69</v>
      </c>
      <c r="E1030" s="67">
        <v>45632</v>
      </c>
      <c r="F1030" s="64">
        <f t="shared" si="420"/>
        <v>1</v>
      </c>
      <c r="G1030" s="67">
        <v>45640</v>
      </c>
      <c r="H1030" s="64">
        <f t="shared" si="421"/>
        <v>1</v>
      </c>
      <c r="I1030" s="67">
        <v>45650</v>
      </c>
      <c r="J1030" s="64">
        <f t="shared" si="407"/>
        <v>0</v>
      </c>
      <c r="K1030" s="67">
        <v>45657</v>
      </c>
      <c r="L1030" s="64">
        <f t="shared" si="408"/>
        <v>0</v>
      </c>
      <c r="M1030" s="64">
        <f t="shared" si="409"/>
        <v>0</v>
      </c>
      <c r="N1030" s="67">
        <f t="shared" si="418"/>
        <v>45658</v>
      </c>
      <c r="O1030" s="64">
        <f t="shared" si="410"/>
        <v>1</v>
      </c>
      <c r="P1030" s="64">
        <f t="shared" si="411"/>
        <v>0</v>
      </c>
      <c r="Q1030" s="91" t="str">
        <f t="shared" si="419"/>
        <v>Selesai</v>
      </c>
      <c r="R1030" s="64">
        <f t="shared" si="412"/>
        <v>0</v>
      </c>
      <c r="S1030" s="67">
        <v>45669</v>
      </c>
      <c r="T1030" s="100">
        <f>VLOOKUP($C1030,[11]Real!$B$11:$AF$27,24,0)</f>
        <v>45686</v>
      </c>
      <c r="U1030" s="64">
        <f>IF(T1030&gt;0,1,0)</f>
        <v>1</v>
      </c>
      <c r="V1030" s="66"/>
      <c r="W1030" s="66"/>
      <c r="X1030" s="93"/>
      <c r="Y1030" s="94"/>
      <c r="Z1030" s="91" t="str">
        <f t="shared" si="406"/>
        <v>100%</v>
      </c>
      <c r="AA1030" s="67"/>
      <c r="AB1030" s="473"/>
      <c r="AC1030" s="478" t="s">
        <v>2711</v>
      </c>
      <c r="AD1030" s="67"/>
    </row>
    <row r="1031" spans="2:30">
      <c r="B1031" s="64" t="s">
        <v>109</v>
      </c>
      <c r="C1031" s="65" t="s">
        <v>2438</v>
      </c>
      <c r="D1031" s="66">
        <v>6.34</v>
      </c>
      <c r="E1031" s="67">
        <v>45605</v>
      </c>
      <c r="F1031" s="64">
        <f t="shared" si="420"/>
        <v>1</v>
      </c>
      <c r="G1031" s="67">
        <v>45616</v>
      </c>
      <c r="H1031" s="64">
        <f t="shared" si="421"/>
        <v>1</v>
      </c>
      <c r="I1031" s="67">
        <v>45627</v>
      </c>
      <c r="J1031" s="64">
        <f t="shared" si="407"/>
        <v>0</v>
      </c>
      <c r="K1031" s="67">
        <v>45622</v>
      </c>
      <c r="L1031" s="64">
        <f t="shared" si="408"/>
        <v>0</v>
      </c>
      <c r="M1031" s="64">
        <f t="shared" si="409"/>
        <v>0</v>
      </c>
      <c r="N1031" s="67">
        <f t="shared" si="418"/>
        <v>45628</v>
      </c>
      <c r="O1031" s="64">
        <f t="shared" si="410"/>
        <v>1</v>
      </c>
      <c r="P1031" s="64">
        <f t="shared" si="411"/>
        <v>0</v>
      </c>
      <c r="Q1031" s="91" t="str">
        <f t="shared" si="419"/>
        <v>Selesai</v>
      </c>
      <c r="R1031" s="64">
        <f t="shared" si="412"/>
        <v>0</v>
      </c>
      <c r="S1031" s="67">
        <v>45672</v>
      </c>
      <c r="T1031" s="100">
        <f>VLOOKUP($C1031,[11]Real!$B$11:$AF$27,24,0)</f>
        <v>45688</v>
      </c>
      <c r="U1031" s="64"/>
      <c r="V1031" s="66"/>
      <c r="W1031" s="66"/>
      <c r="X1031" s="93"/>
      <c r="Y1031" s="94"/>
      <c r="Z1031" s="91" t="str">
        <f t="shared" si="406"/>
        <v>100%</v>
      </c>
      <c r="AA1031" s="67"/>
      <c r="AB1031" s="473"/>
      <c r="AC1031" s="478" t="s">
        <v>2711</v>
      </c>
      <c r="AD1031" s="67"/>
    </row>
    <row r="1032" spans="2:30">
      <c r="B1032" s="64" t="s">
        <v>109</v>
      </c>
      <c r="C1032" s="65" t="s">
        <v>2439</v>
      </c>
      <c r="D1032" s="66">
        <v>4.72</v>
      </c>
      <c r="E1032" s="67">
        <v>45605</v>
      </c>
      <c r="F1032" s="64">
        <f t="shared" si="420"/>
        <v>1</v>
      </c>
      <c r="G1032" s="67">
        <v>45616</v>
      </c>
      <c r="H1032" s="64">
        <f t="shared" si="421"/>
        <v>1</v>
      </c>
      <c r="I1032" s="67">
        <v>45627</v>
      </c>
      <c r="J1032" s="64">
        <f t="shared" si="407"/>
        <v>0</v>
      </c>
      <c r="K1032" s="67">
        <v>45622</v>
      </c>
      <c r="L1032" s="64">
        <f t="shared" si="408"/>
        <v>0</v>
      </c>
      <c r="M1032" s="64">
        <f t="shared" si="409"/>
        <v>0</v>
      </c>
      <c r="N1032" s="67">
        <f t="shared" si="418"/>
        <v>45628</v>
      </c>
      <c r="O1032" s="64">
        <f t="shared" si="410"/>
        <v>1</v>
      </c>
      <c r="P1032" s="64">
        <f t="shared" si="411"/>
        <v>0</v>
      </c>
      <c r="Q1032" s="91" t="str">
        <f t="shared" si="419"/>
        <v>Selesai</v>
      </c>
      <c r="R1032" s="64">
        <f t="shared" si="412"/>
        <v>0</v>
      </c>
      <c r="S1032" s="67">
        <v>45673</v>
      </c>
      <c r="T1032" s="100">
        <f>VLOOKUP($C1032,[11]Real!$B$11:$AF$27,24,0)</f>
        <v>45686</v>
      </c>
      <c r="U1032" s="64"/>
      <c r="V1032" s="66"/>
      <c r="W1032" s="66"/>
      <c r="X1032" s="93"/>
      <c r="Y1032" s="94"/>
      <c r="Z1032" s="91" t="str">
        <f t="shared" si="406"/>
        <v>100%</v>
      </c>
      <c r="AA1032" s="67"/>
      <c r="AB1032" s="473"/>
      <c r="AC1032" s="478" t="s">
        <v>2711</v>
      </c>
      <c r="AD1032" s="67"/>
    </row>
    <row r="1033" spans="2:30">
      <c r="B1033" s="64" t="s">
        <v>107</v>
      </c>
      <c r="C1033" s="65" t="s">
        <v>2206</v>
      </c>
      <c r="D1033" s="66">
        <v>5.16</v>
      </c>
      <c r="E1033" s="67">
        <v>45616</v>
      </c>
      <c r="F1033" s="64">
        <f t="shared" si="420"/>
        <v>1</v>
      </c>
      <c r="G1033" s="67">
        <v>45621</v>
      </c>
      <c r="H1033" s="64">
        <f t="shared" si="421"/>
        <v>1</v>
      </c>
      <c r="I1033" s="67">
        <v>45631</v>
      </c>
      <c r="J1033" s="64">
        <f t="shared" si="407"/>
        <v>0</v>
      </c>
      <c r="K1033" s="67">
        <v>45626</v>
      </c>
      <c r="L1033" s="64">
        <f t="shared" si="408"/>
        <v>0</v>
      </c>
      <c r="M1033" s="64">
        <f t="shared" si="409"/>
        <v>0</v>
      </c>
      <c r="N1033" s="67">
        <f t="shared" si="418"/>
        <v>45632</v>
      </c>
      <c r="O1033" s="64">
        <f t="shared" si="410"/>
        <v>1</v>
      </c>
      <c r="P1033" s="64">
        <f t="shared" si="411"/>
        <v>0</v>
      </c>
      <c r="Q1033" s="91" t="str">
        <f t="shared" si="419"/>
        <v>Selesai</v>
      </c>
      <c r="R1033" s="64">
        <f t="shared" si="412"/>
        <v>0</v>
      </c>
      <c r="S1033" s="67">
        <v>45676</v>
      </c>
      <c r="T1033" s="100">
        <f>VLOOKUP($C1033,[11]Real!$B$11:$AF$27,24,0)</f>
        <v>45687</v>
      </c>
      <c r="U1033" s="64"/>
      <c r="V1033" s="66"/>
      <c r="W1033" s="66"/>
      <c r="X1033" s="93"/>
      <c r="Y1033" s="94"/>
      <c r="Z1033" s="91" t="str">
        <f t="shared" si="406"/>
        <v>100%</v>
      </c>
      <c r="AA1033" s="67"/>
      <c r="AB1033" s="473"/>
      <c r="AC1033" s="478" t="s">
        <v>2711</v>
      </c>
      <c r="AD1033" s="67"/>
    </row>
    <row r="1034" spans="2:30">
      <c r="B1034" s="64" t="s">
        <v>107</v>
      </c>
      <c r="C1034" s="65" t="s">
        <v>495</v>
      </c>
      <c r="D1034" s="66">
        <v>5.09</v>
      </c>
      <c r="E1034" s="67">
        <v>45631</v>
      </c>
      <c r="F1034" s="64">
        <f t="shared" si="420"/>
        <v>1</v>
      </c>
      <c r="G1034" s="67">
        <v>45644</v>
      </c>
      <c r="H1034" s="64">
        <f t="shared" si="421"/>
        <v>1</v>
      </c>
      <c r="I1034" s="67">
        <v>45649</v>
      </c>
      <c r="J1034" s="64">
        <f t="shared" si="407"/>
        <v>0</v>
      </c>
      <c r="K1034" s="67">
        <v>45633</v>
      </c>
      <c r="L1034" s="64">
        <f t="shared" si="408"/>
        <v>0</v>
      </c>
      <c r="M1034" s="64">
        <f t="shared" si="409"/>
        <v>0</v>
      </c>
      <c r="N1034" s="67">
        <f t="shared" si="418"/>
        <v>45650</v>
      </c>
      <c r="O1034" s="64">
        <f t="shared" si="410"/>
        <v>1</v>
      </c>
      <c r="P1034" s="64">
        <f t="shared" si="411"/>
        <v>0</v>
      </c>
      <c r="Q1034" s="91" t="str">
        <f t="shared" si="419"/>
        <v>Selesai</v>
      </c>
      <c r="R1034" s="64">
        <f t="shared" si="412"/>
        <v>0</v>
      </c>
      <c r="S1034" s="67">
        <v>45661</v>
      </c>
      <c r="T1034" s="100">
        <f>VLOOKUP($C1034,[11]Real!$B$11:$AF$27,24,0)</f>
        <v>45687</v>
      </c>
      <c r="U1034" s="64">
        <f>IF(T1034&gt;0,1,0)</f>
        <v>1</v>
      </c>
      <c r="V1034" s="66"/>
      <c r="W1034" s="66"/>
      <c r="X1034" s="93"/>
      <c r="Y1034" s="94"/>
      <c r="Z1034" s="91" t="str">
        <f t="shared" ref="Z1034:Z1097" si="422">IF(T1034="","","100%")</f>
        <v>100%</v>
      </c>
      <c r="AA1034" s="67"/>
      <c r="AB1034" s="473"/>
      <c r="AC1034" s="478" t="s">
        <v>2711</v>
      </c>
      <c r="AD1034" s="67"/>
    </row>
    <row r="1035" spans="2:30">
      <c r="B1035" s="64" t="s">
        <v>105</v>
      </c>
      <c r="C1035" s="65" t="s">
        <v>519</v>
      </c>
      <c r="D1035" s="66">
        <v>6.8</v>
      </c>
      <c r="E1035" s="67">
        <v>45631</v>
      </c>
      <c r="F1035" s="64">
        <f t="shared" si="420"/>
        <v>1</v>
      </c>
      <c r="G1035" s="67">
        <v>45644</v>
      </c>
      <c r="H1035" s="64">
        <f t="shared" si="421"/>
        <v>1</v>
      </c>
      <c r="I1035" s="67">
        <f>+K1035+5</f>
        <v>45654</v>
      </c>
      <c r="J1035" s="64">
        <f t="shared" si="407"/>
        <v>0</v>
      </c>
      <c r="K1035" s="67">
        <v>45649</v>
      </c>
      <c r="L1035" s="64">
        <f t="shared" si="408"/>
        <v>0</v>
      </c>
      <c r="M1035" s="64">
        <f t="shared" si="409"/>
        <v>0</v>
      </c>
      <c r="N1035" s="67">
        <f t="shared" si="418"/>
        <v>45655</v>
      </c>
      <c r="O1035" s="64">
        <f t="shared" si="410"/>
        <v>1</v>
      </c>
      <c r="P1035" s="64">
        <f t="shared" si="411"/>
        <v>0</v>
      </c>
      <c r="Q1035" s="91" t="str">
        <f t="shared" si="419"/>
        <v>Selesai</v>
      </c>
      <c r="R1035" s="64">
        <f t="shared" si="412"/>
        <v>0</v>
      </c>
      <c r="S1035" s="67">
        <v>45674</v>
      </c>
      <c r="T1035" s="100">
        <f>VLOOKUP($C1035,[11]Real!$B$11:$AF$27,24,0)</f>
        <v>45688</v>
      </c>
      <c r="U1035" s="64">
        <f>IF(T1035&gt;0,1,0)</f>
        <v>1</v>
      </c>
      <c r="V1035" s="66"/>
      <c r="W1035" s="66"/>
      <c r="X1035" s="93"/>
      <c r="Y1035" s="94"/>
      <c r="Z1035" s="91" t="str">
        <f t="shared" si="422"/>
        <v>100%</v>
      </c>
      <c r="AA1035" s="67"/>
      <c r="AB1035" s="473"/>
      <c r="AC1035" s="478" t="s">
        <v>2711</v>
      </c>
      <c r="AD1035" s="67"/>
    </row>
    <row r="1036" spans="2:30">
      <c r="B1036" s="64" t="s">
        <v>105</v>
      </c>
      <c r="C1036" s="65" t="s">
        <v>526</v>
      </c>
      <c r="D1036" s="66">
        <v>8.16</v>
      </c>
      <c r="E1036" s="67">
        <v>45622</v>
      </c>
      <c r="F1036" s="64">
        <f t="shared" si="420"/>
        <v>1</v>
      </c>
      <c r="G1036" s="67">
        <v>45635</v>
      </c>
      <c r="H1036" s="64">
        <f t="shared" si="421"/>
        <v>1</v>
      </c>
      <c r="I1036" s="67">
        <f>+K1036</f>
        <v>45647</v>
      </c>
      <c r="J1036" s="64">
        <f t="shared" si="407"/>
        <v>0</v>
      </c>
      <c r="K1036" s="67">
        <v>45647</v>
      </c>
      <c r="L1036" s="64">
        <f t="shared" si="408"/>
        <v>0</v>
      </c>
      <c r="M1036" s="64">
        <f t="shared" si="409"/>
        <v>0</v>
      </c>
      <c r="N1036" s="67">
        <f t="shared" si="418"/>
        <v>45648</v>
      </c>
      <c r="O1036" s="64">
        <f t="shared" si="410"/>
        <v>1</v>
      </c>
      <c r="P1036" s="64">
        <f t="shared" si="411"/>
        <v>0</v>
      </c>
      <c r="Q1036" s="91" t="str">
        <f t="shared" si="419"/>
        <v>Selesai</v>
      </c>
      <c r="R1036" s="64">
        <f t="shared" si="412"/>
        <v>0</v>
      </c>
      <c r="S1036" s="67">
        <v>45680</v>
      </c>
      <c r="T1036" s="100">
        <v>45694</v>
      </c>
      <c r="U1036" s="64"/>
      <c r="V1036" s="66"/>
      <c r="W1036" s="66"/>
      <c r="X1036" s="93"/>
      <c r="Y1036" s="94"/>
      <c r="Z1036" s="91" t="str">
        <f t="shared" si="422"/>
        <v>100%</v>
      </c>
      <c r="AA1036" s="67"/>
      <c r="AB1036" s="473"/>
      <c r="AC1036" s="478" t="s">
        <v>2711</v>
      </c>
      <c r="AD1036" s="67"/>
    </row>
    <row r="1037" spans="2:30">
      <c r="B1037" s="64" t="s">
        <v>107</v>
      </c>
      <c r="C1037" s="65" t="s">
        <v>514</v>
      </c>
      <c r="D1037" s="66">
        <v>10.54</v>
      </c>
      <c r="E1037" s="67">
        <v>45586</v>
      </c>
      <c r="F1037" s="64">
        <f t="shared" si="420"/>
        <v>1</v>
      </c>
      <c r="G1037" s="67">
        <v>45614</v>
      </c>
      <c r="H1037" s="64">
        <f t="shared" si="421"/>
        <v>1</v>
      </c>
      <c r="I1037" s="67">
        <f>+K1037+15</f>
        <v>45613</v>
      </c>
      <c r="J1037" s="64">
        <f t="shared" si="407"/>
        <v>0</v>
      </c>
      <c r="K1037" s="67">
        <v>45598</v>
      </c>
      <c r="L1037" s="64">
        <f t="shared" si="408"/>
        <v>0</v>
      </c>
      <c r="M1037" s="64">
        <f t="shared" si="409"/>
        <v>0</v>
      </c>
      <c r="N1037" s="67">
        <f t="shared" si="418"/>
        <v>45614</v>
      </c>
      <c r="O1037" s="64">
        <f t="shared" si="410"/>
        <v>1</v>
      </c>
      <c r="P1037" s="64">
        <f t="shared" si="411"/>
        <v>0</v>
      </c>
      <c r="Q1037" s="91" t="str">
        <f t="shared" si="419"/>
        <v>Selesai</v>
      </c>
      <c r="R1037" s="64">
        <f t="shared" si="412"/>
        <v>0</v>
      </c>
      <c r="S1037" s="67">
        <v>45669</v>
      </c>
      <c r="T1037" s="251">
        <v>45699</v>
      </c>
      <c r="U1037" s="64"/>
      <c r="V1037" s="66"/>
      <c r="W1037" s="66"/>
      <c r="X1037" s="93"/>
      <c r="Y1037" s="94"/>
      <c r="Z1037" s="91" t="str">
        <f t="shared" si="422"/>
        <v>100%</v>
      </c>
      <c r="AA1037" s="67"/>
      <c r="AB1037" s="473"/>
      <c r="AC1037" s="478" t="s">
        <v>2711</v>
      </c>
      <c r="AD1037" s="67"/>
    </row>
    <row r="1038" spans="2:30">
      <c r="B1038" s="64" t="s">
        <v>107</v>
      </c>
      <c r="C1038" s="65" t="s">
        <v>19</v>
      </c>
      <c r="D1038" s="66">
        <v>10.050000000000001</v>
      </c>
      <c r="E1038" s="67">
        <v>45642</v>
      </c>
      <c r="F1038" s="64">
        <f t="shared" si="420"/>
        <v>1</v>
      </c>
      <c r="G1038" s="67">
        <v>45657</v>
      </c>
      <c r="H1038" s="64">
        <f t="shared" si="421"/>
        <v>1</v>
      </c>
      <c r="I1038" s="67">
        <v>45679</v>
      </c>
      <c r="J1038" s="64">
        <f t="shared" si="407"/>
        <v>0</v>
      </c>
      <c r="K1038" s="67">
        <v>45645</v>
      </c>
      <c r="L1038" s="64">
        <f t="shared" si="408"/>
        <v>0</v>
      </c>
      <c r="M1038" s="64">
        <f t="shared" si="409"/>
        <v>0</v>
      </c>
      <c r="N1038" s="67">
        <f t="shared" si="418"/>
        <v>45680</v>
      </c>
      <c r="O1038" s="64">
        <f t="shared" si="410"/>
        <v>1</v>
      </c>
      <c r="P1038" s="64">
        <f t="shared" si="411"/>
        <v>0</v>
      </c>
      <c r="Q1038" s="91" t="str">
        <f t="shared" si="419"/>
        <v>Selesai</v>
      </c>
      <c r="R1038" s="64">
        <f t="shared" si="412"/>
        <v>0</v>
      </c>
      <c r="S1038" s="67">
        <v>45682</v>
      </c>
      <c r="T1038" s="100">
        <v>45699</v>
      </c>
      <c r="U1038" s="64">
        <f t="shared" ref="U1038:U1045" si="423">IF(T1038&gt;0,1,0)</f>
        <v>1</v>
      </c>
      <c r="V1038" s="66"/>
      <c r="W1038" s="66"/>
      <c r="X1038" s="93"/>
      <c r="Y1038" s="94"/>
      <c r="Z1038" s="91" t="str">
        <f t="shared" si="422"/>
        <v>100%</v>
      </c>
      <c r="AA1038" s="67"/>
      <c r="AB1038" s="473"/>
      <c r="AC1038" s="478" t="s">
        <v>2711</v>
      </c>
      <c r="AD1038" s="67"/>
    </row>
    <row r="1039" spans="2:30">
      <c r="B1039" s="64" t="s">
        <v>105</v>
      </c>
      <c r="C1039" s="65" t="s">
        <v>516</v>
      </c>
      <c r="D1039" s="66">
        <v>9.77</v>
      </c>
      <c r="E1039" s="67">
        <v>45678</v>
      </c>
      <c r="F1039" s="64">
        <f t="shared" si="420"/>
        <v>1</v>
      </c>
      <c r="G1039" s="67">
        <v>45679</v>
      </c>
      <c r="H1039" s="64">
        <f t="shared" si="421"/>
        <v>1</v>
      </c>
      <c r="I1039" s="67">
        <f>+K1039+7</f>
        <v>45685</v>
      </c>
      <c r="J1039" s="64">
        <f t="shared" si="407"/>
        <v>0</v>
      </c>
      <c r="K1039" s="67">
        <v>45678</v>
      </c>
      <c r="L1039" s="64">
        <f t="shared" si="408"/>
        <v>0</v>
      </c>
      <c r="M1039" s="64">
        <f t="shared" si="409"/>
        <v>0</v>
      </c>
      <c r="N1039" s="67">
        <f t="shared" si="418"/>
        <v>45686</v>
      </c>
      <c r="O1039" s="64">
        <f t="shared" si="410"/>
        <v>1</v>
      </c>
      <c r="P1039" s="64">
        <f t="shared" si="411"/>
        <v>0</v>
      </c>
      <c r="Q1039" s="91" t="str">
        <f t="shared" si="419"/>
        <v>Selesai</v>
      </c>
      <c r="R1039" s="64">
        <f t="shared" si="412"/>
        <v>0</v>
      </c>
      <c r="S1039" s="67">
        <v>45688</v>
      </c>
      <c r="T1039" s="100">
        <v>45699</v>
      </c>
      <c r="U1039" s="64">
        <f t="shared" si="423"/>
        <v>1</v>
      </c>
      <c r="V1039" s="66"/>
      <c r="W1039" s="66"/>
      <c r="X1039" s="93"/>
      <c r="Y1039" s="94"/>
      <c r="Z1039" s="91" t="str">
        <f t="shared" si="422"/>
        <v>100%</v>
      </c>
      <c r="AA1039" s="67"/>
      <c r="AB1039" s="473"/>
      <c r="AC1039" s="478" t="s">
        <v>2711</v>
      </c>
      <c r="AD1039" s="67"/>
    </row>
    <row r="1040" spans="2:30">
      <c r="B1040" s="64" t="s">
        <v>105</v>
      </c>
      <c r="C1040" s="65" t="s">
        <v>508</v>
      </c>
      <c r="D1040" s="66">
        <v>8.51</v>
      </c>
      <c r="E1040" s="67">
        <v>45678</v>
      </c>
      <c r="F1040" s="64">
        <f t="shared" si="420"/>
        <v>1</v>
      </c>
      <c r="G1040" s="67">
        <v>45679</v>
      </c>
      <c r="H1040" s="64">
        <f t="shared" si="421"/>
        <v>1</v>
      </c>
      <c r="I1040" s="67">
        <f>+K1040+7</f>
        <v>45685</v>
      </c>
      <c r="J1040" s="64">
        <f t="shared" ref="J1040:J1086" si="424">IF(I1040&gt;0,0,1)</f>
        <v>0</v>
      </c>
      <c r="K1040" s="67">
        <v>45678</v>
      </c>
      <c r="L1040" s="64">
        <f t="shared" ref="L1040:L1086" si="425">IF(K1040&gt;0,0,1)</f>
        <v>0</v>
      </c>
      <c r="M1040" s="64">
        <f t="shared" ref="M1040:M1086" si="426">IF(AND(J1040&gt;0,L1040&gt;0),1,0)</f>
        <v>0</v>
      </c>
      <c r="N1040" s="67">
        <f t="shared" si="418"/>
        <v>45686</v>
      </c>
      <c r="O1040" s="64">
        <f t="shared" ref="O1040:O1086" si="427">IF(N1040&gt;0,1,0)</f>
        <v>1</v>
      </c>
      <c r="P1040" s="64">
        <f t="shared" ref="P1040:P1086" si="428">IF(O1040&gt;0,0,1)</f>
        <v>0</v>
      </c>
      <c r="Q1040" s="91" t="str">
        <f t="shared" si="419"/>
        <v>Selesai</v>
      </c>
      <c r="R1040" s="64">
        <f t="shared" ref="R1040:R1103" si="429">IF(Q1040="proses",1,0)</f>
        <v>0</v>
      </c>
      <c r="S1040" s="67">
        <v>45686</v>
      </c>
      <c r="T1040" s="100">
        <v>45700</v>
      </c>
      <c r="U1040" s="64">
        <f t="shared" si="423"/>
        <v>1</v>
      </c>
      <c r="V1040" s="66"/>
      <c r="W1040" s="66"/>
      <c r="X1040" s="93"/>
      <c r="Y1040" s="94"/>
      <c r="Z1040" s="91" t="str">
        <f t="shared" si="422"/>
        <v>100%</v>
      </c>
      <c r="AA1040" s="67"/>
      <c r="AB1040" s="473"/>
      <c r="AC1040" s="478" t="s">
        <v>2711</v>
      </c>
      <c r="AD1040" s="67"/>
    </row>
    <row r="1041" spans="2:30">
      <c r="B1041" s="64" t="s">
        <v>107</v>
      </c>
      <c r="C1041" s="65" t="s">
        <v>1781</v>
      </c>
      <c r="D1041" s="66">
        <v>6.83</v>
      </c>
      <c r="E1041" s="67">
        <v>45642</v>
      </c>
      <c r="F1041" s="64">
        <f t="shared" si="420"/>
        <v>1</v>
      </c>
      <c r="G1041" s="67">
        <v>45657</v>
      </c>
      <c r="H1041" s="64">
        <f t="shared" si="421"/>
        <v>1</v>
      </c>
      <c r="I1041" s="67">
        <v>45679</v>
      </c>
      <c r="J1041" s="64">
        <f t="shared" si="424"/>
        <v>0</v>
      </c>
      <c r="K1041" s="67">
        <v>45645</v>
      </c>
      <c r="L1041" s="64">
        <f t="shared" si="425"/>
        <v>0</v>
      </c>
      <c r="M1041" s="64">
        <f t="shared" si="426"/>
        <v>0</v>
      </c>
      <c r="N1041" s="67">
        <f t="shared" si="418"/>
        <v>45680</v>
      </c>
      <c r="O1041" s="64">
        <f t="shared" si="427"/>
        <v>1</v>
      </c>
      <c r="P1041" s="64">
        <f t="shared" si="428"/>
        <v>0</v>
      </c>
      <c r="Q1041" s="91" t="str">
        <f t="shared" si="419"/>
        <v>Selesai</v>
      </c>
      <c r="R1041" s="64">
        <f t="shared" si="429"/>
        <v>0</v>
      </c>
      <c r="S1041" s="67">
        <v>45683</v>
      </c>
      <c r="T1041" s="100">
        <v>45706</v>
      </c>
      <c r="U1041" s="64">
        <f t="shared" si="423"/>
        <v>1</v>
      </c>
      <c r="V1041" s="66"/>
      <c r="W1041" s="66"/>
      <c r="X1041" s="93"/>
      <c r="Y1041" s="94"/>
      <c r="Z1041" s="91" t="str">
        <f t="shared" si="422"/>
        <v>100%</v>
      </c>
      <c r="AA1041" s="67"/>
      <c r="AB1041" s="473"/>
      <c r="AC1041" s="478" t="s">
        <v>2711</v>
      </c>
      <c r="AD1041" s="67"/>
    </row>
    <row r="1042" spans="2:30">
      <c r="B1042" s="64" t="s">
        <v>111</v>
      </c>
      <c r="C1042" s="65" t="s">
        <v>555</v>
      </c>
      <c r="D1042" s="66">
        <v>4.78</v>
      </c>
      <c r="E1042" s="67">
        <v>45688</v>
      </c>
      <c r="F1042" s="64">
        <f t="shared" si="420"/>
        <v>1</v>
      </c>
      <c r="G1042" s="67">
        <v>45689</v>
      </c>
      <c r="H1042" s="64">
        <f t="shared" si="421"/>
        <v>1</v>
      </c>
      <c r="I1042" s="67">
        <f>+G1042+5</f>
        <v>45694</v>
      </c>
      <c r="J1042" s="64">
        <f t="shared" si="424"/>
        <v>0</v>
      </c>
      <c r="K1042" s="67">
        <v>45663</v>
      </c>
      <c r="L1042" s="64">
        <f t="shared" si="425"/>
        <v>0</v>
      </c>
      <c r="M1042" s="64">
        <f t="shared" si="426"/>
        <v>0</v>
      </c>
      <c r="N1042" s="67">
        <f t="shared" si="418"/>
        <v>45695</v>
      </c>
      <c r="O1042" s="64">
        <f t="shared" si="427"/>
        <v>1</v>
      </c>
      <c r="P1042" s="64">
        <f t="shared" si="428"/>
        <v>0</v>
      </c>
      <c r="Q1042" s="91" t="str">
        <f t="shared" si="419"/>
        <v>Selesai</v>
      </c>
      <c r="R1042" s="64">
        <f t="shared" si="429"/>
        <v>0</v>
      </c>
      <c r="S1042" s="67">
        <v>45695</v>
      </c>
      <c r="T1042" s="100">
        <v>45707</v>
      </c>
      <c r="U1042" s="64">
        <f t="shared" si="423"/>
        <v>1</v>
      </c>
      <c r="V1042" s="66"/>
      <c r="W1042" s="66"/>
      <c r="X1042" s="93"/>
      <c r="Y1042" s="94"/>
      <c r="Z1042" s="91" t="str">
        <f t="shared" si="422"/>
        <v>100%</v>
      </c>
      <c r="AA1042" s="67"/>
      <c r="AB1042" s="473"/>
      <c r="AC1042" s="478" t="s">
        <v>2711</v>
      </c>
      <c r="AD1042" s="67"/>
    </row>
    <row r="1043" spans="2:30">
      <c r="B1043" s="64" t="s">
        <v>105</v>
      </c>
      <c r="C1043" s="65" t="s">
        <v>530</v>
      </c>
      <c r="D1043" s="66">
        <v>10.46</v>
      </c>
      <c r="E1043" s="67">
        <v>45679</v>
      </c>
      <c r="F1043" s="64">
        <f t="shared" si="420"/>
        <v>1</v>
      </c>
      <c r="G1043" s="67">
        <v>45680</v>
      </c>
      <c r="H1043" s="64">
        <f t="shared" si="421"/>
        <v>1</v>
      </c>
      <c r="I1043" s="67">
        <v>45687</v>
      </c>
      <c r="J1043" s="64">
        <f t="shared" si="424"/>
        <v>0</v>
      </c>
      <c r="K1043" s="67">
        <v>45688</v>
      </c>
      <c r="L1043" s="64">
        <f t="shared" si="425"/>
        <v>0</v>
      </c>
      <c r="M1043" s="64">
        <f t="shared" si="426"/>
        <v>0</v>
      </c>
      <c r="N1043" s="67">
        <f t="shared" si="418"/>
        <v>45689</v>
      </c>
      <c r="O1043" s="64">
        <f t="shared" si="427"/>
        <v>1</v>
      </c>
      <c r="P1043" s="64">
        <f t="shared" si="428"/>
        <v>0</v>
      </c>
      <c r="Q1043" s="91" t="str">
        <f t="shared" si="419"/>
        <v>Selesai</v>
      </c>
      <c r="R1043" s="64">
        <f t="shared" si="429"/>
        <v>0</v>
      </c>
      <c r="S1043" s="67">
        <v>45691</v>
      </c>
      <c r="T1043" s="100">
        <v>45712</v>
      </c>
      <c r="U1043" s="64">
        <f t="shared" si="423"/>
        <v>1</v>
      </c>
      <c r="V1043" s="66"/>
      <c r="W1043" s="66"/>
      <c r="X1043" s="93"/>
      <c r="Y1043" s="94"/>
      <c r="Z1043" s="91" t="str">
        <f t="shared" si="422"/>
        <v>100%</v>
      </c>
      <c r="AA1043" s="67"/>
      <c r="AB1043" s="473"/>
      <c r="AC1043" s="478" t="s">
        <v>2711</v>
      </c>
      <c r="AD1043" s="67"/>
    </row>
    <row r="1044" spans="2:30">
      <c r="B1044" s="64" t="s">
        <v>109</v>
      </c>
      <c r="C1044" s="65" t="s">
        <v>535</v>
      </c>
      <c r="D1044" s="66">
        <v>12.15</v>
      </c>
      <c r="E1044" s="67">
        <v>45680</v>
      </c>
      <c r="F1044" s="64">
        <f t="shared" si="420"/>
        <v>1</v>
      </c>
      <c r="G1044" s="67">
        <v>45681</v>
      </c>
      <c r="H1044" s="64">
        <f t="shared" si="421"/>
        <v>1</v>
      </c>
      <c r="I1044" s="67">
        <f>+K1044+5</f>
        <v>45687</v>
      </c>
      <c r="J1044" s="64">
        <f t="shared" si="424"/>
        <v>0</v>
      </c>
      <c r="K1044" s="67">
        <v>45682</v>
      </c>
      <c r="L1044" s="64">
        <f t="shared" si="425"/>
        <v>0</v>
      </c>
      <c r="M1044" s="64">
        <f t="shared" si="426"/>
        <v>0</v>
      </c>
      <c r="N1044" s="67">
        <f t="shared" si="418"/>
        <v>45688</v>
      </c>
      <c r="O1044" s="64">
        <f t="shared" si="427"/>
        <v>1</v>
      </c>
      <c r="P1044" s="64">
        <f t="shared" si="428"/>
        <v>0</v>
      </c>
      <c r="Q1044" s="91" t="str">
        <f t="shared" si="419"/>
        <v>Selesai</v>
      </c>
      <c r="R1044" s="64">
        <f t="shared" si="429"/>
        <v>0</v>
      </c>
      <c r="S1044" s="67">
        <v>45693</v>
      </c>
      <c r="T1044" s="100">
        <v>45713</v>
      </c>
      <c r="U1044" s="64">
        <f t="shared" si="423"/>
        <v>1</v>
      </c>
      <c r="V1044" s="66"/>
      <c r="W1044" s="66"/>
      <c r="X1044" s="93"/>
      <c r="Y1044" s="94"/>
      <c r="Z1044" s="91" t="str">
        <f t="shared" si="422"/>
        <v>100%</v>
      </c>
      <c r="AA1044" s="67"/>
      <c r="AB1044" s="473"/>
      <c r="AC1044" s="478" t="s">
        <v>2711</v>
      </c>
      <c r="AD1044" s="67"/>
    </row>
    <row r="1045" spans="2:30">
      <c r="B1045" s="64" t="s">
        <v>105</v>
      </c>
      <c r="C1045" s="65" t="s">
        <v>53</v>
      </c>
      <c r="D1045" s="66">
        <v>5.85</v>
      </c>
      <c r="E1045" s="67">
        <v>45679</v>
      </c>
      <c r="F1045" s="64">
        <f t="shared" si="420"/>
        <v>1</v>
      </c>
      <c r="G1045" s="67">
        <v>45687</v>
      </c>
      <c r="H1045" s="64">
        <f t="shared" si="421"/>
        <v>1</v>
      </c>
      <c r="I1045" s="67">
        <f>+G1045+4</f>
        <v>45691</v>
      </c>
      <c r="J1045" s="64">
        <f t="shared" si="424"/>
        <v>0</v>
      </c>
      <c r="K1045" s="67">
        <v>45691</v>
      </c>
      <c r="L1045" s="64">
        <f t="shared" si="425"/>
        <v>0</v>
      </c>
      <c r="M1045" s="64">
        <f t="shared" si="426"/>
        <v>0</v>
      </c>
      <c r="N1045" s="67">
        <f t="shared" si="418"/>
        <v>45692</v>
      </c>
      <c r="O1045" s="64">
        <f t="shared" si="427"/>
        <v>1</v>
      </c>
      <c r="P1045" s="64">
        <f t="shared" si="428"/>
        <v>0</v>
      </c>
      <c r="Q1045" s="91" t="str">
        <f t="shared" si="419"/>
        <v>Selesai</v>
      </c>
      <c r="R1045" s="64">
        <f t="shared" si="429"/>
        <v>0</v>
      </c>
      <c r="S1045" s="67">
        <v>45695</v>
      </c>
      <c r="T1045" s="100">
        <v>45713</v>
      </c>
      <c r="U1045" s="64">
        <f t="shared" si="423"/>
        <v>1</v>
      </c>
      <c r="V1045" s="66"/>
      <c r="W1045" s="66"/>
      <c r="X1045" s="93"/>
      <c r="Y1045" s="94"/>
      <c r="Z1045" s="91" t="str">
        <f t="shared" si="422"/>
        <v>100%</v>
      </c>
      <c r="AA1045" s="67"/>
      <c r="AB1045" s="473"/>
      <c r="AC1045" s="478" t="s">
        <v>2711</v>
      </c>
      <c r="AD1045" s="67"/>
    </row>
    <row r="1046" spans="2:30">
      <c r="B1046" s="64" t="s">
        <v>107</v>
      </c>
      <c r="C1046" s="65" t="s">
        <v>2498</v>
      </c>
      <c r="D1046" s="66">
        <v>4.6500000000000004</v>
      </c>
      <c r="E1046" s="67">
        <v>45693</v>
      </c>
      <c r="F1046" s="64">
        <v>1</v>
      </c>
      <c r="G1046" s="67">
        <v>45695</v>
      </c>
      <c r="H1046" s="64">
        <v>1</v>
      </c>
      <c r="I1046" s="67">
        <v>45699</v>
      </c>
      <c r="J1046" s="64">
        <f t="shared" si="424"/>
        <v>0</v>
      </c>
      <c r="K1046" s="67">
        <v>45696</v>
      </c>
      <c r="L1046" s="64">
        <f t="shared" si="425"/>
        <v>0</v>
      </c>
      <c r="M1046" s="64">
        <f t="shared" si="426"/>
        <v>0</v>
      </c>
      <c r="N1046" s="67">
        <v>45700</v>
      </c>
      <c r="O1046" s="64">
        <f t="shared" si="427"/>
        <v>1</v>
      </c>
      <c r="P1046" s="64">
        <f t="shared" si="428"/>
        <v>0</v>
      </c>
      <c r="Q1046" s="64" t="s">
        <v>2551</v>
      </c>
      <c r="R1046" s="64">
        <f t="shared" si="429"/>
        <v>0</v>
      </c>
      <c r="S1046" s="67">
        <v>45700</v>
      </c>
      <c r="T1046" s="67">
        <v>45720</v>
      </c>
      <c r="U1046" s="64">
        <v>1</v>
      </c>
      <c r="V1046" s="66"/>
      <c r="W1046" s="66"/>
      <c r="X1046" s="93"/>
      <c r="Y1046" s="94"/>
      <c r="Z1046" s="91" t="str">
        <f t="shared" si="422"/>
        <v>100%</v>
      </c>
      <c r="AA1046" s="67"/>
      <c r="AB1046" s="473"/>
      <c r="AC1046" s="478" t="s">
        <v>2711</v>
      </c>
      <c r="AD1046" s="67"/>
    </row>
    <row r="1047" spans="2:30">
      <c r="B1047" s="64" t="s">
        <v>109</v>
      </c>
      <c r="C1047" s="231" t="s">
        <v>564</v>
      </c>
      <c r="D1047" s="66">
        <v>7.68</v>
      </c>
      <c r="E1047" s="67">
        <v>45680</v>
      </c>
      <c r="F1047" s="64">
        <v>1</v>
      </c>
      <c r="G1047" s="67">
        <v>45687</v>
      </c>
      <c r="H1047" s="64">
        <v>1</v>
      </c>
      <c r="I1047" s="67">
        <v>45691</v>
      </c>
      <c r="J1047" s="64">
        <f t="shared" si="424"/>
        <v>0</v>
      </c>
      <c r="K1047" s="67">
        <v>45682</v>
      </c>
      <c r="L1047" s="64">
        <f t="shared" si="425"/>
        <v>0</v>
      </c>
      <c r="M1047" s="64">
        <f t="shared" si="426"/>
        <v>0</v>
      </c>
      <c r="N1047" s="67">
        <v>45692</v>
      </c>
      <c r="O1047" s="64">
        <f t="shared" si="427"/>
        <v>1</v>
      </c>
      <c r="P1047" s="64">
        <f t="shared" si="428"/>
        <v>0</v>
      </c>
      <c r="Q1047" s="91" t="s">
        <v>2551</v>
      </c>
      <c r="R1047" s="64">
        <f t="shared" si="429"/>
        <v>0</v>
      </c>
      <c r="S1047" s="67">
        <v>45699</v>
      </c>
      <c r="T1047" s="67">
        <v>45720</v>
      </c>
      <c r="U1047" s="64">
        <v>1</v>
      </c>
      <c r="V1047" s="66"/>
      <c r="W1047" s="66"/>
      <c r="X1047" s="93"/>
      <c r="Y1047" s="94"/>
      <c r="Z1047" s="91" t="str">
        <f t="shared" si="422"/>
        <v>100%</v>
      </c>
      <c r="AA1047" s="67"/>
      <c r="AB1047" s="473"/>
      <c r="AC1047" s="478" t="s">
        <v>2711</v>
      </c>
      <c r="AD1047" s="67"/>
    </row>
    <row r="1048" spans="2:30">
      <c r="B1048" s="64" t="s">
        <v>111</v>
      </c>
      <c r="C1048" s="231" t="s">
        <v>545</v>
      </c>
      <c r="D1048" s="66">
        <v>6.61</v>
      </c>
      <c r="E1048" s="67">
        <v>45689</v>
      </c>
      <c r="F1048" s="64">
        <v>1</v>
      </c>
      <c r="G1048" s="67">
        <v>45690</v>
      </c>
      <c r="H1048" s="64">
        <v>1</v>
      </c>
      <c r="I1048" s="67">
        <v>45697</v>
      </c>
      <c r="J1048" s="64">
        <f t="shared" si="424"/>
        <v>0</v>
      </c>
      <c r="K1048" s="67">
        <v>45663</v>
      </c>
      <c r="L1048" s="64">
        <f t="shared" si="425"/>
        <v>0</v>
      </c>
      <c r="M1048" s="64">
        <f t="shared" si="426"/>
        <v>0</v>
      </c>
      <c r="N1048" s="67">
        <v>45698</v>
      </c>
      <c r="O1048" s="64">
        <f t="shared" si="427"/>
        <v>1</v>
      </c>
      <c r="P1048" s="64">
        <f t="shared" si="428"/>
        <v>0</v>
      </c>
      <c r="Q1048" s="91" t="s">
        <v>2551</v>
      </c>
      <c r="R1048" s="64">
        <f t="shared" si="429"/>
        <v>0</v>
      </c>
      <c r="S1048" s="67">
        <v>45702</v>
      </c>
      <c r="T1048" s="67">
        <v>45721</v>
      </c>
      <c r="U1048" s="64">
        <v>1</v>
      </c>
      <c r="V1048" s="66"/>
      <c r="W1048" s="66"/>
      <c r="X1048" s="93"/>
      <c r="Y1048" s="94"/>
      <c r="Z1048" s="91" t="str">
        <f t="shared" si="422"/>
        <v>100%</v>
      </c>
      <c r="AA1048" s="67"/>
      <c r="AB1048" s="473"/>
      <c r="AC1048" s="478" t="s">
        <v>2711</v>
      </c>
      <c r="AD1048" s="67"/>
    </row>
    <row r="1049" spans="2:30">
      <c r="B1049" s="64" t="s">
        <v>116</v>
      </c>
      <c r="C1049" s="231" t="s">
        <v>537</v>
      </c>
      <c r="D1049" s="66">
        <v>8.57</v>
      </c>
      <c r="E1049" s="67">
        <v>45692</v>
      </c>
      <c r="F1049" s="64">
        <v>1</v>
      </c>
      <c r="G1049" s="67">
        <v>45693</v>
      </c>
      <c r="H1049" s="64">
        <v>1</v>
      </c>
      <c r="I1049" s="67">
        <v>45698</v>
      </c>
      <c r="J1049" s="64">
        <f t="shared" si="424"/>
        <v>0</v>
      </c>
      <c r="K1049" s="67">
        <v>45696</v>
      </c>
      <c r="L1049" s="64">
        <f t="shared" si="425"/>
        <v>0</v>
      </c>
      <c r="M1049" s="64">
        <f t="shared" si="426"/>
        <v>0</v>
      </c>
      <c r="N1049" s="67">
        <v>45699</v>
      </c>
      <c r="O1049" s="64">
        <f t="shared" si="427"/>
        <v>1</v>
      </c>
      <c r="P1049" s="64">
        <f t="shared" si="428"/>
        <v>0</v>
      </c>
      <c r="Q1049" s="91" t="s">
        <v>2551</v>
      </c>
      <c r="R1049" s="64">
        <f t="shared" si="429"/>
        <v>0</v>
      </c>
      <c r="S1049" s="67">
        <v>45700</v>
      </c>
      <c r="T1049" s="67">
        <v>45721</v>
      </c>
      <c r="U1049" s="64">
        <v>1</v>
      </c>
      <c r="V1049" s="66"/>
      <c r="W1049" s="66"/>
      <c r="X1049" s="93"/>
      <c r="Y1049" s="94"/>
      <c r="Z1049" s="91" t="str">
        <f t="shared" si="422"/>
        <v>100%</v>
      </c>
      <c r="AA1049" s="67"/>
      <c r="AB1049" s="473"/>
      <c r="AC1049" s="478" t="s">
        <v>2711</v>
      </c>
      <c r="AD1049" s="67"/>
    </row>
    <row r="1050" spans="2:30">
      <c r="B1050" s="64" t="s">
        <v>107</v>
      </c>
      <c r="C1050" s="231" t="s">
        <v>536</v>
      </c>
      <c r="D1050" s="66">
        <v>7.96</v>
      </c>
      <c r="E1050" s="67">
        <v>45681</v>
      </c>
      <c r="F1050" s="64">
        <v>1</v>
      </c>
      <c r="G1050" s="67">
        <v>45692</v>
      </c>
      <c r="H1050" s="64">
        <v>1</v>
      </c>
      <c r="I1050" s="67">
        <v>45699</v>
      </c>
      <c r="J1050" s="64">
        <f t="shared" si="424"/>
        <v>0</v>
      </c>
      <c r="K1050" s="67">
        <v>45684</v>
      </c>
      <c r="L1050" s="64">
        <f t="shared" si="425"/>
        <v>0</v>
      </c>
      <c r="M1050" s="64">
        <f t="shared" si="426"/>
        <v>0</v>
      </c>
      <c r="N1050" s="67">
        <v>45700</v>
      </c>
      <c r="O1050" s="64">
        <f t="shared" si="427"/>
        <v>1</v>
      </c>
      <c r="P1050" s="64">
        <f t="shared" si="428"/>
        <v>0</v>
      </c>
      <c r="Q1050" s="91" t="s">
        <v>2551</v>
      </c>
      <c r="R1050" s="64">
        <f t="shared" si="429"/>
        <v>0</v>
      </c>
      <c r="S1050" s="67">
        <v>45704</v>
      </c>
      <c r="T1050" s="67">
        <v>45725</v>
      </c>
      <c r="U1050" s="64">
        <v>1</v>
      </c>
      <c r="V1050" s="66"/>
      <c r="W1050" s="66"/>
      <c r="X1050" s="93"/>
      <c r="Y1050" s="94"/>
      <c r="Z1050" s="91" t="str">
        <f t="shared" si="422"/>
        <v>100%</v>
      </c>
      <c r="AA1050" s="67"/>
      <c r="AB1050" s="473"/>
      <c r="AC1050" s="478" t="s">
        <v>2711</v>
      </c>
      <c r="AD1050" s="67"/>
    </row>
    <row r="1051" spans="2:30">
      <c r="B1051" s="64" t="s">
        <v>113</v>
      </c>
      <c r="C1051" s="231" t="s">
        <v>544</v>
      </c>
      <c r="D1051" s="66">
        <v>12.64</v>
      </c>
      <c r="E1051" s="67">
        <v>45690</v>
      </c>
      <c r="F1051" s="64">
        <v>1</v>
      </c>
      <c r="G1051" s="67">
        <v>45692</v>
      </c>
      <c r="H1051" s="64">
        <v>1</v>
      </c>
      <c r="I1051" s="67">
        <v>45701</v>
      </c>
      <c r="J1051" s="64">
        <f t="shared" si="424"/>
        <v>0</v>
      </c>
      <c r="K1051" s="67">
        <v>45702</v>
      </c>
      <c r="L1051" s="64">
        <f t="shared" si="425"/>
        <v>0</v>
      </c>
      <c r="M1051" s="64">
        <f t="shared" si="426"/>
        <v>0</v>
      </c>
      <c r="N1051" s="67">
        <v>45703</v>
      </c>
      <c r="O1051" s="64">
        <f t="shared" si="427"/>
        <v>1</v>
      </c>
      <c r="P1051" s="64">
        <f t="shared" si="428"/>
        <v>0</v>
      </c>
      <c r="Q1051" s="91" t="s">
        <v>2551</v>
      </c>
      <c r="R1051" s="64">
        <f t="shared" si="429"/>
        <v>0</v>
      </c>
      <c r="S1051" s="67">
        <v>45706</v>
      </c>
      <c r="T1051" s="67">
        <v>45726</v>
      </c>
      <c r="U1051" s="64">
        <v>1</v>
      </c>
      <c r="V1051" s="66"/>
      <c r="W1051" s="66"/>
      <c r="X1051" s="93"/>
      <c r="Y1051" s="94"/>
      <c r="Z1051" s="91" t="str">
        <f t="shared" si="422"/>
        <v>100%</v>
      </c>
      <c r="AA1051" s="67"/>
      <c r="AB1051" s="473"/>
      <c r="AC1051" s="478" t="s">
        <v>2711</v>
      </c>
      <c r="AD1051" s="67"/>
    </row>
    <row r="1052" spans="2:30">
      <c r="B1052" s="64" t="s">
        <v>107</v>
      </c>
      <c r="C1052" s="231" t="s">
        <v>2499</v>
      </c>
      <c r="D1052" s="66">
        <v>5.56</v>
      </c>
      <c r="E1052" s="67">
        <v>45702</v>
      </c>
      <c r="F1052" s="64">
        <v>1</v>
      </c>
      <c r="G1052" s="67">
        <v>45703</v>
      </c>
      <c r="H1052" s="64">
        <v>1</v>
      </c>
      <c r="I1052" s="67">
        <v>45713</v>
      </c>
      <c r="J1052" s="64">
        <f t="shared" si="424"/>
        <v>0</v>
      </c>
      <c r="K1052" s="67">
        <v>45707</v>
      </c>
      <c r="L1052" s="64">
        <f t="shared" si="425"/>
        <v>0</v>
      </c>
      <c r="M1052" s="64">
        <f t="shared" si="426"/>
        <v>0</v>
      </c>
      <c r="N1052" s="67">
        <v>45714</v>
      </c>
      <c r="O1052" s="64">
        <f t="shared" si="427"/>
        <v>1</v>
      </c>
      <c r="P1052" s="64">
        <f t="shared" si="428"/>
        <v>0</v>
      </c>
      <c r="Q1052" s="64" t="s">
        <v>2551</v>
      </c>
      <c r="R1052" s="64">
        <f t="shared" si="429"/>
        <v>0</v>
      </c>
      <c r="S1052" s="67">
        <v>45714</v>
      </c>
      <c r="T1052" s="67">
        <v>45727</v>
      </c>
      <c r="U1052" s="64">
        <v>1</v>
      </c>
      <c r="V1052" s="66"/>
      <c r="W1052" s="66"/>
      <c r="X1052" s="93"/>
      <c r="Y1052" s="94"/>
      <c r="Z1052" s="91" t="str">
        <f t="shared" si="422"/>
        <v>100%</v>
      </c>
      <c r="AA1052" s="67"/>
      <c r="AB1052" s="473"/>
      <c r="AC1052" s="478" t="s">
        <v>2711</v>
      </c>
      <c r="AD1052" s="67"/>
    </row>
    <row r="1053" spans="2:30">
      <c r="B1053" s="64" t="s">
        <v>118</v>
      </c>
      <c r="C1053" s="65" t="s">
        <v>2557</v>
      </c>
      <c r="D1053" s="66">
        <v>8.0399999999999991</v>
      </c>
      <c r="E1053" s="67">
        <v>45687</v>
      </c>
      <c r="F1053" s="64">
        <v>1</v>
      </c>
      <c r="G1053" s="67">
        <v>45707</v>
      </c>
      <c r="H1053" s="64">
        <v>1</v>
      </c>
      <c r="I1053" s="67">
        <v>45703</v>
      </c>
      <c r="J1053" s="64">
        <f t="shared" si="424"/>
        <v>0</v>
      </c>
      <c r="K1053" s="67">
        <v>45696</v>
      </c>
      <c r="L1053" s="64">
        <f t="shared" si="425"/>
        <v>0</v>
      </c>
      <c r="M1053" s="64">
        <f t="shared" si="426"/>
        <v>0</v>
      </c>
      <c r="N1053" s="67">
        <v>45704</v>
      </c>
      <c r="O1053" s="64">
        <f t="shared" si="427"/>
        <v>1</v>
      </c>
      <c r="P1053" s="64">
        <f t="shared" si="428"/>
        <v>0</v>
      </c>
      <c r="Q1053" s="91" t="s">
        <v>2551</v>
      </c>
      <c r="R1053" s="64">
        <f t="shared" si="429"/>
        <v>0</v>
      </c>
      <c r="S1053" s="67">
        <v>45708</v>
      </c>
      <c r="T1053" s="67">
        <v>45728</v>
      </c>
      <c r="U1053" s="64">
        <v>1</v>
      </c>
      <c r="V1053" s="66"/>
      <c r="W1053" s="66"/>
      <c r="X1053" s="93"/>
      <c r="Y1053" s="94"/>
      <c r="Z1053" s="91" t="str">
        <f t="shared" si="422"/>
        <v>100%</v>
      </c>
      <c r="AA1053" s="67"/>
      <c r="AB1053" s="473"/>
      <c r="AC1053" s="478" t="s">
        <v>2711</v>
      </c>
      <c r="AD1053" s="67"/>
    </row>
    <row r="1054" spans="2:30">
      <c r="B1054" s="64" t="s">
        <v>118</v>
      </c>
      <c r="C1054" s="65" t="s">
        <v>2558</v>
      </c>
      <c r="D1054" s="66">
        <v>5.27</v>
      </c>
      <c r="E1054" s="67">
        <v>45687</v>
      </c>
      <c r="F1054" s="64">
        <v>1</v>
      </c>
      <c r="G1054" s="67">
        <v>45707</v>
      </c>
      <c r="H1054" s="64">
        <v>1</v>
      </c>
      <c r="I1054" s="67">
        <v>45703</v>
      </c>
      <c r="J1054" s="64">
        <f t="shared" si="424"/>
        <v>0</v>
      </c>
      <c r="K1054" s="67">
        <v>45696</v>
      </c>
      <c r="L1054" s="64">
        <f t="shared" si="425"/>
        <v>0</v>
      </c>
      <c r="M1054" s="64">
        <f t="shared" si="426"/>
        <v>0</v>
      </c>
      <c r="N1054" s="67">
        <v>45704</v>
      </c>
      <c r="O1054" s="64">
        <f t="shared" si="427"/>
        <v>1</v>
      </c>
      <c r="P1054" s="64">
        <f t="shared" si="428"/>
        <v>0</v>
      </c>
      <c r="Q1054" s="91" t="s">
        <v>2551</v>
      </c>
      <c r="R1054" s="64">
        <f t="shared" si="429"/>
        <v>0</v>
      </c>
      <c r="S1054" s="67">
        <v>45712</v>
      </c>
      <c r="T1054" s="67">
        <v>45734</v>
      </c>
      <c r="U1054" s="64">
        <v>1</v>
      </c>
      <c r="V1054" s="66"/>
      <c r="W1054" s="66"/>
      <c r="X1054" s="93"/>
      <c r="Y1054" s="94"/>
      <c r="Z1054" s="91" t="str">
        <f t="shared" si="422"/>
        <v>100%</v>
      </c>
      <c r="AA1054" s="67"/>
      <c r="AB1054" s="473"/>
      <c r="AC1054" s="478" t="s">
        <v>2711</v>
      </c>
      <c r="AD1054" s="67"/>
    </row>
    <row r="1055" spans="2:30">
      <c r="B1055" s="64" t="s">
        <v>113</v>
      </c>
      <c r="C1055" s="231" t="s">
        <v>524</v>
      </c>
      <c r="D1055" s="66">
        <v>5.83</v>
      </c>
      <c r="E1055" s="67">
        <v>45703</v>
      </c>
      <c r="F1055" s="64">
        <v>1</v>
      </c>
      <c r="G1055" s="67">
        <v>45710</v>
      </c>
      <c r="H1055" s="64">
        <v>1</v>
      </c>
      <c r="I1055" s="67">
        <v>45710</v>
      </c>
      <c r="J1055" s="64">
        <f t="shared" si="424"/>
        <v>0</v>
      </c>
      <c r="K1055" s="67">
        <v>45708</v>
      </c>
      <c r="L1055" s="64">
        <f t="shared" si="425"/>
        <v>0</v>
      </c>
      <c r="M1055" s="64">
        <f t="shared" si="426"/>
        <v>0</v>
      </c>
      <c r="N1055" s="67">
        <v>45711</v>
      </c>
      <c r="O1055" s="64">
        <f t="shared" si="427"/>
        <v>1</v>
      </c>
      <c r="P1055" s="64">
        <f t="shared" si="428"/>
        <v>0</v>
      </c>
      <c r="Q1055" s="91" t="s">
        <v>2551</v>
      </c>
      <c r="R1055" s="64">
        <f t="shared" si="429"/>
        <v>0</v>
      </c>
      <c r="S1055" s="67">
        <v>45711</v>
      </c>
      <c r="T1055" s="67">
        <v>45732</v>
      </c>
      <c r="U1055" s="64">
        <v>1</v>
      </c>
      <c r="V1055" s="66"/>
      <c r="W1055" s="66"/>
      <c r="X1055" s="93"/>
      <c r="Y1055" s="94"/>
      <c r="Z1055" s="91" t="str">
        <f t="shared" si="422"/>
        <v>100%</v>
      </c>
      <c r="AA1055" s="67"/>
      <c r="AB1055" s="473"/>
      <c r="AC1055" s="478" t="s">
        <v>2711</v>
      </c>
      <c r="AD1055" s="67"/>
    </row>
    <row r="1056" spans="2:30">
      <c r="B1056" s="64" t="s">
        <v>113</v>
      </c>
      <c r="C1056" s="231" t="s">
        <v>2501</v>
      </c>
      <c r="D1056" s="66">
        <v>5.18</v>
      </c>
      <c r="E1056" s="67">
        <v>45701</v>
      </c>
      <c r="F1056" s="64">
        <v>1</v>
      </c>
      <c r="G1056" s="67">
        <v>45703</v>
      </c>
      <c r="H1056" s="64">
        <v>1</v>
      </c>
      <c r="I1056" s="67">
        <v>45713</v>
      </c>
      <c r="J1056" s="64">
        <f t="shared" si="424"/>
        <v>0</v>
      </c>
      <c r="K1056" s="67">
        <v>45708</v>
      </c>
      <c r="L1056" s="64">
        <f t="shared" si="425"/>
        <v>0</v>
      </c>
      <c r="M1056" s="64">
        <f t="shared" si="426"/>
        <v>0</v>
      </c>
      <c r="N1056" s="67">
        <v>45714</v>
      </c>
      <c r="O1056" s="64">
        <f t="shared" si="427"/>
        <v>1</v>
      </c>
      <c r="P1056" s="64">
        <f t="shared" si="428"/>
        <v>0</v>
      </c>
      <c r="Q1056" s="91" t="s">
        <v>2551</v>
      </c>
      <c r="R1056" s="64">
        <f t="shared" si="429"/>
        <v>0</v>
      </c>
      <c r="S1056" s="67">
        <v>45714</v>
      </c>
      <c r="T1056" s="67">
        <v>45734</v>
      </c>
      <c r="U1056" s="64">
        <v>1</v>
      </c>
      <c r="V1056" s="66"/>
      <c r="W1056" s="66"/>
      <c r="X1056" s="93"/>
      <c r="Y1056" s="94"/>
      <c r="Z1056" s="91" t="str">
        <f t="shared" si="422"/>
        <v>100%</v>
      </c>
      <c r="AA1056" s="67"/>
      <c r="AB1056" s="473"/>
      <c r="AC1056" s="478" t="s">
        <v>2711</v>
      </c>
      <c r="AD1056" s="67"/>
    </row>
    <row r="1057" spans="2:30">
      <c r="B1057" s="64" t="s">
        <v>116</v>
      </c>
      <c r="C1057" s="231" t="s">
        <v>349</v>
      </c>
      <c r="D1057" s="66">
        <v>6.13</v>
      </c>
      <c r="E1057" s="67">
        <v>45694</v>
      </c>
      <c r="F1057" s="64">
        <v>1</v>
      </c>
      <c r="G1057" s="67">
        <v>45713</v>
      </c>
      <c r="H1057" s="64">
        <v>1</v>
      </c>
      <c r="I1057" s="67">
        <v>45713</v>
      </c>
      <c r="J1057" s="64">
        <f t="shared" si="424"/>
        <v>0</v>
      </c>
      <c r="K1057" s="67">
        <v>45708</v>
      </c>
      <c r="L1057" s="64">
        <f t="shared" si="425"/>
        <v>0</v>
      </c>
      <c r="M1057" s="64">
        <f t="shared" si="426"/>
        <v>0</v>
      </c>
      <c r="N1057" s="67">
        <v>45714</v>
      </c>
      <c r="O1057" s="64">
        <f t="shared" si="427"/>
        <v>1</v>
      </c>
      <c r="P1057" s="64">
        <f t="shared" si="428"/>
        <v>0</v>
      </c>
      <c r="Q1057" s="91" t="s">
        <v>2551</v>
      </c>
      <c r="R1057" s="64">
        <f t="shared" si="429"/>
        <v>0</v>
      </c>
      <c r="S1057" s="67">
        <v>45714</v>
      </c>
      <c r="T1057" s="67">
        <v>45734</v>
      </c>
      <c r="U1057" s="64">
        <v>1</v>
      </c>
      <c r="V1057" s="66"/>
      <c r="W1057" s="66"/>
      <c r="X1057" s="93"/>
      <c r="Y1057" s="94"/>
      <c r="Z1057" s="91" t="str">
        <f t="shared" si="422"/>
        <v>100%</v>
      </c>
      <c r="AA1057" s="67"/>
      <c r="AB1057" s="473"/>
      <c r="AC1057" s="478" t="s">
        <v>2711</v>
      </c>
      <c r="AD1057" s="67"/>
    </row>
    <row r="1058" spans="2:30">
      <c r="B1058" s="64" t="s">
        <v>116</v>
      </c>
      <c r="C1058" s="231" t="s">
        <v>520</v>
      </c>
      <c r="D1058" s="66">
        <v>9.93</v>
      </c>
      <c r="E1058" s="67">
        <v>45698</v>
      </c>
      <c r="F1058" s="64">
        <v>1</v>
      </c>
      <c r="G1058" s="67">
        <v>45700</v>
      </c>
      <c r="H1058" s="64">
        <v>1</v>
      </c>
      <c r="I1058" s="67">
        <v>45707</v>
      </c>
      <c r="J1058" s="64">
        <f t="shared" si="424"/>
        <v>0</v>
      </c>
      <c r="K1058" s="67">
        <v>45708</v>
      </c>
      <c r="L1058" s="64">
        <f t="shared" si="425"/>
        <v>0</v>
      </c>
      <c r="M1058" s="64">
        <f t="shared" si="426"/>
        <v>0</v>
      </c>
      <c r="N1058" s="67">
        <v>45709</v>
      </c>
      <c r="O1058" s="64">
        <f t="shared" si="427"/>
        <v>1</v>
      </c>
      <c r="P1058" s="64">
        <f t="shared" si="428"/>
        <v>0</v>
      </c>
      <c r="Q1058" s="91" t="s">
        <v>2551</v>
      </c>
      <c r="R1058" s="64">
        <f t="shared" si="429"/>
        <v>0</v>
      </c>
      <c r="S1058" s="67">
        <v>45713</v>
      </c>
      <c r="T1058" s="67">
        <v>45734</v>
      </c>
      <c r="U1058" s="64">
        <v>1</v>
      </c>
      <c r="V1058" s="66"/>
      <c r="W1058" s="66"/>
      <c r="X1058" s="93"/>
      <c r="Y1058" s="94"/>
      <c r="Z1058" s="91" t="str">
        <f t="shared" si="422"/>
        <v>100%</v>
      </c>
      <c r="AA1058" s="67"/>
      <c r="AB1058" s="473"/>
      <c r="AC1058" s="478" t="s">
        <v>2711</v>
      </c>
      <c r="AD1058" s="67"/>
    </row>
    <row r="1059" spans="2:30">
      <c r="B1059" s="64" t="s">
        <v>118</v>
      </c>
      <c r="C1059" s="231" t="s">
        <v>412</v>
      </c>
      <c r="D1059" s="66">
        <v>6.78</v>
      </c>
      <c r="E1059" s="67">
        <v>45691</v>
      </c>
      <c r="F1059" s="64">
        <v>1</v>
      </c>
      <c r="G1059" s="67">
        <v>45710</v>
      </c>
      <c r="H1059" s="64">
        <v>1</v>
      </c>
      <c r="I1059" s="67">
        <v>45713</v>
      </c>
      <c r="J1059" s="64">
        <f t="shared" si="424"/>
        <v>0</v>
      </c>
      <c r="K1059" s="67">
        <v>45709</v>
      </c>
      <c r="L1059" s="64">
        <f t="shared" si="425"/>
        <v>0</v>
      </c>
      <c r="M1059" s="64">
        <f t="shared" si="426"/>
        <v>0</v>
      </c>
      <c r="N1059" s="67">
        <v>45714</v>
      </c>
      <c r="O1059" s="64">
        <f t="shared" si="427"/>
        <v>1</v>
      </c>
      <c r="P1059" s="64">
        <f t="shared" si="428"/>
        <v>0</v>
      </c>
      <c r="Q1059" s="91" t="s">
        <v>2551</v>
      </c>
      <c r="R1059" s="64">
        <f t="shared" si="429"/>
        <v>0</v>
      </c>
      <c r="S1059" s="67">
        <v>45714</v>
      </c>
      <c r="T1059" s="67">
        <v>45738</v>
      </c>
      <c r="U1059" s="64">
        <v>1</v>
      </c>
      <c r="V1059" s="66"/>
      <c r="W1059" s="66"/>
      <c r="X1059" s="93"/>
      <c r="Y1059" s="94"/>
      <c r="Z1059" s="91" t="str">
        <f t="shared" si="422"/>
        <v>100%</v>
      </c>
      <c r="AA1059" s="67"/>
      <c r="AB1059" s="473"/>
      <c r="AC1059" s="478" t="s">
        <v>2711</v>
      </c>
      <c r="AD1059" s="67"/>
    </row>
    <row r="1060" spans="2:30">
      <c r="B1060" s="64" t="s">
        <v>111</v>
      </c>
      <c r="C1060" s="65" t="s">
        <v>448</v>
      </c>
      <c r="D1060" s="66">
        <v>12.11</v>
      </c>
      <c r="E1060" s="67">
        <v>45688</v>
      </c>
      <c r="F1060" s="64">
        <v>1</v>
      </c>
      <c r="G1060" s="67">
        <v>45721</v>
      </c>
      <c r="H1060" s="64">
        <v>1</v>
      </c>
      <c r="I1060" s="67">
        <v>45713</v>
      </c>
      <c r="J1060" s="64">
        <f t="shared" si="424"/>
        <v>0</v>
      </c>
      <c r="K1060" s="67">
        <v>45715</v>
      </c>
      <c r="L1060" s="64">
        <f t="shared" si="425"/>
        <v>0</v>
      </c>
      <c r="M1060" s="64">
        <f t="shared" si="426"/>
        <v>0</v>
      </c>
      <c r="N1060" s="67">
        <v>45716</v>
      </c>
      <c r="O1060" s="64">
        <f t="shared" si="427"/>
        <v>1</v>
      </c>
      <c r="P1060" s="64">
        <f t="shared" si="428"/>
        <v>0</v>
      </c>
      <c r="Q1060" s="91" t="s">
        <v>2551</v>
      </c>
      <c r="R1060" s="64">
        <f t="shared" si="429"/>
        <v>0</v>
      </c>
      <c r="S1060" s="67">
        <v>45722</v>
      </c>
      <c r="T1060" s="67">
        <v>45740</v>
      </c>
      <c r="U1060" s="64">
        <v>1</v>
      </c>
      <c r="V1060" s="66"/>
      <c r="W1060" s="66"/>
      <c r="X1060" s="93"/>
      <c r="Y1060" s="94"/>
      <c r="Z1060" s="91" t="str">
        <f t="shared" si="422"/>
        <v>100%</v>
      </c>
      <c r="AA1060" s="67"/>
      <c r="AB1060" s="473"/>
      <c r="AC1060" s="478" t="s">
        <v>2711</v>
      </c>
      <c r="AD1060" s="67"/>
    </row>
    <row r="1061" spans="2:30">
      <c r="B1061" s="64" t="s">
        <v>107</v>
      </c>
      <c r="C1061" s="65" t="s">
        <v>30</v>
      </c>
      <c r="D1061" s="66">
        <v>11.66</v>
      </c>
      <c r="E1061" s="67">
        <v>45723</v>
      </c>
      <c r="F1061" s="64">
        <v>1</v>
      </c>
      <c r="G1061" s="67">
        <v>45724</v>
      </c>
      <c r="H1061" s="64">
        <v>1</v>
      </c>
      <c r="I1061" s="67">
        <v>45728</v>
      </c>
      <c r="J1061" s="64">
        <f t="shared" si="424"/>
        <v>0</v>
      </c>
      <c r="K1061" s="67">
        <v>45722</v>
      </c>
      <c r="L1061" s="64">
        <f t="shared" si="425"/>
        <v>0</v>
      </c>
      <c r="M1061" s="64">
        <f t="shared" si="426"/>
        <v>0</v>
      </c>
      <c r="N1061" s="67">
        <v>45729</v>
      </c>
      <c r="O1061" s="64">
        <f t="shared" si="427"/>
        <v>1</v>
      </c>
      <c r="P1061" s="64">
        <f t="shared" si="428"/>
        <v>0</v>
      </c>
      <c r="Q1061" s="91" t="s">
        <v>2551</v>
      </c>
      <c r="R1061" s="64">
        <f t="shared" si="429"/>
        <v>0</v>
      </c>
      <c r="S1061" s="67">
        <v>45729</v>
      </c>
      <c r="T1061" s="67">
        <v>45762</v>
      </c>
      <c r="U1061" s="64">
        <v>1</v>
      </c>
      <c r="V1061" s="66"/>
      <c r="W1061" s="66"/>
      <c r="X1061" s="93"/>
      <c r="Y1061" s="94"/>
      <c r="Z1061" s="91" t="str">
        <f t="shared" si="422"/>
        <v>100%</v>
      </c>
      <c r="AA1061" s="67"/>
      <c r="AB1061" s="473"/>
      <c r="AC1061" s="478" t="s">
        <v>2711</v>
      </c>
      <c r="AD1061" s="67"/>
    </row>
    <row r="1062" spans="2:30">
      <c r="B1062" s="64" t="s">
        <v>113</v>
      </c>
      <c r="C1062" s="65" t="s">
        <v>543</v>
      </c>
      <c r="D1062" s="66">
        <v>7.61</v>
      </c>
      <c r="E1062" s="67">
        <v>45723</v>
      </c>
      <c r="F1062" s="64">
        <v>1</v>
      </c>
      <c r="G1062" s="67">
        <v>45724</v>
      </c>
      <c r="H1062" s="64">
        <v>1</v>
      </c>
      <c r="I1062" s="67">
        <v>45728</v>
      </c>
      <c r="J1062" s="64">
        <f t="shared" si="424"/>
        <v>0</v>
      </c>
      <c r="K1062" s="67">
        <v>45727</v>
      </c>
      <c r="L1062" s="64">
        <f t="shared" si="425"/>
        <v>0</v>
      </c>
      <c r="M1062" s="64">
        <f t="shared" si="426"/>
        <v>0</v>
      </c>
      <c r="N1062" s="67">
        <v>45729</v>
      </c>
      <c r="O1062" s="64">
        <f t="shared" si="427"/>
        <v>1</v>
      </c>
      <c r="P1062" s="64">
        <f t="shared" si="428"/>
        <v>0</v>
      </c>
      <c r="Q1062" s="91" t="s">
        <v>2551</v>
      </c>
      <c r="R1062" s="64">
        <f t="shared" si="429"/>
        <v>0</v>
      </c>
      <c r="S1062" s="67">
        <v>45729</v>
      </c>
      <c r="T1062" s="67">
        <v>45762</v>
      </c>
      <c r="U1062" s="64">
        <v>1</v>
      </c>
      <c r="V1062" s="66"/>
      <c r="W1062" s="66"/>
      <c r="X1062" s="93"/>
      <c r="Y1062" s="94"/>
      <c r="Z1062" s="91" t="str">
        <f t="shared" si="422"/>
        <v>100%</v>
      </c>
      <c r="AA1062" s="67"/>
      <c r="AB1062" s="473"/>
      <c r="AC1062" s="478" t="s">
        <v>2711</v>
      </c>
      <c r="AD1062" s="67"/>
    </row>
    <row r="1063" spans="2:30">
      <c r="B1063" s="64" t="s">
        <v>109</v>
      </c>
      <c r="C1063" s="65" t="s">
        <v>531</v>
      </c>
      <c r="D1063" s="66">
        <v>12.15</v>
      </c>
      <c r="E1063" s="67">
        <v>45731</v>
      </c>
      <c r="F1063" s="64">
        <v>1</v>
      </c>
      <c r="G1063" s="67">
        <v>45736</v>
      </c>
      <c r="H1063" s="64">
        <v>1</v>
      </c>
      <c r="I1063" s="67">
        <v>45741</v>
      </c>
      <c r="J1063" s="64">
        <f t="shared" si="424"/>
        <v>0</v>
      </c>
      <c r="K1063" s="67">
        <v>45737</v>
      </c>
      <c r="L1063" s="64">
        <f t="shared" si="425"/>
        <v>0</v>
      </c>
      <c r="M1063" s="64">
        <f t="shared" si="426"/>
        <v>0</v>
      </c>
      <c r="N1063" s="67">
        <v>45742</v>
      </c>
      <c r="O1063" s="64">
        <f t="shared" si="427"/>
        <v>1</v>
      </c>
      <c r="P1063" s="64">
        <f t="shared" si="428"/>
        <v>0</v>
      </c>
      <c r="Q1063" s="91" t="s">
        <v>2551</v>
      </c>
      <c r="R1063" s="64">
        <f t="shared" si="429"/>
        <v>0</v>
      </c>
      <c r="S1063" s="67">
        <v>45737</v>
      </c>
      <c r="T1063" s="67">
        <v>45768</v>
      </c>
      <c r="U1063" s="64">
        <v>1</v>
      </c>
      <c r="V1063" s="66"/>
      <c r="W1063" s="66"/>
      <c r="X1063" s="93"/>
      <c r="Y1063" s="94"/>
      <c r="Z1063" s="91" t="str">
        <f t="shared" si="422"/>
        <v>100%</v>
      </c>
      <c r="AA1063" s="67"/>
      <c r="AB1063" s="473"/>
      <c r="AC1063" s="478" t="s">
        <v>2711</v>
      </c>
      <c r="AD1063" s="67"/>
    </row>
    <row r="1064" spans="2:30">
      <c r="B1064" s="64" t="s">
        <v>109</v>
      </c>
      <c r="C1064" s="65" t="s">
        <v>566</v>
      </c>
      <c r="D1064" s="66">
        <v>9.26</v>
      </c>
      <c r="E1064" s="67">
        <v>45737</v>
      </c>
      <c r="F1064" s="64">
        <v>1</v>
      </c>
      <c r="G1064" s="67">
        <v>45738</v>
      </c>
      <c r="H1064" s="64">
        <v>1</v>
      </c>
      <c r="I1064" s="67">
        <v>45734</v>
      </c>
      <c r="J1064" s="64">
        <f t="shared" si="424"/>
        <v>0</v>
      </c>
      <c r="K1064" s="67">
        <v>45739</v>
      </c>
      <c r="L1064" s="64">
        <f t="shared" si="425"/>
        <v>0</v>
      </c>
      <c r="M1064" s="64">
        <f t="shared" si="426"/>
        <v>0</v>
      </c>
      <c r="N1064" s="67">
        <v>45740</v>
      </c>
      <c r="O1064" s="64">
        <f t="shared" si="427"/>
        <v>1</v>
      </c>
      <c r="P1064" s="64">
        <f t="shared" si="428"/>
        <v>0</v>
      </c>
      <c r="Q1064" s="91" t="s">
        <v>2551</v>
      </c>
      <c r="R1064" s="64">
        <f t="shared" si="429"/>
        <v>0</v>
      </c>
      <c r="S1064" s="67">
        <v>45739</v>
      </c>
      <c r="T1064" s="67">
        <v>45770</v>
      </c>
      <c r="U1064" s="64">
        <v>1</v>
      </c>
      <c r="V1064" s="66"/>
      <c r="W1064" s="66"/>
      <c r="X1064" s="93"/>
      <c r="Y1064" s="94"/>
      <c r="Z1064" s="91" t="str">
        <f t="shared" si="422"/>
        <v>100%</v>
      </c>
      <c r="AA1064" s="67"/>
      <c r="AB1064" s="473"/>
      <c r="AC1064" s="478" t="s">
        <v>2711</v>
      </c>
      <c r="AD1064" s="67"/>
    </row>
    <row r="1065" spans="2:30">
      <c r="B1065" s="64" t="s">
        <v>109</v>
      </c>
      <c r="C1065" s="65" t="s">
        <v>542</v>
      </c>
      <c r="D1065" s="66">
        <v>5.35</v>
      </c>
      <c r="E1065" s="67">
        <v>45724</v>
      </c>
      <c r="F1065" s="64">
        <v>1</v>
      </c>
      <c r="G1065" s="67">
        <v>45734</v>
      </c>
      <c r="H1065" s="64">
        <v>1</v>
      </c>
      <c r="I1065" s="67">
        <v>45735</v>
      </c>
      <c r="J1065" s="64">
        <f t="shared" si="424"/>
        <v>0</v>
      </c>
      <c r="K1065" s="67">
        <v>45730</v>
      </c>
      <c r="L1065" s="64">
        <f t="shared" si="425"/>
        <v>0</v>
      </c>
      <c r="M1065" s="64">
        <f t="shared" si="426"/>
        <v>0</v>
      </c>
      <c r="N1065" s="67">
        <v>45736</v>
      </c>
      <c r="O1065" s="64">
        <f t="shared" si="427"/>
        <v>1</v>
      </c>
      <c r="P1065" s="64">
        <f t="shared" si="428"/>
        <v>0</v>
      </c>
      <c r="Q1065" s="91" t="s">
        <v>2551</v>
      </c>
      <c r="R1065" s="64">
        <f t="shared" si="429"/>
        <v>0</v>
      </c>
      <c r="S1065" s="67">
        <v>45735</v>
      </c>
      <c r="T1065" s="67">
        <v>45772</v>
      </c>
      <c r="U1065" s="64">
        <v>1</v>
      </c>
      <c r="V1065" s="66"/>
      <c r="W1065" s="66"/>
      <c r="X1065" s="93"/>
      <c r="Y1065" s="94"/>
      <c r="Z1065" s="91" t="str">
        <f t="shared" si="422"/>
        <v>100%</v>
      </c>
      <c r="AA1065" s="67"/>
      <c r="AB1065" s="473"/>
      <c r="AC1065" s="478" t="s">
        <v>2711</v>
      </c>
      <c r="AD1065" s="67"/>
    </row>
    <row r="1066" spans="2:30">
      <c r="B1066" s="64" t="s">
        <v>109</v>
      </c>
      <c r="C1066" s="65" t="s">
        <v>458</v>
      </c>
      <c r="D1066" s="66">
        <v>6.39</v>
      </c>
      <c r="E1066" s="67">
        <v>45724</v>
      </c>
      <c r="F1066" s="64">
        <v>1</v>
      </c>
      <c r="G1066" s="67">
        <v>45734</v>
      </c>
      <c r="H1066" s="64">
        <v>1</v>
      </c>
      <c r="I1066" s="67">
        <v>45735</v>
      </c>
      <c r="J1066" s="64">
        <f t="shared" si="424"/>
        <v>0</v>
      </c>
      <c r="K1066" s="67">
        <v>45735</v>
      </c>
      <c r="L1066" s="64">
        <f t="shared" si="425"/>
        <v>0</v>
      </c>
      <c r="M1066" s="64">
        <f t="shared" si="426"/>
        <v>0</v>
      </c>
      <c r="N1066" s="67">
        <v>45736</v>
      </c>
      <c r="O1066" s="64">
        <f t="shared" si="427"/>
        <v>1</v>
      </c>
      <c r="P1066" s="64">
        <f t="shared" si="428"/>
        <v>0</v>
      </c>
      <c r="Q1066" s="91" t="s">
        <v>2551</v>
      </c>
      <c r="R1066" s="64">
        <f t="shared" si="429"/>
        <v>0</v>
      </c>
      <c r="S1066" s="67">
        <v>45735</v>
      </c>
      <c r="T1066" s="67">
        <v>45775</v>
      </c>
      <c r="U1066" s="64">
        <v>1</v>
      </c>
      <c r="V1066" s="66"/>
      <c r="W1066" s="66"/>
      <c r="X1066" s="93"/>
      <c r="Y1066" s="94"/>
      <c r="Z1066" s="91" t="str">
        <f t="shared" si="422"/>
        <v>100%</v>
      </c>
      <c r="AA1066" s="67"/>
      <c r="AB1066" s="473"/>
      <c r="AC1066" s="478" t="s">
        <v>2711</v>
      </c>
      <c r="AD1066" s="67"/>
    </row>
    <row r="1067" spans="2:30">
      <c r="B1067" s="64" t="s">
        <v>107</v>
      </c>
      <c r="C1067" s="65" t="s">
        <v>844</v>
      </c>
      <c r="D1067" s="66">
        <v>6.87</v>
      </c>
      <c r="E1067" s="67">
        <v>45757</v>
      </c>
      <c r="F1067" s="64">
        <v>1</v>
      </c>
      <c r="G1067" s="67">
        <v>45760</v>
      </c>
      <c r="H1067" s="64">
        <v>1</v>
      </c>
      <c r="I1067" s="67">
        <v>45759</v>
      </c>
      <c r="J1067" s="64">
        <f t="shared" si="424"/>
        <v>0</v>
      </c>
      <c r="K1067" s="67">
        <v>45758</v>
      </c>
      <c r="L1067" s="64">
        <f t="shared" si="425"/>
        <v>0</v>
      </c>
      <c r="M1067" s="64">
        <f t="shared" si="426"/>
        <v>0</v>
      </c>
      <c r="N1067" s="67">
        <v>45760</v>
      </c>
      <c r="O1067" s="64">
        <f t="shared" si="427"/>
        <v>1</v>
      </c>
      <c r="P1067" s="64">
        <f t="shared" si="428"/>
        <v>0</v>
      </c>
      <c r="Q1067" s="91" t="s">
        <v>2551</v>
      </c>
      <c r="R1067" s="64">
        <f t="shared" si="429"/>
        <v>0</v>
      </c>
      <c r="S1067" s="67">
        <v>45761</v>
      </c>
      <c r="T1067" s="67">
        <v>45777</v>
      </c>
      <c r="U1067" s="64">
        <v>1</v>
      </c>
      <c r="V1067" s="66"/>
      <c r="W1067" s="66"/>
      <c r="X1067" s="93"/>
      <c r="Y1067" s="94"/>
      <c r="Z1067" s="91" t="str">
        <f t="shared" si="422"/>
        <v>100%</v>
      </c>
      <c r="AA1067" s="67"/>
      <c r="AB1067" s="473"/>
      <c r="AC1067" s="478" t="s">
        <v>2711</v>
      </c>
      <c r="AD1067" s="67"/>
    </row>
    <row r="1068" spans="2:30">
      <c r="B1068" s="64" t="s">
        <v>107</v>
      </c>
      <c r="C1068" s="65" t="s">
        <v>2306</v>
      </c>
      <c r="D1068" s="66">
        <v>5.87</v>
      </c>
      <c r="E1068" s="67">
        <v>45757</v>
      </c>
      <c r="F1068" s="64">
        <v>1</v>
      </c>
      <c r="G1068" s="67">
        <v>45760</v>
      </c>
      <c r="H1068" s="64">
        <v>1</v>
      </c>
      <c r="I1068" s="67">
        <v>45760</v>
      </c>
      <c r="J1068" s="64">
        <f t="shared" si="424"/>
        <v>0</v>
      </c>
      <c r="K1068" s="67">
        <v>45758</v>
      </c>
      <c r="L1068" s="64">
        <f t="shared" si="425"/>
        <v>0</v>
      </c>
      <c r="M1068" s="64">
        <f t="shared" si="426"/>
        <v>0</v>
      </c>
      <c r="N1068" s="67">
        <v>45761</v>
      </c>
      <c r="O1068" s="64">
        <f t="shared" si="427"/>
        <v>1</v>
      </c>
      <c r="P1068" s="64">
        <f t="shared" si="428"/>
        <v>0</v>
      </c>
      <c r="Q1068" s="91" t="s">
        <v>2551</v>
      </c>
      <c r="R1068" s="64">
        <f t="shared" si="429"/>
        <v>0</v>
      </c>
      <c r="S1068" s="67">
        <v>45762</v>
      </c>
      <c r="T1068" s="67">
        <v>45777</v>
      </c>
      <c r="U1068" s="64">
        <v>1</v>
      </c>
      <c r="V1068" s="66"/>
      <c r="W1068" s="66"/>
      <c r="X1068" s="93"/>
      <c r="Y1068" s="94"/>
      <c r="Z1068" s="91" t="str">
        <f t="shared" si="422"/>
        <v>100%</v>
      </c>
      <c r="AA1068" s="67"/>
      <c r="AB1068" s="473"/>
      <c r="AC1068" s="478" t="s">
        <v>2711</v>
      </c>
      <c r="AD1068" s="67"/>
    </row>
    <row r="1069" spans="2:30">
      <c r="B1069" s="64" t="s">
        <v>107</v>
      </c>
      <c r="C1069" s="65" t="s">
        <v>527</v>
      </c>
      <c r="D1069" s="66">
        <v>5.77</v>
      </c>
      <c r="E1069" s="67">
        <v>45737</v>
      </c>
      <c r="F1069" s="64">
        <v>1</v>
      </c>
      <c r="G1069" s="67">
        <v>45745</v>
      </c>
      <c r="H1069" s="64">
        <v>1</v>
      </c>
      <c r="I1069" s="67">
        <v>45755</v>
      </c>
      <c r="J1069" s="64">
        <f t="shared" si="424"/>
        <v>0</v>
      </c>
      <c r="K1069" s="67">
        <v>45733</v>
      </c>
      <c r="L1069" s="64">
        <f t="shared" si="425"/>
        <v>0</v>
      </c>
      <c r="M1069" s="64">
        <f t="shared" si="426"/>
        <v>0</v>
      </c>
      <c r="N1069" s="67">
        <v>45756</v>
      </c>
      <c r="O1069" s="64">
        <f t="shared" si="427"/>
        <v>1</v>
      </c>
      <c r="P1069" s="64">
        <f t="shared" si="428"/>
        <v>0</v>
      </c>
      <c r="Q1069" s="91" t="s">
        <v>2551</v>
      </c>
      <c r="R1069" s="64">
        <f t="shared" si="429"/>
        <v>0</v>
      </c>
      <c r="S1069" s="67">
        <v>45757</v>
      </c>
      <c r="T1069" s="67">
        <v>45777</v>
      </c>
      <c r="U1069" s="64">
        <v>1</v>
      </c>
      <c r="V1069" s="66"/>
      <c r="W1069" s="66"/>
      <c r="X1069" s="93"/>
      <c r="Y1069" s="94"/>
      <c r="Z1069" s="91" t="str">
        <f t="shared" si="422"/>
        <v>100%</v>
      </c>
      <c r="AA1069" s="67"/>
      <c r="AB1069" s="473"/>
      <c r="AC1069" s="478" t="s">
        <v>2711</v>
      </c>
      <c r="AD1069" s="67"/>
    </row>
    <row r="1070" spans="2:30">
      <c r="B1070" s="64" t="s">
        <v>105</v>
      </c>
      <c r="C1070" s="65" t="s">
        <v>570</v>
      </c>
      <c r="D1070" s="66">
        <v>11.32</v>
      </c>
      <c r="E1070" s="67">
        <v>45738</v>
      </c>
      <c r="F1070" s="64">
        <v>1</v>
      </c>
      <c r="G1070" s="67">
        <v>45744</v>
      </c>
      <c r="H1070" s="64">
        <v>1</v>
      </c>
      <c r="I1070" s="67">
        <v>45756</v>
      </c>
      <c r="J1070" s="64">
        <f t="shared" si="424"/>
        <v>0</v>
      </c>
      <c r="K1070" s="67">
        <v>45735</v>
      </c>
      <c r="L1070" s="64">
        <f t="shared" si="425"/>
        <v>0</v>
      </c>
      <c r="M1070" s="64">
        <f t="shared" si="426"/>
        <v>0</v>
      </c>
      <c r="N1070" s="67">
        <v>45757</v>
      </c>
      <c r="O1070" s="64">
        <f t="shared" si="427"/>
        <v>1</v>
      </c>
      <c r="P1070" s="64">
        <f t="shared" si="428"/>
        <v>0</v>
      </c>
      <c r="Q1070" s="91" t="s">
        <v>2551</v>
      </c>
      <c r="R1070" s="64">
        <f t="shared" si="429"/>
        <v>0</v>
      </c>
      <c r="S1070" s="67">
        <v>45758</v>
      </c>
      <c r="T1070" s="67">
        <v>45777</v>
      </c>
      <c r="U1070" s="64">
        <v>1</v>
      </c>
      <c r="V1070" s="66"/>
      <c r="W1070" s="66"/>
      <c r="X1070" s="93"/>
      <c r="Y1070" s="94"/>
      <c r="Z1070" s="91" t="str">
        <f t="shared" si="422"/>
        <v>100%</v>
      </c>
      <c r="AA1070" s="67"/>
      <c r="AB1070" s="473"/>
      <c r="AC1070" s="478" t="s">
        <v>2711</v>
      </c>
      <c r="AD1070" s="67"/>
    </row>
    <row r="1071" spans="2:30">
      <c r="B1071" s="64" t="s">
        <v>118</v>
      </c>
      <c r="C1071" s="65" t="s">
        <v>378</v>
      </c>
      <c r="D1071" s="66">
        <v>11.81</v>
      </c>
      <c r="E1071" s="67">
        <v>45735</v>
      </c>
      <c r="F1071" s="64">
        <v>1</v>
      </c>
      <c r="G1071" s="67">
        <v>45745</v>
      </c>
      <c r="H1071" s="64">
        <v>1</v>
      </c>
      <c r="I1071" s="67">
        <v>45754</v>
      </c>
      <c r="J1071" s="64">
        <f t="shared" si="424"/>
        <v>0</v>
      </c>
      <c r="K1071" s="67">
        <v>45722</v>
      </c>
      <c r="L1071" s="64">
        <f t="shared" si="425"/>
        <v>0</v>
      </c>
      <c r="M1071" s="64">
        <f t="shared" si="426"/>
        <v>0</v>
      </c>
      <c r="N1071" s="67">
        <v>45755</v>
      </c>
      <c r="O1071" s="64">
        <f t="shared" si="427"/>
        <v>1</v>
      </c>
      <c r="P1071" s="64">
        <f t="shared" si="428"/>
        <v>0</v>
      </c>
      <c r="Q1071" s="91" t="s">
        <v>2551</v>
      </c>
      <c r="R1071" s="64">
        <f t="shared" si="429"/>
        <v>0</v>
      </c>
      <c r="S1071" s="67">
        <v>45756</v>
      </c>
      <c r="T1071" s="67">
        <v>45783</v>
      </c>
      <c r="U1071" s="64">
        <v>1</v>
      </c>
      <c r="V1071" s="66"/>
      <c r="W1071" s="66"/>
      <c r="X1071" s="93"/>
      <c r="Y1071" s="94"/>
      <c r="Z1071" s="91" t="str">
        <f t="shared" si="422"/>
        <v>100%</v>
      </c>
      <c r="AA1071" s="67"/>
      <c r="AB1071" s="473"/>
      <c r="AC1071" s="478" t="s">
        <v>2711</v>
      </c>
      <c r="AD1071" s="67"/>
    </row>
    <row r="1072" spans="2:30">
      <c r="B1072" s="64" t="s">
        <v>109</v>
      </c>
      <c r="C1072" s="65" t="s">
        <v>256</v>
      </c>
      <c r="D1072" s="66">
        <v>7.58</v>
      </c>
      <c r="E1072" s="67">
        <v>45759</v>
      </c>
      <c r="F1072" s="64">
        <v>1</v>
      </c>
      <c r="G1072" s="67">
        <v>45763</v>
      </c>
      <c r="H1072" s="64">
        <v>1</v>
      </c>
      <c r="I1072" s="67">
        <v>45772</v>
      </c>
      <c r="J1072" s="64">
        <f t="shared" si="424"/>
        <v>0</v>
      </c>
      <c r="K1072" s="67">
        <v>45771</v>
      </c>
      <c r="L1072" s="64">
        <f t="shared" si="425"/>
        <v>0</v>
      </c>
      <c r="M1072" s="64">
        <f t="shared" si="426"/>
        <v>0</v>
      </c>
      <c r="N1072" s="67">
        <v>45773</v>
      </c>
      <c r="O1072" s="64">
        <f t="shared" si="427"/>
        <v>1</v>
      </c>
      <c r="P1072" s="64">
        <f t="shared" si="428"/>
        <v>0</v>
      </c>
      <c r="Q1072" s="91" t="s">
        <v>2551</v>
      </c>
      <c r="R1072" s="64">
        <f t="shared" si="429"/>
        <v>0</v>
      </c>
      <c r="S1072" s="67">
        <v>45774</v>
      </c>
      <c r="T1072" s="67">
        <v>45789</v>
      </c>
      <c r="U1072" s="64">
        <v>1</v>
      </c>
      <c r="V1072" s="66"/>
      <c r="W1072" s="66"/>
      <c r="X1072" s="93"/>
      <c r="Y1072" s="94"/>
      <c r="Z1072" s="91" t="str">
        <f t="shared" si="422"/>
        <v>100%</v>
      </c>
      <c r="AA1072" s="67"/>
      <c r="AB1072" s="473"/>
      <c r="AC1072" s="478" t="s">
        <v>2711</v>
      </c>
      <c r="AD1072" s="67"/>
    </row>
    <row r="1073" spans="2:30">
      <c r="B1073" s="64" t="s">
        <v>109</v>
      </c>
      <c r="C1073" s="65" t="s">
        <v>254</v>
      </c>
      <c r="D1073" s="66">
        <v>5.25</v>
      </c>
      <c r="E1073" s="67">
        <v>45759</v>
      </c>
      <c r="F1073" s="64">
        <v>1</v>
      </c>
      <c r="G1073" s="67">
        <v>45763</v>
      </c>
      <c r="H1073" s="64">
        <v>1</v>
      </c>
      <c r="I1073" s="67">
        <v>45772</v>
      </c>
      <c r="J1073" s="64">
        <f t="shared" si="424"/>
        <v>0</v>
      </c>
      <c r="K1073" s="67">
        <v>45771</v>
      </c>
      <c r="L1073" s="64">
        <f t="shared" si="425"/>
        <v>0</v>
      </c>
      <c r="M1073" s="64">
        <f t="shared" si="426"/>
        <v>0</v>
      </c>
      <c r="N1073" s="67">
        <v>45773</v>
      </c>
      <c r="O1073" s="64">
        <f t="shared" si="427"/>
        <v>1</v>
      </c>
      <c r="P1073" s="64">
        <f t="shared" si="428"/>
        <v>0</v>
      </c>
      <c r="Q1073" s="91" t="s">
        <v>2551</v>
      </c>
      <c r="R1073" s="64">
        <f t="shared" si="429"/>
        <v>0</v>
      </c>
      <c r="S1073" s="67">
        <v>45772</v>
      </c>
      <c r="T1073" s="67">
        <v>45790</v>
      </c>
      <c r="U1073" s="64">
        <v>1</v>
      </c>
      <c r="V1073" s="66"/>
      <c r="W1073" s="66"/>
      <c r="X1073" s="93"/>
      <c r="Y1073" s="94"/>
      <c r="Z1073" s="91" t="str">
        <f t="shared" si="422"/>
        <v>100%</v>
      </c>
      <c r="AA1073" s="67"/>
      <c r="AB1073" s="473"/>
      <c r="AC1073" s="478" t="s">
        <v>2711</v>
      </c>
      <c r="AD1073" s="67"/>
    </row>
    <row r="1074" spans="2:30">
      <c r="B1074" s="64" t="s">
        <v>116</v>
      </c>
      <c r="C1074" s="65" t="s">
        <v>351</v>
      </c>
      <c r="D1074" s="66">
        <v>14.64</v>
      </c>
      <c r="E1074" s="67">
        <v>45740</v>
      </c>
      <c r="F1074" s="64">
        <v>1</v>
      </c>
      <c r="G1074" s="67">
        <v>45745</v>
      </c>
      <c r="H1074" s="64">
        <v>1</v>
      </c>
      <c r="I1074" s="67">
        <v>45755</v>
      </c>
      <c r="J1074" s="64">
        <f t="shared" si="424"/>
        <v>0</v>
      </c>
      <c r="K1074" s="67">
        <v>45736</v>
      </c>
      <c r="L1074" s="64">
        <f t="shared" si="425"/>
        <v>0</v>
      </c>
      <c r="M1074" s="64">
        <f t="shared" si="426"/>
        <v>0</v>
      </c>
      <c r="N1074" s="67">
        <v>45756</v>
      </c>
      <c r="O1074" s="64">
        <f t="shared" si="427"/>
        <v>1</v>
      </c>
      <c r="P1074" s="64">
        <f t="shared" si="428"/>
        <v>0</v>
      </c>
      <c r="Q1074" s="91" t="s">
        <v>2551</v>
      </c>
      <c r="R1074" s="64">
        <f t="shared" si="429"/>
        <v>0</v>
      </c>
      <c r="S1074" s="67">
        <v>45757</v>
      </c>
      <c r="T1074" s="67">
        <v>45792</v>
      </c>
      <c r="U1074" s="64">
        <v>1</v>
      </c>
      <c r="V1074" s="66"/>
      <c r="W1074" s="66"/>
      <c r="X1074" s="93"/>
      <c r="Y1074" s="94"/>
      <c r="Z1074" s="91" t="str">
        <f t="shared" si="422"/>
        <v>100%</v>
      </c>
      <c r="AA1074" s="67"/>
      <c r="AB1074" s="473"/>
      <c r="AC1074" s="478" t="s">
        <v>2711</v>
      </c>
      <c r="AD1074" s="67"/>
    </row>
    <row r="1075" spans="2:30">
      <c r="B1075" s="64" t="s">
        <v>116</v>
      </c>
      <c r="C1075" s="65" t="s">
        <v>538</v>
      </c>
      <c r="D1075" s="66">
        <v>5.71</v>
      </c>
      <c r="E1075" s="67">
        <v>45759</v>
      </c>
      <c r="F1075" s="64">
        <v>1</v>
      </c>
      <c r="G1075" s="67">
        <v>45763</v>
      </c>
      <c r="H1075" s="64">
        <v>1</v>
      </c>
      <c r="I1075" s="67">
        <v>45770</v>
      </c>
      <c r="J1075" s="64">
        <f t="shared" si="424"/>
        <v>0</v>
      </c>
      <c r="K1075" s="67">
        <v>45763</v>
      </c>
      <c r="L1075" s="64">
        <f t="shared" si="425"/>
        <v>0</v>
      </c>
      <c r="M1075" s="64">
        <f t="shared" si="426"/>
        <v>0</v>
      </c>
      <c r="N1075" s="67">
        <v>45771</v>
      </c>
      <c r="O1075" s="64">
        <f t="shared" si="427"/>
        <v>1</v>
      </c>
      <c r="P1075" s="64">
        <f t="shared" si="428"/>
        <v>0</v>
      </c>
      <c r="Q1075" s="91" t="s">
        <v>2551</v>
      </c>
      <c r="R1075" s="64">
        <f t="shared" si="429"/>
        <v>0</v>
      </c>
      <c r="S1075" s="67">
        <v>45772</v>
      </c>
      <c r="T1075" s="67">
        <v>45792</v>
      </c>
      <c r="U1075" s="64">
        <v>1</v>
      </c>
      <c r="V1075" s="66"/>
      <c r="W1075" s="66"/>
      <c r="X1075" s="93"/>
      <c r="Y1075" s="94"/>
      <c r="Z1075" s="91" t="str">
        <f t="shared" si="422"/>
        <v>100%</v>
      </c>
      <c r="AA1075" s="67"/>
      <c r="AB1075" s="473"/>
      <c r="AC1075" s="478" t="s">
        <v>2711</v>
      </c>
      <c r="AD1075" s="67"/>
    </row>
    <row r="1076" spans="2:30">
      <c r="B1076" s="64" t="s">
        <v>116</v>
      </c>
      <c r="C1076" s="65" t="s">
        <v>74</v>
      </c>
      <c r="D1076" s="66">
        <v>6.47</v>
      </c>
      <c r="E1076" s="67">
        <v>45762</v>
      </c>
      <c r="F1076" s="64">
        <v>1</v>
      </c>
      <c r="G1076" s="67">
        <v>45765</v>
      </c>
      <c r="H1076" s="64">
        <v>1</v>
      </c>
      <c r="I1076" s="67">
        <v>45773</v>
      </c>
      <c r="J1076" s="64">
        <f t="shared" si="424"/>
        <v>0</v>
      </c>
      <c r="K1076" s="67">
        <v>45773</v>
      </c>
      <c r="L1076" s="64">
        <f t="shared" si="425"/>
        <v>0</v>
      </c>
      <c r="M1076" s="64">
        <f t="shared" si="426"/>
        <v>0</v>
      </c>
      <c r="N1076" s="67">
        <v>45774</v>
      </c>
      <c r="O1076" s="64">
        <f t="shared" si="427"/>
        <v>1</v>
      </c>
      <c r="P1076" s="64">
        <f t="shared" si="428"/>
        <v>0</v>
      </c>
      <c r="Q1076" s="91" t="s">
        <v>2551</v>
      </c>
      <c r="R1076" s="64">
        <f t="shared" si="429"/>
        <v>0</v>
      </c>
      <c r="S1076" s="67">
        <v>45774</v>
      </c>
      <c r="T1076" s="67">
        <v>45792</v>
      </c>
      <c r="U1076" s="64">
        <v>1</v>
      </c>
      <c r="V1076" s="66"/>
      <c r="W1076" s="66"/>
      <c r="X1076" s="93"/>
      <c r="Y1076" s="94"/>
      <c r="Z1076" s="91" t="str">
        <f t="shared" si="422"/>
        <v>100%</v>
      </c>
      <c r="AA1076" s="67"/>
      <c r="AB1076" s="473"/>
      <c r="AC1076" s="478" t="s">
        <v>2711</v>
      </c>
      <c r="AD1076" s="67"/>
    </row>
    <row r="1077" spans="2:30">
      <c r="B1077" s="64" t="s">
        <v>118</v>
      </c>
      <c r="C1077" s="65" t="s">
        <v>539</v>
      </c>
      <c r="D1077" s="66">
        <v>5.03</v>
      </c>
      <c r="E1077" s="67">
        <v>45762</v>
      </c>
      <c r="F1077" s="64">
        <v>1</v>
      </c>
      <c r="G1077" s="67">
        <v>45765</v>
      </c>
      <c r="H1077" s="64">
        <v>1</v>
      </c>
      <c r="I1077" s="67">
        <v>45771</v>
      </c>
      <c r="J1077" s="64">
        <f t="shared" si="424"/>
        <v>0</v>
      </c>
      <c r="K1077" s="67">
        <v>45770</v>
      </c>
      <c r="L1077" s="64">
        <f t="shared" si="425"/>
        <v>0</v>
      </c>
      <c r="M1077" s="64">
        <f t="shared" si="426"/>
        <v>0</v>
      </c>
      <c r="N1077" s="67">
        <v>45772</v>
      </c>
      <c r="O1077" s="64">
        <f t="shared" si="427"/>
        <v>1</v>
      </c>
      <c r="P1077" s="64">
        <f t="shared" si="428"/>
        <v>0</v>
      </c>
      <c r="Q1077" s="91" t="s">
        <v>2551</v>
      </c>
      <c r="R1077" s="64">
        <f t="shared" si="429"/>
        <v>0</v>
      </c>
      <c r="S1077" s="67">
        <v>45772</v>
      </c>
      <c r="T1077" s="67">
        <v>45792</v>
      </c>
      <c r="U1077" s="64">
        <v>1</v>
      </c>
      <c r="V1077" s="66"/>
      <c r="W1077" s="66"/>
      <c r="X1077" s="93"/>
      <c r="Y1077" s="94"/>
      <c r="Z1077" s="91" t="str">
        <f t="shared" si="422"/>
        <v>100%</v>
      </c>
      <c r="AA1077" s="67"/>
      <c r="AB1077" s="473"/>
      <c r="AC1077" s="478" t="s">
        <v>2711</v>
      </c>
      <c r="AD1077" s="67"/>
    </row>
    <row r="1078" spans="2:30">
      <c r="B1078" s="64" t="s">
        <v>118</v>
      </c>
      <c r="C1078" s="65" t="s">
        <v>529</v>
      </c>
      <c r="D1078" s="66">
        <v>6.53</v>
      </c>
      <c r="E1078" s="67">
        <v>45735</v>
      </c>
      <c r="F1078" s="64">
        <v>1</v>
      </c>
      <c r="G1078" s="67">
        <v>45744</v>
      </c>
      <c r="H1078" s="64">
        <v>1</v>
      </c>
      <c r="I1078" s="67">
        <v>45756</v>
      </c>
      <c r="J1078" s="64">
        <f t="shared" si="424"/>
        <v>0</v>
      </c>
      <c r="K1078" s="67">
        <v>45735</v>
      </c>
      <c r="L1078" s="64">
        <f t="shared" si="425"/>
        <v>0</v>
      </c>
      <c r="M1078" s="64">
        <f t="shared" si="426"/>
        <v>0</v>
      </c>
      <c r="N1078" s="67">
        <v>45757</v>
      </c>
      <c r="O1078" s="64">
        <f t="shared" si="427"/>
        <v>1</v>
      </c>
      <c r="P1078" s="64">
        <f t="shared" si="428"/>
        <v>0</v>
      </c>
      <c r="Q1078" s="91" t="s">
        <v>2551</v>
      </c>
      <c r="R1078" s="64">
        <f t="shared" si="429"/>
        <v>0</v>
      </c>
      <c r="S1078" s="67">
        <v>45759</v>
      </c>
      <c r="T1078" s="67">
        <v>45795</v>
      </c>
      <c r="U1078" s="64">
        <v>1</v>
      </c>
      <c r="V1078" s="66"/>
      <c r="W1078" s="66"/>
      <c r="X1078" s="93"/>
      <c r="Y1078" s="94"/>
      <c r="Z1078" s="91" t="str">
        <f t="shared" si="422"/>
        <v>100%</v>
      </c>
      <c r="AA1078" s="67"/>
      <c r="AB1078" s="473"/>
      <c r="AC1078" s="478" t="s">
        <v>2711</v>
      </c>
      <c r="AD1078" s="67"/>
    </row>
    <row r="1079" spans="2:30">
      <c r="B1079" s="64" t="s">
        <v>107</v>
      </c>
      <c r="C1079" s="65" t="s">
        <v>821</v>
      </c>
      <c r="D1079" s="66">
        <v>5.86</v>
      </c>
      <c r="E1079" s="67">
        <v>45775</v>
      </c>
      <c r="F1079" s="64">
        <v>1</v>
      </c>
      <c r="G1079" s="67">
        <v>45776</v>
      </c>
      <c r="H1079" s="64">
        <v>1</v>
      </c>
      <c r="I1079" s="67">
        <v>45781</v>
      </c>
      <c r="J1079" s="64">
        <f t="shared" si="424"/>
        <v>0</v>
      </c>
      <c r="K1079" s="67">
        <v>45778</v>
      </c>
      <c r="L1079" s="64">
        <f t="shared" si="425"/>
        <v>0</v>
      </c>
      <c r="M1079" s="64">
        <f t="shared" si="426"/>
        <v>0</v>
      </c>
      <c r="N1079" s="67">
        <v>45782</v>
      </c>
      <c r="O1079" s="64">
        <f t="shared" si="427"/>
        <v>1</v>
      </c>
      <c r="P1079" s="64">
        <f t="shared" si="428"/>
        <v>0</v>
      </c>
      <c r="Q1079" s="91" t="s">
        <v>2551</v>
      </c>
      <c r="R1079" s="64">
        <f t="shared" si="429"/>
        <v>0</v>
      </c>
      <c r="S1079" s="67">
        <v>45782</v>
      </c>
      <c r="T1079" s="67">
        <v>45797</v>
      </c>
      <c r="U1079" s="64">
        <v>1</v>
      </c>
      <c r="V1079" s="66"/>
      <c r="W1079" s="66"/>
      <c r="X1079" s="93"/>
      <c r="Y1079" s="94"/>
      <c r="Z1079" s="91" t="str">
        <f t="shared" si="422"/>
        <v>100%</v>
      </c>
      <c r="AA1079" s="67"/>
      <c r="AB1079" s="473"/>
      <c r="AC1079" s="478" t="s">
        <v>2711</v>
      </c>
      <c r="AD1079" s="67"/>
    </row>
    <row r="1080" spans="2:30">
      <c r="B1080" s="64" t="s">
        <v>107</v>
      </c>
      <c r="C1080" s="65" t="s">
        <v>820</v>
      </c>
      <c r="D1080" s="66">
        <v>8.17</v>
      </c>
      <c r="E1080" s="67">
        <v>45773</v>
      </c>
      <c r="F1080" s="64">
        <v>1</v>
      </c>
      <c r="G1080" s="67">
        <v>45776</v>
      </c>
      <c r="H1080" s="64">
        <v>1</v>
      </c>
      <c r="I1080" s="67">
        <v>45779</v>
      </c>
      <c r="J1080" s="64">
        <f t="shared" si="424"/>
        <v>0</v>
      </c>
      <c r="K1080" s="67">
        <v>45773</v>
      </c>
      <c r="L1080" s="64">
        <f t="shared" si="425"/>
        <v>0</v>
      </c>
      <c r="M1080" s="64">
        <f t="shared" si="426"/>
        <v>0</v>
      </c>
      <c r="N1080" s="67">
        <v>45780</v>
      </c>
      <c r="O1080" s="64">
        <f t="shared" si="427"/>
        <v>1</v>
      </c>
      <c r="P1080" s="64">
        <f t="shared" si="428"/>
        <v>0</v>
      </c>
      <c r="Q1080" s="91" t="s">
        <v>2551</v>
      </c>
      <c r="R1080" s="64">
        <f t="shared" si="429"/>
        <v>0</v>
      </c>
      <c r="S1080" s="67">
        <v>45780</v>
      </c>
      <c r="T1080" s="67">
        <v>45800</v>
      </c>
      <c r="U1080" s="64">
        <v>1</v>
      </c>
      <c r="V1080" s="66"/>
      <c r="W1080" s="66"/>
      <c r="X1080" s="93"/>
      <c r="Y1080" s="94"/>
      <c r="Z1080" s="91" t="str">
        <f t="shared" si="422"/>
        <v>100%</v>
      </c>
      <c r="AA1080" s="67"/>
      <c r="AB1080" s="473"/>
      <c r="AC1080" s="478" t="s">
        <v>2711</v>
      </c>
      <c r="AD1080" s="67"/>
    </row>
    <row r="1081" spans="2:30">
      <c r="B1081" s="64" t="s">
        <v>107</v>
      </c>
      <c r="C1081" s="65" t="s">
        <v>21</v>
      </c>
      <c r="D1081" s="66">
        <v>7.07</v>
      </c>
      <c r="E1081" s="67">
        <v>45782</v>
      </c>
      <c r="F1081" s="64">
        <v>1</v>
      </c>
      <c r="G1081" s="67">
        <v>45783</v>
      </c>
      <c r="H1081" s="64">
        <v>1</v>
      </c>
      <c r="I1081" s="67">
        <v>45788</v>
      </c>
      <c r="J1081" s="64">
        <f t="shared" si="424"/>
        <v>0</v>
      </c>
      <c r="K1081" s="67">
        <v>45784</v>
      </c>
      <c r="L1081" s="64">
        <f t="shared" si="425"/>
        <v>0</v>
      </c>
      <c r="M1081" s="64">
        <f t="shared" si="426"/>
        <v>0</v>
      </c>
      <c r="N1081" s="67">
        <v>45789</v>
      </c>
      <c r="O1081" s="64">
        <f t="shared" si="427"/>
        <v>1</v>
      </c>
      <c r="P1081" s="64">
        <f t="shared" si="428"/>
        <v>0</v>
      </c>
      <c r="Q1081" s="91" t="s">
        <v>2551</v>
      </c>
      <c r="R1081" s="64">
        <f t="shared" si="429"/>
        <v>0</v>
      </c>
      <c r="S1081" s="67">
        <v>45787</v>
      </c>
      <c r="T1081" s="67">
        <v>45802</v>
      </c>
      <c r="U1081" s="64">
        <v>1</v>
      </c>
      <c r="V1081" s="66"/>
      <c r="W1081" s="66"/>
      <c r="X1081" s="93"/>
      <c r="Y1081" s="94"/>
      <c r="Z1081" s="91" t="str">
        <f t="shared" si="422"/>
        <v>100%</v>
      </c>
      <c r="AA1081" s="67"/>
      <c r="AB1081" s="473"/>
      <c r="AC1081" s="478" t="s">
        <v>2711</v>
      </c>
      <c r="AD1081" s="67"/>
    </row>
    <row r="1082" spans="2:30">
      <c r="B1082" s="64" t="s">
        <v>118</v>
      </c>
      <c r="C1082" s="65" t="s">
        <v>77</v>
      </c>
      <c r="D1082" s="66">
        <v>12.56</v>
      </c>
      <c r="E1082" s="67">
        <v>45765</v>
      </c>
      <c r="F1082" s="64">
        <v>1</v>
      </c>
      <c r="G1082" s="67">
        <v>45774</v>
      </c>
      <c r="H1082" s="64">
        <v>1</v>
      </c>
      <c r="I1082" s="67">
        <v>45782</v>
      </c>
      <c r="J1082" s="64">
        <f t="shared" si="424"/>
        <v>0</v>
      </c>
      <c r="K1082" s="67">
        <v>45770</v>
      </c>
      <c r="L1082" s="64">
        <f t="shared" si="425"/>
        <v>0</v>
      </c>
      <c r="M1082" s="64">
        <f t="shared" si="426"/>
        <v>0</v>
      </c>
      <c r="N1082" s="67">
        <v>45783</v>
      </c>
      <c r="O1082" s="64">
        <f t="shared" si="427"/>
        <v>1</v>
      </c>
      <c r="P1082" s="64">
        <f t="shared" si="428"/>
        <v>0</v>
      </c>
      <c r="Q1082" s="91" t="s">
        <v>2551</v>
      </c>
      <c r="R1082" s="64">
        <f t="shared" si="429"/>
        <v>0</v>
      </c>
      <c r="S1082" s="67">
        <v>45784</v>
      </c>
      <c r="T1082" s="67">
        <v>45804</v>
      </c>
      <c r="U1082" s="64">
        <v>1</v>
      </c>
      <c r="V1082" s="66"/>
      <c r="W1082" s="66"/>
      <c r="X1082" s="93"/>
      <c r="Y1082" s="94"/>
      <c r="Z1082" s="91" t="str">
        <f t="shared" si="422"/>
        <v>100%</v>
      </c>
      <c r="AA1082" s="67"/>
      <c r="AB1082" s="473"/>
      <c r="AC1082" s="478" t="s">
        <v>2711</v>
      </c>
      <c r="AD1082" s="67"/>
    </row>
    <row r="1083" spans="2:30">
      <c r="B1083" s="64" t="s">
        <v>109</v>
      </c>
      <c r="C1083" s="65" t="s">
        <v>61</v>
      </c>
      <c r="D1083" s="66">
        <v>4.2699999999999996</v>
      </c>
      <c r="E1083" s="67">
        <v>45776</v>
      </c>
      <c r="F1083" s="64">
        <v>1</v>
      </c>
      <c r="G1083" s="67">
        <v>45777</v>
      </c>
      <c r="H1083" s="64">
        <v>1</v>
      </c>
      <c r="I1083" s="67">
        <v>45789</v>
      </c>
      <c r="J1083" s="64">
        <f t="shared" si="424"/>
        <v>0</v>
      </c>
      <c r="K1083" s="67">
        <v>45778</v>
      </c>
      <c r="L1083" s="64">
        <f t="shared" si="425"/>
        <v>0</v>
      </c>
      <c r="M1083" s="64">
        <f t="shared" si="426"/>
        <v>0</v>
      </c>
      <c r="N1083" s="67">
        <v>45790</v>
      </c>
      <c r="O1083" s="64">
        <f t="shared" si="427"/>
        <v>1</v>
      </c>
      <c r="P1083" s="64">
        <f t="shared" si="428"/>
        <v>0</v>
      </c>
      <c r="Q1083" s="91" t="s">
        <v>2551</v>
      </c>
      <c r="R1083" s="64">
        <f t="shared" si="429"/>
        <v>0</v>
      </c>
      <c r="S1083" s="67">
        <v>45792</v>
      </c>
      <c r="T1083" s="67">
        <v>45806</v>
      </c>
      <c r="U1083" s="64">
        <v>1</v>
      </c>
      <c r="V1083" s="66"/>
      <c r="W1083" s="66"/>
      <c r="X1083" s="93"/>
      <c r="Y1083" s="94"/>
      <c r="Z1083" s="91" t="str">
        <f t="shared" si="422"/>
        <v>100%</v>
      </c>
      <c r="AA1083" s="67"/>
      <c r="AB1083" s="473"/>
      <c r="AC1083" s="478" t="s">
        <v>2711</v>
      </c>
      <c r="AD1083" s="67"/>
    </row>
    <row r="1084" spans="2:30">
      <c r="B1084" s="64" t="s">
        <v>109</v>
      </c>
      <c r="C1084" s="65" t="s">
        <v>550</v>
      </c>
      <c r="D1084" s="66">
        <v>6.17</v>
      </c>
      <c r="E1084" s="67">
        <v>45776</v>
      </c>
      <c r="F1084" s="64">
        <v>1</v>
      </c>
      <c r="G1084" s="67">
        <v>45777</v>
      </c>
      <c r="H1084" s="64">
        <v>1</v>
      </c>
      <c r="I1084" s="67">
        <v>45783</v>
      </c>
      <c r="J1084" s="64">
        <f t="shared" si="424"/>
        <v>0</v>
      </c>
      <c r="K1084" s="67">
        <v>45778</v>
      </c>
      <c r="L1084" s="64">
        <f t="shared" si="425"/>
        <v>0</v>
      </c>
      <c r="M1084" s="64">
        <f t="shared" si="426"/>
        <v>0</v>
      </c>
      <c r="N1084" s="67">
        <v>45784</v>
      </c>
      <c r="O1084" s="64">
        <f t="shared" si="427"/>
        <v>1</v>
      </c>
      <c r="P1084" s="64">
        <f t="shared" si="428"/>
        <v>0</v>
      </c>
      <c r="Q1084" s="91" t="s">
        <v>2551</v>
      </c>
      <c r="R1084" s="64">
        <f t="shared" si="429"/>
        <v>0</v>
      </c>
      <c r="S1084" s="67">
        <v>45784</v>
      </c>
      <c r="T1084" s="67">
        <v>45808</v>
      </c>
      <c r="U1084" s="64">
        <v>1</v>
      </c>
      <c r="V1084" s="66"/>
      <c r="W1084" s="66"/>
      <c r="X1084" s="93"/>
      <c r="Y1084" s="94"/>
      <c r="Z1084" s="91" t="str">
        <f t="shared" si="422"/>
        <v>100%</v>
      </c>
      <c r="AA1084" s="67"/>
      <c r="AB1084" s="473"/>
      <c r="AC1084" s="478" t="s">
        <v>2711</v>
      </c>
      <c r="AD1084" s="67"/>
    </row>
    <row r="1085" spans="2:30">
      <c r="B1085" s="64" t="s">
        <v>111</v>
      </c>
      <c r="C1085" s="65" t="s">
        <v>561</v>
      </c>
      <c r="D1085" s="66">
        <v>10.220000000000001</v>
      </c>
      <c r="E1085" s="67">
        <v>45737</v>
      </c>
      <c r="F1085" s="64">
        <v>1</v>
      </c>
      <c r="G1085" s="67">
        <v>45744</v>
      </c>
      <c r="H1085" s="64">
        <v>1</v>
      </c>
      <c r="I1085" s="67">
        <v>45773</v>
      </c>
      <c r="J1085" s="64">
        <f t="shared" si="424"/>
        <v>0</v>
      </c>
      <c r="K1085" s="67">
        <v>45730</v>
      </c>
      <c r="L1085" s="64">
        <f t="shared" si="425"/>
        <v>0</v>
      </c>
      <c r="M1085" s="64">
        <f t="shared" si="426"/>
        <v>0</v>
      </c>
      <c r="N1085" s="67">
        <v>45774</v>
      </c>
      <c r="O1085" s="64">
        <f t="shared" si="427"/>
        <v>1</v>
      </c>
      <c r="P1085" s="64">
        <f t="shared" si="428"/>
        <v>0</v>
      </c>
      <c r="Q1085" s="91" t="s">
        <v>2551</v>
      </c>
      <c r="R1085" s="64">
        <f t="shared" si="429"/>
        <v>0</v>
      </c>
      <c r="S1085" s="67">
        <v>45775</v>
      </c>
      <c r="T1085" s="67">
        <v>45808</v>
      </c>
      <c r="U1085" s="64">
        <v>1</v>
      </c>
      <c r="V1085" s="66"/>
      <c r="W1085" s="66"/>
      <c r="X1085" s="93"/>
      <c r="Y1085" s="94"/>
      <c r="Z1085" s="91" t="str">
        <f t="shared" si="422"/>
        <v>100%</v>
      </c>
      <c r="AA1085" s="67"/>
      <c r="AB1085" s="473"/>
      <c r="AC1085" s="478" t="s">
        <v>2711</v>
      </c>
      <c r="AD1085" s="67"/>
    </row>
    <row r="1086" spans="2:30">
      <c r="B1086" s="64" t="s">
        <v>116</v>
      </c>
      <c r="C1086" s="65" t="s">
        <v>579</v>
      </c>
      <c r="D1086" s="66">
        <v>8.4600000000000009</v>
      </c>
      <c r="E1086" s="67">
        <v>45783</v>
      </c>
      <c r="F1086" s="64">
        <v>1</v>
      </c>
      <c r="G1086" s="67">
        <v>45784</v>
      </c>
      <c r="H1086" s="64">
        <v>1</v>
      </c>
      <c r="I1086" s="67">
        <v>45792</v>
      </c>
      <c r="J1086" s="64">
        <f t="shared" si="424"/>
        <v>0</v>
      </c>
      <c r="K1086" s="67">
        <v>45785</v>
      </c>
      <c r="L1086" s="64">
        <f t="shared" si="425"/>
        <v>0</v>
      </c>
      <c r="M1086" s="64">
        <f t="shared" si="426"/>
        <v>0</v>
      </c>
      <c r="N1086" s="67">
        <v>45793</v>
      </c>
      <c r="O1086" s="64">
        <f t="shared" si="427"/>
        <v>1</v>
      </c>
      <c r="P1086" s="64">
        <f t="shared" si="428"/>
        <v>0</v>
      </c>
      <c r="Q1086" s="91" t="s">
        <v>2551</v>
      </c>
      <c r="R1086" s="64">
        <f t="shared" si="429"/>
        <v>0</v>
      </c>
      <c r="S1086" s="67">
        <v>45793</v>
      </c>
      <c r="T1086" s="67">
        <v>45808</v>
      </c>
      <c r="U1086" s="64">
        <v>1</v>
      </c>
      <c r="V1086" s="66"/>
      <c r="W1086" s="66"/>
      <c r="X1086" s="93"/>
      <c r="Y1086" s="94"/>
      <c r="Z1086" s="91" t="str">
        <f t="shared" si="422"/>
        <v>100%</v>
      </c>
      <c r="AA1086" s="67"/>
      <c r="AB1086" s="473"/>
      <c r="AC1086" s="478" t="s">
        <v>2711</v>
      </c>
      <c r="AD1086" s="67"/>
    </row>
    <row r="1087" spans="2:30">
      <c r="B1087" s="64" t="s">
        <v>109</v>
      </c>
      <c r="C1087" s="65" t="s">
        <v>56</v>
      </c>
      <c r="D1087" s="66">
        <v>6.78</v>
      </c>
      <c r="E1087" s="67">
        <v>45775</v>
      </c>
      <c r="F1087" s="64">
        <v>1</v>
      </c>
      <c r="G1087" s="67">
        <v>45777</v>
      </c>
      <c r="H1087" s="64">
        <v>1</v>
      </c>
      <c r="I1087" s="67">
        <v>45781</v>
      </c>
      <c r="J1087" s="64">
        <v>0</v>
      </c>
      <c r="K1087" s="67">
        <v>45778</v>
      </c>
      <c r="L1087" s="64">
        <v>0</v>
      </c>
      <c r="M1087" s="64">
        <v>0</v>
      </c>
      <c r="N1087" s="67">
        <v>45782</v>
      </c>
      <c r="O1087" s="64">
        <v>1</v>
      </c>
      <c r="P1087" s="64">
        <v>0</v>
      </c>
      <c r="Q1087" s="91" t="s">
        <v>2551</v>
      </c>
      <c r="R1087" s="64">
        <f t="shared" si="429"/>
        <v>0</v>
      </c>
      <c r="S1087" s="67">
        <v>45786</v>
      </c>
      <c r="T1087" s="67">
        <v>45811</v>
      </c>
      <c r="U1087" s="64">
        <v>1</v>
      </c>
      <c r="V1087" s="66"/>
      <c r="W1087" s="66"/>
      <c r="X1087" s="93"/>
      <c r="Y1087" s="94"/>
      <c r="Z1087" s="91" t="str">
        <f t="shared" si="422"/>
        <v>100%</v>
      </c>
      <c r="AA1087" s="67"/>
      <c r="AB1087" s="473"/>
      <c r="AC1087" s="478" t="s">
        <v>2711</v>
      </c>
      <c r="AD1087" s="67"/>
    </row>
    <row r="1088" spans="2:30">
      <c r="B1088" s="64" t="s">
        <v>109</v>
      </c>
      <c r="C1088" s="65" t="s">
        <v>58</v>
      </c>
      <c r="D1088" s="66">
        <v>5.76</v>
      </c>
      <c r="E1088" s="67">
        <v>45775</v>
      </c>
      <c r="F1088" s="64">
        <v>1</v>
      </c>
      <c r="G1088" s="67">
        <v>45777</v>
      </c>
      <c r="H1088" s="64">
        <v>1</v>
      </c>
      <c r="I1088" s="67">
        <v>45781</v>
      </c>
      <c r="J1088" s="64">
        <v>0</v>
      </c>
      <c r="K1088" s="67">
        <v>45778</v>
      </c>
      <c r="L1088" s="64">
        <v>0</v>
      </c>
      <c r="M1088" s="64">
        <v>0</v>
      </c>
      <c r="N1088" s="67">
        <v>45782</v>
      </c>
      <c r="O1088" s="64">
        <v>1</v>
      </c>
      <c r="P1088" s="64">
        <v>0</v>
      </c>
      <c r="Q1088" s="91" t="s">
        <v>2551</v>
      </c>
      <c r="R1088" s="64">
        <f t="shared" si="429"/>
        <v>0</v>
      </c>
      <c r="S1088" s="67">
        <v>45786</v>
      </c>
      <c r="T1088" s="67">
        <v>45811</v>
      </c>
      <c r="U1088" s="64">
        <v>1</v>
      </c>
      <c r="V1088" s="66"/>
      <c r="W1088" s="66"/>
      <c r="X1088" s="93"/>
      <c r="Y1088" s="94"/>
      <c r="Z1088" s="91" t="str">
        <f t="shared" si="422"/>
        <v>100%</v>
      </c>
      <c r="AA1088" s="67"/>
      <c r="AB1088" s="473"/>
      <c r="AC1088" s="478" t="s">
        <v>2711</v>
      </c>
      <c r="AD1088" s="67"/>
    </row>
    <row r="1089" spans="2:30">
      <c r="B1089" s="64" t="s">
        <v>105</v>
      </c>
      <c r="C1089" s="65" t="s">
        <v>2559</v>
      </c>
      <c r="D1089" s="66">
        <v>7.2</v>
      </c>
      <c r="E1089" s="67">
        <v>45793</v>
      </c>
      <c r="F1089" s="64">
        <v>1</v>
      </c>
      <c r="G1089" s="67">
        <v>45794</v>
      </c>
      <c r="H1089" s="64">
        <v>1</v>
      </c>
      <c r="I1089" s="67">
        <v>45792</v>
      </c>
      <c r="J1089" s="64">
        <v>0</v>
      </c>
      <c r="K1089" s="67">
        <v>45792</v>
      </c>
      <c r="L1089" s="64">
        <v>0</v>
      </c>
      <c r="M1089" s="64">
        <v>0</v>
      </c>
      <c r="N1089" s="67">
        <v>45793</v>
      </c>
      <c r="O1089" s="64">
        <v>1</v>
      </c>
      <c r="P1089" s="64">
        <v>0</v>
      </c>
      <c r="Q1089" s="91" t="s">
        <v>2551</v>
      </c>
      <c r="R1089" s="64">
        <f t="shared" si="429"/>
        <v>0</v>
      </c>
      <c r="S1089" s="67">
        <v>45795</v>
      </c>
      <c r="T1089" s="67">
        <v>45813</v>
      </c>
      <c r="U1089" s="64">
        <v>1</v>
      </c>
      <c r="V1089" s="66"/>
      <c r="W1089" s="66"/>
      <c r="X1089" s="93"/>
      <c r="Y1089" s="94"/>
      <c r="Z1089" s="91" t="str">
        <f t="shared" si="422"/>
        <v>100%</v>
      </c>
      <c r="AA1089" s="67"/>
      <c r="AB1089" s="473"/>
      <c r="AC1089" s="478" t="s">
        <v>2711</v>
      </c>
      <c r="AD1089" s="67"/>
    </row>
    <row r="1090" spans="2:30">
      <c r="B1090" s="64" t="s">
        <v>116</v>
      </c>
      <c r="C1090" s="65" t="s">
        <v>75</v>
      </c>
      <c r="D1090" s="66">
        <v>7.45</v>
      </c>
      <c r="E1090" s="67">
        <v>45762</v>
      </c>
      <c r="F1090" s="64">
        <v>1</v>
      </c>
      <c r="G1090" s="67">
        <v>45765</v>
      </c>
      <c r="H1090" s="64">
        <v>1</v>
      </c>
      <c r="I1090" s="67">
        <v>45771</v>
      </c>
      <c r="J1090" s="64">
        <v>0</v>
      </c>
      <c r="K1090" s="67">
        <v>45769</v>
      </c>
      <c r="L1090" s="64">
        <v>0</v>
      </c>
      <c r="M1090" s="64">
        <v>0</v>
      </c>
      <c r="N1090" s="67">
        <v>45772</v>
      </c>
      <c r="O1090" s="64">
        <v>1</v>
      </c>
      <c r="P1090" s="64">
        <v>0</v>
      </c>
      <c r="Q1090" s="91" t="s">
        <v>2551</v>
      </c>
      <c r="R1090" s="64">
        <f t="shared" si="429"/>
        <v>0</v>
      </c>
      <c r="S1090" s="67">
        <v>45773</v>
      </c>
      <c r="T1090" s="67">
        <v>45815</v>
      </c>
      <c r="U1090" s="64">
        <v>1</v>
      </c>
      <c r="V1090" s="66"/>
      <c r="W1090" s="66"/>
      <c r="X1090" s="93"/>
      <c r="Y1090" s="94"/>
      <c r="Z1090" s="91" t="str">
        <f t="shared" si="422"/>
        <v>100%</v>
      </c>
      <c r="AA1090" s="67"/>
      <c r="AB1090" s="473"/>
      <c r="AC1090" s="478" t="s">
        <v>2711</v>
      </c>
      <c r="AD1090" s="67"/>
    </row>
    <row r="1091" spans="2:30">
      <c r="B1091" s="64" t="s">
        <v>109</v>
      </c>
      <c r="C1091" s="65" t="s">
        <v>2378</v>
      </c>
      <c r="D1091" s="66">
        <v>6.88</v>
      </c>
      <c r="E1091" s="67">
        <v>45780</v>
      </c>
      <c r="F1091" s="64">
        <v>1</v>
      </c>
      <c r="G1091" s="67">
        <v>45782</v>
      </c>
      <c r="H1091" s="64">
        <v>1</v>
      </c>
      <c r="I1091" s="67">
        <v>45787</v>
      </c>
      <c r="J1091" s="64">
        <v>0</v>
      </c>
      <c r="K1091" s="67">
        <v>45784</v>
      </c>
      <c r="L1091" s="64">
        <v>0</v>
      </c>
      <c r="M1091" s="64">
        <v>0</v>
      </c>
      <c r="N1091" s="67">
        <v>45788</v>
      </c>
      <c r="O1091" s="64">
        <v>1</v>
      </c>
      <c r="P1091" s="64">
        <v>0</v>
      </c>
      <c r="Q1091" s="91" t="s">
        <v>2551</v>
      </c>
      <c r="R1091" s="64">
        <f t="shared" si="429"/>
        <v>0</v>
      </c>
      <c r="S1091" s="67">
        <v>45789</v>
      </c>
      <c r="T1091" s="67">
        <v>45813</v>
      </c>
      <c r="U1091" s="64">
        <v>1</v>
      </c>
      <c r="V1091" s="66"/>
      <c r="W1091" s="66"/>
      <c r="X1091" s="93"/>
      <c r="Y1091" s="94"/>
      <c r="Z1091" s="91" t="str">
        <f t="shared" si="422"/>
        <v>100%</v>
      </c>
      <c r="AA1091" s="67"/>
      <c r="AB1091" s="473"/>
      <c r="AC1091" s="478" t="s">
        <v>2711</v>
      </c>
      <c r="AD1091" s="67"/>
    </row>
    <row r="1092" spans="2:30">
      <c r="B1092" s="64" t="s">
        <v>105</v>
      </c>
      <c r="C1092" s="65" t="s">
        <v>2561</v>
      </c>
      <c r="D1092" s="66">
        <v>6.6</v>
      </c>
      <c r="E1092" s="67">
        <v>45796</v>
      </c>
      <c r="F1092" s="64">
        <v>1</v>
      </c>
      <c r="G1092" s="67">
        <v>45798</v>
      </c>
      <c r="H1092" s="64">
        <v>1</v>
      </c>
      <c r="I1092" s="67">
        <v>45801</v>
      </c>
      <c r="J1092" s="64">
        <v>0</v>
      </c>
      <c r="K1092" s="67">
        <v>45798</v>
      </c>
      <c r="L1092" s="64">
        <v>0</v>
      </c>
      <c r="M1092" s="64">
        <v>0</v>
      </c>
      <c r="N1092" s="67">
        <v>45802</v>
      </c>
      <c r="O1092" s="64">
        <v>1</v>
      </c>
      <c r="P1092" s="64">
        <v>0</v>
      </c>
      <c r="Q1092" s="91" t="s">
        <v>2551</v>
      </c>
      <c r="R1092" s="64">
        <f t="shared" si="429"/>
        <v>0</v>
      </c>
      <c r="S1092" s="67">
        <v>45802</v>
      </c>
      <c r="T1092" s="67">
        <v>45815</v>
      </c>
      <c r="U1092" s="64">
        <v>1</v>
      </c>
      <c r="V1092" s="66"/>
      <c r="W1092" s="66"/>
      <c r="X1092" s="93"/>
      <c r="Y1092" s="94"/>
      <c r="Z1092" s="91" t="str">
        <f t="shared" si="422"/>
        <v>100%</v>
      </c>
      <c r="AA1092" s="67"/>
      <c r="AB1092" s="473"/>
      <c r="AC1092" s="478" t="s">
        <v>2711</v>
      </c>
      <c r="AD1092" s="67"/>
    </row>
    <row r="1093" spans="2:30">
      <c r="B1093" s="64" t="s">
        <v>109</v>
      </c>
      <c r="C1093" s="65" t="s">
        <v>317</v>
      </c>
      <c r="D1093" s="66">
        <v>6.08</v>
      </c>
      <c r="E1093" s="67">
        <v>45780</v>
      </c>
      <c r="F1093" s="64">
        <v>1</v>
      </c>
      <c r="G1093" s="67">
        <v>45782</v>
      </c>
      <c r="H1093" s="64">
        <v>1</v>
      </c>
      <c r="I1093" s="67">
        <v>45789</v>
      </c>
      <c r="J1093" s="64">
        <v>0</v>
      </c>
      <c r="K1093" s="67">
        <v>45784</v>
      </c>
      <c r="L1093" s="64">
        <v>0</v>
      </c>
      <c r="M1093" s="64">
        <v>0</v>
      </c>
      <c r="N1093" s="67">
        <v>45790</v>
      </c>
      <c r="O1093" s="64">
        <v>1</v>
      </c>
      <c r="P1093" s="64">
        <v>0</v>
      </c>
      <c r="Q1093" s="91" t="s">
        <v>2551</v>
      </c>
      <c r="R1093" s="64">
        <f t="shared" si="429"/>
        <v>0</v>
      </c>
      <c r="S1093" s="67">
        <v>45797</v>
      </c>
      <c r="T1093" s="67">
        <v>45815</v>
      </c>
      <c r="U1093" s="64">
        <v>1</v>
      </c>
      <c r="V1093" s="66"/>
      <c r="W1093" s="66"/>
      <c r="X1093" s="93"/>
      <c r="Y1093" s="94"/>
      <c r="Z1093" s="91" t="str">
        <f t="shared" si="422"/>
        <v>100%</v>
      </c>
      <c r="AA1093" s="67"/>
      <c r="AB1093" s="473"/>
      <c r="AC1093" s="478" t="s">
        <v>2711</v>
      </c>
      <c r="AD1093" s="67"/>
    </row>
    <row r="1094" spans="2:30">
      <c r="B1094" s="64" t="s">
        <v>107</v>
      </c>
      <c r="C1094" s="65" t="s">
        <v>810</v>
      </c>
      <c r="D1094" s="66">
        <v>3.82</v>
      </c>
      <c r="E1094" s="67">
        <v>45784</v>
      </c>
      <c r="F1094" s="64">
        <v>1</v>
      </c>
      <c r="G1094" s="67">
        <v>45785</v>
      </c>
      <c r="H1094" s="64">
        <v>1</v>
      </c>
      <c r="I1094" s="67">
        <v>45790</v>
      </c>
      <c r="J1094" s="64">
        <v>0</v>
      </c>
      <c r="K1094" s="67">
        <v>45791</v>
      </c>
      <c r="L1094" s="64">
        <v>0</v>
      </c>
      <c r="M1094" s="64">
        <v>0</v>
      </c>
      <c r="N1094" s="67">
        <v>45792</v>
      </c>
      <c r="O1094" s="64">
        <v>1</v>
      </c>
      <c r="P1094" s="64">
        <v>0</v>
      </c>
      <c r="Q1094" s="91" t="s">
        <v>2551</v>
      </c>
      <c r="R1094" s="64">
        <f t="shared" si="429"/>
        <v>0</v>
      </c>
      <c r="S1094" s="67">
        <v>45793</v>
      </c>
      <c r="T1094" s="67">
        <v>45817</v>
      </c>
      <c r="U1094" s="64">
        <v>1</v>
      </c>
      <c r="V1094" s="66"/>
      <c r="W1094" s="66"/>
      <c r="X1094" s="93"/>
      <c r="Y1094" s="94"/>
      <c r="Z1094" s="91" t="str">
        <f t="shared" si="422"/>
        <v>100%</v>
      </c>
      <c r="AA1094" s="67"/>
      <c r="AB1094" s="473"/>
      <c r="AC1094" s="478" t="s">
        <v>2711</v>
      </c>
      <c r="AD1094" s="67"/>
    </row>
    <row r="1095" spans="2:30">
      <c r="B1095" s="64" t="s">
        <v>107</v>
      </c>
      <c r="C1095" s="65" t="s">
        <v>2205</v>
      </c>
      <c r="D1095" s="66">
        <v>5.73</v>
      </c>
      <c r="E1095" s="67">
        <v>45784</v>
      </c>
      <c r="F1095" s="64">
        <v>1</v>
      </c>
      <c r="G1095" s="67">
        <v>45785</v>
      </c>
      <c r="H1095" s="64">
        <v>1</v>
      </c>
      <c r="I1095" s="67">
        <v>45790</v>
      </c>
      <c r="J1095" s="64">
        <v>0</v>
      </c>
      <c r="K1095" s="67">
        <v>45789</v>
      </c>
      <c r="L1095" s="64">
        <v>0</v>
      </c>
      <c r="M1095" s="64">
        <v>0</v>
      </c>
      <c r="N1095" s="67">
        <v>45791</v>
      </c>
      <c r="O1095" s="64">
        <v>1</v>
      </c>
      <c r="P1095" s="64">
        <v>0</v>
      </c>
      <c r="Q1095" s="91" t="s">
        <v>2551</v>
      </c>
      <c r="R1095" s="64">
        <f t="shared" si="429"/>
        <v>0</v>
      </c>
      <c r="S1095" s="67">
        <v>45799</v>
      </c>
      <c r="T1095" s="67">
        <v>45817</v>
      </c>
      <c r="U1095" s="64">
        <v>1</v>
      </c>
      <c r="V1095" s="66"/>
      <c r="W1095" s="66"/>
      <c r="X1095" s="93"/>
      <c r="Y1095" s="94"/>
      <c r="Z1095" s="91" t="str">
        <f t="shared" si="422"/>
        <v>100%</v>
      </c>
      <c r="AA1095" s="67"/>
      <c r="AB1095" s="473"/>
      <c r="AC1095" s="478" t="s">
        <v>2711</v>
      </c>
      <c r="AD1095" s="67"/>
    </row>
    <row r="1096" spans="2:30">
      <c r="B1096" s="64" t="s">
        <v>105</v>
      </c>
      <c r="C1096" s="65" t="s">
        <v>2560</v>
      </c>
      <c r="D1096" s="66">
        <v>6.01</v>
      </c>
      <c r="E1096" s="67">
        <v>45795</v>
      </c>
      <c r="F1096" s="64">
        <v>1</v>
      </c>
      <c r="G1096" s="67">
        <v>45798</v>
      </c>
      <c r="H1096" s="64">
        <v>1</v>
      </c>
      <c r="I1096" s="67">
        <v>45804</v>
      </c>
      <c r="J1096" s="64">
        <v>0</v>
      </c>
      <c r="K1096" s="67">
        <v>45798</v>
      </c>
      <c r="L1096" s="64">
        <v>0</v>
      </c>
      <c r="M1096" s="64">
        <v>0</v>
      </c>
      <c r="N1096" s="67">
        <v>45805</v>
      </c>
      <c r="O1096" s="64">
        <v>1</v>
      </c>
      <c r="P1096" s="64">
        <v>0</v>
      </c>
      <c r="Q1096" s="91" t="s">
        <v>2551</v>
      </c>
      <c r="R1096" s="64">
        <f t="shared" si="429"/>
        <v>0</v>
      </c>
      <c r="S1096" s="67">
        <v>45805</v>
      </c>
      <c r="T1096" s="67">
        <v>45819</v>
      </c>
      <c r="U1096" s="64">
        <v>1</v>
      </c>
      <c r="V1096" s="66"/>
      <c r="W1096" s="66"/>
      <c r="X1096" s="93"/>
      <c r="Y1096" s="94"/>
      <c r="Z1096" s="91" t="str">
        <f t="shared" si="422"/>
        <v>100%</v>
      </c>
      <c r="AA1096" s="67"/>
      <c r="AB1096" s="473"/>
      <c r="AC1096" s="478" t="s">
        <v>2711</v>
      </c>
      <c r="AD1096" s="67"/>
    </row>
    <row r="1097" spans="2:30">
      <c r="B1097" s="64" t="s">
        <v>109</v>
      </c>
      <c r="C1097" s="65" t="s">
        <v>2379</v>
      </c>
      <c r="D1097" s="66">
        <v>2</v>
      </c>
      <c r="E1097" s="67">
        <v>45780</v>
      </c>
      <c r="F1097" s="64">
        <v>1</v>
      </c>
      <c r="G1097" s="67">
        <v>45782</v>
      </c>
      <c r="H1097" s="64">
        <v>1</v>
      </c>
      <c r="I1097" s="67">
        <v>45783</v>
      </c>
      <c r="J1097" s="64">
        <v>0</v>
      </c>
      <c r="K1097" s="67">
        <v>45784</v>
      </c>
      <c r="L1097" s="64">
        <v>0</v>
      </c>
      <c r="M1097" s="64">
        <v>0</v>
      </c>
      <c r="N1097" s="67">
        <v>45785</v>
      </c>
      <c r="O1097" s="64">
        <v>1</v>
      </c>
      <c r="P1097" s="64">
        <v>0</v>
      </c>
      <c r="Q1097" s="91" t="s">
        <v>2551</v>
      </c>
      <c r="R1097" s="64">
        <f t="shared" si="429"/>
        <v>0</v>
      </c>
      <c r="S1097" s="67">
        <v>45804</v>
      </c>
      <c r="T1097" s="67">
        <v>45819</v>
      </c>
      <c r="U1097" s="64">
        <v>1</v>
      </c>
      <c r="V1097" s="66"/>
      <c r="W1097" s="66"/>
      <c r="X1097" s="93"/>
      <c r="Y1097" s="94"/>
      <c r="Z1097" s="91" t="str">
        <f t="shared" si="422"/>
        <v>100%</v>
      </c>
      <c r="AA1097" s="67"/>
      <c r="AB1097" s="473"/>
      <c r="AC1097" s="478" t="s">
        <v>2711</v>
      </c>
      <c r="AD1097" s="67"/>
    </row>
    <row r="1098" spans="2:30">
      <c r="B1098" s="64" t="s">
        <v>116</v>
      </c>
      <c r="C1098" s="65" t="s">
        <v>438</v>
      </c>
      <c r="D1098" s="66">
        <v>10.78</v>
      </c>
      <c r="E1098" s="67">
        <v>45781</v>
      </c>
      <c r="F1098" s="64">
        <v>1</v>
      </c>
      <c r="G1098" s="67">
        <v>45805</v>
      </c>
      <c r="H1098" s="64">
        <v>1</v>
      </c>
      <c r="I1098" s="67">
        <v>45804</v>
      </c>
      <c r="J1098" s="64">
        <v>0</v>
      </c>
      <c r="K1098" s="67">
        <v>45798</v>
      </c>
      <c r="L1098" s="64">
        <v>0</v>
      </c>
      <c r="M1098" s="64">
        <v>0</v>
      </c>
      <c r="N1098" s="67">
        <v>45805</v>
      </c>
      <c r="O1098" s="64">
        <v>1</v>
      </c>
      <c r="P1098" s="64">
        <v>0</v>
      </c>
      <c r="Q1098" s="91" t="s">
        <v>2551</v>
      </c>
      <c r="R1098" s="64">
        <f t="shared" si="429"/>
        <v>0</v>
      </c>
      <c r="S1098" s="67">
        <v>45805</v>
      </c>
      <c r="T1098" s="67">
        <v>45820</v>
      </c>
      <c r="U1098" s="64">
        <v>1</v>
      </c>
      <c r="V1098" s="66"/>
      <c r="W1098" s="66"/>
      <c r="X1098" s="93"/>
      <c r="Y1098" s="94"/>
      <c r="Z1098" s="91" t="str">
        <f t="shared" ref="Z1098:Z1161" si="430">IF(T1098="","","100%")</f>
        <v>100%</v>
      </c>
      <c r="AA1098" s="67"/>
      <c r="AB1098" s="473"/>
      <c r="AC1098" s="478" t="s">
        <v>2711</v>
      </c>
      <c r="AD1098" s="67"/>
    </row>
    <row r="1099" spans="2:30">
      <c r="B1099" s="64" t="s">
        <v>116</v>
      </c>
      <c r="C1099" s="65" t="s">
        <v>540</v>
      </c>
      <c r="D1099" s="66">
        <v>10.69</v>
      </c>
      <c r="E1099" s="67">
        <v>45778</v>
      </c>
      <c r="F1099" s="64">
        <v>1</v>
      </c>
      <c r="G1099" s="67">
        <v>45779</v>
      </c>
      <c r="H1099" s="64">
        <v>1</v>
      </c>
      <c r="I1099" s="67">
        <v>45782</v>
      </c>
      <c r="J1099" s="64">
        <v>0</v>
      </c>
      <c r="K1099" s="67">
        <v>45784</v>
      </c>
      <c r="L1099" s="64">
        <v>0</v>
      </c>
      <c r="M1099" s="64">
        <v>0</v>
      </c>
      <c r="N1099" s="67">
        <v>45785</v>
      </c>
      <c r="O1099" s="64">
        <v>1</v>
      </c>
      <c r="P1099" s="64">
        <v>0</v>
      </c>
      <c r="Q1099" s="91" t="s">
        <v>2551</v>
      </c>
      <c r="R1099" s="64">
        <f t="shared" si="429"/>
        <v>0</v>
      </c>
      <c r="S1099" s="67">
        <v>45786</v>
      </c>
      <c r="T1099" s="67">
        <v>45826</v>
      </c>
      <c r="U1099" s="64">
        <v>1</v>
      </c>
      <c r="V1099" s="66"/>
      <c r="W1099" s="66"/>
      <c r="X1099" s="93"/>
      <c r="Y1099" s="94"/>
      <c r="Z1099" s="91" t="str">
        <f t="shared" si="430"/>
        <v>100%</v>
      </c>
      <c r="AA1099" s="67"/>
      <c r="AB1099" s="473"/>
      <c r="AC1099" s="478" t="s">
        <v>2711</v>
      </c>
      <c r="AD1099" s="67"/>
    </row>
    <row r="1100" spans="2:30">
      <c r="B1100" s="64" t="s">
        <v>116</v>
      </c>
      <c r="C1100" s="65" t="s">
        <v>574</v>
      </c>
      <c r="D1100" s="66">
        <v>8.68</v>
      </c>
      <c r="E1100" s="67">
        <v>45807</v>
      </c>
      <c r="F1100" s="64">
        <v>1</v>
      </c>
      <c r="G1100" s="67">
        <v>45811</v>
      </c>
      <c r="H1100" s="64">
        <v>1</v>
      </c>
      <c r="I1100" s="67">
        <v>45812</v>
      </c>
      <c r="J1100" s="64">
        <v>0</v>
      </c>
      <c r="K1100" s="67">
        <v>45811</v>
      </c>
      <c r="L1100" s="64">
        <v>0</v>
      </c>
      <c r="M1100" s="64">
        <v>0</v>
      </c>
      <c r="N1100" s="67">
        <v>45813</v>
      </c>
      <c r="O1100" s="64">
        <v>1</v>
      </c>
      <c r="P1100" s="64">
        <v>0</v>
      </c>
      <c r="Q1100" s="91" t="s">
        <v>2551</v>
      </c>
      <c r="R1100" s="64">
        <f t="shared" si="429"/>
        <v>0</v>
      </c>
      <c r="S1100" s="67">
        <v>45813</v>
      </c>
      <c r="T1100" s="67">
        <v>45832</v>
      </c>
      <c r="U1100" s="64">
        <v>1</v>
      </c>
      <c r="V1100" s="66"/>
      <c r="W1100" s="66"/>
      <c r="X1100" s="93"/>
      <c r="Y1100" s="94"/>
      <c r="Z1100" s="91" t="str">
        <f t="shared" si="430"/>
        <v>100%</v>
      </c>
      <c r="AA1100" s="67"/>
      <c r="AB1100" s="473"/>
      <c r="AC1100" s="478" t="s">
        <v>2711</v>
      </c>
      <c r="AD1100" s="67"/>
    </row>
    <row r="1101" spans="2:30">
      <c r="B1101" s="64" t="s">
        <v>105</v>
      </c>
      <c r="C1101" s="65" t="s">
        <v>569</v>
      </c>
      <c r="D1101" s="66">
        <v>6.15</v>
      </c>
      <c r="E1101" s="67">
        <v>45804</v>
      </c>
      <c r="F1101" s="64">
        <v>1</v>
      </c>
      <c r="G1101" s="67">
        <v>45805</v>
      </c>
      <c r="H1101" s="64">
        <v>1</v>
      </c>
      <c r="I1101" s="67">
        <v>45809</v>
      </c>
      <c r="J1101" s="64">
        <v>0</v>
      </c>
      <c r="K1101" s="67">
        <v>45806</v>
      </c>
      <c r="L1101" s="64">
        <v>0</v>
      </c>
      <c r="M1101" s="64">
        <v>0</v>
      </c>
      <c r="N1101" s="67">
        <v>45810</v>
      </c>
      <c r="O1101" s="64">
        <v>1</v>
      </c>
      <c r="P1101" s="64">
        <v>0</v>
      </c>
      <c r="Q1101" s="91" t="s">
        <v>2551</v>
      </c>
      <c r="R1101" s="64">
        <f t="shared" si="429"/>
        <v>0</v>
      </c>
      <c r="S1101" s="67">
        <v>45811</v>
      </c>
      <c r="T1101" s="67">
        <v>45826</v>
      </c>
      <c r="U1101" s="64">
        <v>1</v>
      </c>
      <c r="V1101" s="66"/>
      <c r="W1101" s="66"/>
      <c r="X1101" s="93"/>
      <c r="Y1101" s="94"/>
      <c r="Z1101" s="91" t="str">
        <f t="shared" si="430"/>
        <v>100%</v>
      </c>
      <c r="AA1101" s="67"/>
      <c r="AB1101" s="473"/>
      <c r="AC1101" s="478" t="s">
        <v>2711</v>
      </c>
      <c r="AD1101" s="67"/>
    </row>
    <row r="1102" spans="2:30">
      <c r="B1102" s="64" t="s">
        <v>105</v>
      </c>
      <c r="C1102" s="65" t="s">
        <v>2562</v>
      </c>
      <c r="D1102" s="66">
        <v>3.84</v>
      </c>
      <c r="E1102" s="67">
        <v>45798</v>
      </c>
      <c r="F1102" s="64">
        <v>1</v>
      </c>
      <c r="G1102" s="67">
        <v>45810</v>
      </c>
      <c r="H1102" s="64">
        <v>1</v>
      </c>
      <c r="I1102" s="67">
        <v>45809</v>
      </c>
      <c r="J1102" s="64">
        <v>0</v>
      </c>
      <c r="K1102" s="67">
        <v>45806</v>
      </c>
      <c r="L1102" s="64">
        <v>0</v>
      </c>
      <c r="M1102" s="64">
        <v>0</v>
      </c>
      <c r="N1102" s="67">
        <v>45810</v>
      </c>
      <c r="O1102" s="64">
        <v>1</v>
      </c>
      <c r="P1102" s="64">
        <v>0</v>
      </c>
      <c r="Q1102" s="91" t="s">
        <v>2551</v>
      </c>
      <c r="R1102" s="64">
        <f t="shared" si="429"/>
        <v>0</v>
      </c>
      <c r="S1102" s="67">
        <v>45810</v>
      </c>
      <c r="T1102" s="67">
        <v>45826</v>
      </c>
      <c r="U1102" s="64">
        <v>1</v>
      </c>
      <c r="V1102" s="66"/>
      <c r="W1102" s="66"/>
      <c r="X1102" s="93"/>
      <c r="Y1102" s="94"/>
      <c r="Z1102" s="91" t="str">
        <f t="shared" si="430"/>
        <v>100%</v>
      </c>
      <c r="AA1102" s="67"/>
      <c r="AB1102" s="473"/>
      <c r="AC1102" s="478" t="s">
        <v>2711</v>
      </c>
      <c r="AD1102" s="67"/>
    </row>
    <row r="1103" spans="2:30">
      <c r="B1103" s="64" t="s">
        <v>105</v>
      </c>
      <c r="C1103" s="65" t="s">
        <v>42</v>
      </c>
      <c r="D1103" s="66">
        <v>7.61</v>
      </c>
      <c r="E1103" s="67">
        <v>45797</v>
      </c>
      <c r="F1103" s="64">
        <v>1</v>
      </c>
      <c r="G1103" s="67">
        <v>45798</v>
      </c>
      <c r="H1103" s="64">
        <v>1</v>
      </c>
      <c r="I1103" s="67">
        <v>45809</v>
      </c>
      <c r="J1103" s="64">
        <v>0</v>
      </c>
      <c r="K1103" s="67">
        <v>45798</v>
      </c>
      <c r="L1103" s="64">
        <v>0</v>
      </c>
      <c r="M1103" s="64">
        <v>0</v>
      </c>
      <c r="N1103" s="67">
        <v>45810</v>
      </c>
      <c r="O1103" s="64">
        <v>1</v>
      </c>
      <c r="P1103" s="64">
        <v>0</v>
      </c>
      <c r="Q1103" s="91" t="s">
        <v>2551</v>
      </c>
      <c r="R1103" s="64">
        <f t="shared" si="429"/>
        <v>0</v>
      </c>
      <c r="S1103" s="67">
        <v>45811</v>
      </c>
      <c r="T1103" s="67">
        <v>45829</v>
      </c>
      <c r="U1103" s="64">
        <v>1</v>
      </c>
      <c r="V1103" s="66"/>
      <c r="W1103" s="66"/>
      <c r="X1103" s="93"/>
      <c r="Y1103" s="94"/>
      <c r="Z1103" s="91" t="str">
        <f t="shared" si="430"/>
        <v>100%</v>
      </c>
      <c r="AA1103" s="67"/>
      <c r="AB1103" s="473"/>
      <c r="AC1103" s="478" t="s">
        <v>2711</v>
      </c>
      <c r="AD1103" s="67"/>
    </row>
    <row r="1104" spans="2:30">
      <c r="B1104" s="64" t="s">
        <v>105</v>
      </c>
      <c r="C1104" s="65" t="s">
        <v>2563</v>
      </c>
      <c r="D1104" s="66">
        <v>8.65</v>
      </c>
      <c r="E1104" s="67">
        <v>45798</v>
      </c>
      <c r="F1104" s="64">
        <v>1</v>
      </c>
      <c r="G1104" s="67">
        <v>45813</v>
      </c>
      <c r="H1104" s="64">
        <v>1</v>
      </c>
      <c r="I1104" s="67">
        <v>45809</v>
      </c>
      <c r="J1104" s="64">
        <v>0</v>
      </c>
      <c r="K1104" s="67">
        <v>45806</v>
      </c>
      <c r="L1104" s="64">
        <v>0</v>
      </c>
      <c r="M1104" s="64">
        <v>0</v>
      </c>
      <c r="N1104" s="67">
        <v>45810</v>
      </c>
      <c r="O1104" s="64">
        <v>1</v>
      </c>
      <c r="P1104" s="64">
        <v>0</v>
      </c>
      <c r="Q1104" s="91" t="s">
        <v>2551</v>
      </c>
      <c r="R1104" s="64">
        <f t="shared" ref="R1104:R1128" si="431">IF(Q1104="proses",1,0)</f>
        <v>0</v>
      </c>
      <c r="S1104" s="67">
        <v>45813</v>
      </c>
      <c r="T1104" s="67">
        <v>45829</v>
      </c>
      <c r="U1104" s="64">
        <v>1</v>
      </c>
      <c r="V1104" s="66"/>
      <c r="W1104" s="66"/>
      <c r="X1104" s="93"/>
      <c r="Y1104" s="94"/>
      <c r="Z1104" s="91" t="str">
        <f t="shared" si="430"/>
        <v>100%</v>
      </c>
      <c r="AA1104" s="67"/>
      <c r="AB1104" s="473"/>
      <c r="AC1104" s="478" t="s">
        <v>2711</v>
      </c>
      <c r="AD1104" s="67"/>
    </row>
    <row r="1105" spans="2:34">
      <c r="B1105" s="64" t="s">
        <v>113</v>
      </c>
      <c r="C1105" s="65" t="s">
        <v>36</v>
      </c>
      <c r="D1105" s="66">
        <v>8.91</v>
      </c>
      <c r="E1105" s="67">
        <v>45805</v>
      </c>
      <c r="F1105" s="64">
        <v>1</v>
      </c>
      <c r="G1105" s="67">
        <v>45808</v>
      </c>
      <c r="H1105" s="64">
        <v>1</v>
      </c>
      <c r="I1105" s="67">
        <v>45815</v>
      </c>
      <c r="J1105" s="64">
        <v>0</v>
      </c>
      <c r="K1105" s="67">
        <v>45812</v>
      </c>
      <c r="L1105" s="64">
        <v>0</v>
      </c>
      <c r="M1105" s="64">
        <v>0</v>
      </c>
      <c r="N1105" s="67">
        <v>45816</v>
      </c>
      <c r="O1105" s="64">
        <v>1</v>
      </c>
      <c r="P1105" s="64">
        <v>0</v>
      </c>
      <c r="Q1105" s="91" t="s">
        <v>2551</v>
      </c>
      <c r="R1105" s="64">
        <f t="shared" si="431"/>
        <v>0</v>
      </c>
      <c r="S1105" s="67">
        <v>45817</v>
      </c>
      <c r="T1105" s="67">
        <v>45832</v>
      </c>
      <c r="U1105" s="64">
        <v>1</v>
      </c>
      <c r="V1105" s="66"/>
      <c r="W1105" s="66"/>
      <c r="X1105" s="93"/>
      <c r="Y1105" s="94"/>
      <c r="Z1105" s="91" t="str">
        <f t="shared" si="430"/>
        <v>100%</v>
      </c>
      <c r="AA1105" s="67"/>
      <c r="AB1105" s="473"/>
      <c r="AC1105" s="478" t="s">
        <v>2711</v>
      </c>
      <c r="AD1105" s="67"/>
    </row>
    <row r="1106" spans="2:34">
      <c r="B1106" s="64" t="s">
        <v>116</v>
      </c>
      <c r="C1106" s="65" t="s">
        <v>435</v>
      </c>
      <c r="D1106" s="66">
        <v>8.4700000000000006</v>
      </c>
      <c r="E1106" s="67">
        <v>45781</v>
      </c>
      <c r="F1106" s="64">
        <v>1</v>
      </c>
      <c r="G1106" s="67">
        <v>45807</v>
      </c>
      <c r="H1106" s="64">
        <v>1</v>
      </c>
      <c r="I1106" s="67">
        <v>45804</v>
      </c>
      <c r="J1106" s="64">
        <v>0</v>
      </c>
      <c r="K1106" s="67">
        <v>45798</v>
      </c>
      <c r="L1106" s="64">
        <v>0</v>
      </c>
      <c r="M1106" s="64">
        <v>0</v>
      </c>
      <c r="N1106" s="67">
        <v>45805</v>
      </c>
      <c r="O1106" s="64">
        <v>1</v>
      </c>
      <c r="P1106" s="64">
        <v>0</v>
      </c>
      <c r="Q1106" s="91" t="s">
        <v>2551</v>
      </c>
      <c r="R1106" s="64">
        <f t="shared" si="431"/>
        <v>0</v>
      </c>
      <c r="S1106" s="67">
        <v>45808</v>
      </c>
      <c r="T1106" s="67">
        <v>45837</v>
      </c>
      <c r="U1106" s="64">
        <v>1</v>
      </c>
      <c r="V1106" s="66"/>
      <c r="W1106" s="66"/>
      <c r="X1106" s="93"/>
      <c r="Y1106" s="94"/>
      <c r="Z1106" s="91" t="str">
        <f t="shared" si="430"/>
        <v>100%</v>
      </c>
      <c r="AA1106" s="67"/>
      <c r="AB1106" s="473"/>
      <c r="AC1106" s="478" t="s">
        <v>2711</v>
      </c>
      <c r="AD1106" s="67"/>
    </row>
    <row r="1107" spans="2:34">
      <c r="B1107" s="64" t="s">
        <v>105</v>
      </c>
      <c r="C1107" s="65" t="s">
        <v>2564</v>
      </c>
      <c r="D1107" s="66">
        <v>6.23</v>
      </c>
      <c r="E1107" s="67">
        <v>45812</v>
      </c>
      <c r="F1107" s="64">
        <v>1</v>
      </c>
      <c r="G1107" s="67">
        <v>45815</v>
      </c>
      <c r="H1107" s="64">
        <v>1</v>
      </c>
      <c r="I1107" s="67">
        <v>45816</v>
      </c>
      <c r="J1107" s="64">
        <v>0</v>
      </c>
      <c r="K1107" s="67">
        <v>45821</v>
      </c>
      <c r="L1107" s="64">
        <v>0</v>
      </c>
      <c r="M1107" s="64">
        <v>0</v>
      </c>
      <c r="N1107" s="67">
        <v>45822</v>
      </c>
      <c r="O1107" s="64">
        <v>1</v>
      </c>
      <c r="P1107" s="64">
        <v>0</v>
      </c>
      <c r="Q1107" s="91" t="s">
        <v>2551</v>
      </c>
      <c r="R1107" s="64">
        <f t="shared" si="431"/>
        <v>0</v>
      </c>
      <c r="S1107" s="67">
        <v>45823</v>
      </c>
      <c r="T1107" s="67">
        <v>45838</v>
      </c>
      <c r="U1107" s="64">
        <v>1</v>
      </c>
      <c r="V1107" s="66"/>
      <c r="W1107" s="66"/>
      <c r="X1107" s="93"/>
      <c r="Y1107" s="94"/>
      <c r="Z1107" s="91" t="str">
        <f t="shared" si="430"/>
        <v>100%</v>
      </c>
      <c r="AA1107" s="67"/>
      <c r="AB1107" s="473"/>
      <c r="AC1107" s="478" t="s">
        <v>2711</v>
      </c>
      <c r="AD1107" s="67"/>
      <c r="AH1107" s="253"/>
    </row>
    <row r="1108" spans="2:34">
      <c r="B1108" s="64" t="s">
        <v>113</v>
      </c>
      <c r="C1108" s="65" t="s">
        <v>27</v>
      </c>
      <c r="D1108" s="66">
        <v>7.64</v>
      </c>
      <c r="E1108" s="67">
        <v>45805</v>
      </c>
      <c r="F1108" s="64">
        <v>1</v>
      </c>
      <c r="G1108" s="67">
        <v>45808</v>
      </c>
      <c r="H1108" s="64">
        <v>1</v>
      </c>
      <c r="I1108" s="67">
        <v>45820</v>
      </c>
      <c r="J1108" s="64">
        <v>0</v>
      </c>
      <c r="K1108" s="67">
        <v>45812</v>
      </c>
      <c r="L1108" s="64">
        <v>0</v>
      </c>
      <c r="M1108" s="64">
        <v>0</v>
      </c>
      <c r="N1108" s="67">
        <v>45821</v>
      </c>
      <c r="O1108" s="64">
        <v>1</v>
      </c>
      <c r="P1108" s="64">
        <v>0</v>
      </c>
      <c r="Q1108" s="91" t="s">
        <v>2551</v>
      </c>
      <c r="R1108" s="64">
        <f t="shared" si="431"/>
        <v>0</v>
      </c>
      <c r="S1108" s="67">
        <v>45821</v>
      </c>
      <c r="T1108" s="67">
        <v>45853</v>
      </c>
      <c r="U1108" s="64">
        <v>1</v>
      </c>
      <c r="V1108" s="66"/>
      <c r="W1108" s="66"/>
      <c r="X1108" s="93"/>
      <c r="Y1108" s="94"/>
      <c r="Z1108" s="91" t="str">
        <f t="shared" si="430"/>
        <v>100%</v>
      </c>
      <c r="AA1108" s="67"/>
      <c r="AB1108" s="473"/>
      <c r="AC1108" s="478" t="s">
        <v>2711</v>
      </c>
      <c r="AD1108" s="67"/>
    </row>
    <row r="1109" spans="2:34">
      <c r="B1109" s="64" t="s">
        <v>105</v>
      </c>
      <c r="C1109" s="65" t="s">
        <v>2527</v>
      </c>
      <c r="D1109" s="66">
        <v>2.96</v>
      </c>
      <c r="E1109" s="67">
        <v>45815</v>
      </c>
      <c r="F1109" s="64">
        <v>1</v>
      </c>
      <c r="G1109" s="67">
        <v>45830</v>
      </c>
      <c r="H1109" s="64">
        <v>1</v>
      </c>
      <c r="I1109" s="67">
        <v>45833</v>
      </c>
      <c r="J1109" s="64">
        <v>0</v>
      </c>
      <c r="K1109" s="67">
        <v>45829</v>
      </c>
      <c r="L1109" s="64">
        <v>0</v>
      </c>
      <c r="M1109" s="64">
        <v>0</v>
      </c>
      <c r="N1109" s="67">
        <v>45834</v>
      </c>
      <c r="O1109" s="64">
        <v>1</v>
      </c>
      <c r="P1109" s="64">
        <v>0</v>
      </c>
      <c r="Q1109" s="91" t="s">
        <v>2551</v>
      </c>
      <c r="R1109" s="64">
        <f t="shared" si="431"/>
        <v>0</v>
      </c>
      <c r="S1109" s="67">
        <v>45834</v>
      </c>
      <c r="T1109" s="67">
        <v>45847</v>
      </c>
      <c r="U1109" s="64">
        <v>1</v>
      </c>
      <c r="V1109" s="66"/>
      <c r="W1109" s="66"/>
      <c r="X1109" s="93"/>
      <c r="Y1109" s="94"/>
      <c r="Z1109" s="91" t="str">
        <f t="shared" si="430"/>
        <v>100%</v>
      </c>
      <c r="AA1109" s="67"/>
      <c r="AB1109" s="473"/>
      <c r="AC1109" s="478" t="s">
        <v>2711</v>
      </c>
      <c r="AD1109" s="67"/>
    </row>
    <row r="1110" spans="2:34">
      <c r="B1110" s="64" t="s">
        <v>111</v>
      </c>
      <c r="C1110" s="65" t="s">
        <v>67</v>
      </c>
      <c r="D1110" s="66">
        <v>10.36</v>
      </c>
      <c r="E1110" s="67">
        <v>45813</v>
      </c>
      <c r="F1110" s="64">
        <v>1</v>
      </c>
      <c r="G1110" s="67">
        <v>45816</v>
      </c>
      <c r="H1110" s="64">
        <v>1</v>
      </c>
      <c r="I1110" s="67">
        <v>45819</v>
      </c>
      <c r="J1110" s="64">
        <v>0</v>
      </c>
      <c r="K1110" s="67">
        <v>45819</v>
      </c>
      <c r="L1110" s="64">
        <v>0</v>
      </c>
      <c r="M1110" s="64">
        <v>0</v>
      </c>
      <c r="N1110" s="67">
        <v>45820</v>
      </c>
      <c r="O1110" s="64">
        <v>1</v>
      </c>
      <c r="P1110" s="64">
        <v>0</v>
      </c>
      <c r="Q1110" s="91" t="s">
        <v>2551</v>
      </c>
      <c r="R1110" s="64">
        <f t="shared" si="431"/>
        <v>0</v>
      </c>
      <c r="S1110" s="67">
        <v>45821</v>
      </c>
      <c r="T1110" s="67">
        <v>45842</v>
      </c>
      <c r="U1110" s="64">
        <v>1</v>
      </c>
      <c r="V1110" s="66"/>
      <c r="W1110" s="66"/>
      <c r="X1110" s="93"/>
      <c r="Y1110" s="94"/>
      <c r="Z1110" s="91" t="str">
        <f t="shared" si="430"/>
        <v>100%</v>
      </c>
      <c r="AA1110" s="67"/>
      <c r="AB1110" s="473"/>
      <c r="AC1110" s="478" t="s">
        <v>2711</v>
      </c>
      <c r="AD1110" s="67"/>
    </row>
    <row r="1111" spans="2:34">
      <c r="B1111" s="64" t="s">
        <v>116</v>
      </c>
      <c r="C1111" s="65" t="s">
        <v>76</v>
      </c>
      <c r="D1111" s="66">
        <v>5.55</v>
      </c>
      <c r="E1111" s="67">
        <v>45778</v>
      </c>
      <c r="F1111" s="64">
        <v>1</v>
      </c>
      <c r="G1111" s="67">
        <v>45779</v>
      </c>
      <c r="H1111" s="64">
        <v>1</v>
      </c>
      <c r="I1111" s="67">
        <v>45782</v>
      </c>
      <c r="J1111" s="64">
        <v>0</v>
      </c>
      <c r="K1111" s="67">
        <v>45785</v>
      </c>
      <c r="L1111" s="64">
        <v>0</v>
      </c>
      <c r="M1111" s="64">
        <v>0</v>
      </c>
      <c r="N1111" s="67">
        <v>45786</v>
      </c>
      <c r="O1111" s="64">
        <v>1</v>
      </c>
      <c r="P1111" s="64">
        <v>0</v>
      </c>
      <c r="Q1111" s="91" t="s">
        <v>2551</v>
      </c>
      <c r="R1111" s="64">
        <f t="shared" si="431"/>
        <v>0</v>
      </c>
      <c r="S1111" s="67">
        <v>45794</v>
      </c>
      <c r="T1111" s="67">
        <v>45842</v>
      </c>
      <c r="U1111" s="64">
        <v>1</v>
      </c>
      <c r="V1111" s="66"/>
      <c r="W1111" s="66"/>
      <c r="X1111" s="93"/>
      <c r="Y1111" s="94"/>
      <c r="Z1111" s="91" t="str">
        <f t="shared" si="430"/>
        <v>100%</v>
      </c>
      <c r="AA1111" s="67"/>
      <c r="AB1111" s="473"/>
      <c r="AC1111" s="478" t="s">
        <v>2711</v>
      </c>
      <c r="AD1111" s="67"/>
    </row>
    <row r="1112" spans="2:34">
      <c r="B1112" s="64" t="s">
        <v>118</v>
      </c>
      <c r="C1112" s="65" t="s">
        <v>511</v>
      </c>
      <c r="D1112" s="66">
        <v>10.61</v>
      </c>
      <c r="E1112" s="67">
        <v>45777</v>
      </c>
      <c r="F1112" s="64">
        <v>1</v>
      </c>
      <c r="G1112" s="67">
        <v>45779</v>
      </c>
      <c r="H1112" s="64">
        <v>1</v>
      </c>
      <c r="I1112" s="67">
        <v>45782</v>
      </c>
      <c r="J1112" s="64">
        <v>0</v>
      </c>
      <c r="K1112" s="67">
        <v>45785</v>
      </c>
      <c r="L1112" s="64">
        <v>0</v>
      </c>
      <c r="M1112" s="64">
        <v>0</v>
      </c>
      <c r="N1112" s="67">
        <v>45786</v>
      </c>
      <c r="O1112" s="64">
        <v>1</v>
      </c>
      <c r="P1112" s="64">
        <v>0</v>
      </c>
      <c r="Q1112" s="91" t="s">
        <v>2551</v>
      </c>
      <c r="R1112" s="64">
        <f t="shared" si="431"/>
        <v>0</v>
      </c>
      <c r="S1112" s="67">
        <v>45811</v>
      </c>
      <c r="T1112" s="67">
        <v>45842</v>
      </c>
      <c r="U1112" s="64">
        <v>1</v>
      </c>
      <c r="V1112" s="66"/>
      <c r="W1112" s="66"/>
      <c r="X1112" s="93"/>
      <c r="Y1112" s="94"/>
      <c r="Z1112" s="91" t="str">
        <f t="shared" si="430"/>
        <v>100%</v>
      </c>
      <c r="AA1112" s="67"/>
      <c r="AB1112" s="473"/>
      <c r="AC1112" s="478" t="s">
        <v>2711</v>
      </c>
      <c r="AD1112" s="67"/>
    </row>
    <row r="1113" spans="2:34">
      <c r="B1113" s="64" t="s">
        <v>105</v>
      </c>
      <c r="C1113" s="65" t="s">
        <v>45</v>
      </c>
      <c r="D1113" s="66">
        <v>9.17</v>
      </c>
      <c r="E1113" s="67">
        <v>45824</v>
      </c>
      <c r="F1113" s="64">
        <v>1</v>
      </c>
      <c r="G1113" s="67">
        <v>45825</v>
      </c>
      <c r="H1113" s="64">
        <v>1</v>
      </c>
      <c r="I1113" s="67">
        <v>45826</v>
      </c>
      <c r="J1113" s="64">
        <v>0</v>
      </c>
      <c r="K1113" s="67">
        <v>45827</v>
      </c>
      <c r="L1113" s="64">
        <v>0</v>
      </c>
      <c r="M1113" s="64">
        <v>0</v>
      </c>
      <c r="N1113" s="67">
        <v>45828</v>
      </c>
      <c r="O1113" s="64">
        <v>1</v>
      </c>
      <c r="P1113" s="64">
        <v>0</v>
      </c>
      <c r="Q1113" s="91" t="s">
        <v>2551</v>
      </c>
      <c r="R1113" s="64">
        <f t="shared" si="431"/>
        <v>0</v>
      </c>
      <c r="S1113" s="67">
        <v>45828</v>
      </c>
      <c r="T1113" s="67">
        <v>45847</v>
      </c>
      <c r="U1113" s="64">
        <v>1</v>
      </c>
      <c r="V1113" s="66"/>
      <c r="W1113" s="66"/>
      <c r="X1113" s="93"/>
      <c r="Y1113" s="94"/>
      <c r="Z1113" s="91" t="str">
        <f t="shared" si="430"/>
        <v>100%</v>
      </c>
      <c r="AA1113" s="67"/>
      <c r="AB1113" s="473"/>
      <c r="AC1113" s="478" t="s">
        <v>2711</v>
      </c>
      <c r="AD1113" s="67"/>
    </row>
    <row r="1114" spans="2:34">
      <c r="B1114" s="64" t="s">
        <v>105</v>
      </c>
      <c r="C1114" s="65" t="s">
        <v>2526</v>
      </c>
      <c r="D1114" s="66">
        <v>5.34</v>
      </c>
      <c r="E1114" s="67">
        <v>45815</v>
      </c>
      <c r="F1114" s="64">
        <v>1</v>
      </c>
      <c r="G1114" s="67">
        <v>45829</v>
      </c>
      <c r="H1114" s="64">
        <v>1</v>
      </c>
      <c r="I1114" s="67">
        <v>45832</v>
      </c>
      <c r="J1114" s="64">
        <v>0</v>
      </c>
      <c r="K1114" s="67">
        <v>45829</v>
      </c>
      <c r="L1114" s="64">
        <v>0</v>
      </c>
      <c r="M1114" s="64">
        <v>0</v>
      </c>
      <c r="N1114" s="67">
        <v>45833</v>
      </c>
      <c r="O1114" s="64">
        <v>1</v>
      </c>
      <c r="P1114" s="64">
        <v>0</v>
      </c>
      <c r="Q1114" s="91" t="s">
        <v>2551</v>
      </c>
      <c r="R1114" s="64">
        <f t="shared" si="431"/>
        <v>0</v>
      </c>
      <c r="S1114" s="67">
        <v>45835</v>
      </c>
      <c r="T1114" s="67">
        <v>45850</v>
      </c>
      <c r="U1114" s="64">
        <v>1</v>
      </c>
      <c r="V1114" s="66"/>
      <c r="W1114" s="66"/>
      <c r="X1114" s="93"/>
      <c r="Y1114" s="94"/>
      <c r="Z1114" s="91" t="str">
        <f t="shared" si="430"/>
        <v>100%</v>
      </c>
      <c r="AA1114" s="67"/>
      <c r="AB1114" s="473"/>
      <c r="AC1114" s="478" t="s">
        <v>2711</v>
      </c>
      <c r="AD1114" s="67"/>
    </row>
    <row r="1115" spans="2:34">
      <c r="B1115" s="64" t="s">
        <v>118</v>
      </c>
      <c r="C1115" s="65" t="s">
        <v>572</v>
      </c>
      <c r="D1115" s="66">
        <v>10.37</v>
      </c>
      <c r="E1115" s="67">
        <v>45817</v>
      </c>
      <c r="F1115" s="64">
        <v>1</v>
      </c>
      <c r="G1115" s="67">
        <v>45818</v>
      </c>
      <c r="H1115" s="64">
        <v>1</v>
      </c>
      <c r="I1115" s="67">
        <v>45826</v>
      </c>
      <c r="J1115" s="64">
        <v>0</v>
      </c>
      <c r="K1115" s="67">
        <v>45825</v>
      </c>
      <c r="L1115" s="64">
        <v>0</v>
      </c>
      <c r="M1115" s="64">
        <v>0</v>
      </c>
      <c r="N1115" s="67">
        <v>45827</v>
      </c>
      <c r="O1115" s="64">
        <v>1</v>
      </c>
      <c r="P1115" s="64">
        <v>0</v>
      </c>
      <c r="Q1115" s="91" t="s">
        <v>2551</v>
      </c>
      <c r="R1115" s="64">
        <f t="shared" si="431"/>
        <v>0</v>
      </c>
      <c r="S1115" s="67">
        <v>45828</v>
      </c>
      <c r="T1115" s="67">
        <v>45849</v>
      </c>
      <c r="U1115" s="64">
        <v>1</v>
      </c>
      <c r="V1115" s="66"/>
      <c r="W1115" s="66"/>
      <c r="X1115" s="93"/>
      <c r="Y1115" s="94"/>
      <c r="Z1115" s="91" t="str">
        <f t="shared" si="430"/>
        <v>100%</v>
      </c>
      <c r="AA1115" s="67"/>
      <c r="AB1115" s="473"/>
      <c r="AC1115" s="478" t="s">
        <v>2711</v>
      </c>
      <c r="AD1115" s="67"/>
    </row>
    <row r="1116" spans="2:34">
      <c r="B1116" s="64" t="s">
        <v>107</v>
      </c>
      <c r="C1116" s="65" t="s">
        <v>2566</v>
      </c>
      <c r="D1116" s="66">
        <v>6.73</v>
      </c>
      <c r="E1116" s="67">
        <v>45821</v>
      </c>
      <c r="F1116" s="64">
        <v>1</v>
      </c>
      <c r="G1116" s="67">
        <v>45822</v>
      </c>
      <c r="H1116" s="64">
        <v>1</v>
      </c>
      <c r="I1116" s="67">
        <v>45825</v>
      </c>
      <c r="J1116" s="64">
        <v>0</v>
      </c>
      <c r="K1116" s="67">
        <v>45824</v>
      </c>
      <c r="L1116" s="64">
        <v>0</v>
      </c>
      <c r="M1116" s="64">
        <v>0</v>
      </c>
      <c r="N1116" s="67">
        <v>45826</v>
      </c>
      <c r="O1116" s="64">
        <v>1</v>
      </c>
      <c r="P1116" s="64">
        <v>0</v>
      </c>
      <c r="Q1116" s="91" t="s">
        <v>2551</v>
      </c>
      <c r="R1116" s="64">
        <f t="shared" si="431"/>
        <v>0</v>
      </c>
      <c r="S1116" s="67">
        <v>45827</v>
      </c>
      <c r="T1116" s="67">
        <v>45852</v>
      </c>
      <c r="U1116" s="64">
        <v>1</v>
      </c>
      <c r="V1116" s="66"/>
      <c r="W1116" s="66"/>
      <c r="X1116" s="93"/>
      <c r="Y1116" s="94"/>
      <c r="Z1116" s="91" t="str">
        <f t="shared" si="430"/>
        <v>100%</v>
      </c>
      <c r="AA1116" s="67"/>
      <c r="AB1116" s="473"/>
      <c r="AC1116" s="478" t="s">
        <v>2711</v>
      </c>
      <c r="AD1116" s="67"/>
    </row>
    <row r="1117" spans="2:34">
      <c r="B1117" s="64" t="s">
        <v>118</v>
      </c>
      <c r="C1117" s="65" t="s">
        <v>191</v>
      </c>
      <c r="D1117" s="66">
        <v>8.06</v>
      </c>
      <c r="E1117" s="67">
        <v>45807</v>
      </c>
      <c r="F1117" s="64">
        <v>1</v>
      </c>
      <c r="G1117" s="67">
        <v>45812</v>
      </c>
      <c r="H1117" s="64">
        <v>1</v>
      </c>
      <c r="I1117" s="67">
        <v>45825</v>
      </c>
      <c r="J1117" s="64">
        <v>0</v>
      </c>
      <c r="K1117" s="67">
        <v>45804</v>
      </c>
      <c r="L1117" s="64">
        <v>0</v>
      </c>
      <c r="M1117" s="64">
        <v>0</v>
      </c>
      <c r="N1117" s="67">
        <v>45826</v>
      </c>
      <c r="O1117" s="64">
        <v>1</v>
      </c>
      <c r="P1117" s="64">
        <v>0</v>
      </c>
      <c r="Q1117" s="91" t="s">
        <v>2551</v>
      </c>
      <c r="R1117" s="64">
        <f t="shared" si="431"/>
        <v>0</v>
      </c>
      <c r="S1117" s="67">
        <v>45827</v>
      </c>
      <c r="T1117" s="67">
        <v>45854</v>
      </c>
      <c r="U1117" s="64">
        <v>1</v>
      </c>
      <c r="V1117" s="66"/>
      <c r="W1117" s="66"/>
      <c r="X1117" s="93"/>
      <c r="Y1117" s="94"/>
      <c r="Z1117" s="91" t="str">
        <f t="shared" si="430"/>
        <v>100%</v>
      </c>
      <c r="AA1117" s="67"/>
      <c r="AB1117" s="473"/>
      <c r="AC1117" s="478" t="s">
        <v>2711</v>
      </c>
      <c r="AD1117" s="67"/>
    </row>
    <row r="1118" spans="2:34">
      <c r="B1118" s="64" t="s">
        <v>113</v>
      </c>
      <c r="C1118" s="65" t="s">
        <v>174</v>
      </c>
      <c r="D1118" s="66">
        <v>12.7</v>
      </c>
      <c r="E1118" s="67">
        <v>45836</v>
      </c>
      <c r="F1118" s="64">
        <v>1</v>
      </c>
      <c r="G1118" s="67">
        <v>45840</v>
      </c>
      <c r="H1118" s="64">
        <v>1</v>
      </c>
      <c r="I1118" s="67">
        <v>45840</v>
      </c>
      <c r="J1118" s="64">
        <v>0</v>
      </c>
      <c r="K1118" s="67">
        <v>45838</v>
      </c>
      <c r="L1118" s="64">
        <v>0</v>
      </c>
      <c r="M1118" s="64">
        <v>0</v>
      </c>
      <c r="N1118" s="67">
        <v>45841</v>
      </c>
      <c r="O1118" s="64">
        <v>1</v>
      </c>
      <c r="P1118" s="64">
        <v>0</v>
      </c>
      <c r="Q1118" s="91" t="s">
        <v>2551</v>
      </c>
      <c r="R1118" s="64">
        <f t="shared" si="431"/>
        <v>0</v>
      </c>
      <c r="S1118" s="67">
        <v>45841</v>
      </c>
      <c r="T1118" s="67">
        <v>45858</v>
      </c>
      <c r="U1118" s="64">
        <v>1</v>
      </c>
      <c r="V1118" s="66"/>
      <c r="W1118" s="66"/>
      <c r="X1118" s="93"/>
      <c r="Y1118" s="94"/>
      <c r="Z1118" s="91" t="str">
        <f t="shared" si="430"/>
        <v>100%</v>
      </c>
      <c r="AA1118" s="67"/>
      <c r="AB1118" s="473"/>
      <c r="AC1118" s="478" t="s">
        <v>2711</v>
      </c>
      <c r="AD1118" s="67"/>
    </row>
    <row r="1119" spans="2:34">
      <c r="B1119" s="64" t="s">
        <v>111</v>
      </c>
      <c r="C1119" s="65" t="s">
        <v>605</v>
      </c>
      <c r="D1119" s="66">
        <v>3.37</v>
      </c>
      <c r="E1119" s="67">
        <v>45840</v>
      </c>
      <c r="F1119" s="64">
        <v>1</v>
      </c>
      <c r="G1119" s="67">
        <v>45850</v>
      </c>
      <c r="H1119" s="64">
        <v>1</v>
      </c>
      <c r="I1119" s="67">
        <v>45848</v>
      </c>
      <c r="J1119" s="64">
        <v>0</v>
      </c>
      <c r="K1119" s="67">
        <v>45847</v>
      </c>
      <c r="L1119" s="64">
        <v>0</v>
      </c>
      <c r="M1119" s="64">
        <v>0</v>
      </c>
      <c r="N1119" s="67">
        <v>45849</v>
      </c>
      <c r="O1119" s="64">
        <v>1</v>
      </c>
      <c r="P1119" s="64">
        <v>0</v>
      </c>
      <c r="Q1119" s="91" t="s">
        <v>2551</v>
      </c>
      <c r="R1119" s="64">
        <f t="shared" si="431"/>
        <v>0</v>
      </c>
      <c r="S1119" s="67">
        <v>45850</v>
      </c>
      <c r="T1119" s="67">
        <v>45861</v>
      </c>
      <c r="U1119" s="64">
        <v>1</v>
      </c>
      <c r="V1119" s="66"/>
      <c r="W1119" s="66"/>
      <c r="X1119" s="93"/>
      <c r="Y1119" s="94"/>
      <c r="Z1119" s="91" t="str">
        <f t="shared" si="430"/>
        <v>100%</v>
      </c>
      <c r="AA1119" s="67"/>
      <c r="AB1119" s="473"/>
      <c r="AC1119" s="478" t="s">
        <v>2711</v>
      </c>
      <c r="AD1119" s="67"/>
    </row>
    <row r="1120" spans="2:34">
      <c r="B1120" s="64" t="s">
        <v>118</v>
      </c>
      <c r="C1120" s="65" t="s">
        <v>576</v>
      </c>
      <c r="D1120" s="66">
        <v>12.44</v>
      </c>
      <c r="E1120" s="67">
        <v>45835</v>
      </c>
      <c r="F1120" s="64">
        <v>1</v>
      </c>
      <c r="G1120" s="67">
        <v>45838</v>
      </c>
      <c r="H1120" s="64">
        <v>1</v>
      </c>
      <c r="I1120" s="67">
        <v>45839</v>
      </c>
      <c r="J1120" s="64">
        <v>0</v>
      </c>
      <c r="K1120" s="67">
        <v>45839</v>
      </c>
      <c r="L1120" s="64">
        <v>0</v>
      </c>
      <c r="M1120" s="64">
        <v>0</v>
      </c>
      <c r="N1120" s="67">
        <v>45840</v>
      </c>
      <c r="O1120" s="64">
        <v>1</v>
      </c>
      <c r="P1120" s="64">
        <v>0</v>
      </c>
      <c r="Q1120" s="91" t="s">
        <v>2551</v>
      </c>
      <c r="R1120" s="64">
        <f t="shared" si="431"/>
        <v>0</v>
      </c>
      <c r="S1120" s="67">
        <v>45840</v>
      </c>
      <c r="T1120" s="67">
        <v>45858</v>
      </c>
      <c r="U1120" s="64">
        <v>1</v>
      </c>
      <c r="V1120" s="66"/>
      <c r="W1120" s="66"/>
      <c r="X1120" s="93"/>
      <c r="Y1120" s="94"/>
      <c r="Z1120" s="91" t="str">
        <f t="shared" si="430"/>
        <v>100%</v>
      </c>
      <c r="AA1120" s="67"/>
      <c r="AB1120" s="473"/>
      <c r="AC1120" s="478" t="s">
        <v>2711</v>
      </c>
      <c r="AD1120" s="67"/>
    </row>
    <row r="1121" spans="2:45">
      <c r="B1121" s="64" t="s">
        <v>107</v>
      </c>
      <c r="C1121" s="65" t="s">
        <v>613</v>
      </c>
      <c r="D1121" s="66">
        <v>5.53</v>
      </c>
      <c r="E1121" s="67">
        <v>45831</v>
      </c>
      <c r="F1121" s="64">
        <v>1</v>
      </c>
      <c r="G1121" s="67">
        <v>45841</v>
      </c>
      <c r="H1121" s="64">
        <v>1</v>
      </c>
      <c r="I1121" s="67">
        <v>45845</v>
      </c>
      <c r="J1121" s="64">
        <v>0</v>
      </c>
      <c r="K1121" s="67">
        <v>45829</v>
      </c>
      <c r="L1121" s="64">
        <v>0</v>
      </c>
      <c r="M1121" s="64">
        <v>0</v>
      </c>
      <c r="N1121" s="67">
        <v>45846</v>
      </c>
      <c r="O1121" s="64">
        <v>1</v>
      </c>
      <c r="P1121" s="64">
        <v>0</v>
      </c>
      <c r="Q1121" s="91" t="s">
        <v>2551</v>
      </c>
      <c r="R1121" s="64">
        <f t="shared" si="431"/>
        <v>0</v>
      </c>
      <c r="S1121" s="67">
        <v>45846</v>
      </c>
      <c r="T1121" s="67">
        <v>45859</v>
      </c>
      <c r="U1121" s="64">
        <v>1</v>
      </c>
      <c r="V1121" s="66"/>
      <c r="W1121" s="66"/>
      <c r="X1121" s="93"/>
      <c r="Y1121" s="94"/>
      <c r="Z1121" s="91" t="str">
        <f t="shared" si="430"/>
        <v>100%</v>
      </c>
      <c r="AA1121" s="67"/>
      <c r="AB1121" s="473"/>
      <c r="AC1121" s="478" t="s">
        <v>2711</v>
      </c>
      <c r="AD1121" s="67"/>
    </row>
    <row r="1122" spans="2:45">
      <c r="B1122" s="64" t="s">
        <v>107</v>
      </c>
      <c r="C1122" s="231" t="s">
        <v>615</v>
      </c>
      <c r="D1122" s="66">
        <v>6.24</v>
      </c>
      <c r="E1122" s="67">
        <v>45828</v>
      </c>
      <c r="F1122" s="64">
        <v>1</v>
      </c>
      <c r="G1122" s="67">
        <v>45841</v>
      </c>
      <c r="H1122" s="64">
        <v>1</v>
      </c>
      <c r="I1122" s="67">
        <v>45841</v>
      </c>
      <c r="J1122" s="64">
        <v>0</v>
      </c>
      <c r="K1122" s="67">
        <v>45828</v>
      </c>
      <c r="L1122" s="64">
        <v>0</v>
      </c>
      <c r="M1122" s="64">
        <v>0</v>
      </c>
      <c r="N1122" s="67">
        <v>45842</v>
      </c>
      <c r="O1122" s="64">
        <v>1</v>
      </c>
      <c r="P1122" s="64">
        <v>0</v>
      </c>
      <c r="Q1122" s="91" t="s">
        <v>2551</v>
      </c>
      <c r="R1122" s="64">
        <f t="shared" si="431"/>
        <v>0</v>
      </c>
      <c r="S1122" s="67">
        <v>45842</v>
      </c>
      <c r="T1122" s="67">
        <v>45859</v>
      </c>
      <c r="U1122" s="64">
        <v>1</v>
      </c>
      <c r="V1122" s="66"/>
      <c r="W1122" s="66"/>
      <c r="X1122" s="93"/>
      <c r="Y1122" s="94"/>
      <c r="Z1122" s="91" t="str">
        <f t="shared" si="430"/>
        <v>100%</v>
      </c>
      <c r="AA1122" s="67"/>
      <c r="AB1122" s="473"/>
      <c r="AC1122" s="478" t="s">
        <v>2711</v>
      </c>
      <c r="AD1122" s="67"/>
      <c r="AS1122" s="253"/>
    </row>
    <row r="1123" spans="2:45">
      <c r="B1123" s="64" t="s">
        <v>107</v>
      </c>
      <c r="C1123" s="65" t="s">
        <v>2567</v>
      </c>
      <c r="D1123" s="66">
        <v>6.62</v>
      </c>
      <c r="E1123" s="67">
        <v>45821</v>
      </c>
      <c r="F1123" s="64">
        <v>1</v>
      </c>
      <c r="G1123" s="67">
        <v>45822</v>
      </c>
      <c r="H1123" s="64">
        <v>1</v>
      </c>
      <c r="I1123" s="67">
        <v>45828</v>
      </c>
      <c r="J1123" s="64">
        <v>0</v>
      </c>
      <c r="K1123" s="67">
        <v>45824</v>
      </c>
      <c r="L1123" s="64">
        <v>0</v>
      </c>
      <c r="M1123" s="64">
        <v>0</v>
      </c>
      <c r="N1123" s="67">
        <v>45829</v>
      </c>
      <c r="O1123" s="64">
        <v>1</v>
      </c>
      <c r="P1123" s="64">
        <v>0</v>
      </c>
      <c r="Q1123" s="91" t="s">
        <v>2551</v>
      </c>
      <c r="R1123" s="64">
        <f t="shared" si="431"/>
        <v>0</v>
      </c>
      <c r="S1123" s="67">
        <v>45830</v>
      </c>
      <c r="T1123" s="67">
        <v>45859</v>
      </c>
      <c r="U1123" s="64">
        <v>1</v>
      </c>
      <c r="V1123" s="66"/>
      <c r="W1123" s="66"/>
      <c r="X1123" s="93"/>
      <c r="Y1123" s="94"/>
      <c r="Z1123" s="91" t="str">
        <f t="shared" si="430"/>
        <v>100%</v>
      </c>
      <c r="AA1123" s="67"/>
      <c r="AB1123" s="473"/>
      <c r="AC1123" s="478" t="s">
        <v>2711</v>
      </c>
      <c r="AD1123" s="67"/>
    </row>
    <row r="1124" spans="2:45">
      <c r="B1124" s="64" t="s">
        <v>109</v>
      </c>
      <c r="C1124" s="65" t="s">
        <v>436</v>
      </c>
      <c r="D1124" s="66">
        <v>4.28</v>
      </c>
      <c r="E1124" s="67">
        <v>45818</v>
      </c>
      <c r="F1124" s="64">
        <v>1</v>
      </c>
      <c r="G1124" s="67">
        <v>45820</v>
      </c>
      <c r="H1124" s="64">
        <v>1</v>
      </c>
      <c r="I1124" s="67">
        <v>45828</v>
      </c>
      <c r="J1124" s="64">
        <v>0</v>
      </c>
      <c r="K1124" s="67">
        <v>45803</v>
      </c>
      <c r="L1124" s="64">
        <v>0</v>
      </c>
      <c r="M1124" s="64">
        <v>0</v>
      </c>
      <c r="N1124" s="67">
        <v>45829</v>
      </c>
      <c r="O1124" s="64">
        <v>1</v>
      </c>
      <c r="P1124" s="64">
        <v>0</v>
      </c>
      <c r="Q1124" s="91" t="s">
        <v>2551</v>
      </c>
      <c r="R1124" s="64">
        <f t="shared" si="431"/>
        <v>0</v>
      </c>
      <c r="S1124" s="67">
        <v>45843</v>
      </c>
      <c r="T1124" s="67">
        <v>45859</v>
      </c>
      <c r="U1124" s="64">
        <v>1</v>
      </c>
      <c r="V1124" s="66"/>
      <c r="W1124" s="66"/>
      <c r="X1124" s="93"/>
      <c r="Y1124" s="94"/>
      <c r="Z1124" s="91" t="str">
        <f t="shared" si="430"/>
        <v>100%</v>
      </c>
      <c r="AA1124" s="67"/>
      <c r="AB1124" s="473"/>
      <c r="AC1124" s="478" t="s">
        <v>2711</v>
      </c>
      <c r="AD1124" s="67"/>
    </row>
    <row r="1125" spans="2:45">
      <c r="B1125" s="64" t="s">
        <v>113</v>
      </c>
      <c r="C1125" s="65" t="s">
        <v>164</v>
      </c>
      <c r="D1125" s="66">
        <v>5.14</v>
      </c>
      <c r="E1125" s="67">
        <v>45846</v>
      </c>
      <c r="F1125" s="64">
        <v>1</v>
      </c>
      <c r="G1125" s="67">
        <v>45853</v>
      </c>
      <c r="H1125" s="64">
        <v>1</v>
      </c>
      <c r="I1125" s="67">
        <v>45852</v>
      </c>
      <c r="J1125" s="64">
        <v>0</v>
      </c>
      <c r="K1125" s="67">
        <v>45850</v>
      </c>
      <c r="L1125" s="64">
        <v>0</v>
      </c>
      <c r="M1125" s="64">
        <v>0</v>
      </c>
      <c r="N1125" s="67">
        <v>45853</v>
      </c>
      <c r="O1125" s="64">
        <v>1</v>
      </c>
      <c r="P1125" s="64">
        <v>0</v>
      </c>
      <c r="Q1125" s="91" t="s">
        <v>2551</v>
      </c>
      <c r="R1125" s="64">
        <f t="shared" si="431"/>
        <v>0</v>
      </c>
      <c r="S1125" s="67">
        <v>45853</v>
      </c>
      <c r="T1125" s="67">
        <v>45860</v>
      </c>
      <c r="U1125" s="64">
        <v>1</v>
      </c>
      <c r="V1125" s="66"/>
      <c r="W1125" s="66"/>
      <c r="X1125" s="93"/>
      <c r="Y1125" s="94"/>
      <c r="Z1125" s="91" t="str">
        <f t="shared" si="430"/>
        <v>100%</v>
      </c>
      <c r="AA1125" s="67"/>
      <c r="AB1125" s="473"/>
      <c r="AC1125" s="478" t="s">
        <v>2711</v>
      </c>
      <c r="AD1125" s="67"/>
    </row>
    <row r="1126" spans="2:45">
      <c r="B1126" s="64" t="s">
        <v>111</v>
      </c>
      <c r="C1126" s="65" t="s">
        <v>63</v>
      </c>
      <c r="D1126" s="66">
        <v>10.57</v>
      </c>
      <c r="E1126" s="67">
        <v>45838</v>
      </c>
      <c r="F1126" s="64">
        <v>1</v>
      </c>
      <c r="G1126" s="67">
        <v>45842</v>
      </c>
      <c r="H1126" s="64">
        <v>1</v>
      </c>
      <c r="I1126" s="67">
        <v>45846</v>
      </c>
      <c r="J1126" s="64">
        <v>0</v>
      </c>
      <c r="K1126" s="67">
        <v>45841</v>
      </c>
      <c r="L1126" s="64">
        <v>0</v>
      </c>
      <c r="M1126" s="64">
        <v>0</v>
      </c>
      <c r="N1126" s="67">
        <v>45847</v>
      </c>
      <c r="O1126" s="64">
        <v>1</v>
      </c>
      <c r="P1126" s="64">
        <v>0</v>
      </c>
      <c r="Q1126" s="91" t="s">
        <v>2551</v>
      </c>
      <c r="R1126" s="64">
        <f t="shared" si="431"/>
        <v>0</v>
      </c>
      <c r="S1126" s="67">
        <v>45847</v>
      </c>
      <c r="T1126" s="67">
        <v>45861</v>
      </c>
      <c r="U1126" s="64">
        <v>1</v>
      </c>
      <c r="V1126" s="66"/>
      <c r="W1126" s="66"/>
      <c r="X1126" s="93"/>
      <c r="Y1126" s="94"/>
      <c r="Z1126" s="91" t="str">
        <f t="shared" si="430"/>
        <v>100%</v>
      </c>
      <c r="AA1126" s="67"/>
      <c r="AB1126" s="473"/>
      <c r="AC1126" s="478" t="s">
        <v>2711</v>
      </c>
      <c r="AD1126" s="67"/>
    </row>
    <row r="1127" spans="2:45">
      <c r="B1127" s="64" t="s">
        <v>107</v>
      </c>
      <c r="C1127" s="231" t="s">
        <v>611</v>
      </c>
      <c r="D1127" s="66">
        <v>3.46</v>
      </c>
      <c r="E1127" s="67">
        <v>45828</v>
      </c>
      <c r="F1127" s="64">
        <v>1</v>
      </c>
      <c r="G1127" s="67">
        <v>45841</v>
      </c>
      <c r="H1127" s="64">
        <v>1</v>
      </c>
      <c r="I1127" s="67">
        <v>45849</v>
      </c>
      <c r="J1127" s="64">
        <v>0</v>
      </c>
      <c r="K1127" s="67">
        <v>45828</v>
      </c>
      <c r="L1127" s="64">
        <v>0</v>
      </c>
      <c r="M1127" s="64">
        <v>0</v>
      </c>
      <c r="N1127" s="67">
        <v>45850</v>
      </c>
      <c r="O1127" s="64">
        <v>1</v>
      </c>
      <c r="P1127" s="64">
        <v>0</v>
      </c>
      <c r="Q1127" s="91" t="s">
        <v>2551</v>
      </c>
      <c r="R1127" s="64">
        <f t="shared" si="431"/>
        <v>0</v>
      </c>
      <c r="S1127" s="67">
        <v>45852</v>
      </c>
      <c r="T1127" s="67">
        <v>45869</v>
      </c>
      <c r="U1127" s="64">
        <v>1</v>
      </c>
      <c r="V1127" s="66"/>
      <c r="W1127" s="66"/>
      <c r="X1127" s="93"/>
      <c r="Y1127" s="94"/>
      <c r="Z1127" s="91" t="str">
        <f t="shared" si="430"/>
        <v>100%</v>
      </c>
      <c r="AA1127" s="67"/>
      <c r="AB1127" s="473"/>
      <c r="AC1127" s="478" t="s">
        <v>2711</v>
      </c>
      <c r="AD1127" s="67"/>
      <c r="AS1127" s="253"/>
    </row>
    <row r="1128" spans="2:45">
      <c r="B1128" s="64" t="s">
        <v>107</v>
      </c>
      <c r="C1128" s="65" t="s">
        <v>602</v>
      </c>
      <c r="D1128" s="66">
        <v>6.09</v>
      </c>
      <c r="E1128" s="67">
        <v>45834</v>
      </c>
      <c r="F1128" s="64">
        <v>1</v>
      </c>
      <c r="G1128" s="67">
        <v>45846</v>
      </c>
      <c r="H1128" s="64">
        <v>1</v>
      </c>
      <c r="I1128" s="67">
        <v>45853</v>
      </c>
      <c r="J1128" s="64">
        <v>0</v>
      </c>
      <c r="K1128" s="67">
        <v>45835</v>
      </c>
      <c r="L1128" s="64">
        <v>0</v>
      </c>
      <c r="M1128" s="64">
        <v>0</v>
      </c>
      <c r="N1128" s="67">
        <v>45854</v>
      </c>
      <c r="O1128" s="64">
        <v>1</v>
      </c>
      <c r="P1128" s="64">
        <v>0</v>
      </c>
      <c r="Q1128" s="91" t="s">
        <v>2551</v>
      </c>
      <c r="R1128" s="64">
        <f t="shared" si="431"/>
        <v>0</v>
      </c>
      <c r="S1128" s="67">
        <v>45854</v>
      </c>
      <c r="T1128" s="67">
        <v>45870</v>
      </c>
      <c r="U1128" s="64">
        <v>1</v>
      </c>
      <c r="V1128" s="66"/>
      <c r="W1128" s="66"/>
      <c r="X1128" s="93"/>
      <c r="Y1128" s="94"/>
      <c r="Z1128" s="91" t="str">
        <f t="shared" si="430"/>
        <v>100%</v>
      </c>
      <c r="AA1128" s="67"/>
      <c r="AB1128" s="473"/>
      <c r="AC1128" s="478" t="s">
        <v>2711</v>
      </c>
      <c r="AD1128" s="67"/>
    </row>
    <row r="1129" spans="2:45">
      <c r="B1129" s="64" t="s">
        <v>105</v>
      </c>
      <c r="C1129" s="65" t="s">
        <v>2568</v>
      </c>
      <c r="D1129" s="66">
        <v>5.76</v>
      </c>
      <c r="E1129" s="67">
        <v>45818</v>
      </c>
      <c r="F1129" s="64">
        <v>1</v>
      </c>
      <c r="G1129" s="67">
        <v>45825</v>
      </c>
      <c r="H1129" s="64">
        <v>1</v>
      </c>
      <c r="I1129" s="67">
        <v>45833</v>
      </c>
      <c r="J1129" s="64">
        <v>0</v>
      </c>
      <c r="K1129" s="67">
        <v>45829</v>
      </c>
      <c r="L1129" s="64">
        <v>0</v>
      </c>
      <c r="M1129" s="64">
        <v>0</v>
      </c>
      <c r="N1129" s="67">
        <v>45834</v>
      </c>
      <c r="O1129" s="64">
        <v>1</v>
      </c>
      <c r="P1129" s="64">
        <v>0</v>
      </c>
      <c r="Q1129" s="91" t="s">
        <v>2551</v>
      </c>
      <c r="R1129" s="64">
        <v>0</v>
      </c>
      <c r="S1129" s="67">
        <v>45848</v>
      </c>
      <c r="T1129" s="67">
        <v>45875</v>
      </c>
      <c r="U1129" s="64">
        <v>1</v>
      </c>
      <c r="V1129" s="66"/>
      <c r="W1129" s="66"/>
      <c r="X1129" s="93"/>
      <c r="Y1129" s="94"/>
      <c r="Z1129" s="91" t="str">
        <f t="shared" si="430"/>
        <v>100%</v>
      </c>
      <c r="AA1129" s="67"/>
      <c r="AB1129" s="473"/>
      <c r="AC1129" s="478" t="s">
        <v>2711</v>
      </c>
      <c r="AD1129" s="67"/>
    </row>
    <row r="1130" spans="2:45">
      <c r="B1130" s="64" t="s">
        <v>113</v>
      </c>
      <c r="C1130" s="65" t="s">
        <v>599</v>
      </c>
      <c r="D1130" s="66">
        <v>5.51</v>
      </c>
      <c r="E1130" s="67">
        <v>45848</v>
      </c>
      <c r="F1130" s="64">
        <v>1</v>
      </c>
      <c r="G1130" s="67">
        <v>45860</v>
      </c>
      <c r="H1130" s="64">
        <v>1</v>
      </c>
      <c r="I1130" s="67">
        <v>45860</v>
      </c>
      <c r="J1130" s="64">
        <v>0</v>
      </c>
      <c r="K1130" s="67">
        <v>45859</v>
      </c>
      <c r="L1130" s="64">
        <v>0</v>
      </c>
      <c r="M1130" s="64">
        <v>0</v>
      </c>
      <c r="N1130" s="67">
        <v>45861</v>
      </c>
      <c r="O1130" s="64">
        <v>1</v>
      </c>
      <c r="P1130" s="64">
        <v>0</v>
      </c>
      <c r="Q1130" s="91" t="s">
        <v>2551</v>
      </c>
      <c r="R1130" s="64">
        <v>0</v>
      </c>
      <c r="S1130" s="67">
        <v>45861</v>
      </c>
      <c r="T1130" s="67">
        <v>45875</v>
      </c>
      <c r="U1130" s="64">
        <v>1</v>
      </c>
      <c r="V1130" s="66"/>
      <c r="W1130" s="66"/>
      <c r="X1130" s="93"/>
      <c r="Y1130" s="94"/>
      <c r="Z1130" s="91" t="str">
        <f t="shared" si="430"/>
        <v>100%</v>
      </c>
      <c r="AA1130" s="67"/>
      <c r="AB1130" s="473"/>
      <c r="AC1130" s="478" t="s">
        <v>2711</v>
      </c>
      <c r="AD1130" s="67"/>
      <c r="AS1130" s="253"/>
    </row>
    <row r="1131" spans="2:45">
      <c r="B1131" s="64" t="s">
        <v>105</v>
      </c>
      <c r="C1131" s="65" t="s">
        <v>2565</v>
      </c>
      <c r="D1131" s="66">
        <v>8.15</v>
      </c>
      <c r="E1131" s="67">
        <v>45812</v>
      </c>
      <c r="F1131" s="64">
        <v>1</v>
      </c>
      <c r="G1131" s="67">
        <v>45815</v>
      </c>
      <c r="H1131" s="64">
        <v>1</v>
      </c>
      <c r="I1131" s="67">
        <v>45825</v>
      </c>
      <c r="J1131" s="64">
        <v>0</v>
      </c>
      <c r="K1131" s="67">
        <v>45821</v>
      </c>
      <c r="L1131" s="64">
        <v>0</v>
      </c>
      <c r="M1131" s="64">
        <v>0</v>
      </c>
      <c r="N1131" s="67">
        <v>45826</v>
      </c>
      <c r="O1131" s="64">
        <v>1</v>
      </c>
      <c r="P1131" s="64">
        <v>0</v>
      </c>
      <c r="Q1131" s="91" t="s">
        <v>2551</v>
      </c>
      <c r="R1131" s="64">
        <v>0</v>
      </c>
      <c r="S1131" s="67">
        <v>45827</v>
      </c>
      <c r="T1131" s="67">
        <v>45875</v>
      </c>
      <c r="U1131" s="64">
        <v>1</v>
      </c>
      <c r="V1131" s="66"/>
      <c r="W1131" s="66"/>
      <c r="X1131" s="93"/>
      <c r="Y1131" s="94"/>
      <c r="Z1131" s="91" t="str">
        <f t="shared" si="430"/>
        <v>100%</v>
      </c>
      <c r="AA1131" s="67"/>
      <c r="AB1131" s="473"/>
      <c r="AC1131" s="478" t="s">
        <v>2711</v>
      </c>
      <c r="AD1131" s="67"/>
    </row>
    <row r="1132" spans="2:45">
      <c r="B1132" s="64" t="s">
        <v>116</v>
      </c>
      <c r="C1132" s="65" t="s">
        <v>73</v>
      </c>
      <c r="D1132" s="66">
        <v>8.66</v>
      </c>
      <c r="E1132" s="67">
        <v>45850</v>
      </c>
      <c r="F1132" s="64">
        <v>1</v>
      </c>
      <c r="G1132" s="67">
        <v>45852</v>
      </c>
      <c r="H1132" s="64">
        <v>1</v>
      </c>
      <c r="I1132" s="67">
        <v>45853</v>
      </c>
      <c r="J1132" s="64">
        <v>0</v>
      </c>
      <c r="K1132" s="67">
        <v>45835</v>
      </c>
      <c r="L1132" s="64">
        <v>0</v>
      </c>
      <c r="M1132" s="64">
        <v>0</v>
      </c>
      <c r="N1132" s="67">
        <v>45854</v>
      </c>
      <c r="O1132" s="64">
        <v>1</v>
      </c>
      <c r="P1132" s="64">
        <v>0</v>
      </c>
      <c r="Q1132" s="91" t="s">
        <v>2551</v>
      </c>
      <c r="R1132" s="64">
        <v>0</v>
      </c>
      <c r="S1132" s="67">
        <v>45856</v>
      </c>
      <c r="T1132" s="67">
        <v>45875</v>
      </c>
      <c r="U1132" s="64">
        <v>1</v>
      </c>
      <c r="V1132" s="66"/>
      <c r="W1132" s="66"/>
      <c r="X1132" s="93"/>
      <c r="Y1132" s="94"/>
      <c r="Z1132" s="91" t="str">
        <f t="shared" si="430"/>
        <v>100%</v>
      </c>
      <c r="AA1132" s="67"/>
      <c r="AB1132" s="473"/>
      <c r="AC1132" s="478" t="s">
        <v>2711</v>
      </c>
      <c r="AD1132" s="67"/>
    </row>
    <row r="1133" spans="2:45">
      <c r="B1133" s="64" t="s">
        <v>105</v>
      </c>
      <c r="C1133" s="65" t="s">
        <v>2525</v>
      </c>
      <c r="D1133" s="66">
        <v>7.09</v>
      </c>
      <c r="E1133" s="67">
        <v>45815</v>
      </c>
      <c r="F1133" s="64">
        <v>1</v>
      </c>
      <c r="G1133" s="67">
        <v>45829</v>
      </c>
      <c r="H1133" s="64">
        <v>1</v>
      </c>
      <c r="I1133" s="67">
        <v>45833</v>
      </c>
      <c r="J1133" s="64">
        <v>0</v>
      </c>
      <c r="K1133" s="67">
        <v>45829</v>
      </c>
      <c r="L1133" s="64">
        <v>0</v>
      </c>
      <c r="M1133" s="64">
        <v>0</v>
      </c>
      <c r="N1133" s="67">
        <v>45834</v>
      </c>
      <c r="O1133" s="64">
        <v>1</v>
      </c>
      <c r="P1133" s="64">
        <v>0</v>
      </c>
      <c r="Q1133" s="91" t="s">
        <v>2551</v>
      </c>
      <c r="R1133" s="64">
        <v>0</v>
      </c>
      <c r="S1133" s="67">
        <v>45849</v>
      </c>
      <c r="T1133" s="67">
        <v>45878</v>
      </c>
      <c r="U1133" s="64">
        <v>1</v>
      </c>
      <c r="V1133" s="66"/>
      <c r="W1133" s="66"/>
      <c r="X1133" s="93"/>
      <c r="Y1133" s="94"/>
      <c r="Z1133" s="91" t="str">
        <f t="shared" si="430"/>
        <v>100%</v>
      </c>
      <c r="AA1133" s="67"/>
      <c r="AB1133" s="473"/>
      <c r="AC1133" s="478" t="s">
        <v>2711</v>
      </c>
      <c r="AD1133" s="67"/>
    </row>
    <row r="1134" spans="2:45">
      <c r="B1134" s="64" t="s">
        <v>109</v>
      </c>
      <c r="C1134" s="65" t="s">
        <v>577</v>
      </c>
      <c r="D1134" s="66">
        <v>14.16</v>
      </c>
      <c r="E1134" s="67">
        <v>45861</v>
      </c>
      <c r="F1134" s="64">
        <v>1</v>
      </c>
      <c r="G1134" s="67">
        <v>45862</v>
      </c>
      <c r="H1134" s="64">
        <v>1</v>
      </c>
      <c r="I1134" s="67">
        <v>45863</v>
      </c>
      <c r="J1134" s="64">
        <v>0</v>
      </c>
      <c r="K1134" s="67">
        <v>45863</v>
      </c>
      <c r="L1134" s="64">
        <v>0</v>
      </c>
      <c r="M1134" s="64">
        <v>0</v>
      </c>
      <c r="N1134" s="67">
        <v>45864</v>
      </c>
      <c r="O1134" s="64">
        <v>1</v>
      </c>
      <c r="P1134" s="64">
        <v>0</v>
      </c>
      <c r="Q1134" s="91" t="s">
        <v>2551</v>
      </c>
      <c r="R1134" s="64">
        <v>0</v>
      </c>
      <c r="S1134" s="67">
        <v>45864</v>
      </c>
      <c r="T1134" s="67">
        <v>45881</v>
      </c>
      <c r="U1134" s="64">
        <v>1</v>
      </c>
      <c r="V1134" s="66"/>
      <c r="W1134" s="66"/>
      <c r="X1134" s="93"/>
      <c r="Y1134" s="94"/>
      <c r="Z1134" s="91" t="str">
        <f t="shared" si="430"/>
        <v>100%</v>
      </c>
      <c r="AA1134" s="67"/>
      <c r="AB1134" s="473"/>
      <c r="AC1134" s="478" t="s">
        <v>2711</v>
      </c>
      <c r="AD1134" s="67"/>
    </row>
    <row r="1135" spans="2:45">
      <c r="B1135" s="64" t="s">
        <v>107</v>
      </c>
      <c r="C1135" s="65" t="s">
        <v>607</v>
      </c>
      <c r="D1135" s="66">
        <v>3.62</v>
      </c>
      <c r="E1135" s="67">
        <v>45834</v>
      </c>
      <c r="F1135" s="64">
        <v>1</v>
      </c>
      <c r="G1135" s="67">
        <v>45846</v>
      </c>
      <c r="H1135" s="64">
        <v>1</v>
      </c>
      <c r="I1135" s="67">
        <v>45853</v>
      </c>
      <c r="J1135" s="64">
        <v>0</v>
      </c>
      <c r="K1135" s="67">
        <v>45835</v>
      </c>
      <c r="L1135" s="64">
        <v>0</v>
      </c>
      <c r="M1135" s="64">
        <v>0</v>
      </c>
      <c r="N1135" s="67">
        <v>45854</v>
      </c>
      <c r="O1135" s="64">
        <v>1</v>
      </c>
      <c r="P1135" s="64">
        <v>0</v>
      </c>
      <c r="Q1135" s="91" t="s">
        <v>2551</v>
      </c>
      <c r="R1135" s="64">
        <v>0</v>
      </c>
      <c r="S1135" s="67">
        <v>45857</v>
      </c>
      <c r="T1135" s="67">
        <v>45881</v>
      </c>
      <c r="U1135" s="64">
        <v>1</v>
      </c>
      <c r="V1135" s="66"/>
      <c r="W1135" s="66"/>
      <c r="X1135" s="93"/>
      <c r="Y1135" s="94"/>
      <c r="Z1135" s="91" t="str">
        <f t="shared" si="430"/>
        <v>100%</v>
      </c>
      <c r="AA1135" s="67"/>
      <c r="AB1135" s="473"/>
      <c r="AC1135" s="478" t="s">
        <v>2711</v>
      </c>
      <c r="AD1135" s="67"/>
    </row>
    <row r="1136" spans="2:45">
      <c r="B1136" s="64" t="s">
        <v>105</v>
      </c>
      <c r="C1136" s="65" t="s">
        <v>606</v>
      </c>
      <c r="D1136" s="66">
        <v>8.1300000000000008</v>
      </c>
      <c r="E1136" s="67">
        <v>45862</v>
      </c>
      <c r="F1136" s="64">
        <v>1</v>
      </c>
      <c r="G1136" s="67">
        <v>45866</v>
      </c>
      <c r="H1136" s="64">
        <v>1</v>
      </c>
      <c r="I1136" s="67">
        <v>45868</v>
      </c>
      <c r="J1136" s="64">
        <v>0</v>
      </c>
      <c r="K1136" s="67">
        <v>45868</v>
      </c>
      <c r="L1136" s="64">
        <v>0</v>
      </c>
      <c r="M1136" s="64">
        <v>0</v>
      </c>
      <c r="N1136" s="67">
        <v>45869</v>
      </c>
      <c r="O1136" s="64">
        <v>1</v>
      </c>
      <c r="P1136" s="64">
        <v>0</v>
      </c>
      <c r="Q1136" s="91" t="s">
        <v>2551</v>
      </c>
      <c r="R1136" s="64">
        <v>0</v>
      </c>
      <c r="S1136" s="67">
        <v>45871</v>
      </c>
      <c r="T1136" s="67">
        <v>45888</v>
      </c>
      <c r="U1136" s="64">
        <v>1</v>
      </c>
      <c r="V1136" s="66"/>
      <c r="W1136" s="66"/>
      <c r="X1136" s="93"/>
      <c r="Y1136" s="94"/>
      <c r="Z1136" s="91" t="str">
        <f t="shared" si="430"/>
        <v>100%</v>
      </c>
      <c r="AA1136" s="67"/>
      <c r="AB1136" s="473"/>
      <c r="AC1136" s="478" t="s">
        <v>2711</v>
      </c>
      <c r="AD1136" s="67"/>
    </row>
    <row r="1137" spans="2:30">
      <c r="B1137" s="64" t="s">
        <v>111</v>
      </c>
      <c r="C1137" s="65" t="s">
        <v>23</v>
      </c>
      <c r="D1137" s="66">
        <v>6.53</v>
      </c>
      <c r="E1137" s="67">
        <v>45859</v>
      </c>
      <c r="F1137" s="64">
        <v>1</v>
      </c>
      <c r="G1137" s="67">
        <v>45861</v>
      </c>
      <c r="H1137" s="64">
        <v>1</v>
      </c>
      <c r="I1137" s="67">
        <v>45860</v>
      </c>
      <c r="J1137" s="64">
        <v>0</v>
      </c>
      <c r="K1137" s="67">
        <v>45860</v>
      </c>
      <c r="L1137" s="64">
        <v>0</v>
      </c>
      <c r="M1137" s="64">
        <v>0</v>
      </c>
      <c r="N1137" s="67">
        <v>45861</v>
      </c>
      <c r="O1137" s="64">
        <v>1</v>
      </c>
      <c r="P1137" s="64">
        <v>0</v>
      </c>
      <c r="Q1137" s="91" t="s">
        <v>2551</v>
      </c>
      <c r="R1137" s="64">
        <v>0</v>
      </c>
      <c r="S1137" s="67">
        <v>45861</v>
      </c>
      <c r="T1137" s="67">
        <v>45885</v>
      </c>
      <c r="U1137" s="64">
        <v>1</v>
      </c>
      <c r="V1137" s="66"/>
      <c r="W1137" s="66"/>
      <c r="X1137" s="93"/>
      <c r="Y1137" s="94"/>
      <c r="Z1137" s="91" t="str">
        <f t="shared" si="430"/>
        <v>100%</v>
      </c>
      <c r="AA1137" s="67"/>
      <c r="AB1137" s="473"/>
      <c r="AC1137" s="478" t="s">
        <v>2711</v>
      </c>
      <c r="AD1137" s="67"/>
    </row>
    <row r="1138" spans="2:30">
      <c r="B1138" s="64" t="s">
        <v>105</v>
      </c>
      <c r="C1138" s="231" t="s">
        <v>567</v>
      </c>
      <c r="D1138" s="66">
        <v>8.67</v>
      </c>
      <c r="E1138" s="67">
        <v>45874</v>
      </c>
      <c r="F1138" s="64">
        <v>1</v>
      </c>
      <c r="G1138" s="67">
        <v>45875</v>
      </c>
      <c r="H1138" s="64">
        <v>1</v>
      </c>
      <c r="I1138" s="67">
        <v>45876</v>
      </c>
      <c r="J1138" s="64">
        <v>0</v>
      </c>
      <c r="K1138" s="67">
        <v>45876</v>
      </c>
      <c r="L1138" s="64">
        <v>0</v>
      </c>
      <c r="M1138" s="64">
        <v>0</v>
      </c>
      <c r="N1138" s="67">
        <v>45877</v>
      </c>
      <c r="O1138" s="64">
        <v>1</v>
      </c>
      <c r="P1138" s="64">
        <v>0</v>
      </c>
      <c r="Q1138" s="91" t="s">
        <v>2551</v>
      </c>
      <c r="R1138" s="64">
        <v>0</v>
      </c>
      <c r="S1138" s="67">
        <v>45877</v>
      </c>
      <c r="T1138" s="67">
        <v>45898</v>
      </c>
      <c r="U1138" s="64">
        <v>1</v>
      </c>
      <c r="V1138" s="66"/>
      <c r="W1138" s="66"/>
      <c r="X1138" s="93"/>
      <c r="Y1138" s="94"/>
      <c r="Z1138" s="91" t="str">
        <f t="shared" si="430"/>
        <v>100%</v>
      </c>
      <c r="AA1138" s="67"/>
      <c r="AB1138" s="473"/>
      <c r="AC1138" s="478" t="s">
        <v>2711</v>
      </c>
      <c r="AD1138" s="67"/>
    </row>
    <row r="1139" spans="2:30">
      <c r="B1139" s="64" t="s">
        <v>105</v>
      </c>
      <c r="C1139" s="65" t="s">
        <v>603</v>
      </c>
      <c r="D1139" s="66">
        <v>9.2100000000000009</v>
      </c>
      <c r="E1139" s="67">
        <v>45862</v>
      </c>
      <c r="F1139" s="64">
        <v>1</v>
      </c>
      <c r="G1139" s="67">
        <v>45866</v>
      </c>
      <c r="H1139" s="64">
        <v>1</v>
      </c>
      <c r="I1139" s="67">
        <v>45868</v>
      </c>
      <c r="J1139" s="64">
        <v>0</v>
      </c>
      <c r="K1139" s="67">
        <v>45868</v>
      </c>
      <c r="L1139" s="64">
        <v>0</v>
      </c>
      <c r="M1139" s="64">
        <v>0</v>
      </c>
      <c r="N1139" s="67">
        <v>45869</v>
      </c>
      <c r="O1139" s="64">
        <v>1</v>
      </c>
      <c r="P1139" s="64">
        <v>0</v>
      </c>
      <c r="Q1139" s="91" t="s">
        <v>2551</v>
      </c>
      <c r="R1139" s="64">
        <v>0</v>
      </c>
      <c r="S1139" s="67">
        <v>45869</v>
      </c>
      <c r="T1139" s="67">
        <v>45888</v>
      </c>
      <c r="U1139" s="64">
        <v>1</v>
      </c>
      <c r="V1139" s="66"/>
      <c r="W1139" s="66"/>
      <c r="X1139" s="93"/>
      <c r="Y1139" s="94"/>
      <c r="Z1139" s="91" t="str">
        <f t="shared" si="430"/>
        <v>100%</v>
      </c>
      <c r="AA1139" s="67"/>
      <c r="AB1139" s="473"/>
      <c r="AC1139" s="478" t="s">
        <v>2711</v>
      </c>
      <c r="AD1139" s="67"/>
    </row>
    <row r="1140" spans="2:30">
      <c r="B1140" s="64" t="s">
        <v>109</v>
      </c>
      <c r="C1140" s="65" t="s">
        <v>277</v>
      </c>
      <c r="D1140" s="66">
        <v>8.8800000000000008</v>
      </c>
      <c r="E1140" s="67">
        <v>45840</v>
      </c>
      <c r="F1140" s="64">
        <v>1</v>
      </c>
      <c r="G1140" s="67">
        <v>45846</v>
      </c>
      <c r="H1140" s="64">
        <v>1</v>
      </c>
      <c r="I1140" s="67">
        <v>45853</v>
      </c>
      <c r="J1140" s="64">
        <v>0</v>
      </c>
      <c r="K1140" s="67">
        <v>45853</v>
      </c>
      <c r="L1140" s="64">
        <v>0</v>
      </c>
      <c r="M1140" s="64">
        <v>0</v>
      </c>
      <c r="N1140" s="67">
        <v>45854</v>
      </c>
      <c r="O1140" s="64">
        <v>1</v>
      </c>
      <c r="P1140" s="64">
        <v>0</v>
      </c>
      <c r="Q1140" s="91" t="s">
        <v>2551</v>
      </c>
      <c r="R1140" s="64">
        <v>0</v>
      </c>
      <c r="S1140" s="67">
        <v>45867</v>
      </c>
      <c r="T1140" s="67">
        <v>45888</v>
      </c>
      <c r="U1140" s="64">
        <v>1</v>
      </c>
      <c r="V1140" s="66"/>
      <c r="W1140" s="66"/>
      <c r="X1140" s="93"/>
      <c r="Y1140" s="94"/>
      <c r="Z1140" s="91" t="str">
        <f t="shared" si="430"/>
        <v>100%</v>
      </c>
      <c r="AA1140" s="67"/>
      <c r="AB1140" s="473"/>
      <c r="AC1140" s="478" t="s">
        <v>2711</v>
      </c>
      <c r="AD1140" s="67"/>
    </row>
    <row r="1141" spans="2:30">
      <c r="B1141" s="64" t="s">
        <v>111</v>
      </c>
      <c r="C1141" s="65" t="s">
        <v>62</v>
      </c>
      <c r="D1141" s="66">
        <v>12.15</v>
      </c>
      <c r="E1141" s="67">
        <v>45858</v>
      </c>
      <c r="F1141" s="64">
        <v>1</v>
      </c>
      <c r="G1141" s="67">
        <v>45861</v>
      </c>
      <c r="H1141" s="64">
        <v>1</v>
      </c>
      <c r="I1141" s="67">
        <v>45860</v>
      </c>
      <c r="J1141" s="64">
        <v>0</v>
      </c>
      <c r="K1141" s="67">
        <v>45860</v>
      </c>
      <c r="L1141" s="64">
        <v>0</v>
      </c>
      <c r="M1141" s="64">
        <v>0</v>
      </c>
      <c r="N1141" s="67">
        <v>45861</v>
      </c>
      <c r="O1141" s="64">
        <v>1</v>
      </c>
      <c r="P1141" s="64">
        <v>0</v>
      </c>
      <c r="Q1141" s="91" t="s">
        <v>2551</v>
      </c>
      <c r="R1141" s="64">
        <v>0</v>
      </c>
      <c r="S1141" s="67">
        <v>45862</v>
      </c>
      <c r="T1141" s="67">
        <v>45888</v>
      </c>
      <c r="U1141" s="64">
        <v>1</v>
      </c>
      <c r="V1141" s="66"/>
      <c r="W1141" s="66"/>
      <c r="X1141" s="93"/>
      <c r="Y1141" s="94"/>
      <c r="Z1141" s="91" t="str">
        <f t="shared" si="430"/>
        <v>100%</v>
      </c>
      <c r="AA1141" s="67"/>
      <c r="AB1141" s="473"/>
      <c r="AC1141" s="478" t="s">
        <v>2711</v>
      </c>
      <c r="AD1141" s="67"/>
    </row>
    <row r="1142" spans="2:30">
      <c r="B1142" s="64" t="s">
        <v>118</v>
      </c>
      <c r="C1142" s="65" t="s">
        <v>596</v>
      </c>
      <c r="D1142" s="66">
        <v>11.69</v>
      </c>
      <c r="E1142" s="67">
        <v>45860</v>
      </c>
      <c r="F1142" s="64">
        <v>1</v>
      </c>
      <c r="G1142" s="67">
        <v>45862</v>
      </c>
      <c r="H1142" s="64">
        <v>1</v>
      </c>
      <c r="I1142" s="67">
        <v>45864</v>
      </c>
      <c r="J1142" s="64">
        <v>0</v>
      </c>
      <c r="K1142" s="67">
        <v>45861</v>
      </c>
      <c r="L1142" s="64">
        <v>0</v>
      </c>
      <c r="M1142" s="64">
        <v>0</v>
      </c>
      <c r="N1142" s="67">
        <v>45865</v>
      </c>
      <c r="O1142" s="64">
        <v>1</v>
      </c>
      <c r="P1142" s="64">
        <v>0</v>
      </c>
      <c r="Q1142" s="91" t="s">
        <v>2551</v>
      </c>
      <c r="R1142" s="64">
        <v>0</v>
      </c>
      <c r="S1142" s="67">
        <v>45865</v>
      </c>
      <c r="T1142" s="67">
        <v>45889</v>
      </c>
      <c r="U1142" s="64">
        <v>1</v>
      </c>
      <c r="V1142" s="66"/>
      <c r="W1142" s="66"/>
      <c r="X1142" s="93"/>
      <c r="Y1142" s="94"/>
      <c r="Z1142" s="91" t="str">
        <f t="shared" si="430"/>
        <v>100%</v>
      </c>
      <c r="AA1142" s="67"/>
      <c r="AB1142" s="473"/>
      <c r="AC1142" s="478" t="s">
        <v>2711</v>
      </c>
      <c r="AD1142" s="67"/>
    </row>
    <row r="1143" spans="2:30">
      <c r="B1143" s="64" t="s">
        <v>113</v>
      </c>
      <c r="C1143" s="65" t="s">
        <v>573</v>
      </c>
      <c r="D1143" s="66">
        <v>5.96</v>
      </c>
      <c r="E1143" s="67">
        <v>45874</v>
      </c>
      <c r="F1143" s="64">
        <v>1</v>
      </c>
      <c r="G1143" s="67">
        <v>45875</v>
      </c>
      <c r="H1143" s="64">
        <v>1</v>
      </c>
      <c r="I1143" s="67">
        <v>45876</v>
      </c>
      <c r="J1143" s="64">
        <v>0</v>
      </c>
      <c r="K1143" s="67">
        <v>45876</v>
      </c>
      <c r="L1143" s="64">
        <v>0</v>
      </c>
      <c r="M1143" s="64">
        <v>0</v>
      </c>
      <c r="N1143" s="67">
        <v>45877</v>
      </c>
      <c r="O1143" s="64">
        <v>1</v>
      </c>
      <c r="P1143" s="64">
        <v>0</v>
      </c>
      <c r="Q1143" s="91" t="s">
        <v>2551</v>
      </c>
      <c r="R1143" s="64">
        <v>0</v>
      </c>
      <c r="S1143" s="67">
        <v>45877</v>
      </c>
      <c r="T1143" s="67">
        <v>45895</v>
      </c>
      <c r="U1143" s="64">
        <v>1</v>
      </c>
      <c r="V1143" s="66"/>
      <c r="W1143" s="66"/>
      <c r="X1143" s="93"/>
      <c r="Y1143" s="94"/>
      <c r="Z1143" s="91" t="str">
        <f t="shared" si="430"/>
        <v>100%</v>
      </c>
      <c r="AA1143" s="67"/>
      <c r="AB1143" s="473"/>
      <c r="AC1143" s="478" t="s">
        <v>2711</v>
      </c>
      <c r="AD1143" s="67"/>
    </row>
    <row r="1144" spans="2:30">
      <c r="B1144" s="64" t="s">
        <v>105</v>
      </c>
      <c r="C1144" s="65" t="s">
        <v>2571</v>
      </c>
      <c r="D1144" s="66">
        <v>6.88</v>
      </c>
      <c r="E1144" s="67">
        <v>45873</v>
      </c>
      <c r="F1144" s="64">
        <v>1</v>
      </c>
      <c r="G1144" s="67">
        <v>45875</v>
      </c>
      <c r="H1144" s="64">
        <v>1</v>
      </c>
      <c r="I1144" s="67">
        <v>45878</v>
      </c>
      <c r="J1144" s="64">
        <v>0</v>
      </c>
      <c r="K1144" s="67">
        <v>45876</v>
      </c>
      <c r="L1144" s="64">
        <v>0</v>
      </c>
      <c r="M1144" s="64">
        <v>0</v>
      </c>
      <c r="N1144" s="67">
        <v>45879</v>
      </c>
      <c r="O1144" s="64">
        <v>1</v>
      </c>
      <c r="P1144" s="64">
        <v>0</v>
      </c>
      <c r="Q1144" s="91" t="s">
        <v>2551</v>
      </c>
      <c r="R1144" s="64">
        <v>0</v>
      </c>
      <c r="S1144" s="67">
        <v>45879</v>
      </c>
      <c r="T1144" s="67">
        <v>45895</v>
      </c>
      <c r="U1144" s="64">
        <v>1</v>
      </c>
      <c r="V1144" s="66"/>
      <c r="W1144" s="66"/>
      <c r="X1144" s="93"/>
      <c r="Y1144" s="94"/>
      <c r="Z1144" s="91" t="str">
        <f t="shared" si="430"/>
        <v>100%</v>
      </c>
      <c r="AA1144" s="67"/>
      <c r="AB1144" s="473"/>
      <c r="AC1144" s="478" t="s">
        <v>2711</v>
      </c>
      <c r="AD1144" s="67"/>
    </row>
    <row r="1145" spans="2:30">
      <c r="B1145" s="64" t="s">
        <v>105</v>
      </c>
      <c r="C1145" s="65" t="s">
        <v>2572</v>
      </c>
      <c r="D1145" s="66">
        <v>3.64</v>
      </c>
      <c r="E1145" s="67">
        <v>45873</v>
      </c>
      <c r="F1145" s="64">
        <v>1</v>
      </c>
      <c r="G1145" s="67">
        <v>45875</v>
      </c>
      <c r="H1145" s="64">
        <v>1</v>
      </c>
      <c r="I1145" s="67">
        <v>45881</v>
      </c>
      <c r="J1145" s="64">
        <v>0</v>
      </c>
      <c r="K1145" s="67">
        <v>45876</v>
      </c>
      <c r="L1145" s="64">
        <v>0</v>
      </c>
      <c r="M1145" s="64">
        <v>0</v>
      </c>
      <c r="N1145" s="67">
        <v>45882</v>
      </c>
      <c r="O1145" s="64">
        <v>1</v>
      </c>
      <c r="P1145" s="64">
        <v>0</v>
      </c>
      <c r="Q1145" s="91" t="s">
        <v>2551</v>
      </c>
      <c r="R1145" s="64">
        <v>0</v>
      </c>
      <c r="S1145" s="67">
        <v>45882</v>
      </c>
      <c r="T1145" s="67">
        <v>45891</v>
      </c>
      <c r="U1145" s="64">
        <v>1</v>
      </c>
      <c r="V1145" s="66"/>
      <c r="W1145" s="66"/>
      <c r="X1145" s="93"/>
      <c r="Y1145" s="94"/>
      <c r="Z1145" s="91" t="str">
        <f t="shared" si="430"/>
        <v>100%</v>
      </c>
      <c r="AA1145" s="67"/>
      <c r="AB1145" s="473"/>
      <c r="AC1145" s="478" t="s">
        <v>2711</v>
      </c>
      <c r="AD1145" s="67"/>
    </row>
    <row r="1146" spans="2:30">
      <c r="B1146" s="64" t="s">
        <v>113</v>
      </c>
      <c r="C1146" s="65" t="s">
        <v>2574</v>
      </c>
      <c r="D1146" s="66">
        <v>3.71</v>
      </c>
      <c r="E1146" s="67">
        <v>45851</v>
      </c>
      <c r="F1146" s="64">
        <v>1</v>
      </c>
      <c r="G1146" s="67">
        <v>45888</v>
      </c>
      <c r="H1146" s="64">
        <v>1</v>
      </c>
      <c r="I1146" s="67">
        <v>45884</v>
      </c>
      <c r="J1146" s="64">
        <v>0</v>
      </c>
      <c r="K1146" s="67">
        <v>45863</v>
      </c>
      <c r="L1146" s="64">
        <v>0</v>
      </c>
      <c r="M1146" s="64">
        <v>0</v>
      </c>
      <c r="N1146" s="67">
        <v>45885</v>
      </c>
      <c r="O1146" s="64">
        <v>1</v>
      </c>
      <c r="P1146" s="64">
        <v>0</v>
      </c>
      <c r="Q1146" s="91" t="s">
        <v>2551</v>
      </c>
      <c r="R1146" s="64">
        <v>0</v>
      </c>
      <c r="S1146" s="67">
        <v>45889</v>
      </c>
      <c r="T1146" s="67">
        <v>45894</v>
      </c>
      <c r="U1146" s="64">
        <v>1</v>
      </c>
      <c r="V1146" s="66"/>
      <c r="W1146" s="66"/>
      <c r="X1146" s="93"/>
      <c r="Y1146" s="94"/>
      <c r="Z1146" s="91" t="str">
        <f t="shared" si="430"/>
        <v>100%</v>
      </c>
      <c r="AA1146" s="67"/>
      <c r="AB1146" s="473"/>
      <c r="AC1146" s="478" t="s">
        <v>2711</v>
      </c>
      <c r="AD1146" s="67"/>
    </row>
    <row r="1147" spans="2:30">
      <c r="B1147" s="64" t="s">
        <v>113</v>
      </c>
      <c r="C1147" s="231" t="s">
        <v>2569</v>
      </c>
      <c r="D1147" s="66">
        <v>6.41</v>
      </c>
      <c r="E1147" s="67">
        <v>45836</v>
      </c>
      <c r="F1147" s="64">
        <v>1</v>
      </c>
      <c r="G1147" s="67">
        <v>45837</v>
      </c>
      <c r="H1147" s="64">
        <v>1</v>
      </c>
      <c r="I1147" s="67">
        <v>45844</v>
      </c>
      <c r="J1147" s="64">
        <v>0</v>
      </c>
      <c r="K1147" s="67">
        <v>45852</v>
      </c>
      <c r="L1147" s="64">
        <v>0</v>
      </c>
      <c r="M1147" s="64">
        <v>0</v>
      </c>
      <c r="N1147" s="67">
        <v>45853</v>
      </c>
      <c r="O1147" s="64">
        <v>1</v>
      </c>
      <c r="P1147" s="64">
        <v>0</v>
      </c>
      <c r="Q1147" s="91" t="s">
        <v>2551</v>
      </c>
      <c r="R1147" s="64">
        <v>0</v>
      </c>
      <c r="S1147" s="67">
        <v>45877</v>
      </c>
      <c r="T1147" s="67">
        <v>45898</v>
      </c>
      <c r="U1147" s="64">
        <v>1</v>
      </c>
      <c r="V1147" s="66"/>
      <c r="W1147" s="66"/>
      <c r="X1147" s="93"/>
      <c r="Y1147" s="94"/>
      <c r="Z1147" s="91" t="str">
        <f t="shared" si="430"/>
        <v>100%</v>
      </c>
      <c r="AA1147" s="67"/>
      <c r="AB1147" s="473"/>
      <c r="AC1147" s="478" t="s">
        <v>2711</v>
      </c>
      <c r="AD1147" s="67"/>
    </row>
    <row r="1148" spans="2:30">
      <c r="B1148" s="64" t="s">
        <v>113</v>
      </c>
      <c r="C1148" s="231" t="s">
        <v>47</v>
      </c>
      <c r="D1148" s="66">
        <v>8.6999999999999993</v>
      </c>
      <c r="E1148" s="67">
        <v>45876</v>
      </c>
      <c r="F1148" s="64">
        <v>1</v>
      </c>
      <c r="G1148" s="67">
        <v>45877</v>
      </c>
      <c r="H1148" s="64">
        <v>1</v>
      </c>
      <c r="I1148" s="67">
        <v>45880</v>
      </c>
      <c r="J1148" s="64">
        <v>0</v>
      </c>
      <c r="K1148" s="67">
        <v>45883</v>
      </c>
      <c r="L1148" s="64">
        <v>0</v>
      </c>
      <c r="M1148" s="64">
        <v>0</v>
      </c>
      <c r="N1148" s="67">
        <v>45884</v>
      </c>
      <c r="O1148" s="64">
        <v>1</v>
      </c>
      <c r="P1148" s="64">
        <v>0</v>
      </c>
      <c r="Q1148" s="91" t="s">
        <v>2551</v>
      </c>
      <c r="R1148" s="64">
        <v>0</v>
      </c>
      <c r="S1148" s="67">
        <v>45884</v>
      </c>
      <c r="T1148" s="67">
        <v>45897</v>
      </c>
      <c r="U1148" s="64">
        <v>1</v>
      </c>
      <c r="V1148" s="66"/>
      <c r="W1148" s="66"/>
      <c r="X1148" s="93"/>
      <c r="Y1148" s="94"/>
      <c r="Z1148" s="91" t="str">
        <f t="shared" si="430"/>
        <v>100%</v>
      </c>
      <c r="AA1148" s="67"/>
      <c r="AB1148" s="473"/>
      <c r="AC1148" s="478" t="s">
        <v>2711</v>
      </c>
      <c r="AD1148" s="67"/>
    </row>
    <row r="1149" spans="2:30">
      <c r="B1149" s="64" t="s">
        <v>105</v>
      </c>
      <c r="C1149" s="231" t="s">
        <v>1424</v>
      </c>
      <c r="D1149" s="66">
        <v>5.43</v>
      </c>
      <c r="E1149" s="67">
        <v>45816</v>
      </c>
      <c r="F1149" s="64">
        <v>1</v>
      </c>
      <c r="G1149" s="67">
        <v>45830</v>
      </c>
      <c r="H1149" s="64">
        <v>1</v>
      </c>
      <c r="I1149" s="67">
        <v>45833</v>
      </c>
      <c r="J1149" s="64">
        <v>0</v>
      </c>
      <c r="K1149" s="67">
        <v>45829</v>
      </c>
      <c r="L1149" s="64">
        <v>0</v>
      </c>
      <c r="M1149" s="64">
        <v>0</v>
      </c>
      <c r="N1149" s="67">
        <v>45834</v>
      </c>
      <c r="O1149" s="64">
        <v>1</v>
      </c>
      <c r="P1149" s="64">
        <v>0</v>
      </c>
      <c r="Q1149" s="91" t="s">
        <v>2551</v>
      </c>
      <c r="R1149" s="64">
        <v>0</v>
      </c>
      <c r="S1149" s="67">
        <v>45875</v>
      </c>
      <c r="T1149" s="67">
        <v>45900</v>
      </c>
      <c r="U1149" s="64">
        <v>1</v>
      </c>
      <c r="V1149" s="66"/>
      <c r="W1149" s="66"/>
      <c r="X1149" s="93"/>
      <c r="Y1149" s="94"/>
      <c r="Z1149" s="91" t="str">
        <f t="shared" si="430"/>
        <v>100%</v>
      </c>
      <c r="AA1149" s="67"/>
      <c r="AB1149" s="473"/>
      <c r="AC1149" s="478" t="s">
        <v>2711</v>
      </c>
      <c r="AD1149" s="67"/>
    </row>
    <row r="1150" spans="2:30">
      <c r="B1150" s="64" t="s">
        <v>113</v>
      </c>
      <c r="C1150" s="231" t="s">
        <v>2570</v>
      </c>
      <c r="D1150" s="66">
        <v>5.0199999999999996</v>
      </c>
      <c r="E1150" s="67">
        <v>45836</v>
      </c>
      <c r="F1150" s="64">
        <v>1</v>
      </c>
      <c r="G1150" s="67">
        <v>45837</v>
      </c>
      <c r="H1150" s="64">
        <v>1</v>
      </c>
      <c r="I1150" s="67">
        <v>45844</v>
      </c>
      <c r="J1150" s="64">
        <v>0</v>
      </c>
      <c r="K1150" s="67">
        <v>45852</v>
      </c>
      <c r="L1150" s="64">
        <v>0</v>
      </c>
      <c r="M1150" s="64">
        <v>0</v>
      </c>
      <c r="N1150" s="67">
        <v>45853</v>
      </c>
      <c r="O1150" s="64">
        <v>1</v>
      </c>
      <c r="P1150" s="64">
        <v>0</v>
      </c>
      <c r="Q1150" s="91" t="s">
        <v>2551</v>
      </c>
      <c r="R1150" s="64">
        <v>0</v>
      </c>
      <c r="S1150" s="67">
        <v>45880</v>
      </c>
      <c r="T1150" s="67">
        <v>45899</v>
      </c>
      <c r="U1150" s="64">
        <v>1</v>
      </c>
      <c r="V1150" s="66"/>
      <c r="W1150" s="66"/>
      <c r="X1150" s="93"/>
      <c r="Y1150" s="94"/>
      <c r="Z1150" s="91" t="str">
        <f t="shared" si="430"/>
        <v>100%</v>
      </c>
      <c r="AA1150" s="67"/>
      <c r="AB1150" s="473"/>
      <c r="AC1150" s="478" t="s">
        <v>2711</v>
      </c>
      <c r="AD1150" s="67"/>
    </row>
    <row r="1151" spans="2:30">
      <c r="B1151" s="64" t="s">
        <v>105</v>
      </c>
      <c r="C1151" s="65" t="s">
        <v>640</v>
      </c>
      <c r="D1151" s="66">
        <v>6.07</v>
      </c>
      <c r="E1151" s="67">
        <v>45888</v>
      </c>
      <c r="F1151" s="64">
        <v>1</v>
      </c>
      <c r="G1151" s="67">
        <v>45889</v>
      </c>
      <c r="H1151" s="64">
        <v>1</v>
      </c>
      <c r="I1151" s="67">
        <v>45892</v>
      </c>
      <c r="J1151" s="64">
        <v>0</v>
      </c>
      <c r="K1151" s="67">
        <v>45889</v>
      </c>
      <c r="L1151" s="64">
        <v>0</v>
      </c>
      <c r="M1151" s="64">
        <v>0</v>
      </c>
      <c r="N1151" s="67">
        <v>45893</v>
      </c>
      <c r="O1151" s="64">
        <v>1</v>
      </c>
      <c r="P1151" s="64">
        <v>0</v>
      </c>
      <c r="Q1151" s="91" t="s">
        <v>2551</v>
      </c>
      <c r="R1151" s="64">
        <v>0</v>
      </c>
      <c r="S1151" s="67">
        <v>45894</v>
      </c>
      <c r="T1151" s="67">
        <v>45902</v>
      </c>
      <c r="U1151" s="64">
        <v>1</v>
      </c>
      <c r="V1151" s="66"/>
      <c r="W1151" s="66"/>
      <c r="X1151" s="93"/>
      <c r="Y1151" s="94"/>
      <c r="Z1151" s="91" t="str">
        <f t="shared" si="430"/>
        <v>100%</v>
      </c>
      <c r="AA1151" s="67"/>
      <c r="AB1151" s="473"/>
      <c r="AC1151" s="478" t="s">
        <v>2711</v>
      </c>
      <c r="AD1151" s="67"/>
    </row>
    <row r="1152" spans="2:30">
      <c r="B1152" s="64" t="s">
        <v>118</v>
      </c>
      <c r="C1152" s="65" t="s">
        <v>180</v>
      </c>
      <c r="D1152" s="66">
        <v>8.14</v>
      </c>
      <c r="E1152" s="67">
        <v>45868</v>
      </c>
      <c r="F1152" s="64">
        <v>1</v>
      </c>
      <c r="G1152" s="67">
        <v>45880</v>
      </c>
      <c r="H1152" s="64">
        <v>1</v>
      </c>
      <c r="I1152" s="67">
        <v>45884</v>
      </c>
      <c r="J1152" s="64">
        <v>0</v>
      </c>
      <c r="K1152" s="67">
        <v>45878</v>
      </c>
      <c r="L1152" s="64">
        <v>0</v>
      </c>
      <c r="M1152" s="64">
        <v>0</v>
      </c>
      <c r="N1152" s="67">
        <v>45885</v>
      </c>
      <c r="O1152" s="64">
        <v>1</v>
      </c>
      <c r="P1152" s="64">
        <v>0</v>
      </c>
      <c r="Q1152" s="91" t="s">
        <v>2551</v>
      </c>
      <c r="R1152" s="64">
        <v>0</v>
      </c>
      <c r="S1152" s="67">
        <v>45885</v>
      </c>
      <c r="T1152" s="67">
        <v>45902</v>
      </c>
      <c r="U1152" s="64">
        <v>1</v>
      </c>
      <c r="V1152" s="66"/>
      <c r="W1152" s="66"/>
      <c r="X1152" s="93"/>
      <c r="Y1152" s="94"/>
      <c r="Z1152" s="91" t="str">
        <f t="shared" si="430"/>
        <v>100%</v>
      </c>
      <c r="AA1152" s="67"/>
      <c r="AB1152" s="473"/>
      <c r="AC1152" s="478" t="s">
        <v>2711</v>
      </c>
      <c r="AD1152" s="67"/>
    </row>
    <row r="1153" spans="2:30">
      <c r="B1153" s="64" t="s">
        <v>113</v>
      </c>
      <c r="C1153" s="65" t="s">
        <v>288</v>
      </c>
      <c r="D1153" s="66">
        <v>6.33</v>
      </c>
      <c r="E1153" s="67">
        <v>45876</v>
      </c>
      <c r="F1153" s="64">
        <v>1</v>
      </c>
      <c r="G1153" s="67">
        <v>45880</v>
      </c>
      <c r="H1153" s="64">
        <v>1</v>
      </c>
      <c r="I1153" s="67">
        <v>45887</v>
      </c>
      <c r="J1153" s="64">
        <v>0</v>
      </c>
      <c r="K1153" s="67">
        <v>45883</v>
      </c>
      <c r="L1153" s="64">
        <v>0</v>
      </c>
      <c r="M1153" s="64">
        <v>0</v>
      </c>
      <c r="N1153" s="67">
        <v>45888</v>
      </c>
      <c r="O1153" s="64">
        <v>1</v>
      </c>
      <c r="P1153" s="64">
        <v>0</v>
      </c>
      <c r="Q1153" s="91" t="s">
        <v>2551</v>
      </c>
      <c r="R1153" s="64">
        <v>0</v>
      </c>
      <c r="S1153" s="67">
        <v>45892</v>
      </c>
      <c r="T1153" s="67">
        <v>45905</v>
      </c>
      <c r="U1153" s="64">
        <v>1</v>
      </c>
      <c r="V1153" s="66"/>
      <c r="W1153" s="66"/>
      <c r="X1153" s="93"/>
      <c r="Y1153" s="94"/>
      <c r="Z1153" s="91" t="str">
        <f t="shared" si="430"/>
        <v>100%</v>
      </c>
      <c r="AA1153" s="67"/>
      <c r="AB1153" s="473"/>
      <c r="AC1153" s="478" t="s">
        <v>2711</v>
      </c>
      <c r="AD1153" s="67"/>
    </row>
    <row r="1154" spans="2:30">
      <c r="B1154" s="64" t="s">
        <v>105</v>
      </c>
      <c r="C1154" s="65" t="s">
        <v>2573</v>
      </c>
      <c r="D1154" s="66">
        <v>5.12</v>
      </c>
      <c r="E1154" s="67">
        <v>45878</v>
      </c>
      <c r="F1154" s="64">
        <v>1</v>
      </c>
      <c r="G1154" s="67">
        <v>45881</v>
      </c>
      <c r="H1154" s="64">
        <v>1</v>
      </c>
      <c r="I1154" s="67">
        <v>45889</v>
      </c>
      <c r="J1154" s="64">
        <v>0</v>
      </c>
      <c r="K1154" s="67">
        <v>45883</v>
      </c>
      <c r="L1154" s="64">
        <v>0</v>
      </c>
      <c r="M1154" s="64">
        <v>0</v>
      </c>
      <c r="N1154" s="67">
        <v>45890</v>
      </c>
      <c r="O1154" s="64">
        <v>1</v>
      </c>
      <c r="P1154" s="64">
        <v>0</v>
      </c>
      <c r="Q1154" s="91" t="s">
        <v>2551</v>
      </c>
      <c r="R1154" s="64">
        <v>0</v>
      </c>
      <c r="S1154" s="67">
        <v>45891</v>
      </c>
      <c r="T1154" s="67">
        <v>45904</v>
      </c>
      <c r="U1154" s="64">
        <v>1</v>
      </c>
      <c r="V1154" s="66"/>
      <c r="W1154" s="66"/>
      <c r="X1154" s="93"/>
      <c r="Y1154" s="94"/>
      <c r="Z1154" s="91" t="str">
        <f t="shared" si="430"/>
        <v>100%</v>
      </c>
      <c r="AA1154" s="67"/>
      <c r="AB1154" s="473"/>
      <c r="AC1154" s="478" t="s">
        <v>2711</v>
      </c>
      <c r="AD1154" s="67"/>
    </row>
    <row r="1155" spans="2:30">
      <c r="B1155" s="64" t="s">
        <v>118</v>
      </c>
      <c r="C1155" s="65" t="s">
        <v>568</v>
      </c>
      <c r="D1155" s="66">
        <v>10.96</v>
      </c>
      <c r="E1155" s="67">
        <v>45867</v>
      </c>
      <c r="F1155" s="64">
        <v>1</v>
      </c>
      <c r="G1155" s="67">
        <v>45868</v>
      </c>
      <c r="H1155" s="64">
        <v>1</v>
      </c>
      <c r="I1155" s="67">
        <v>45874</v>
      </c>
      <c r="J1155" s="64">
        <v>0</v>
      </c>
      <c r="K1155" s="67">
        <v>45873</v>
      </c>
      <c r="L1155" s="64">
        <v>0</v>
      </c>
      <c r="M1155" s="64">
        <v>0</v>
      </c>
      <c r="N1155" s="67">
        <v>45875</v>
      </c>
      <c r="O1155" s="64">
        <v>1</v>
      </c>
      <c r="P1155" s="64">
        <v>0</v>
      </c>
      <c r="Q1155" s="91" t="s">
        <v>2551</v>
      </c>
      <c r="R1155" s="64">
        <v>0</v>
      </c>
      <c r="S1155" s="67">
        <v>45875</v>
      </c>
      <c r="T1155" s="67">
        <v>45907</v>
      </c>
      <c r="U1155" s="64">
        <v>1</v>
      </c>
      <c r="V1155" s="66"/>
      <c r="W1155" s="66"/>
      <c r="X1155" s="93"/>
      <c r="Y1155" s="94"/>
      <c r="Z1155" s="91" t="str">
        <f t="shared" si="430"/>
        <v>100%</v>
      </c>
      <c r="AA1155" s="67"/>
      <c r="AB1155" s="473"/>
      <c r="AC1155" s="478" t="s">
        <v>2711</v>
      </c>
      <c r="AD1155" s="67"/>
    </row>
    <row r="1156" spans="2:30">
      <c r="B1156" s="64" t="s">
        <v>118</v>
      </c>
      <c r="C1156" s="65" t="s">
        <v>2575</v>
      </c>
      <c r="D1156" s="66">
        <v>5.49</v>
      </c>
      <c r="E1156" s="67">
        <v>45880</v>
      </c>
      <c r="F1156" s="64">
        <v>1</v>
      </c>
      <c r="G1156" s="67">
        <v>45888</v>
      </c>
      <c r="H1156" s="64">
        <v>1</v>
      </c>
      <c r="I1156" s="67">
        <v>45892</v>
      </c>
      <c r="J1156" s="64">
        <v>0</v>
      </c>
      <c r="K1156" s="67">
        <v>45884</v>
      </c>
      <c r="L1156" s="64">
        <v>0</v>
      </c>
      <c r="M1156" s="64">
        <v>0</v>
      </c>
      <c r="N1156" s="67">
        <v>45893</v>
      </c>
      <c r="O1156" s="64">
        <v>1</v>
      </c>
      <c r="P1156" s="64">
        <v>0</v>
      </c>
      <c r="Q1156" s="91" t="s">
        <v>2551</v>
      </c>
      <c r="R1156" s="64">
        <v>0</v>
      </c>
      <c r="S1156" s="67">
        <v>45894</v>
      </c>
      <c r="T1156" s="67">
        <v>45906</v>
      </c>
      <c r="U1156" s="64">
        <v>1</v>
      </c>
      <c r="V1156" s="66"/>
      <c r="W1156" s="66"/>
      <c r="X1156" s="93"/>
      <c r="Y1156" s="94"/>
      <c r="Z1156" s="91" t="str">
        <f t="shared" si="430"/>
        <v>100%</v>
      </c>
      <c r="AA1156" s="67"/>
      <c r="AB1156" s="473"/>
      <c r="AC1156" s="478" t="s">
        <v>2711</v>
      </c>
      <c r="AD1156" s="67"/>
    </row>
    <row r="1157" spans="2:30">
      <c r="B1157" s="64" t="s">
        <v>118</v>
      </c>
      <c r="C1157" s="65" t="s">
        <v>586</v>
      </c>
      <c r="D1157" s="66">
        <v>7.4</v>
      </c>
      <c r="E1157" s="67">
        <v>45875</v>
      </c>
      <c r="F1157" s="64">
        <v>1</v>
      </c>
      <c r="G1157" s="67">
        <v>45876</v>
      </c>
      <c r="H1157" s="64">
        <v>1</v>
      </c>
      <c r="I1157" s="67">
        <v>45883</v>
      </c>
      <c r="J1157" s="64">
        <v>0</v>
      </c>
      <c r="K1157" s="67">
        <v>45884</v>
      </c>
      <c r="L1157" s="64">
        <v>0</v>
      </c>
      <c r="M1157" s="64">
        <v>0</v>
      </c>
      <c r="N1157" s="67">
        <v>45885</v>
      </c>
      <c r="O1157" s="64">
        <v>1</v>
      </c>
      <c r="P1157" s="64">
        <v>0</v>
      </c>
      <c r="Q1157" s="91" t="s">
        <v>2551</v>
      </c>
      <c r="R1157" s="64">
        <v>0</v>
      </c>
      <c r="S1157" s="67">
        <v>45890</v>
      </c>
      <c r="T1157" s="67">
        <v>45907</v>
      </c>
      <c r="U1157" s="64">
        <v>1</v>
      </c>
      <c r="V1157" s="66"/>
      <c r="W1157" s="66"/>
      <c r="X1157" s="93"/>
      <c r="Y1157" s="94"/>
      <c r="Z1157" s="91" t="str">
        <f t="shared" si="430"/>
        <v>100%</v>
      </c>
      <c r="AA1157" s="67"/>
      <c r="AB1157" s="473"/>
      <c r="AC1157" s="478" t="s">
        <v>2711</v>
      </c>
      <c r="AD1157" s="67"/>
    </row>
    <row r="1158" spans="2:30">
      <c r="B1158" s="64" t="s">
        <v>105</v>
      </c>
      <c r="C1158" s="65" t="s">
        <v>622</v>
      </c>
      <c r="D1158" s="66">
        <v>7.11</v>
      </c>
      <c r="E1158" s="67">
        <v>45888</v>
      </c>
      <c r="F1158" s="64">
        <v>1</v>
      </c>
      <c r="G1158" s="67">
        <v>45889</v>
      </c>
      <c r="H1158" s="64">
        <v>1</v>
      </c>
      <c r="I1158" s="67">
        <v>45894</v>
      </c>
      <c r="J1158" s="64">
        <v>0</v>
      </c>
      <c r="K1158" s="67">
        <v>45884</v>
      </c>
      <c r="L1158" s="64">
        <v>0</v>
      </c>
      <c r="M1158" s="64">
        <v>0</v>
      </c>
      <c r="N1158" s="67">
        <v>45895</v>
      </c>
      <c r="O1158" s="64">
        <v>1</v>
      </c>
      <c r="P1158" s="64">
        <v>0</v>
      </c>
      <c r="Q1158" s="91" t="s">
        <v>2551</v>
      </c>
      <c r="R1158" s="64">
        <v>0</v>
      </c>
      <c r="S1158" s="67">
        <v>45896</v>
      </c>
      <c r="T1158" s="67">
        <v>45908</v>
      </c>
      <c r="U1158" s="64">
        <v>1</v>
      </c>
      <c r="V1158" s="66"/>
      <c r="W1158" s="66"/>
      <c r="X1158" s="93"/>
      <c r="Y1158" s="94"/>
      <c r="Z1158" s="91" t="str">
        <f t="shared" si="430"/>
        <v>100%</v>
      </c>
      <c r="AA1158" s="67"/>
      <c r="AB1158" s="473"/>
      <c r="AC1158" s="478" t="s">
        <v>2711</v>
      </c>
      <c r="AD1158" s="67"/>
    </row>
    <row r="1159" spans="2:30">
      <c r="B1159" s="64" t="s">
        <v>118</v>
      </c>
      <c r="C1159" s="65" t="s">
        <v>575</v>
      </c>
      <c r="D1159" s="66">
        <v>6.82</v>
      </c>
      <c r="E1159" s="67">
        <v>45875</v>
      </c>
      <c r="F1159" s="64">
        <v>1</v>
      </c>
      <c r="G1159" s="67">
        <v>45876</v>
      </c>
      <c r="H1159" s="64">
        <v>1</v>
      </c>
      <c r="I1159" s="67">
        <v>45881</v>
      </c>
      <c r="J1159" s="64">
        <v>0</v>
      </c>
      <c r="K1159" s="67">
        <v>45878</v>
      </c>
      <c r="L1159" s="64">
        <v>0</v>
      </c>
      <c r="M1159" s="64">
        <v>0</v>
      </c>
      <c r="N1159" s="67">
        <v>45882</v>
      </c>
      <c r="O1159" s="64">
        <v>1</v>
      </c>
      <c r="P1159" s="64">
        <v>0</v>
      </c>
      <c r="Q1159" s="91" t="s">
        <v>2551</v>
      </c>
      <c r="R1159" s="64">
        <v>0</v>
      </c>
      <c r="S1159" s="67">
        <v>45882</v>
      </c>
      <c r="T1159" s="67">
        <v>45908</v>
      </c>
      <c r="U1159" s="64">
        <v>1</v>
      </c>
      <c r="V1159" s="66"/>
      <c r="W1159" s="66"/>
      <c r="X1159" s="93"/>
      <c r="Y1159" s="94"/>
      <c r="Z1159" s="91" t="str">
        <f t="shared" si="430"/>
        <v>100%</v>
      </c>
      <c r="AA1159" s="67"/>
      <c r="AB1159" s="473"/>
      <c r="AC1159" s="478" t="s">
        <v>2711</v>
      </c>
      <c r="AD1159" s="67"/>
    </row>
    <row r="1160" spans="2:30">
      <c r="B1160" s="64" t="s">
        <v>118</v>
      </c>
      <c r="C1160" s="65" t="s">
        <v>2576</v>
      </c>
      <c r="D1160" s="66">
        <v>7.73</v>
      </c>
      <c r="E1160" s="67">
        <v>45880</v>
      </c>
      <c r="F1160" s="64">
        <v>1</v>
      </c>
      <c r="G1160" s="67">
        <v>45888</v>
      </c>
      <c r="H1160" s="64">
        <v>1</v>
      </c>
      <c r="I1160" s="67">
        <v>45893</v>
      </c>
      <c r="J1160" s="64">
        <v>0</v>
      </c>
      <c r="K1160" s="67">
        <v>45884</v>
      </c>
      <c r="L1160" s="64">
        <v>0</v>
      </c>
      <c r="M1160" s="64">
        <v>0</v>
      </c>
      <c r="N1160" s="67">
        <v>45894</v>
      </c>
      <c r="O1160" s="64">
        <v>1</v>
      </c>
      <c r="P1160" s="64">
        <v>0</v>
      </c>
      <c r="Q1160" s="91" t="s">
        <v>2551</v>
      </c>
      <c r="R1160" s="64">
        <v>0</v>
      </c>
      <c r="S1160" s="67">
        <v>45895</v>
      </c>
      <c r="T1160" s="67">
        <v>45910</v>
      </c>
      <c r="U1160" s="64">
        <v>1</v>
      </c>
      <c r="V1160" s="66"/>
      <c r="W1160" s="66"/>
      <c r="X1160" s="93"/>
      <c r="Y1160" s="94"/>
      <c r="Z1160" s="91" t="str">
        <f t="shared" si="430"/>
        <v>100%</v>
      </c>
      <c r="AA1160" s="67"/>
      <c r="AB1160" s="473"/>
      <c r="AC1160" s="478" t="s">
        <v>2711</v>
      </c>
      <c r="AD1160" s="67"/>
    </row>
    <row r="1161" spans="2:30">
      <c r="B1161" s="64" t="s">
        <v>116</v>
      </c>
      <c r="C1161" s="65" t="s">
        <v>578</v>
      </c>
      <c r="D1161" s="66">
        <v>7.57</v>
      </c>
      <c r="E1161" s="67">
        <v>45806</v>
      </c>
      <c r="F1161" s="64">
        <v>1</v>
      </c>
      <c r="G1161" s="67">
        <v>45811</v>
      </c>
      <c r="H1161" s="64">
        <v>1</v>
      </c>
      <c r="I1161" s="67">
        <v>45833</v>
      </c>
      <c r="J1161" s="64">
        <v>0</v>
      </c>
      <c r="K1161" s="67">
        <v>45811</v>
      </c>
      <c r="L1161" s="64">
        <v>0</v>
      </c>
      <c r="M1161" s="64">
        <v>0</v>
      </c>
      <c r="N1161" s="67">
        <v>45834</v>
      </c>
      <c r="O1161" s="64">
        <v>1</v>
      </c>
      <c r="P1161" s="64">
        <v>0</v>
      </c>
      <c r="Q1161" s="91" t="s">
        <v>2551</v>
      </c>
      <c r="R1161" s="64">
        <v>0</v>
      </c>
      <c r="S1161" s="67">
        <v>45834</v>
      </c>
      <c r="T1161" s="67">
        <v>45911</v>
      </c>
      <c r="U1161" s="64">
        <v>1</v>
      </c>
      <c r="V1161" s="66"/>
      <c r="W1161" s="66"/>
      <c r="X1161" s="93"/>
      <c r="Y1161" s="94"/>
      <c r="Z1161" s="91" t="str">
        <f t="shared" si="430"/>
        <v>100%</v>
      </c>
      <c r="AA1161" s="67"/>
      <c r="AB1161" s="473"/>
      <c r="AC1161" s="478" t="s">
        <v>2711</v>
      </c>
      <c r="AD1161" s="67"/>
    </row>
    <row r="1162" spans="2:30">
      <c r="B1162" s="64" t="s">
        <v>113</v>
      </c>
      <c r="C1162" s="65" t="s">
        <v>298</v>
      </c>
      <c r="D1162" s="66">
        <v>10.82</v>
      </c>
      <c r="E1162" s="67">
        <v>45876</v>
      </c>
      <c r="F1162" s="64">
        <v>1</v>
      </c>
      <c r="G1162" s="67">
        <v>45880</v>
      </c>
      <c r="H1162" s="64">
        <v>1</v>
      </c>
      <c r="I1162" s="67">
        <v>45888</v>
      </c>
      <c r="J1162" s="64">
        <v>0</v>
      </c>
      <c r="K1162" s="67">
        <v>45885</v>
      </c>
      <c r="L1162" s="64">
        <v>0</v>
      </c>
      <c r="M1162" s="64">
        <v>0</v>
      </c>
      <c r="N1162" s="67">
        <v>45889</v>
      </c>
      <c r="O1162" s="64">
        <v>1</v>
      </c>
      <c r="P1162" s="64">
        <v>0</v>
      </c>
      <c r="Q1162" s="91" t="s">
        <v>2551</v>
      </c>
      <c r="R1162" s="64">
        <v>0</v>
      </c>
      <c r="S1162" s="67">
        <v>45891</v>
      </c>
      <c r="T1162" s="67">
        <v>45914</v>
      </c>
      <c r="U1162" s="64">
        <v>1</v>
      </c>
      <c r="V1162" s="66"/>
      <c r="W1162" s="66"/>
      <c r="X1162" s="93"/>
      <c r="Y1162" s="94"/>
      <c r="Z1162" s="91" t="str">
        <f t="shared" ref="Z1162:Z1225" si="432">IF(T1162="","","100%")</f>
        <v>100%</v>
      </c>
      <c r="AA1162" s="67"/>
      <c r="AB1162" s="473"/>
      <c r="AC1162" s="478" t="s">
        <v>2711</v>
      </c>
      <c r="AD1162" s="67"/>
    </row>
    <row r="1163" spans="2:30">
      <c r="B1163" s="64" t="s">
        <v>105</v>
      </c>
      <c r="C1163" s="65" t="s">
        <v>11</v>
      </c>
      <c r="D1163" s="66">
        <v>9.0500000000000007</v>
      </c>
      <c r="E1163" s="67">
        <v>45895</v>
      </c>
      <c r="F1163" s="64">
        <v>1</v>
      </c>
      <c r="G1163" s="67">
        <v>45896</v>
      </c>
      <c r="H1163" s="64">
        <v>1</v>
      </c>
      <c r="I1163" s="67">
        <v>45901</v>
      </c>
      <c r="J1163" s="64">
        <v>0</v>
      </c>
      <c r="K1163" s="67">
        <v>45899</v>
      </c>
      <c r="L1163" s="64">
        <v>0</v>
      </c>
      <c r="M1163" s="64">
        <v>0</v>
      </c>
      <c r="N1163" s="67">
        <v>45902</v>
      </c>
      <c r="O1163" s="64">
        <v>1</v>
      </c>
      <c r="P1163" s="64">
        <v>0</v>
      </c>
      <c r="Q1163" s="91" t="s">
        <v>2551</v>
      </c>
      <c r="R1163" s="64">
        <v>0</v>
      </c>
      <c r="S1163" s="67">
        <v>45903</v>
      </c>
      <c r="T1163" s="67">
        <v>45915</v>
      </c>
      <c r="U1163" s="64">
        <v>1</v>
      </c>
      <c r="V1163" s="66"/>
      <c r="W1163" s="66"/>
      <c r="X1163" s="93"/>
      <c r="Y1163" s="94"/>
      <c r="Z1163" s="91" t="str">
        <f t="shared" si="432"/>
        <v>100%</v>
      </c>
      <c r="AA1163" s="67"/>
      <c r="AB1163" s="473"/>
      <c r="AC1163" s="478" t="s">
        <v>2711</v>
      </c>
      <c r="AD1163" s="67"/>
    </row>
    <row r="1164" spans="2:30">
      <c r="B1164" s="64" t="s">
        <v>105</v>
      </c>
      <c r="C1164" s="65" t="s">
        <v>581</v>
      </c>
      <c r="D1164" s="66">
        <v>4.07</v>
      </c>
      <c r="E1164" s="67">
        <v>45878</v>
      </c>
      <c r="F1164" s="64">
        <v>1</v>
      </c>
      <c r="G1164" s="67">
        <v>45900</v>
      </c>
      <c r="H1164" s="64">
        <v>1</v>
      </c>
      <c r="I1164" s="67">
        <v>45904</v>
      </c>
      <c r="J1164" s="64">
        <v>0</v>
      </c>
      <c r="K1164" s="67">
        <v>45903</v>
      </c>
      <c r="L1164" s="64">
        <v>0</v>
      </c>
      <c r="M1164" s="64">
        <v>0</v>
      </c>
      <c r="N1164" s="67">
        <v>45905</v>
      </c>
      <c r="O1164" s="64">
        <v>1</v>
      </c>
      <c r="P1164" s="64">
        <v>0</v>
      </c>
      <c r="Q1164" s="91" t="s">
        <v>2551</v>
      </c>
      <c r="R1164" s="64">
        <v>0</v>
      </c>
      <c r="S1164" s="67">
        <v>45874</v>
      </c>
      <c r="T1164" s="67">
        <v>45915</v>
      </c>
      <c r="U1164" s="64">
        <v>1</v>
      </c>
      <c r="V1164" s="66"/>
      <c r="W1164" s="66"/>
      <c r="X1164" s="93"/>
      <c r="Y1164" s="94"/>
      <c r="Z1164" s="91" t="str">
        <f t="shared" si="432"/>
        <v>100%</v>
      </c>
      <c r="AA1164" s="67"/>
      <c r="AB1164" s="473"/>
      <c r="AC1164" s="478" t="s">
        <v>2711</v>
      </c>
      <c r="AD1164" s="67"/>
    </row>
    <row r="1165" spans="2:30">
      <c r="B1165" s="64" t="s">
        <v>111</v>
      </c>
      <c r="C1165" s="65" t="s">
        <v>66</v>
      </c>
      <c r="D1165" s="66">
        <v>6.68</v>
      </c>
      <c r="E1165" s="67">
        <v>45877</v>
      </c>
      <c r="F1165" s="64">
        <v>1</v>
      </c>
      <c r="G1165" s="67">
        <v>45878</v>
      </c>
      <c r="H1165" s="64">
        <v>1</v>
      </c>
      <c r="I1165" s="67">
        <v>45888</v>
      </c>
      <c r="J1165" s="64">
        <v>0</v>
      </c>
      <c r="K1165" s="67">
        <v>45884</v>
      </c>
      <c r="L1165" s="64">
        <v>0</v>
      </c>
      <c r="M1165" s="64">
        <v>0</v>
      </c>
      <c r="N1165" s="67">
        <v>45889</v>
      </c>
      <c r="O1165" s="64">
        <v>1</v>
      </c>
      <c r="P1165" s="64">
        <v>0</v>
      </c>
      <c r="Q1165" s="91" t="s">
        <v>2551</v>
      </c>
      <c r="R1165" s="64">
        <v>0</v>
      </c>
      <c r="S1165" s="67">
        <v>45896</v>
      </c>
      <c r="T1165" s="67">
        <v>45916</v>
      </c>
      <c r="U1165" s="64">
        <v>1</v>
      </c>
      <c r="V1165" s="66"/>
      <c r="W1165" s="66"/>
      <c r="X1165" s="93"/>
      <c r="Y1165" s="94"/>
      <c r="Z1165" s="91" t="str">
        <f t="shared" si="432"/>
        <v>100%</v>
      </c>
      <c r="AA1165" s="67"/>
      <c r="AB1165" s="473"/>
      <c r="AC1165" s="478" t="s">
        <v>2711</v>
      </c>
      <c r="AD1165" s="67"/>
    </row>
    <row r="1166" spans="2:30">
      <c r="B1166" s="64" t="s">
        <v>105</v>
      </c>
      <c r="C1166" s="65" t="s">
        <v>594</v>
      </c>
      <c r="D1166" s="66">
        <v>3.71</v>
      </c>
      <c r="E1166" s="67">
        <v>45898</v>
      </c>
      <c r="F1166" s="64">
        <v>1</v>
      </c>
      <c r="G1166" s="67">
        <v>45899</v>
      </c>
      <c r="H1166" s="64">
        <v>1</v>
      </c>
      <c r="I1166" s="67">
        <v>45906</v>
      </c>
      <c r="J1166" s="64">
        <v>0</v>
      </c>
      <c r="K1166" s="67">
        <v>45905</v>
      </c>
      <c r="L1166" s="64">
        <v>0</v>
      </c>
      <c r="M1166" s="64">
        <v>0</v>
      </c>
      <c r="N1166" s="67">
        <v>45907</v>
      </c>
      <c r="O1166" s="64">
        <v>1</v>
      </c>
      <c r="P1166" s="64">
        <v>0</v>
      </c>
      <c r="Q1166" s="91" t="s">
        <v>2551</v>
      </c>
      <c r="R1166" s="64">
        <v>0</v>
      </c>
      <c r="S1166" s="67">
        <v>45909</v>
      </c>
      <c r="T1166" s="67">
        <v>45930</v>
      </c>
      <c r="U1166" s="64">
        <v>1</v>
      </c>
      <c r="V1166" s="66"/>
      <c r="W1166" s="66"/>
      <c r="X1166" s="93"/>
      <c r="Y1166" s="94"/>
      <c r="Z1166" s="91" t="str">
        <f t="shared" si="432"/>
        <v>100%</v>
      </c>
      <c r="AA1166" s="67"/>
      <c r="AB1166" s="473"/>
      <c r="AC1166" s="478" t="s">
        <v>2711</v>
      </c>
      <c r="AD1166" s="67"/>
    </row>
    <row r="1167" spans="2:30">
      <c r="B1167" s="64" t="s">
        <v>105</v>
      </c>
      <c r="C1167" s="65" t="s">
        <v>911</v>
      </c>
      <c r="D1167" s="66">
        <v>2.92</v>
      </c>
      <c r="E1167" s="67">
        <v>45892</v>
      </c>
      <c r="F1167" s="64">
        <v>1</v>
      </c>
      <c r="G1167" s="67">
        <v>45895</v>
      </c>
      <c r="H1167" s="64">
        <v>1</v>
      </c>
      <c r="I1167" s="67">
        <v>45898</v>
      </c>
      <c r="J1167" s="64">
        <v>0</v>
      </c>
      <c r="K1167" s="67">
        <v>45898</v>
      </c>
      <c r="L1167" s="64">
        <v>0</v>
      </c>
      <c r="M1167" s="64">
        <v>0</v>
      </c>
      <c r="N1167" s="67">
        <v>45899</v>
      </c>
      <c r="O1167" s="64">
        <v>1</v>
      </c>
      <c r="P1167" s="64">
        <v>0</v>
      </c>
      <c r="Q1167" s="91" t="s">
        <v>2551</v>
      </c>
      <c r="R1167" s="64">
        <v>0</v>
      </c>
      <c r="S1167" s="67">
        <v>45900</v>
      </c>
      <c r="T1167" s="67">
        <v>45919</v>
      </c>
      <c r="U1167" s="64">
        <v>1</v>
      </c>
      <c r="V1167" s="66"/>
      <c r="W1167" s="66"/>
      <c r="X1167" s="93"/>
      <c r="Y1167" s="94"/>
      <c r="Z1167" s="91" t="str">
        <f t="shared" si="432"/>
        <v>100%</v>
      </c>
      <c r="AA1167" s="67"/>
      <c r="AB1167" s="473"/>
      <c r="AC1167" s="478" t="s">
        <v>2711</v>
      </c>
      <c r="AD1167" s="67"/>
    </row>
    <row r="1168" spans="2:30">
      <c r="B1168" s="64" t="s">
        <v>118</v>
      </c>
      <c r="C1168" s="65" t="s">
        <v>584</v>
      </c>
      <c r="D1168" s="66">
        <v>9.77</v>
      </c>
      <c r="E1168" s="67">
        <v>45877</v>
      </c>
      <c r="F1168" s="64">
        <v>1</v>
      </c>
      <c r="G1168" s="67">
        <v>45895</v>
      </c>
      <c r="H1168" s="64">
        <v>1</v>
      </c>
      <c r="I1168" s="67">
        <v>45898</v>
      </c>
      <c r="J1168" s="64">
        <v>0</v>
      </c>
      <c r="K1168" s="67">
        <v>45888</v>
      </c>
      <c r="L1168" s="64">
        <v>0</v>
      </c>
      <c r="M1168" s="64">
        <v>0</v>
      </c>
      <c r="N1168" s="67">
        <v>45899</v>
      </c>
      <c r="O1168" s="64">
        <v>1</v>
      </c>
      <c r="P1168" s="64">
        <v>0</v>
      </c>
      <c r="Q1168" s="91" t="s">
        <v>2551</v>
      </c>
      <c r="R1168" s="64">
        <v>0</v>
      </c>
      <c r="S1168" s="67">
        <v>45900</v>
      </c>
      <c r="T1168" s="67">
        <v>45919</v>
      </c>
      <c r="U1168" s="64">
        <v>1</v>
      </c>
      <c r="V1168" s="66"/>
      <c r="W1168" s="66"/>
      <c r="X1168" s="93"/>
      <c r="Y1168" s="94"/>
      <c r="Z1168" s="91" t="str">
        <f t="shared" si="432"/>
        <v>100%</v>
      </c>
      <c r="AA1168" s="67"/>
      <c r="AB1168" s="473"/>
      <c r="AC1168" s="478" t="s">
        <v>2711</v>
      </c>
      <c r="AD1168" s="67"/>
    </row>
    <row r="1169" spans="2:45">
      <c r="B1169" s="64" t="s">
        <v>118</v>
      </c>
      <c r="C1169" s="231" t="s">
        <v>31</v>
      </c>
      <c r="D1169" s="66">
        <v>7.8</v>
      </c>
      <c r="E1169" s="67">
        <v>45894</v>
      </c>
      <c r="F1169" s="64">
        <v>1</v>
      </c>
      <c r="G1169" s="67">
        <v>45896</v>
      </c>
      <c r="H1169" s="64">
        <v>1</v>
      </c>
      <c r="I1169" s="67">
        <v>45902</v>
      </c>
      <c r="J1169" s="64">
        <v>0</v>
      </c>
      <c r="K1169" s="67">
        <v>45899</v>
      </c>
      <c r="L1169" s="64">
        <v>0</v>
      </c>
      <c r="M1169" s="64">
        <v>0</v>
      </c>
      <c r="N1169" s="67">
        <v>45903</v>
      </c>
      <c r="O1169" s="64">
        <v>1</v>
      </c>
      <c r="P1169" s="64">
        <v>0</v>
      </c>
      <c r="Q1169" s="91" t="s">
        <v>2551</v>
      </c>
      <c r="R1169" s="64">
        <v>0</v>
      </c>
      <c r="S1169" s="67">
        <v>45913</v>
      </c>
      <c r="T1169" s="67">
        <v>45919</v>
      </c>
      <c r="U1169" s="64">
        <v>1</v>
      </c>
      <c r="V1169" s="66"/>
      <c r="W1169" s="66"/>
      <c r="X1169" s="93"/>
      <c r="Y1169" s="94"/>
      <c r="Z1169" s="91" t="str">
        <f t="shared" si="432"/>
        <v>100%</v>
      </c>
      <c r="AA1169" s="67"/>
      <c r="AB1169" s="473"/>
      <c r="AC1169" s="478" t="s">
        <v>2711</v>
      </c>
      <c r="AD1169" s="67"/>
      <c r="AS1169" s="253"/>
    </row>
    <row r="1170" spans="2:45">
      <c r="B1170" s="64" t="s">
        <v>118</v>
      </c>
      <c r="C1170" s="65" t="s">
        <v>34</v>
      </c>
      <c r="D1170" s="66">
        <v>3.87</v>
      </c>
      <c r="E1170" s="67">
        <v>45894</v>
      </c>
      <c r="F1170" s="64">
        <v>1</v>
      </c>
      <c r="G1170" s="67">
        <v>45896</v>
      </c>
      <c r="H1170" s="64">
        <v>1</v>
      </c>
      <c r="I1170" s="67">
        <v>45902</v>
      </c>
      <c r="J1170" s="64">
        <v>0</v>
      </c>
      <c r="K1170" s="67">
        <v>45899</v>
      </c>
      <c r="L1170" s="64">
        <v>0</v>
      </c>
      <c r="M1170" s="64">
        <v>0</v>
      </c>
      <c r="N1170" s="67">
        <v>45903</v>
      </c>
      <c r="O1170" s="64">
        <v>1</v>
      </c>
      <c r="P1170" s="64">
        <v>0</v>
      </c>
      <c r="Q1170" s="91" t="s">
        <v>2551</v>
      </c>
      <c r="R1170" s="64">
        <v>0</v>
      </c>
      <c r="S1170" s="67">
        <v>45914</v>
      </c>
      <c r="T1170" s="67">
        <v>45921</v>
      </c>
      <c r="U1170" s="64">
        <v>1</v>
      </c>
      <c r="V1170" s="66"/>
      <c r="W1170" s="66"/>
      <c r="X1170" s="93"/>
      <c r="Y1170" s="94"/>
      <c r="Z1170" s="91" t="str">
        <f t="shared" si="432"/>
        <v>100%</v>
      </c>
      <c r="AA1170" s="67"/>
      <c r="AB1170" s="473"/>
      <c r="AC1170" s="478" t="s">
        <v>2711</v>
      </c>
      <c r="AD1170" s="67"/>
    </row>
    <row r="1171" spans="2:45">
      <c r="B1171" s="64" t="s">
        <v>109</v>
      </c>
      <c r="C1171" s="65" t="s">
        <v>548</v>
      </c>
      <c r="D1171" s="66">
        <v>9.0299999999999994</v>
      </c>
      <c r="E1171" s="67">
        <v>45888</v>
      </c>
      <c r="F1171" s="64">
        <v>1</v>
      </c>
      <c r="G1171" s="67">
        <v>45889</v>
      </c>
      <c r="H1171" s="64">
        <v>1</v>
      </c>
      <c r="I1171" s="67">
        <v>45894</v>
      </c>
      <c r="J1171" s="64">
        <v>0</v>
      </c>
      <c r="K1171" s="67">
        <v>45884</v>
      </c>
      <c r="L1171" s="64">
        <v>0</v>
      </c>
      <c r="M1171" s="64">
        <v>0</v>
      </c>
      <c r="N1171" s="67">
        <v>45895</v>
      </c>
      <c r="O1171" s="64">
        <v>1</v>
      </c>
      <c r="P1171" s="64">
        <v>0</v>
      </c>
      <c r="Q1171" s="91" t="s">
        <v>2551</v>
      </c>
      <c r="R1171" s="64">
        <v>0</v>
      </c>
      <c r="S1171" s="67">
        <v>45901</v>
      </c>
      <c r="T1171" s="67">
        <v>45923</v>
      </c>
      <c r="U1171" s="64">
        <v>1</v>
      </c>
      <c r="V1171" s="66"/>
      <c r="W1171" s="66"/>
      <c r="X1171" s="93"/>
      <c r="Y1171" s="94"/>
      <c r="Z1171" s="91" t="str">
        <f t="shared" si="432"/>
        <v>100%</v>
      </c>
      <c r="AA1171" s="67"/>
      <c r="AB1171" s="473"/>
      <c r="AC1171" s="478" t="s">
        <v>2711</v>
      </c>
      <c r="AD1171" s="67"/>
    </row>
    <row r="1172" spans="2:45">
      <c r="B1172" s="64" t="s">
        <v>118</v>
      </c>
      <c r="C1172" s="65" t="s">
        <v>185</v>
      </c>
      <c r="D1172" s="66">
        <v>9.41</v>
      </c>
      <c r="E1172" s="67">
        <v>45896</v>
      </c>
      <c r="F1172" s="64">
        <v>1</v>
      </c>
      <c r="G1172" s="67">
        <v>45897</v>
      </c>
      <c r="H1172" s="64">
        <v>1</v>
      </c>
      <c r="I1172" s="67">
        <v>45904</v>
      </c>
      <c r="J1172" s="64">
        <v>0</v>
      </c>
      <c r="K1172" s="67">
        <v>45908</v>
      </c>
      <c r="L1172" s="64">
        <v>0</v>
      </c>
      <c r="M1172" s="64">
        <v>0</v>
      </c>
      <c r="N1172" s="67">
        <v>45909</v>
      </c>
      <c r="O1172" s="64">
        <v>1</v>
      </c>
      <c r="P1172" s="64">
        <v>0</v>
      </c>
      <c r="Q1172" s="91" t="s">
        <v>2551</v>
      </c>
      <c r="R1172" s="64">
        <v>0</v>
      </c>
      <c r="S1172" s="67">
        <v>45915</v>
      </c>
      <c r="T1172" s="67">
        <v>45926</v>
      </c>
      <c r="U1172" s="64">
        <v>1</v>
      </c>
      <c r="V1172" s="66"/>
      <c r="W1172" s="66"/>
      <c r="X1172" s="93"/>
      <c r="Y1172" s="94"/>
      <c r="Z1172" s="91" t="str">
        <f t="shared" si="432"/>
        <v>100%</v>
      </c>
      <c r="AA1172" s="67"/>
      <c r="AB1172" s="473"/>
      <c r="AC1172" s="478" t="s">
        <v>2711</v>
      </c>
      <c r="AD1172" s="67"/>
    </row>
    <row r="1173" spans="2:45">
      <c r="B1173" s="64" t="s">
        <v>118</v>
      </c>
      <c r="C1173" s="65" t="s">
        <v>590</v>
      </c>
      <c r="D1173" s="66">
        <v>12.61</v>
      </c>
      <c r="E1173" s="67">
        <v>45896</v>
      </c>
      <c r="F1173" s="64">
        <v>1</v>
      </c>
      <c r="G1173" s="67">
        <v>45897</v>
      </c>
      <c r="H1173" s="64">
        <v>1</v>
      </c>
      <c r="I1173" s="67">
        <v>45903</v>
      </c>
      <c r="J1173" s="64">
        <v>0</v>
      </c>
      <c r="K1173" s="67">
        <v>45903</v>
      </c>
      <c r="L1173" s="64">
        <v>0</v>
      </c>
      <c r="M1173" s="64">
        <v>0</v>
      </c>
      <c r="N1173" s="67">
        <v>45904</v>
      </c>
      <c r="O1173" s="64">
        <v>1</v>
      </c>
      <c r="P1173" s="64">
        <v>0</v>
      </c>
      <c r="Q1173" s="91" t="s">
        <v>2551</v>
      </c>
      <c r="R1173" s="64">
        <v>0</v>
      </c>
      <c r="S1173" s="67">
        <v>45908</v>
      </c>
      <c r="T1173" s="67">
        <v>45926</v>
      </c>
      <c r="U1173" s="64">
        <v>1</v>
      </c>
      <c r="V1173" s="66"/>
      <c r="W1173" s="66"/>
      <c r="X1173" s="93"/>
      <c r="Y1173" s="94"/>
      <c r="Z1173" s="91" t="str">
        <f t="shared" si="432"/>
        <v>100%</v>
      </c>
      <c r="AA1173" s="67"/>
      <c r="AB1173" s="473"/>
      <c r="AC1173" s="478" t="s">
        <v>2711</v>
      </c>
      <c r="AD1173" s="67"/>
    </row>
    <row r="1174" spans="2:45">
      <c r="B1174" s="64" t="s">
        <v>109</v>
      </c>
      <c r="C1174" s="65" t="s">
        <v>335</v>
      </c>
      <c r="D1174" s="66">
        <v>5.67</v>
      </c>
      <c r="E1174" s="67">
        <v>45877</v>
      </c>
      <c r="F1174" s="64">
        <v>1</v>
      </c>
      <c r="G1174" s="67">
        <v>45892</v>
      </c>
      <c r="H1174" s="64">
        <v>1</v>
      </c>
      <c r="I1174" s="67">
        <v>45901</v>
      </c>
      <c r="J1174" s="64">
        <v>0</v>
      </c>
      <c r="K1174" s="67">
        <v>45899</v>
      </c>
      <c r="L1174" s="64">
        <v>0</v>
      </c>
      <c r="M1174" s="64">
        <v>0</v>
      </c>
      <c r="N1174" s="67">
        <v>45902</v>
      </c>
      <c r="O1174" s="64">
        <v>1</v>
      </c>
      <c r="P1174" s="64">
        <v>0</v>
      </c>
      <c r="Q1174" s="91" t="s">
        <v>2551</v>
      </c>
      <c r="R1174" s="64">
        <v>0</v>
      </c>
      <c r="S1174" s="67">
        <v>45903</v>
      </c>
      <c r="T1174" s="67">
        <v>45926</v>
      </c>
      <c r="U1174" s="64">
        <v>1</v>
      </c>
      <c r="V1174" s="66"/>
      <c r="W1174" s="66"/>
      <c r="X1174" s="93"/>
      <c r="Y1174" s="94"/>
      <c r="Z1174" s="91" t="str">
        <f t="shared" si="432"/>
        <v>100%</v>
      </c>
      <c r="AA1174" s="67"/>
      <c r="AB1174" s="473"/>
      <c r="AC1174" s="478" t="s">
        <v>2711</v>
      </c>
      <c r="AD1174" s="67"/>
    </row>
    <row r="1175" spans="2:45">
      <c r="B1175" s="64" t="s">
        <v>116</v>
      </c>
      <c r="C1175" s="231" t="s">
        <v>591</v>
      </c>
      <c r="D1175" s="66">
        <v>2.57</v>
      </c>
      <c r="E1175" s="67">
        <v>45899</v>
      </c>
      <c r="F1175" s="64">
        <v>1</v>
      </c>
      <c r="G1175" s="67">
        <v>45900</v>
      </c>
      <c r="H1175" s="64">
        <v>1</v>
      </c>
      <c r="I1175" s="67">
        <v>45907</v>
      </c>
      <c r="J1175" s="64">
        <v>0</v>
      </c>
      <c r="K1175" s="67">
        <v>45904</v>
      </c>
      <c r="L1175" s="64">
        <v>0</v>
      </c>
      <c r="M1175" s="64">
        <v>0</v>
      </c>
      <c r="N1175" s="67">
        <v>45908</v>
      </c>
      <c r="O1175" s="64">
        <v>1</v>
      </c>
      <c r="P1175" s="64">
        <v>0</v>
      </c>
      <c r="Q1175" s="91" t="s">
        <v>2551</v>
      </c>
      <c r="R1175" s="64">
        <v>0</v>
      </c>
      <c r="S1175" s="67">
        <v>45909</v>
      </c>
      <c r="T1175" s="67">
        <v>45927</v>
      </c>
      <c r="U1175" s="64">
        <v>1</v>
      </c>
      <c r="V1175" s="66"/>
      <c r="W1175" s="66"/>
      <c r="X1175" s="93"/>
      <c r="Y1175" s="94"/>
      <c r="Z1175" s="91" t="str">
        <f t="shared" si="432"/>
        <v>100%</v>
      </c>
      <c r="AA1175" s="67"/>
      <c r="AB1175" s="473"/>
      <c r="AC1175" s="478" t="s">
        <v>2711</v>
      </c>
      <c r="AD1175" s="67"/>
      <c r="AS1175" s="253"/>
    </row>
    <row r="1176" spans="2:45">
      <c r="B1176" s="64" t="s">
        <v>116</v>
      </c>
      <c r="C1176" s="65" t="s">
        <v>69</v>
      </c>
      <c r="D1176" s="66">
        <v>5.71</v>
      </c>
      <c r="E1176" s="67">
        <v>45896</v>
      </c>
      <c r="F1176" s="64">
        <v>1</v>
      </c>
      <c r="G1176" s="67">
        <v>45899</v>
      </c>
      <c r="H1176" s="64">
        <v>1</v>
      </c>
      <c r="I1176" s="67">
        <v>45912</v>
      </c>
      <c r="J1176" s="64">
        <v>0</v>
      </c>
      <c r="K1176" s="67">
        <v>45904</v>
      </c>
      <c r="L1176" s="64">
        <v>0</v>
      </c>
      <c r="M1176" s="64">
        <v>0</v>
      </c>
      <c r="N1176" s="67">
        <v>45913</v>
      </c>
      <c r="O1176" s="64">
        <v>1</v>
      </c>
      <c r="P1176" s="64">
        <v>0</v>
      </c>
      <c r="Q1176" s="91" t="s">
        <v>2551</v>
      </c>
      <c r="R1176" s="64">
        <v>0</v>
      </c>
      <c r="S1176" s="67">
        <v>45917</v>
      </c>
      <c r="T1176" s="67">
        <v>45929</v>
      </c>
      <c r="U1176" s="64">
        <v>1</v>
      </c>
      <c r="V1176" s="66"/>
      <c r="W1176" s="66"/>
      <c r="X1176" s="93"/>
      <c r="Y1176" s="94"/>
      <c r="Z1176" s="91" t="str">
        <f t="shared" si="432"/>
        <v>100%</v>
      </c>
      <c r="AA1176" s="67"/>
      <c r="AB1176" s="473"/>
      <c r="AC1176" s="478" t="s">
        <v>2711</v>
      </c>
      <c r="AD1176" s="67"/>
    </row>
    <row r="1177" spans="2:45">
      <c r="B1177" s="64" t="s">
        <v>109</v>
      </c>
      <c r="C1177" s="65" t="s">
        <v>588</v>
      </c>
      <c r="D1177" s="66">
        <v>6.65</v>
      </c>
      <c r="E1177" s="67">
        <v>45910</v>
      </c>
      <c r="F1177" s="64">
        <v>1</v>
      </c>
      <c r="G1177" s="67">
        <v>45913</v>
      </c>
      <c r="H1177" s="64">
        <v>1</v>
      </c>
      <c r="I1177" s="67">
        <v>45915</v>
      </c>
      <c r="J1177" s="64">
        <v>0</v>
      </c>
      <c r="K1177" s="67">
        <v>45923</v>
      </c>
      <c r="L1177" s="64">
        <v>0</v>
      </c>
      <c r="M1177" s="64">
        <v>0</v>
      </c>
      <c r="N1177" s="67">
        <v>45924</v>
      </c>
      <c r="O1177" s="64">
        <v>1</v>
      </c>
      <c r="P1177" s="64">
        <v>0</v>
      </c>
      <c r="Q1177" s="91" t="s">
        <v>2551</v>
      </c>
      <c r="R1177" s="64">
        <v>0</v>
      </c>
      <c r="S1177" s="67">
        <v>45924</v>
      </c>
      <c r="T1177" s="67">
        <v>45932</v>
      </c>
      <c r="U1177" s="64">
        <v>1</v>
      </c>
      <c r="V1177" s="66"/>
      <c r="W1177" s="66"/>
      <c r="X1177" s="93"/>
      <c r="Y1177" s="94"/>
      <c r="Z1177" s="91" t="str">
        <f t="shared" si="432"/>
        <v>100%</v>
      </c>
      <c r="AA1177" s="67"/>
      <c r="AB1177" s="473"/>
      <c r="AC1177" s="478" t="s">
        <v>2711</v>
      </c>
      <c r="AD1177" s="67"/>
    </row>
    <row r="1178" spans="2:45">
      <c r="B1178" s="64" t="s">
        <v>118</v>
      </c>
      <c r="C1178" s="65" t="s">
        <v>179</v>
      </c>
      <c r="D1178" s="66">
        <v>10.65</v>
      </c>
      <c r="E1178" s="67">
        <v>45890</v>
      </c>
      <c r="F1178" s="64">
        <v>1</v>
      </c>
      <c r="G1178" s="67">
        <v>45895</v>
      </c>
      <c r="H1178" s="64">
        <v>1</v>
      </c>
      <c r="I1178" s="67">
        <v>45898</v>
      </c>
      <c r="J1178" s="64">
        <v>0</v>
      </c>
      <c r="K1178" s="67">
        <v>45896</v>
      </c>
      <c r="L1178" s="64">
        <v>0</v>
      </c>
      <c r="M1178" s="64">
        <v>0</v>
      </c>
      <c r="N1178" s="67">
        <v>45899</v>
      </c>
      <c r="O1178" s="64">
        <v>1</v>
      </c>
      <c r="P1178" s="64">
        <v>0</v>
      </c>
      <c r="Q1178" s="91" t="s">
        <v>2551</v>
      </c>
      <c r="R1178" s="64">
        <v>0</v>
      </c>
      <c r="S1178" s="67">
        <v>45899</v>
      </c>
      <c r="T1178" s="67">
        <v>45933</v>
      </c>
      <c r="U1178" s="64">
        <v>1</v>
      </c>
      <c r="V1178" s="66"/>
      <c r="W1178" s="66"/>
      <c r="X1178" s="93"/>
      <c r="Y1178" s="94"/>
      <c r="Z1178" s="91" t="str">
        <f t="shared" si="432"/>
        <v>100%</v>
      </c>
      <c r="AA1178" s="67"/>
      <c r="AB1178" s="473"/>
      <c r="AC1178" s="478" t="s">
        <v>2711</v>
      </c>
      <c r="AD1178" s="67"/>
    </row>
    <row r="1179" spans="2:45">
      <c r="B1179" s="64" t="s">
        <v>105</v>
      </c>
      <c r="C1179" s="65" t="s">
        <v>609</v>
      </c>
      <c r="D1179" s="66">
        <v>13.13</v>
      </c>
      <c r="E1179" s="67">
        <v>45909</v>
      </c>
      <c r="F1179" s="64">
        <v>1</v>
      </c>
      <c r="G1179" s="67">
        <v>45921</v>
      </c>
      <c r="H1179" s="64">
        <v>1</v>
      </c>
      <c r="I1179" s="67">
        <v>45925</v>
      </c>
      <c r="J1179" s="64">
        <v>0</v>
      </c>
      <c r="K1179" s="67">
        <v>45915</v>
      </c>
      <c r="L1179" s="64">
        <v>0</v>
      </c>
      <c r="M1179" s="64">
        <v>0</v>
      </c>
      <c r="N1179" s="67">
        <v>45926</v>
      </c>
      <c r="O1179" s="64">
        <v>1</v>
      </c>
      <c r="P1179" s="64">
        <v>0</v>
      </c>
      <c r="Q1179" s="91" t="s">
        <v>2551</v>
      </c>
      <c r="R1179" s="64">
        <v>0</v>
      </c>
      <c r="S1179" s="67">
        <v>45921</v>
      </c>
      <c r="T1179" s="67">
        <v>45937</v>
      </c>
      <c r="U1179" s="64">
        <v>1</v>
      </c>
      <c r="V1179" s="66"/>
      <c r="W1179" s="66"/>
      <c r="X1179" s="93"/>
      <c r="Y1179" s="94"/>
      <c r="Z1179" s="91" t="str">
        <f t="shared" si="432"/>
        <v>100%</v>
      </c>
      <c r="AA1179" s="67"/>
      <c r="AB1179" s="473"/>
      <c r="AC1179" s="478" t="s">
        <v>2711</v>
      </c>
      <c r="AD1179" s="67"/>
    </row>
    <row r="1180" spans="2:45">
      <c r="B1180" s="64" t="s">
        <v>111</v>
      </c>
      <c r="C1180" s="65" t="s">
        <v>203</v>
      </c>
      <c r="D1180" s="66">
        <v>4.4000000000000004</v>
      </c>
      <c r="E1180" s="67">
        <v>45899</v>
      </c>
      <c r="F1180" s="64">
        <v>1</v>
      </c>
      <c r="G1180" s="67">
        <v>45900</v>
      </c>
      <c r="H1180" s="64">
        <v>1</v>
      </c>
      <c r="I1180" s="67">
        <v>45905</v>
      </c>
      <c r="J1180" s="64">
        <v>0</v>
      </c>
      <c r="K1180" s="67">
        <v>45905</v>
      </c>
      <c r="L1180" s="64">
        <v>0</v>
      </c>
      <c r="M1180" s="64">
        <v>0</v>
      </c>
      <c r="N1180" s="67">
        <v>45906</v>
      </c>
      <c r="O1180" s="64">
        <v>1</v>
      </c>
      <c r="P1180" s="64">
        <v>0</v>
      </c>
      <c r="Q1180" s="91" t="s">
        <v>2551</v>
      </c>
      <c r="R1180" s="64">
        <v>0</v>
      </c>
      <c r="S1180" s="67">
        <v>45916</v>
      </c>
      <c r="T1180" s="67">
        <v>45937</v>
      </c>
      <c r="U1180" s="64">
        <v>1</v>
      </c>
      <c r="V1180" s="66"/>
      <c r="W1180" s="66"/>
      <c r="X1180" s="93"/>
      <c r="Y1180" s="94"/>
      <c r="Z1180" s="91" t="str">
        <f t="shared" si="432"/>
        <v>100%</v>
      </c>
      <c r="AA1180" s="67"/>
      <c r="AB1180" s="473"/>
      <c r="AC1180" s="478" t="s">
        <v>2711</v>
      </c>
      <c r="AD1180" s="67"/>
    </row>
    <row r="1181" spans="2:45">
      <c r="B1181" s="64" t="s">
        <v>116</v>
      </c>
      <c r="C1181" s="65" t="s">
        <v>28</v>
      </c>
      <c r="D1181" s="66">
        <v>6.6</v>
      </c>
      <c r="E1181" s="67">
        <v>45896</v>
      </c>
      <c r="F1181" s="64">
        <v>1</v>
      </c>
      <c r="G1181" s="67">
        <v>45899</v>
      </c>
      <c r="H1181" s="64">
        <v>1</v>
      </c>
      <c r="I1181" s="67">
        <v>45912</v>
      </c>
      <c r="J1181" s="64">
        <v>0</v>
      </c>
      <c r="K1181" s="67">
        <v>45904</v>
      </c>
      <c r="L1181" s="64">
        <v>0</v>
      </c>
      <c r="M1181" s="64">
        <v>0</v>
      </c>
      <c r="N1181" s="67">
        <v>45913</v>
      </c>
      <c r="O1181" s="64">
        <v>1</v>
      </c>
      <c r="P1181" s="64">
        <v>0</v>
      </c>
      <c r="Q1181" s="91" t="s">
        <v>2551</v>
      </c>
      <c r="R1181" s="64">
        <v>0</v>
      </c>
      <c r="S1181" s="67">
        <v>45920</v>
      </c>
      <c r="T1181" s="67">
        <v>45937</v>
      </c>
      <c r="U1181" s="64">
        <v>1</v>
      </c>
      <c r="V1181" s="66"/>
      <c r="W1181" s="66"/>
      <c r="X1181" s="93"/>
      <c r="Y1181" s="94"/>
      <c r="Z1181" s="91" t="str">
        <f t="shared" si="432"/>
        <v>100%</v>
      </c>
      <c r="AA1181" s="67"/>
      <c r="AB1181" s="473"/>
      <c r="AC1181" s="478" t="s">
        <v>2711</v>
      </c>
      <c r="AD1181" s="67"/>
    </row>
    <row r="1182" spans="2:45">
      <c r="B1182" s="64" t="s">
        <v>107</v>
      </c>
      <c r="C1182" s="65" t="s">
        <v>2493</v>
      </c>
      <c r="D1182" s="66">
        <v>6.17</v>
      </c>
      <c r="E1182" s="67">
        <v>45900</v>
      </c>
      <c r="F1182" s="64">
        <v>1</v>
      </c>
      <c r="G1182" s="67">
        <v>45907</v>
      </c>
      <c r="H1182" s="64">
        <v>1</v>
      </c>
      <c r="I1182" s="67">
        <v>45913</v>
      </c>
      <c r="J1182" s="64">
        <v>0</v>
      </c>
      <c r="K1182" s="67">
        <v>45903</v>
      </c>
      <c r="L1182" s="64">
        <v>0</v>
      </c>
      <c r="M1182" s="64">
        <v>0</v>
      </c>
      <c r="N1182" s="67">
        <v>45914</v>
      </c>
      <c r="O1182" s="64">
        <v>1</v>
      </c>
      <c r="P1182" s="64">
        <v>0</v>
      </c>
      <c r="Q1182" s="91" t="s">
        <v>2551</v>
      </c>
      <c r="R1182" s="64">
        <v>0</v>
      </c>
      <c r="S1182" s="67">
        <v>45914</v>
      </c>
      <c r="T1182" s="67">
        <v>45940</v>
      </c>
      <c r="U1182" s="64">
        <v>1</v>
      </c>
      <c r="V1182" s="66"/>
      <c r="W1182" s="66"/>
      <c r="X1182" s="93"/>
      <c r="Y1182" s="94"/>
      <c r="Z1182" s="91" t="str">
        <f t="shared" si="432"/>
        <v>100%</v>
      </c>
      <c r="AA1182" s="67"/>
      <c r="AB1182" s="473"/>
      <c r="AC1182" s="478" t="s">
        <v>2711</v>
      </c>
      <c r="AD1182" s="67"/>
    </row>
    <row r="1183" spans="2:45">
      <c r="B1183" s="64" t="s">
        <v>118</v>
      </c>
      <c r="C1183" s="65" t="s">
        <v>587</v>
      </c>
      <c r="D1183" s="66">
        <v>3.38</v>
      </c>
      <c r="E1183" s="67">
        <v>45903</v>
      </c>
      <c r="F1183" s="64">
        <v>1</v>
      </c>
      <c r="G1183" s="67">
        <v>45908</v>
      </c>
      <c r="H1183" s="64">
        <v>1</v>
      </c>
      <c r="I1183" s="67">
        <v>45913</v>
      </c>
      <c r="J1183" s="64">
        <v>0</v>
      </c>
      <c r="K1183" s="67">
        <v>45923</v>
      </c>
      <c r="L1183" s="64">
        <v>0</v>
      </c>
      <c r="M1183" s="64">
        <v>0</v>
      </c>
      <c r="N1183" s="67">
        <v>45924</v>
      </c>
      <c r="O1183" s="64">
        <v>1</v>
      </c>
      <c r="P1183" s="64">
        <v>0</v>
      </c>
      <c r="Q1183" s="91" t="s">
        <v>2551</v>
      </c>
      <c r="R1183" s="64">
        <v>0</v>
      </c>
      <c r="S1183" s="67">
        <v>45924</v>
      </c>
      <c r="T1183" s="67">
        <v>45942</v>
      </c>
      <c r="U1183" s="64">
        <v>1</v>
      </c>
      <c r="V1183" s="66"/>
      <c r="W1183" s="66"/>
      <c r="X1183" s="93"/>
      <c r="Y1183" s="94"/>
      <c r="Z1183" s="91" t="str">
        <f t="shared" si="432"/>
        <v>100%</v>
      </c>
      <c r="AA1183" s="67"/>
      <c r="AB1183" s="473"/>
      <c r="AC1183" s="478" t="s">
        <v>2711</v>
      </c>
      <c r="AD1183" s="67"/>
    </row>
    <row r="1184" spans="2:45">
      <c r="B1184" s="64" t="s">
        <v>105</v>
      </c>
      <c r="C1184" s="65" t="s">
        <v>2584</v>
      </c>
      <c r="D1184" s="66">
        <v>6.56</v>
      </c>
      <c r="E1184" s="67">
        <v>45925</v>
      </c>
      <c r="F1184" s="64">
        <v>1</v>
      </c>
      <c r="G1184" s="67">
        <v>45931</v>
      </c>
      <c r="H1184" s="64">
        <v>1</v>
      </c>
      <c r="I1184" s="67">
        <v>45932</v>
      </c>
      <c r="J1184" s="64">
        <v>0</v>
      </c>
      <c r="K1184" s="67">
        <v>45932</v>
      </c>
      <c r="L1184" s="64">
        <v>0</v>
      </c>
      <c r="M1184" s="64">
        <v>0</v>
      </c>
      <c r="N1184" s="67">
        <v>45933</v>
      </c>
      <c r="O1184" s="64">
        <v>1</v>
      </c>
      <c r="P1184" s="64">
        <v>0</v>
      </c>
      <c r="Q1184" s="91" t="s">
        <v>2551</v>
      </c>
      <c r="R1184" s="64">
        <v>0</v>
      </c>
      <c r="S1184" s="67">
        <v>45934</v>
      </c>
      <c r="T1184" s="67">
        <v>45943</v>
      </c>
      <c r="U1184" s="64">
        <v>1</v>
      </c>
      <c r="V1184" s="66"/>
      <c r="W1184" s="66"/>
      <c r="X1184" s="93"/>
      <c r="Y1184" s="94"/>
      <c r="Z1184" s="91" t="str">
        <f t="shared" si="432"/>
        <v>100%</v>
      </c>
      <c r="AA1184" s="67"/>
      <c r="AB1184" s="473"/>
      <c r="AC1184" s="478" t="s">
        <v>2711</v>
      </c>
      <c r="AD1184" s="67"/>
    </row>
    <row r="1185" spans="2:45">
      <c r="B1185" s="64" t="s">
        <v>116</v>
      </c>
      <c r="C1185" s="65" t="s">
        <v>225</v>
      </c>
      <c r="D1185" s="66">
        <v>3.48</v>
      </c>
      <c r="E1185" s="67">
        <v>45897</v>
      </c>
      <c r="F1185" s="64">
        <v>1</v>
      </c>
      <c r="G1185" s="67">
        <v>45899</v>
      </c>
      <c r="H1185" s="64">
        <v>1</v>
      </c>
      <c r="I1185" s="67">
        <v>45904</v>
      </c>
      <c r="J1185" s="64">
        <v>0</v>
      </c>
      <c r="K1185" s="67">
        <v>45904</v>
      </c>
      <c r="L1185" s="64">
        <v>0</v>
      </c>
      <c r="M1185" s="64">
        <v>0</v>
      </c>
      <c r="N1185" s="67">
        <v>45905</v>
      </c>
      <c r="O1185" s="64">
        <v>1</v>
      </c>
      <c r="P1185" s="64">
        <v>0</v>
      </c>
      <c r="Q1185" s="91" t="s">
        <v>2551</v>
      </c>
      <c r="R1185" s="64">
        <v>0</v>
      </c>
      <c r="S1185" s="67">
        <v>45928</v>
      </c>
      <c r="T1185" s="67">
        <v>45943</v>
      </c>
      <c r="U1185" s="64">
        <v>1</v>
      </c>
      <c r="V1185" s="66"/>
      <c r="W1185" s="66"/>
      <c r="X1185" s="93"/>
      <c r="Y1185" s="94"/>
      <c r="Z1185" s="91" t="str">
        <f t="shared" si="432"/>
        <v>100%</v>
      </c>
      <c r="AA1185" s="67"/>
      <c r="AB1185" s="473"/>
      <c r="AC1185" s="478" t="s">
        <v>2711</v>
      </c>
      <c r="AD1185" s="67"/>
      <c r="AS1185" s="253"/>
    </row>
    <row r="1186" spans="2:45">
      <c r="B1186" s="64" t="s">
        <v>105</v>
      </c>
      <c r="C1186" s="65" t="s">
        <v>2585</v>
      </c>
      <c r="D1186" s="66">
        <v>2.86</v>
      </c>
      <c r="E1186" s="67">
        <v>45925</v>
      </c>
      <c r="F1186" s="64">
        <v>1</v>
      </c>
      <c r="G1186" s="67">
        <v>45931</v>
      </c>
      <c r="H1186" s="64">
        <v>1</v>
      </c>
      <c r="I1186" s="67">
        <v>45932</v>
      </c>
      <c r="J1186" s="64">
        <v>0</v>
      </c>
      <c r="K1186" s="67">
        <v>45932</v>
      </c>
      <c r="L1186" s="64">
        <v>0</v>
      </c>
      <c r="M1186" s="64">
        <v>0</v>
      </c>
      <c r="N1186" s="67">
        <v>45933</v>
      </c>
      <c r="O1186" s="64">
        <v>1</v>
      </c>
      <c r="P1186" s="64">
        <v>0</v>
      </c>
      <c r="Q1186" s="91" t="s">
        <v>2551</v>
      </c>
      <c r="R1186" s="64">
        <v>0</v>
      </c>
      <c r="S1186" s="67">
        <v>45937</v>
      </c>
      <c r="T1186" s="67">
        <v>45944</v>
      </c>
      <c r="U1186" s="64">
        <v>1</v>
      </c>
      <c r="V1186" s="66"/>
      <c r="W1186" s="66"/>
      <c r="X1186" s="93"/>
      <c r="Y1186" s="94"/>
      <c r="Z1186" s="91" t="str">
        <f t="shared" si="432"/>
        <v>100%</v>
      </c>
      <c r="AA1186" s="67"/>
      <c r="AB1186" s="473"/>
      <c r="AC1186" s="478" t="s">
        <v>2711</v>
      </c>
      <c r="AD1186" s="67"/>
    </row>
    <row r="1187" spans="2:45">
      <c r="B1187" s="64" t="s">
        <v>109</v>
      </c>
      <c r="C1187" s="65" t="s">
        <v>625</v>
      </c>
      <c r="D1187" s="66">
        <v>11.18</v>
      </c>
      <c r="E1187" s="67">
        <v>45923</v>
      </c>
      <c r="F1187" s="64">
        <v>1</v>
      </c>
      <c r="G1187" s="67">
        <v>45924</v>
      </c>
      <c r="H1187" s="64">
        <v>1</v>
      </c>
      <c r="I1187" s="67">
        <v>45926</v>
      </c>
      <c r="J1187" s="64">
        <v>0</v>
      </c>
      <c r="K1187" s="67">
        <v>45924</v>
      </c>
      <c r="L1187" s="64">
        <v>0</v>
      </c>
      <c r="M1187" s="64">
        <v>0</v>
      </c>
      <c r="N1187" s="67">
        <v>45927</v>
      </c>
      <c r="O1187" s="64">
        <v>1</v>
      </c>
      <c r="P1187" s="64">
        <v>0</v>
      </c>
      <c r="Q1187" s="91" t="s">
        <v>2551</v>
      </c>
      <c r="R1187" s="64">
        <v>0</v>
      </c>
      <c r="S1187" s="67">
        <v>45927</v>
      </c>
      <c r="T1187" s="67">
        <v>45944</v>
      </c>
      <c r="U1187" s="64">
        <v>1</v>
      </c>
      <c r="V1187" s="66"/>
      <c r="W1187" s="66"/>
      <c r="X1187" s="93"/>
      <c r="Y1187" s="94"/>
      <c r="Z1187" s="91" t="str">
        <f t="shared" si="432"/>
        <v>100%</v>
      </c>
      <c r="AA1187" s="67"/>
      <c r="AB1187" s="473"/>
      <c r="AC1187" s="478" t="s">
        <v>2711</v>
      </c>
      <c r="AD1187" s="67"/>
      <c r="AS1187" s="253"/>
    </row>
    <row r="1188" spans="2:45">
      <c r="B1188" s="64" t="s">
        <v>107</v>
      </c>
      <c r="C1188" s="65" t="s">
        <v>210</v>
      </c>
      <c r="D1188" s="66">
        <v>5.41</v>
      </c>
      <c r="E1188" s="67">
        <v>45900</v>
      </c>
      <c r="F1188" s="64">
        <v>1</v>
      </c>
      <c r="G1188" s="67">
        <v>45907</v>
      </c>
      <c r="H1188" s="64">
        <v>1</v>
      </c>
      <c r="I1188" s="67">
        <v>45909</v>
      </c>
      <c r="J1188" s="64">
        <v>0</v>
      </c>
      <c r="K1188" s="67">
        <v>45903</v>
      </c>
      <c r="L1188" s="64">
        <v>0</v>
      </c>
      <c r="M1188" s="64">
        <v>0</v>
      </c>
      <c r="N1188" s="67">
        <v>45910</v>
      </c>
      <c r="O1188" s="64">
        <v>1</v>
      </c>
      <c r="P1188" s="64">
        <v>0</v>
      </c>
      <c r="Q1188" s="91" t="s">
        <v>2551</v>
      </c>
      <c r="R1188" s="64">
        <v>0</v>
      </c>
      <c r="S1188" s="67">
        <v>45910</v>
      </c>
      <c r="T1188" s="67">
        <v>45946</v>
      </c>
      <c r="U1188" s="64">
        <v>1</v>
      </c>
      <c r="V1188" s="66"/>
      <c r="W1188" s="66"/>
      <c r="X1188" s="93"/>
      <c r="Y1188" s="94"/>
      <c r="Z1188" s="91" t="str">
        <f t="shared" si="432"/>
        <v>100%</v>
      </c>
      <c r="AA1188" s="67"/>
      <c r="AB1188" s="473"/>
      <c r="AC1188" s="478" t="s">
        <v>2711</v>
      </c>
      <c r="AD1188" s="67"/>
    </row>
    <row r="1189" spans="2:45">
      <c r="B1189" s="64" t="s">
        <v>113</v>
      </c>
      <c r="C1189" s="65" t="s">
        <v>224</v>
      </c>
      <c r="D1189" s="66">
        <v>7.19</v>
      </c>
      <c r="E1189" s="67">
        <v>45924</v>
      </c>
      <c r="F1189" s="64">
        <v>1</v>
      </c>
      <c r="G1189" s="67">
        <v>45925</v>
      </c>
      <c r="H1189" s="64">
        <v>1</v>
      </c>
      <c r="I1189" s="67">
        <v>45926</v>
      </c>
      <c r="J1189" s="64">
        <v>0</v>
      </c>
      <c r="K1189" s="67">
        <v>45930</v>
      </c>
      <c r="L1189" s="64">
        <v>0</v>
      </c>
      <c r="M1189" s="64">
        <v>0</v>
      </c>
      <c r="N1189" s="67">
        <v>45931</v>
      </c>
      <c r="O1189" s="64">
        <v>1</v>
      </c>
      <c r="P1189" s="64">
        <v>0</v>
      </c>
      <c r="Q1189" s="91" t="s">
        <v>2551</v>
      </c>
      <c r="R1189" s="64">
        <v>0</v>
      </c>
      <c r="S1189" s="67">
        <v>45932</v>
      </c>
      <c r="T1189" s="67">
        <v>45947</v>
      </c>
      <c r="U1189" s="64">
        <v>1</v>
      </c>
      <c r="V1189" s="66"/>
      <c r="W1189" s="66"/>
      <c r="X1189" s="93"/>
      <c r="Y1189" s="94"/>
      <c r="Z1189" s="91" t="str">
        <f t="shared" si="432"/>
        <v>100%</v>
      </c>
      <c r="AA1189" s="67"/>
      <c r="AB1189" s="473"/>
      <c r="AC1189" s="478" t="s">
        <v>2711</v>
      </c>
      <c r="AD1189" s="67"/>
    </row>
    <row r="1190" spans="2:45">
      <c r="B1190" s="64" t="s">
        <v>105</v>
      </c>
      <c r="C1190" s="65" t="s">
        <v>601</v>
      </c>
      <c r="D1190" s="66">
        <v>7.25</v>
      </c>
      <c r="E1190" s="67">
        <v>45914</v>
      </c>
      <c r="F1190" s="64">
        <v>1</v>
      </c>
      <c r="G1190" s="67">
        <v>45922</v>
      </c>
      <c r="H1190" s="64">
        <v>1</v>
      </c>
      <c r="I1190" s="67">
        <v>45917</v>
      </c>
      <c r="J1190" s="64">
        <v>0</v>
      </c>
      <c r="K1190" s="67">
        <v>45917</v>
      </c>
      <c r="L1190" s="64">
        <v>0</v>
      </c>
      <c r="M1190" s="64">
        <v>0</v>
      </c>
      <c r="N1190" s="67">
        <v>45918</v>
      </c>
      <c r="O1190" s="64">
        <v>1</v>
      </c>
      <c r="P1190" s="64">
        <v>0</v>
      </c>
      <c r="Q1190" s="91" t="s">
        <v>2551</v>
      </c>
      <c r="R1190" s="64">
        <v>0</v>
      </c>
      <c r="S1190" s="67">
        <v>45922</v>
      </c>
      <c r="T1190" s="67">
        <v>45946</v>
      </c>
      <c r="U1190" s="64">
        <v>1</v>
      </c>
      <c r="V1190" s="66"/>
      <c r="W1190" s="66"/>
      <c r="X1190" s="93"/>
      <c r="Y1190" s="94"/>
      <c r="Z1190" s="91" t="str">
        <f t="shared" si="432"/>
        <v>100%</v>
      </c>
      <c r="AA1190" s="67"/>
      <c r="AB1190" s="473"/>
      <c r="AC1190" s="478" t="s">
        <v>2711</v>
      </c>
      <c r="AD1190" s="67"/>
    </row>
    <row r="1191" spans="2:45">
      <c r="B1191" s="64" t="s">
        <v>105</v>
      </c>
      <c r="C1191" s="65" t="s">
        <v>2428</v>
      </c>
      <c r="D1191" s="66">
        <v>5.12</v>
      </c>
      <c r="E1191" s="67">
        <v>45923</v>
      </c>
      <c r="F1191" s="64">
        <v>1</v>
      </c>
      <c r="G1191" s="67">
        <v>45924</v>
      </c>
      <c r="H1191" s="64">
        <v>1</v>
      </c>
      <c r="I1191" s="67">
        <v>45926</v>
      </c>
      <c r="J1191" s="64">
        <v>0</v>
      </c>
      <c r="K1191" s="67">
        <v>45924</v>
      </c>
      <c r="L1191" s="64">
        <v>0</v>
      </c>
      <c r="M1191" s="64">
        <v>0</v>
      </c>
      <c r="N1191" s="67">
        <v>45927</v>
      </c>
      <c r="O1191" s="64">
        <v>1</v>
      </c>
      <c r="P1191" s="64">
        <v>0</v>
      </c>
      <c r="Q1191" s="91" t="s">
        <v>2551</v>
      </c>
      <c r="R1191" s="64">
        <v>0</v>
      </c>
      <c r="S1191" s="67">
        <v>45927</v>
      </c>
      <c r="T1191" s="67">
        <v>45947</v>
      </c>
      <c r="U1191" s="64">
        <v>1</v>
      </c>
      <c r="V1191" s="66"/>
      <c r="W1191" s="66"/>
      <c r="X1191" s="93"/>
      <c r="Y1191" s="94"/>
      <c r="Z1191" s="91" t="str">
        <f t="shared" si="432"/>
        <v>100%</v>
      </c>
      <c r="AA1191" s="67"/>
      <c r="AB1191" s="473"/>
      <c r="AC1191" s="478" t="s">
        <v>2711</v>
      </c>
      <c r="AD1191" s="67"/>
      <c r="AS1191" s="253"/>
    </row>
    <row r="1192" spans="2:45">
      <c r="B1192" s="64" t="s">
        <v>111</v>
      </c>
      <c r="C1192" s="65" t="s">
        <v>604</v>
      </c>
      <c r="D1192" s="66">
        <v>13.33</v>
      </c>
      <c r="E1192" s="67">
        <v>45900</v>
      </c>
      <c r="F1192" s="64">
        <v>1</v>
      </c>
      <c r="G1192" s="67">
        <v>45918</v>
      </c>
      <c r="H1192" s="64">
        <v>1</v>
      </c>
      <c r="I1192" s="67">
        <v>45917</v>
      </c>
      <c r="J1192" s="64">
        <v>0</v>
      </c>
      <c r="K1192" s="67">
        <v>45915</v>
      </c>
      <c r="L1192" s="64">
        <v>0</v>
      </c>
      <c r="M1192" s="64">
        <v>0</v>
      </c>
      <c r="N1192" s="67">
        <v>45918</v>
      </c>
      <c r="O1192" s="64">
        <v>1</v>
      </c>
      <c r="P1192" s="64">
        <v>0</v>
      </c>
      <c r="Q1192" s="91" t="s">
        <v>2551</v>
      </c>
      <c r="R1192" s="64">
        <v>0</v>
      </c>
      <c r="S1192" s="67">
        <v>45918</v>
      </c>
      <c r="T1192" s="67">
        <v>45949</v>
      </c>
      <c r="U1192" s="64">
        <v>1</v>
      </c>
      <c r="V1192" s="66"/>
      <c r="W1192" s="66"/>
      <c r="X1192" s="93"/>
      <c r="Y1192" s="94"/>
      <c r="Z1192" s="91" t="str">
        <f t="shared" si="432"/>
        <v>100%</v>
      </c>
      <c r="AA1192" s="67"/>
      <c r="AB1192" s="473"/>
      <c r="AC1192" s="478" t="s">
        <v>2711</v>
      </c>
      <c r="AD1192" s="67"/>
    </row>
    <row r="1193" spans="2:45">
      <c r="B1193" s="64" t="s">
        <v>107</v>
      </c>
      <c r="C1193" s="65" t="s">
        <v>585</v>
      </c>
      <c r="D1193" s="66">
        <v>8.24</v>
      </c>
      <c r="E1193" s="67">
        <v>45927</v>
      </c>
      <c r="F1193" s="64">
        <v>1</v>
      </c>
      <c r="G1193" s="67">
        <v>45929</v>
      </c>
      <c r="H1193" s="64">
        <v>1</v>
      </c>
      <c r="I1193" s="67">
        <v>45936</v>
      </c>
      <c r="J1193" s="64">
        <v>0</v>
      </c>
      <c r="K1193" s="67">
        <v>45933</v>
      </c>
      <c r="L1193" s="64">
        <v>0</v>
      </c>
      <c r="M1193" s="64">
        <v>0</v>
      </c>
      <c r="N1193" s="67">
        <v>45937</v>
      </c>
      <c r="O1193" s="64">
        <v>1</v>
      </c>
      <c r="P1193" s="64">
        <v>0</v>
      </c>
      <c r="Q1193" s="91" t="s">
        <v>2551</v>
      </c>
      <c r="R1193" s="64">
        <v>0</v>
      </c>
      <c r="S1193" s="67">
        <v>45938</v>
      </c>
      <c r="T1193" s="67">
        <v>45950</v>
      </c>
      <c r="U1193" s="64">
        <v>1</v>
      </c>
      <c r="V1193" s="66"/>
      <c r="W1193" s="66"/>
      <c r="X1193" s="93"/>
      <c r="Y1193" s="94"/>
      <c r="Z1193" s="91" t="str">
        <f t="shared" si="432"/>
        <v>100%</v>
      </c>
      <c r="AA1193" s="67"/>
      <c r="AB1193" s="473"/>
      <c r="AC1193" s="478" t="s">
        <v>2711</v>
      </c>
      <c r="AD1193" s="67"/>
    </row>
    <row r="1194" spans="2:45">
      <c r="B1194" s="64" t="s">
        <v>107</v>
      </c>
      <c r="C1194" s="65" t="s">
        <v>598</v>
      </c>
      <c r="D1194" s="66">
        <v>6.33</v>
      </c>
      <c r="E1194" s="67">
        <v>45927</v>
      </c>
      <c r="F1194" s="64">
        <v>1</v>
      </c>
      <c r="G1194" s="67">
        <v>45929</v>
      </c>
      <c r="H1194" s="64">
        <v>1</v>
      </c>
      <c r="I1194" s="67">
        <v>45936</v>
      </c>
      <c r="J1194" s="64">
        <v>0</v>
      </c>
      <c r="K1194" s="67">
        <v>45933</v>
      </c>
      <c r="L1194" s="64">
        <v>0</v>
      </c>
      <c r="M1194" s="64">
        <v>0</v>
      </c>
      <c r="N1194" s="67">
        <v>45937</v>
      </c>
      <c r="O1194" s="64">
        <v>1</v>
      </c>
      <c r="P1194" s="64">
        <v>0</v>
      </c>
      <c r="Q1194" s="91" t="s">
        <v>2551</v>
      </c>
      <c r="R1194" s="64">
        <v>0</v>
      </c>
      <c r="S1194" s="67">
        <v>45940</v>
      </c>
      <c r="T1194" s="67">
        <v>45950</v>
      </c>
      <c r="U1194" s="64">
        <v>1</v>
      </c>
      <c r="V1194" s="66"/>
      <c r="W1194" s="66"/>
      <c r="X1194" s="93"/>
      <c r="Y1194" s="94"/>
      <c r="Z1194" s="91" t="str">
        <f t="shared" si="432"/>
        <v>100%</v>
      </c>
      <c r="AA1194" s="67"/>
      <c r="AB1194" s="473"/>
      <c r="AC1194" s="478" t="s">
        <v>2711</v>
      </c>
      <c r="AD1194" s="67"/>
    </row>
    <row r="1195" spans="2:45">
      <c r="B1195" s="64" t="s">
        <v>105</v>
      </c>
      <c r="C1195" s="65" t="s">
        <v>2586</v>
      </c>
      <c r="D1195" s="66">
        <v>5.85</v>
      </c>
      <c r="E1195" s="67">
        <v>45925</v>
      </c>
      <c r="F1195" s="64">
        <v>1</v>
      </c>
      <c r="G1195" s="67">
        <v>45931</v>
      </c>
      <c r="H1195" s="64">
        <v>1</v>
      </c>
      <c r="I1195" s="67">
        <v>45932</v>
      </c>
      <c r="J1195" s="64">
        <v>0</v>
      </c>
      <c r="K1195" s="67">
        <v>45932</v>
      </c>
      <c r="L1195" s="64">
        <v>0</v>
      </c>
      <c r="M1195" s="64">
        <v>0</v>
      </c>
      <c r="N1195" s="67">
        <v>45933</v>
      </c>
      <c r="O1195" s="64">
        <v>1</v>
      </c>
      <c r="P1195" s="64">
        <v>0</v>
      </c>
      <c r="Q1195" s="91" t="s">
        <v>2551</v>
      </c>
      <c r="R1195" s="64">
        <v>0</v>
      </c>
      <c r="S1195" s="67">
        <v>45935</v>
      </c>
      <c r="T1195" s="67">
        <v>45950</v>
      </c>
      <c r="U1195" s="64">
        <v>1</v>
      </c>
      <c r="V1195" s="66"/>
      <c r="W1195" s="66"/>
      <c r="X1195" s="93"/>
      <c r="Y1195" s="94"/>
      <c r="Z1195" s="91" t="str">
        <f t="shared" si="432"/>
        <v>100%</v>
      </c>
      <c r="AA1195" s="67"/>
      <c r="AB1195" s="473"/>
      <c r="AC1195" s="478" t="s">
        <v>2711</v>
      </c>
      <c r="AD1195" s="67"/>
    </row>
    <row r="1196" spans="2:45">
      <c r="B1196" s="64" t="s">
        <v>105</v>
      </c>
      <c r="C1196" s="65" t="s">
        <v>2578</v>
      </c>
      <c r="D1196" s="66">
        <v>3.21</v>
      </c>
      <c r="E1196" s="67">
        <v>45913</v>
      </c>
      <c r="F1196" s="64">
        <v>1</v>
      </c>
      <c r="G1196" s="67">
        <v>45925</v>
      </c>
      <c r="H1196" s="64">
        <v>1</v>
      </c>
      <c r="I1196" s="67">
        <v>45932</v>
      </c>
      <c r="J1196" s="64">
        <v>0</v>
      </c>
      <c r="K1196" s="67">
        <v>45924</v>
      </c>
      <c r="L1196" s="64">
        <v>0</v>
      </c>
      <c r="M1196" s="64">
        <v>0</v>
      </c>
      <c r="N1196" s="67">
        <v>45933</v>
      </c>
      <c r="O1196" s="64">
        <v>1</v>
      </c>
      <c r="P1196" s="64">
        <v>0</v>
      </c>
      <c r="Q1196" s="91" t="s">
        <v>2551</v>
      </c>
      <c r="R1196" s="64">
        <v>0</v>
      </c>
      <c r="S1196" s="67">
        <v>45941</v>
      </c>
      <c r="T1196" s="67">
        <v>45952</v>
      </c>
      <c r="U1196" s="64">
        <v>1</v>
      </c>
      <c r="V1196" s="66"/>
      <c r="W1196" s="66"/>
      <c r="X1196" s="93"/>
      <c r="Y1196" s="94"/>
      <c r="Z1196" s="91" t="str">
        <f t="shared" si="432"/>
        <v>100%</v>
      </c>
      <c r="AA1196" s="67"/>
      <c r="AB1196" s="473"/>
      <c r="AC1196" s="478" t="s">
        <v>2711</v>
      </c>
      <c r="AD1196" s="67"/>
    </row>
    <row r="1197" spans="2:45">
      <c r="B1197" s="64" t="s">
        <v>118</v>
      </c>
      <c r="C1197" s="65" t="s">
        <v>202</v>
      </c>
      <c r="D1197" s="66">
        <v>6.2</v>
      </c>
      <c r="E1197" s="67">
        <v>45908</v>
      </c>
      <c r="F1197" s="64">
        <v>1</v>
      </c>
      <c r="G1197" s="67">
        <v>45909</v>
      </c>
      <c r="H1197" s="64">
        <v>1</v>
      </c>
      <c r="I1197" s="67">
        <v>45916</v>
      </c>
      <c r="J1197" s="64">
        <v>0</v>
      </c>
      <c r="K1197" s="67">
        <v>45924</v>
      </c>
      <c r="L1197" s="64">
        <v>0</v>
      </c>
      <c r="M1197" s="64">
        <v>0</v>
      </c>
      <c r="N1197" s="67">
        <v>45925</v>
      </c>
      <c r="O1197" s="64">
        <v>1</v>
      </c>
      <c r="P1197" s="64">
        <v>0</v>
      </c>
      <c r="Q1197" s="91" t="s">
        <v>2551</v>
      </c>
      <c r="R1197" s="64">
        <v>0</v>
      </c>
      <c r="S1197" s="67">
        <v>45938</v>
      </c>
      <c r="T1197" s="67">
        <v>45951</v>
      </c>
      <c r="U1197" s="64">
        <v>1</v>
      </c>
      <c r="V1197" s="66"/>
      <c r="W1197" s="66"/>
      <c r="X1197" s="93"/>
      <c r="Y1197" s="94"/>
      <c r="Z1197" s="91" t="str">
        <f t="shared" si="432"/>
        <v>100%</v>
      </c>
      <c r="AA1197" s="67"/>
      <c r="AB1197" s="473"/>
      <c r="AC1197" s="478" t="s">
        <v>2711</v>
      </c>
      <c r="AD1197" s="67"/>
      <c r="AS1197" s="253"/>
    </row>
    <row r="1198" spans="2:45">
      <c r="B1198" s="64" t="s">
        <v>118</v>
      </c>
      <c r="C1198" s="65" t="s">
        <v>589</v>
      </c>
      <c r="D1198" s="66">
        <v>6.3</v>
      </c>
      <c r="E1198" s="67">
        <v>45907</v>
      </c>
      <c r="F1198" s="64">
        <v>1</v>
      </c>
      <c r="G1198" s="67">
        <v>45923</v>
      </c>
      <c r="H1198" s="64">
        <v>1</v>
      </c>
      <c r="I1198" s="67">
        <v>45930</v>
      </c>
      <c r="J1198" s="64">
        <v>0</v>
      </c>
      <c r="K1198" s="67">
        <v>45923</v>
      </c>
      <c r="L1198" s="64">
        <v>0</v>
      </c>
      <c r="M1198" s="64">
        <v>0</v>
      </c>
      <c r="N1198" s="67">
        <v>45931</v>
      </c>
      <c r="O1198" s="64">
        <v>1</v>
      </c>
      <c r="P1198" s="64">
        <v>0</v>
      </c>
      <c r="Q1198" s="91" t="s">
        <v>2551</v>
      </c>
      <c r="R1198" s="64">
        <v>0</v>
      </c>
      <c r="S1198" s="67">
        <v>45941</v>
      </c>
      <c r="T1198" s="67">
        <v>45951</v>
      </c>
      <c r="U1198" s="64">
        <v>1</v>
      </c>
      <c r="V1198" s="66"/>
      <c r="W1198" s="66"/>
      <c r="X1198" s="93"/>
      <c r="Y1198" s="94"/>
      <c r="Z1198" s="91" t="str">
        <f t="shared" si="432"/>
        <v>100%</v>
      </c>
      <c r="AA1198" s="67"/>
      <c r="AB1198" s="473"/>
      <c r="AC1198" s="478" t="s">
        <v>2711</v>
      </c>
      <c r="AD1198" s="67"/>
    </row>
    <row r="1199" spans="2:45">
      <c r="B1199" s="64" t="s">
        <v>113</v>
      </c>
      <c r="C1199" s="65" t="s">
        <v>341</v>
      </c>
      <c r="D1199" s="66">
        <v>10.050000000000001</v>
      </c>
      <c r="E1199" s="67">
        <v>45892</v>
      </c>
      <c r="F1199" s="64">
        <v>1</v>
      </c>
      <c r="G1199" s="67">
        <v>45895</v>
      </c>
      <c r="H1199" s="64">
        <v>1</v>
      </c>
      <c r="I1199" s="67">
        <v>45901</v>
      </c>
      <c r="J1199" s="64">
        <v>0</v>
      </c>
      <c r="K1199" s="67">
        <v>45902</v>
      </c>
      <c r="L1199" s="64">
        <v>0</v>
      </c>
      <c r="M1199" s="64">
        <v>0</v>
      </c>
      <c r="N1199" s="67">
        <v>45903</v>
      </c>
      <c r="O1199" s="64">
        <v>1</v>
      </c>
      <c r="P1199" s="64">
        <v>0</v>
      </c>
      <c r="Q1199" s="91" t="s">
        <v>2551</v>
      </c>
      <c r="R1199" s="64">
        <v>0</v>
      </c>
      <c r="S1199" s="67">
        <v>45910</v>
      </c>
      <c r="T1199" s="67">
        <v>45952</v>
      </c>
      <c r="U1199" s="64">
        <v>1</v>
      </c>
      <c r="V1199" s="66"/>
      <c r="W1199" s="66"/>
      <c r="X1199" s="93"/>
      <c r="Y1199" s="94"/>
      <c r="Z1199" s="91" t="str">
        <f t="shared" si="432"/>
        <v>100%</v>
      </c>
      <c r="AA1199" s="67"/>
      <c r="AB1199" s="473"/>
      <c r="AC1199" s="478" t="s">
        <v>2711</v>
      </c>
      <c r="AD1199" s="67"/>
    </row>
    <row r="1200" spans="2:45">
      <c r="B1200" s="64" t="s">
        <v>109</v>
      </c>
      <c r="C1200" s="65" t="s">
        <v>217</v>
      </c>
      <c r="D1200" s="66">
        <v>7.84</v>
      </c>
      <c r="E1200" s="67">
        <v>45926</v>
      </c>
      <c r="F1200" s="64">
        <v>1</v>
      </c>
      <c r="G1200" s="67">
        <v>45928</v>
      </c>
      <c r="H1200" s="64">
        <v>1</v>
      </c>
      <c r="I1200" s="67">
        <v>45935</v>
      </c>
      <c r="J1200" s="64">
        <v>0</v>
      </c>
      <c r="K1200" s="67">
        <v>45933</v>
      </c>
      <c r="L1200" s="64">
        <v>0</v>
      </c>
      <c r="M1200" s="64">
        <v>0</v>
      </c>
      <c r="N1200" s="67">
        <v>45936</v>
      </c>
      <c r="O1200" s="64">
        <v>1</v>
      </c>
      <c r="P1200" s="64">
        <v>0</v>
      </c>
      <c r="Q1200" s="91" t="s">
        <v>2551</v>
      </c>
      <c r="R1200" s="64">
        <v>0</v>
      </c>
      <c r="S1200" s="67">
        <v>45938</v>
      </c>
      <c r="T1200" s="67">
        <v>45952</v>
      </c>
      <c r="U1200" s="64">
        <v>1</v>
      </c>
      <c r="V1200" s="66"/>
      <c r="W1200" s="66"/>
      <c r="X1200" s="93"/>
      <c r="Y1200" s="94"/>
      <c r="Z1200" s="91" t="str">
        <f t="shared" si="432"/>
        <v>100%</v>
      </c>
      <c r="AA1200" s="67"/>
      <c r="AB1200" s="473"/>
      <c r="AC1200" s="478" t="s">
        <v>2711</v>
      </c>
      <c r="AD1200" s="67"/>
      <c r="AS1200" s="253"/>
    </row>
    <row r="1201" spans="2:47">
      <c r="B1201" s="64" t="s">
        <v>113</v>
      </c>
      <c r="C1201" s="65" t="s">
        <v>673</v>
      </c>
      <c r="D1201" s="66">
        <v>2.72</v>
      </c>
      <c r="E1201" s="67">
        <v>45934</v>
      </c>
      <c r="F1201" s="64">
        <v>1</v>
      </c>
      <c r="G1201" s="67">
        <v>45951</v>
      </c>
      <c r="H1201" s="64">
        <v>1</v>
      </c>
      <c r="I1201" s="67">
        <v>45953</v>
      </c>
      <c r="J1201" s="64">
        <v>0</v>
      </c>
      <c r="K1201" s="67">
        <v>45952</v>
      </c>
      <c r="L1201" s="64">
        <v>0</v>
      </c>
      <c r="M1201" s="64">
        <v>0</v>
      </c>
      <c r="N1201" s="67">
        <v>45954</v>
      </c>
      <c r="O1201" s="64">
        <v>1</v>
      </c>
      <c r="P1201" s="64">
        <v>0</v>
      </c>
      <c r="Q1201" s="91" t="s">
        <v>2551</v>
      </c>
      <c r="R1201" s="64">
        <v>0</v>
      </c>
      <c r="S1201" s="67">
        <v>45954</v>
      </c>
      <c r="T1201" s="67">
        <v>45957</v>
      </c>
      <c r="U1201" s="64">
        <v>1</v>
      </c>
      <c r="V1201" s="66"/>
      <c r="W1201" s="66"/>
      <c r="X1201" s="93"/>
      <c r="Y1201" s="94"/>
      <c r="Z1201" s="91" t="str">
        <f t="shared" si="432"/>
        <v>100%</v>
      </c>
      <c r="AA1201" s="67"/>
      <c r="AB1201" s="473"/>
      <c r="AC1201" s="478" t="s">
        <v>2711</v>
      </c>
      <c r="AD1201" s="67"/>
    </row>
    <row r="1202" spans="2:47">
      <c r="B1202" s="64" t="s">
        <v>109</v>
      </c>
      <c r="C1202" s="65" t="s">
        <v>2577</v>
      </c>
      <c r="D1202" s="66">
        <v>6.23</v>
      </c>
      <c r="E1202" s="67">
        <v>45898</v>
      </c>
      <c r="F1202" s="64">
        <v>1</v>
      </c>
      <c r="G1202" s="67">
        <v>45900</v>
      </c>
      <c r="H1202" s="64">
        <v>1</v>
      </c>
      <c r="I1202" s="67">
        <v>45905</v>
      </c>
      <c r="J1202" s="64">
        <v>0</v>
      </c>
      <c r="K1202" s="67">
        <v>45910</v>
      </c>
      <c r="L1202" s="64">
        <v>0</v>
      </c>
      <c r="M1202" s="64">
        <v>0</v>
      </c>
      <c r="N1202" s="67">
        <v>45911</v>
      </c>
      <c r="O1202" s="64">
        <v>1</v>
      </c>
      <c r="P1202" s="64">
        <v>0</v>
      </c>
      <c r="Q1202" s="91" t="s">
        <v>2551</v>
      </c>
      <c r="R1202" s="64">
        <v>0</v>
      </c>
      <c r="S1202" s="67">
        <v>45916</v>
      </c>
      <c r="T1202" s="67">
        <v>45957</v>
      </c>
      <c r="U1202" s="64">
        <v>1</v>
      </c>
      <c r="V1202" s="66"/>
      <c r="W1202" s="66"/>
      <c r="X1202" s="93"/>
      <c r="Y1202" s="94"/>
      <c r="Z1202" s="91" t="str">
        <f t="shared" si="432"/>
        <v>100%</v>
      </c>
      <c r="AA1202" s="67"/>
      <c r="AB1202" s="473"/>
      <c r="AC1202" s="478" t="s">
        <v>2711</v>
      </c>
      <c r="AD1202" s="67"/>
    </row>
    <row r="1203" spans="2:47">
      <c r="B1203" s="64" t="s">
        <v>118</v>
      </c>
      <c r="C1203" s="65" t="s">
        <v>638</v>
      </c>
      <c r="D1203" s="66">
        <v>6.63</v>
      </c>
      <c r="E1203" s="67">
        <v>45903</v>
      </c>
      <c r="F1203" s="64">
        <v>1</v>
      </c>
      <c r="G1203" s="67">
        <v>45923</v>
      </c>
      <c r="H1203" s="64">
        <v>1</v>
      </c>
      <c r="I1203" s="67">
        <v>45930</v>
      </c>
      <c r="J1203" s="64">
        <v>0</v>
      </c>
      <c r="K1203" s="67">
        <v>45923</v>
      </c>
      <c r="L1203" s="64">
        <v>0</v>
      </c>
      <c r="M1203" s="64">
        <v>0</v>
      </c>
      <c r="N1203" s="67">
        <v>45931</v>
      </c>
      <c r="O1203" s="64">
        <v>1</v>
      </c>
      <c r="P1203" s="64">
        <v>0</v>
      </c>
      <c r="Q1203" s="91" t="s">
        <v>2551</v>
      </c>
      <c r="R1203" s="64">
        <v>0</v>
      </c>
      <c r="S1203" s="67">
        <v>45945</v>
      </c>
      <c r="T1203" s="67">
        <v>45958</v>
      </c>
      <c r="U1203" s="64">
        <v>1</v>
      </c>
      <c r="V1203" s="66"/>
      <c r="W1203" s="66"/>
      <c r="X1203" s="93"/>
      <c r="Y1203" s="94"/>
      <c r="Z1203" s="91" t="str">
        <f t="shared" si="432"/>
        <v>100%</v>
      </c>
      <c r="AA1203" s="67"/>
      <c r="AB1203" s="473"/>
      <c r="AC1203" s="478" t="s">
        <v>2711</v>
      </c>
      <c r="AD1203" s="67"/>
    </row>
    <row r="1204" spans="2:47">
      <c r="B1204" s="64" t="s">
        <v>105</v>
      </c>
      <c r="C1204" s="65" t="s">
        <v>2587</v>
      </c>
      <c r="D1204" s="66">
        <v>5.62</v>
      </c>
      <c r="E1204" s="67">
        <v>45931</v>
      </c>
      <c r="F1204" s="64">
        <v>1</v>
      </c>
      <c r="G1204" s="67">
        <v>45935</v>
      </c>
      <c r="H1204" s="64">
        <v>1</v>
      </c>
      <c r="I1204" s="67">
        <v>45942</v>
      </c>
      <c r="J1204" s="64">
        <v>0</v>
      </c>
      <c r="K1204" s="67">
        <v>45940</v>
      </c>
      <c r="L1204" s="64">
        <v>0</v>
      </c>
      <c r="M1204" s="64">
        <v>0</v>
      </c>
      <c r="N1204" s="67">
        <v>45943</v>
      </c>
      <c r="O1204" s="64">
        <v>1</v>
      </c>
      <c r="P1204" s="64">
        <v>0</v>
      </c>
      <c r="Q1204" s="91" t="s">
        <v>2551</v>
      </c>
      <c r="R1204" s="64">
        <v>0</v>
      </c>
      <c r="S1204" s="67">
        <v>45943</v>
      </c>
      <c r="T1204" s="67">
        <v>45959</v>
      </c>
      <c r="U1204" s="64">
        <v>1</v>
      </c>
      <c r="V1204" s="66"/>
      <c r="W1204" s="66"/>
      <c r="X1204" s="93"/>
      <c r="Y1204" s="94"/>
      <c r="Z1204" s="91" t="str">
        <f t="shared" si="432"/>
        <v>100%</v>
      </c>
      <c r="AA1204" s="67"/>
      <c r="AB1204" s="473"/>
      <c r="AC1204" s="478" t="s">
        <v>2711</v>
      </c>
      <c r="AD1204" s="67"/>
      <c r="AS1204" s="253"/>
    </row>
    <row r="1205" spans="2:47">
      <c r="B1205" s="64" t="s">
        <v>105</v>
      </c>
      <c r="C1205" s="65" t="s">
        <v>2588</v>
      </c>
      <c r="D1205" s="66">
        <v>7.49</v>
      </c>
      <c r="E1205" s="67">
        <v>45931</v>
      </c>
      <c r="F1205" s="64">
        <v>1</v>
      </c>
      <c r="G1205" s="67">
        <v>45935</v>
      </c>
      <c r="H1205" s="64">
        <v>1</v>
      </c>
      <c r="I1205" s="67">
        <v>45942</v>
      </c>
      <c r="J1205" s="64">
        <v>0</v>
      </c>
      <c r="K1205" s="67">
        <v>45940</v>
      </c>
      <c r="L1205" s="64">
        <v>0</v>
      </c>
      <c r="M1205" s="64">
        <v>0</v>
      </c>
      <c r="N1205" s="67">
        <v>45943</v>
      </c>
      <c r="O1205" s="64">
        <v>1</v>
      </c>
      <c r="P1205" s="64">
        <v>0</v>
      </c>
      <c r="Q1205" s="91" t="s">
        <v>2551</v>
      </c>
      <c r="R1205" s="64">
        <v>0</v>
      </c>
      <c r="S1205" s="67">
        <v>45944</v>
      </c>
      <c r="T1205" s="67">
        <v>45959</v>
      </c>
      <c r="U1205" s="64">
        <v>1</v>
      </c>
      <c r="V1205" s="66"/>
      <c r="W1205" s="66"/>
      <c r="X1205" s="93"/>
      <c r="Y1205" s="94"/>
      <c r="Z1205" s="91" t="str">
        <f t="shared" si="432"/>
        <v>100%</v>
      </c>
      <c r="AA1205" s="67"/>
      <c r="AB1205" s="473"/>
      <c r="AC1205" s="478" t="s">
        <v>2711</v>
      </c>
      <c r="AD1205" s="67"/>
      <c r="AS1205" s="253"/>
    </row>
    <row r="1206" spans="2:47">
      <c r="B1206" s="64" t="s">
        <v>109</v>
      </c>
      <c r="C1206" s="65" t="s">
        <v>322</v>
      </c>
      <c r="D1206" s="66">
        <v>5.74</v>
      </c>
      <c r="E1206" s="67">
        <v>45906</v>
      </c>
      <c r="F1206" s="64">
        <v>1</v>
      </c>
      <c r="G1206" s="67">
        <v>45908</v>
      </c>
      <c r="H1206" s="64">
        <v>1</v>
      </c>
      <c r="I1206" s="67">
        <v>45915</v>
      </c>
      <c r="J1206" s="64">
        <v>0</v>
      </c>
      <c r="K1206" s="67">
        <v>45906</v>
      </c>
      <c r="L1206" s="64">
        <v>0</v>
      </c>
      <c r="M1206" s="64">
        <v>0</v>
      </c>
      <c r="N1206" s="67">
        <v>45916</v>
      </c>
      <c r="O1206" s="64">
        <v>1</v>
      </c>
      <c r="P1206" s="64">
        <v>0</v>
      </c>
      <c r="Q1206" s="91" t="s">
        <v>2551</v>
      </c>
      <c r="R1206" s="64">
        <v>0</v>
      </c>
      <c r="S1206" s="67">
        <v>45925</v>
      </c>
      <c r="T1206" s="67">
        <v>45959</v>
      </c>
      <c r="U1206" s="64">
        <v>1</v>
      </c>
      <c r="V1206" s="66"/>
      <c r="W1206" s="66"/>
      <c r="X1206" s="93"/>
      <c r="Y1206" s="94"/>
      <c r="Z1206" s="91" t="str">
        <f t="shared" si="432"/>
        <v>100%</v>
      </c>
      <c r="AA1206" s="67"/>
      <c r="AB1206" s="473"/>
      <c r="AC1206" s="478" t="s">
        <v>2711</v>
      </c>
      <c r="AD1206" s="67"/>
    </row>
    <row r="1207" spans="2:47">
      <c r="B1207" s="64" t="s">
        <v>107</v>
      </c>
      <c r="C1207" s="65" t="s">
        <v>205</v>
      </c>
      <c r="D1207" s="66">
        <v>5.29</v>
      </c>
      <c r="E1207" s="67">
        <v>45927</v>
      </c>
      <c r="F1207" s="64">
        <v>1</v>
      </c>
      <c r="G1207" s="67">
        <v>45929</v>
      </c>
      <c r="H1207" s="64">
        <v>1</v>
      </c>
      <c r="I1207" s="67">
        <v>45936</v>
      </c>
      <c r="J1207" s="64">
        <v>0</v>
      </c>
      <c r="K1207" s="67">
        <v>45933</v>
      </c>
      <c r="L1207" s="64">
        <v>0</v>
      </c>
      <c r="M1207" s="64">
        <v>0</v>
      </c>
      <c r="N1207" s="67">
        <v>45937</v>
      </c>
      <c r="O1207" s="64">
        <v>1</v>
      </c>
      <c r="P1207" s="64">
        <v>0</v>
      </c>
      <c r="Q1207" s="91" t="s">
        <v>2551</v>
      </c>
      <c r="R1207" s="64">
        <v>0</v>
      </c>
      <c r="S1207" s="67">
        <v>45943</v>
      </c>
      <c r="T1207" s="67">
        <v>45961</v>
      </c>
      <c r="U1207" s="64">
        <v>1</v>
      </c>
      <c r="V1207" s="66"/>
      <c r="W1207" s="66"/>
      <c r="X1207" s="93"/>
      <c r="Y1207" s="94"/>
      <c r="Z1207" s="91" t="str">
        <f t="shared" si="432"/>
        <v>100%</v>
      </c>
      <c r="AA1207" s="67"/>
      <c r="AB1207" s="473"/>
      <c r="AC1207" s="478" t="s">
        <v>2711</v>
      </c>
      <c r="AD1207" s="67"/>
    </row>
    <row r="1208" spans="2:47">
      <c r="B1208" s="64" t="s">
        <v>113</v>
      </c>
      <c r="C1208" s="65" t="s">
        <v>628</v>
      </c>
      <c r="D1208" s="66">
        <v>10.87</v>
      </c>
      <c r="E1208" s="67">
        <v>45932</v>
      </c>
      <c r="F1208" s="64">
        <v>1</v>
      </c>
      <c r="G1208" s="67">
        <v>45934</v>
      </c>
      <c r="H1208" s="64">
        <v>1</v>
      </c>
      <c r="I1208" s="67">
        <v>45941</v>
      </c>
      <c r="J1208" s="64">
        <v>0</v>
      </c>
      <c r="K1208" s="67">
        <v>45940</v>
      </c>
      <c r="L1208" s="64">
        <v>0</v>
      </c>
      <c r="M1208" s="64">
        <v>0</v>
      </c>
      <c r="N1208" s="67">
        <v>45942</v>
      </c>
      <c r="O1208" s="64">
        <v>1</v>
      </c>
      <c r="P1208" s="64">
        <v>0</v>
      </c>
      <c r="Q1208" s="91" t="s">
        <v>2551</v>
      </c>
      <c r="R1208" s="64">
        <v>0</v>
      </c>
      <c r="S1208" s="67">
        <v>45950</v>
      </c>
      <c r="T1208" s="67">
        <v>45961</v>
      </c>
      <c r="U1208" s="64">
        <v>1</v>
      </c>
      <c r="V1208" s="66"/>
      <c r="W1208" s="66"/>
      <c r="X1208" s="93"/>
      <c r="Y1208" s="94"/>
      <c r="Z1208" s="91" t="str">
        <f t="shared" si="432"/>
        <v>100%</v>
      </c>
      <c r="AA1208" s="67"/>
      <c r="AB1208" s="473"/>
      <c r="AC1208" s="478" t="s">
        <v>2711</v>
      </c>
      <c r="AD1208" s="67"/>
    </row>
    <row r="1209" spans="2:47">
      <c r="B1209" s="64" t="s">
        <v>105</v>
      </c>
      <c r="C1209" s="65" t="s">
        <v>2429</v>
      </c>
      <c r="D1209" s="66">
        <v>3.2</v>
      </c>
      <c r="E1209" s="67">
        <v>45947</v>
      </c>
      <c r="F1209" s="64">
        <v>1</v>
      </c>
      <c r="G1209" s="67">
        <v>45951</v>
      </c>
      <c r="H1209" s="64">
        <v>1</v>
      </c>
      <c r="I1209" s="67">
        <v>45955</v>
      </c>
      <c r="J1209" s="64">
        <v>0</v>
      </c>
      <c r="K1209" s="67">
        <v>45951</v>
      </c>
      <c r="L1209" s="64">
        <v>0</v>
      </c>
      <c r="M1209" s="64">
        <v>0</v>
      </c>
      <c r="N1209" s="67">
        <v>45956</v>
      </c>
      <c r="O1209" s="64">
        <v>1</v>
      </c>
      <c r="P1209" s="64">
        <v>0</v>
      </c>
      <c r="Q1209" s="91" t="s">
        <v>2551</v>
      </c>
      <c r="R1209" s="64">
        <v>0</v>
      </c>
      <c r="S1209" s="67">
        <v>45952</v>
      </c>
      <c r="T1209" s="67">
        <v>45961</v>
      </c>
      <c r="U1209" s="64">
        <v>1</v>
      </c>
      <c r="V1209" s="66"/>
      <c r="W1209" s="66"/>
      <c r="X1209" s="93"/>
      <c r="Y1209" s="94"/>
      <c r="Z1209" s="91" t="str">
        <f t="shared" si="432"/>
        <v>100%</v>
      </c>
      <c r="AA1209" s="67"/>
      <c r="AB1209" s="473"/>
      <c r="AC1209" s="478" t="s">
        <v>2711</v>
      </c>
      <c r="AD1209" s="67"/>
    </row>
    <row r="1210" spans="2:47">
      <c r="B1210" s="64" t="s">
        <v>118</v>
      </c>
      <c r="C1210" s="65" t="s">
        <v>1080</v>
      </c>
      <c r="D1210" s="66">
        <v>1.84</v>
      </c>
      <c r="E1210" s="67">
        <v>45947</v>
      </c>
      <c r="F1210" s="64">
        <v>1</v>
      </c>
      <c r="G1210" s="67">
        <v>45951</v>
      </c>
      <c r="H1210" s="64">
        <v>1</v>
      </c>
      <c r="I1210" s="67">
        <v>45951</v>
      </c>
      <c r="J1210" s="64">
        <v>0</v>
      </c>
      <c r="K1210" s="67">
        <v>45951</v>
      </c>
      <c r="L1210" s="64">
        <v>0</v>
      </c>
      <c r="M1210" s="64">
        <v>0</v>
      </c>
      <c r="N1210" s="67">
        <v>45952</v>
      </c>
      <c r="O1210" s="64">
        <v>1</v>
      </c>
      <c r="P1210" s="64">
        <v>0</v>
      </c>
      <c r="Q1210" s="91" t="s">
        <v>2551</v>
      </c>
      <c r="R1210" s="64">
        <v>0</v>
      </c>
      <c r="S1210" s="67">
        <v>45952</v>
      </c>
      <c r="T1210" s="67">
        <v>45961</v>
      </c>
      <c r="U1210" s="64">
        <v>1</v>
      </c>
      <c r="V1210" s="66"/>
      <c r="W1210" s="66"/>
      <c r="X1210" s="93"/>
      <c r="Y1210" s="94"/>
      <c r="Z1210" s="91" t="str">
        <f t="shared" si="432"/>
        <v>100%</v>
      </c>
      <c r="AA1210" s="67"/>
      <c r="AB1210" s="473"/>
      <c r="AC1210" s="478" t="s">
        <v>2711</v>
      </c>
      <c r="AD1210" s="67"/>
    </row>
    <row r="1211" spans="2:47">
      <c r="B1211" s="64" t="s">
        <v>113</v>
      </c>
      <c r="C1211" s="65" t="s">
        <v>246</v>
      </c>
      <c r="D1211" s="66">
        <v>8.8699999999999992</v>
      </c>
      <c r="E1211" s="67">
        <v>45924</v>
      </c>
      <c r="F1211" s="64">
        <v>1</v>
      </c>
      <c r="G1211" s="67">
        <v>45936</v>
      </c>
      <c r="H1211" s="64">
        <v>1</v>
      </c>
      <c r="I1211" s="67">
        <v>45943</v>
      </c>
      <c r="J1211" s="64">
        <v>0</v>
      </c>
      <c r="K1211" s="67">
        <v>45940</v>
      </c>
      <c r="L1211" s="64">
        <v>0</v>
      </c>
      <c r="M1211" s="64">
        <v>0</v>
      </c>
      <c r="N1211" s="67">
        <v>45944</v>
      </c>
      <c r="O1211" s="64">
        <v>1</v>
      </c>
      <c r="P1211" s="64">
        <v>0</v>
      </c>
      <c r="Q1211" s="91" t="s">
        <v>2551</v>
      </c>
      <c r="R1211" s="64">
        <v>0</v>
      </c>
      <c r="S1211" s="67">
        <v>45946</v>
      </c>
      <c r="T1211" s="67">
        <v>45963</v>
      </c>
      <c r="U1211" s="64">
        <v>1</v>
      </c>
      <c r="V1211" s="66"/>
      <c r="W1211" s="66"/>
      <c r="X1211" s="93"/>
      <c r="Y1211" s="94"/>
      <c r="Z1211" s="91" t="str">
        <f t="shared" si="432"/>
        <v>100%</v>
      </c>
      <c r="AA1211" s="67"/>
      <c r="AB1211" s="473"/>
      <c r="AC1211" s="478" t="s">
        <v>2711</v>
      </c>
      <c r="AD1211" s="67"/>
    </row>
    <row r="1212" spans="2:47">
      <c r="B1212" s="64" t="s">
        <v>118</v>
      </c>
      <c r="C1212" s="65" t="s">
        <v>619</v>
      </c>
      <c r="D1212" s="66">
        <v>12.15</v>
      </c>
      <c r="E1212" s="67">
        <v>45950</v>
      </c>
      <c r="F1212" s="64">
        <v>1</v>
      </c>
      <c r="G1212" s="67">
        <v>45954</v>
      </c>
      <c r="H1212" s="64">
        <v>1</v>
      </c>
      <c r="I1212" s="67">
        <v>45952</v>
      </c>
      <c r="J1212" s="64">
        <v>0</v>
      </c>
      <c r="K1212" s="67">
        <v>45952</v>
      </c>
      <c r="L1212" s="64">
        <v>0</v>
      </c>
      <c r="M1212" s="64">
        <v>0</v>
      </c>
      <c r="N1212" s="67">
        <v>45953</v>
      </c>
      <c r="O1212" s="64">
        <v>1</v>
      </c>
      <c r="P1212" s="64">
        <v>0</v>
      </c>
      <c r="Q1212" s="91" t="s">
        <v>2551</v>
      </c>
      <c r="R1212" s="64">
        <v>0</v>
      </c>
      <c r="S1212" s="67">
        <v>45954</v>
      </c>
      <c r="T1212" s="67">
        <v>45966</v>
      </c>
      <c r="U1212" s="64">
        <v>1</v>
      </c>
      <c r="V1212" s="66"/>
      <c r="W1212" s="66"/>
      <c r="X1212" s="93"/>
      <c r="Y1212" s="94"/>
      <c r="Z1212" s="91" t="str">
        <f t="shared" si="432"/>
        <v>100%</v>
      </c>
      <c r="AA1212" s="67"/>
      <c r="AB1212" s="473"/>
      <c r="AC1212" s="478" t="s">
        <v>2711</v>
      </c>
      <c r="AD1212" s="67"/>
    </row>
    <row r="1213" spans="2:47">
      <c r="B1213" s="64" t="s">
        <v>113</v>
      </c>
      <c r="C1213" s="65" t="s">
        <v>2489</v>
      </c>
      <c r="D1213" s="66">
        <v>6.82</v>
      </c>
      <c r="E1213" s="67">
        <v>45935</v>
      </c>
      <c r="F1213" s="64">
        <v>1</v>
      </c>
      <c r="G1213" s="67">
        <v>45936</v>
      </c>
      <c r="H1213" s="64">
        <v>1</v>
      </c>
      <c r="I1213" s="67">
        <v>45939</v>
      </c>
      <c r="J1213" s="64">
        <v>0</v>
      </c>
      <c r="K1213" s="67">
        <v>45954</v>
      </c>
      <c r="L1213" s="64">
        <v>0</v>
      </c>
      <c r="M1213" s="64">
        <v>0</v>
      </c>
      <c r="N1213" s="67">
        <v>45955</v>
      </c>
      <c r="O1213" s="64">
        <v>1</v>
      </c>
      <c r="P1213" s="64">
        <v>0</v>
      </c>
      <c r="Q1213" s="91" t="s">
        <v>2551</v>
      </c>
      <c r="R1213" s="64">
        <v>0</v>
      </c>
      <c r="S1213" s="67">
        <v>45956</v>
      </c>
      <c r="T1213" s="67">
        <v>45967</v>
      </c>
      <c r="U1213" s="64">
        <v>1</v>
      </c>
      <c r="V1213" s="66"/>
      <c r="W1213" s="66"/>
      <c r="X1213" s="93"/>
      <c r="Y1213" s="94"/>
      <c r="Z1213" s="91" t="str">
        <f t="shared" si="432"/>
        <v>100%</v>
      </c>
      <c r="AA1213" s="67"/>
      <c r="AB1213" s="473"/>
      <c r="AC1213" s="478" t="s">
        <v>2711</v>
      </c>
      <c r="AD1213" s="67"/>
    </row>
    <row r="1214" spans="2:47">
      <c r="B1214" s="64" t="s">
        <v>109</v>
      </c>
      <c r="C1214" s="65" t="s">
        <v>2589</v>
      </c>
      <c r="D1214" s="66">
        <v>3.74</v>
      </c>
      <c r="E1214" s="67">
        <v>45951</v>
      </c>
      <c r="F1214" s="64">
        <v>1</v>
      </c>
      <c r="G1214" s="67">
        <v>45958</v>
      </c>
      <c r="H1214" s="64">
        <v>1</v>
      </c>
      <c r="I1214" s="67">
        <v>45962</v>
      </c>
      <c r="J1214" s="64">
        <v>0</v>
      </c>
      <c r="K1214" s="67">
        <v>45960</v>
      </c>
      <c r="L1214" s="64">
        <v>0</v>
      </c>
      <c r="M1214" s="64">
        <v>0</v>
      </c>
      <c r="N1214" s="67">
        <v>45963</v>
      </c>
      <c r="O1214" s="64">
        <v>1</v>
      </c>
      <c r="P1214" s="64">
        <v>0</v>
      </c>
      <c r="Q1214" s="91" t="s">
        <v>2551</v>
      </c>
      <c r="R1214" s="64">
        <v>0</v>
      </c>
      <c r="S1214" s="67">
        <v>45966</v>
      </c>
      <c r="T1214" s="67">
        <v>45978</v>
      </c>
      <c r="U1214" s="64">
        <v>1</v>
      </c>
      <c r="V1214" s="66"/>
      <c r="W1214" s="66"/>
      <c r="X1214" s="93"/>
      <c r="Y1214" s="94"/>
      <c r="Z1214" s="91" t="str">
        <f t="shared" si="432"/>
        <v>100%</v>
      </c>
      <c r="AA1214" s="67"/>
      <c r="AB1214" s="473"/>
      <c r="AC1214" s="478" t="s">
        <v>2711</v>
      </c>
      <c r="AD1214" s="67"/>
      <c r="AU1214" s="42"/>
    </row>
    <row r="1215" spans="2:47">
      <c r="B1215" s="64" t="s">
        <v>105</v>
      </c>
      <c r="C1215" s="65" t="s">
        <v>2590</v>
      </c>
      <c r="D1215" s="66">
        <v>7.65</v>
      </c>
      <c r="E1215" s="67">
        <v>45954</v>
      </c>
      <c r="F1215" s="64">
        <v>1</v>
      </c>
      <c r="G1215" s="67">
        <v>45958</v>
      </c>
      <c r="H1215" s="64">
        <v>1</v>
      </c>
      <c r="I1215" s="67">
        <v>45960</v>
      </c>
      <c r="J1215" s="64">
        <v>0</v>
      </c>
      <c r="K1215" s="67">
        <v>45962</v>
      </c>
      <c r="L1215" s="64">
        <v>0</v>
      </c>
      <c r="M1215" s="64">
        <v>0</v>
      </c>
      <c r="N1215" s="67">
        <v>45963</v>
      </c>
      <c r="O1215" s="64">
        <v>1</v>
      </c>
      <c r="P1215" s="64">
        <v>0</v>
      </c>
      <c r="Q1215" s="91" t="s">
        <v>2551</v>
      </c>
      <c r="R1215" s="64">
        <v>0</v>
      </c>
      <c r="S1215" s="67">
        <v>45963</v>
      </c>
      <c r="T1215" s="67">
        <v>45980</v>
      </c>
      <c r="U1215" s="64">
        <v>1</v>
      </c>
      <c r="V1215" s="66"/>
      <c r="W1215" s="66"/>
      <c r="X1215" s="93"/>
      <c r="Y1215" s="94"/>
      <c r="Z1215" s="91" t="str">
        <f t="shared" si="432"/>
        <v>100%</v>
      </c>
      <c r="AA1215" s="67"/>
      <c r="AB1215" s="473"/>
      <c r="AC1215" s="478" t="s">
        <v>2711</v>
      </c>
      <c r="AD1215" s="67"/>
      <c r="AU1215" s="42"/>
    </row>
    <row r="1216" spans="2:47">
      <c r="B1216" s="64" t="s">
        <v>105</v>
      </c>
      <c r="C1216" s="65" t="s">
        <v>2582</v>
      </c>
      <c r="D1216" s="66">
        <v>6.16</v>
      </c>
      <c r="E1216" s="67">
        <v>45926</v>
      </c>
      <c r="F1216" s="64">
        <v>1</v>
      </c>
      <c r="G1216" s="67">
        <v>45928</v>
      </c>
      <c r="H1216" s="64">
        <v>1</v>
      </c>
      <c r="I1216" s="67">
        <v>45944</v>
      </c>
      <c r="J1216" s="64">
        <v>0</v>
      </c>
      <c r="K1216" s="67">
        <v>45938</v>
      </c>
      <c r="L1216" s="64">
        <v>0</v>
      </c>
      <c r="M1216" s="64">
        <v>0</v>
      </c>
      <c r="N1216" s="67">
        <v>45945</v>
      </c>
      <c r="O1216" s="64">
        <v>1</v>
      </c>
      <c r="P1216" s="64">
        <v>0</v>
      </c>
      <c r="Q1216" s="91" t="s">
        <v>2551</v>
      </c>
      <c r="R1216" s="64">
        <v>0</v>
      </c>
      <c r="S1216" s="67">
        <v>45951</v>
      </c>
      <c r="T1216" s="67">
        <v>45978</v>
      </c>
      <c r="U1216" s="64">
        <v>1</v>
      </c>
      <c r="V1216" s="66"/>
      <c r="W1216" s="66"/>
      <c r="X1216" s="93"/>
      <c r="Y1216" s="94"/>
      <c r="Z1216" s="91" t="str">
        <f t="shared" si="432"/>
        <v>100%</v>
      </c>
      <c r="AA1216" s="67"/>
      <c r="AB1216" s="473"/>
      <c r="AC1216" s="478" t="s">
        <v>2711</v>
      </c>
      <c r="AD1216" s="67"/>
      <c r="AU1216" s="42"/>
    </row>
    <row r="1217" spans="2:53">
      <c r="B1217" s="64" t="s">
        <v>111</v>
      </c>
      <c r="C1217" s="65" t="s">
        <v>621</v>
      </c>
      <c r="D1217" s="66">
        <v>12.65</v>
      </c>
      <c r="E1217" s="67">
        <v>45960</v>
      </c>
      <c r="F1217" s="64">
        <v>1</v>
      </c>
      <c r="G1217" s="67">
        <v>45961</v>
      </c>
      <c r="H1217" s="64">
        <v>1</v>
      </c>
      <c r="I1217" s="67">
        <v>45964</v>
      </c>
      <c r="J1217" s="64">
        <v>0</v>
      </c>
      <c r="K1217" s="67">
        <v>45964</v>
      </c>
      <c r="L1217" s="64">
        <v>0</v>
      </c>
      <c r="M1217" s="64">
        <v>0</v>
      </c>
      <c r="N1217" s="67">
        <v>45965</v>
      </c>
      <c r="O1217" s="64">
        <v>1</v>
      </c>
      <c r="P1217" s="64">
        <v>0</v>
      </c>
      <c r="Q1217" s="91" t="s">
        <v>2551</v>
      </c>
      <c r="R1217" s="64">
        <v>0</v>
      </c>
      <c r="S1217" s="67">
        <v>45965</v>
      </c>
      <c r="T1217" s="67">
        <v>45979</v>
      </c>
      <c r="U1217" s="64">
        <v>1</v>
      </c>
      <c r="V1217" s="66"/>
      <c r="W1217" s="66"/>
      <c r="X1217" s="93"/>
      <c r="Y1217" s="94"/>
      <c r="Z1217" s="91" t="str">
        <f t="shared" si="432"/>
        <v>100%</v>
      </c>
      <c r="AA1217" s="67"/>
      <c r="AB1217" s="473"/>
      <c r="AC1217" s="478" t="s">
        <v>2711</v>
      </c>
      <c r="AD1217" s="67"/>
    </row>
    <row r="1218" spans="2:53">
      <c r="B1218" s="64" t="s">
        <v>113</v>
      </c>
      <c r="C1218" s="65" t="s">
        <v>646</v>
      </c>
      <c r="D1218" s="66">
        <v>9.44</v>
      </c>
      <c r="E1218" s="67">
        <v>45936</v>
      </c>
      <c r="F1218" s="64">
        <v>1</v>
      </c>
      <c r="G1218" s="67">
        <v>45951</v>
      </c>
      <c r="H1218" s="64">
        <v>1</v>
      </c>
      <c r="I1218" s="67">
        <v>45956</v>
      </c>
      <c r="J1218" s="64">
        <v>0</v>
      </c>
      <c r="K1218" s="67">
        <v>45951</v>
      </c>
      <c r="L1218" s="64">
        <v>0</v>
      </c>
      <c r="M1218" s="64">
        <v>0</v>
      </c>
      <c r="N1218" s="67">
        <v>45957</v>
      </c>
      <c r="O1218" s="64">
        <v>1</v>
      </c>
      <c r="P1218" s="64">
        <v>0</v>
      </c>
      <c r="Q1218" s="91" t="s">
        <v>2551</v>
      </c>
      <c r="R1218" s="64">
        <v>0</v>
      </c>
      <c r="S1218" s="67">
        <v>45959</v>
      </c>
      <c r="T1218" s="67">
        <v>45981</v>
      </c>
      <c r="U1218" s="64">
        <v>1</v>
      </c>
      <c r="V1218" s="66"/>
      <c r="W1218" s="66"/>
      <c r="X1218" s="93"/>
      <c r="Y1218" s="94"/>
      <c r="Z1218" s="91" t="str">
        <f t="shared" si="432"/>
        <v>100%</v>
      </c>
      <c r="AA1218" s="67"/>
      <c r="AB1218" s="473"/>
      <c r="AC1218" s="478" t="s">
        <v>2711</v>
      </c>
      <c r="AD1218" s="67"/>
      <c r="AU1218" s="42"/>
    </row>
    <row r="1219" spans="2:53">
      <c r="B1219" s="64" t="s">
        <v>107</v>
      </c>
      <c r="C1219" s="65" t="s">
        <v>2581</v>
      </c>
      <c r="D1219" s="66">
        <v>6.33</v>
      </c>
      <c r="E1219" s="67">
        <v>45915</v>
      </c>
      <c r="F1219" s="64">
        <v>1</v>
      </c>
      <c r="G1219" s="67">
        <v>45925</v>
      </c>
      <c r="H1219" s="64">
        <v>1</v>
      </c>
      <c r="I1219" s="67">
        <v>45932</v>
      </c>
      <c r="J1219" s="64">
        <v>0</v>
      </c>
      <c r="K1219" s="67">
        <v>45919</v>
      </c>
      <c r="L1219" s="64">
        <v>0</v>
      </c>
      <c r="M1219" s="64">
        <v>0</v>
      </c>
      <c r="N1219" s="67">
        <v>45933</v>
      </c>
      <c r="O1219" s="64">
        <v>1</v>
      </c>
      <c r="P1219" s="64">
        <v>0</v>
      </c>
      <c r="Q1219" s="91" t="s">
        <v>2551</v>
      </c>
      <c r="R1219" s="64">
        <v>0</v>
      </c>
      <c r="S1219" s="67">
        <v>45942</v>
      </c>
      <c r="T1219" s="67">
        <v>45982</v>
      </c>
      <c r="U1219" s="64">
        <v>1</v>
      </c>
      <c r="V1219" s="66"/>
      <c r="W1219" s="66"/>
      <c r="X1219" s="93"/>
      <c r="Y1219" s="94"/>
      <c r="Z1219" s="91" t="str">
        <f t="shared" si="432"/>
        <v>100%</v>
      </c>
      <c r="AA1219" s="67"/>
      <c r="AB1219" s="473"/>
      <c r="AC1219" s="478" t="s">
        <v>2711</v>
      </c>
      <c r="AD1219" s="67"/>
      <c r="AU1219" s="42"/>
    </row>
    <row r="1220" spans="2:53">
      <c r="B1220" s="64" t="s">
        <v>113</v>
      </c>
      <c r="C1220" s="65" t="s">
        <v>651</v>
      </c>
      <c r="D1220" s="66">
        <v>6.69</v>
      </c>
      <c r="E1220" s="67">
        <v>45955</v>
      </c>
      <c r="F1220" s="64">
        <v>1</v>
      </c>
      <c r="G1220" s="67">
        <v>45959</v>
      </c>
      <c r="H1220" s="64">
        <v>1</v>
      </c>
      <c r="I1220" s="67">
        <v>45962</v>
      </c>
      <c r="J1220" s="64">
        <v>0</v>
      </c>
      <c r="K1220" s="67">
        <v>45968</v>
      </c>
      <c r="L1220" s="64">
        <v>0</v>
      </c>
      <c r="M1220" s="64">
        <v>0</v>
      </c>
      <c r="N1220" s="67">
        <v>45969</v>
      </c>
      <c r="O1220" s="64">
        <v>1</v>
      </c>
      <c r="P1220" s="64">
        <v>0</v>
      </c>
      <c r="Q1220" s="91" t="s">
        <v>2551</v>
      </c>
      <c r="R1220" s="64">
        <v>0</v>
      </c>
      <c r="S1220" s="67">
        <v>45968</v>
      </c>
      <c r="T1220" s="67">
        <v>45982</v>
      </c>
      <c r="U1220" s="64">
        <v>1</v>
      </c>
      <c r="V1220" s="66"/>
      <c r="W1220" s="66"/>
      <c r="X1220" s="93"/>
      <c r="Y1220" s="94"/>
      <c r="Z1220" s="91" t="str">
        <f t="shared" si="432"/>
        <v>100%</v>
      </c>
      <c r="AA1220" s="67"/>
      <c r="AB1220" s="473"/>
      <c r="AC1220" s="478" t="s">
        <v>2711</v>
      </c>
      <c r="AD1220" s="67"/>
      <c r="AU1220" s="42"/>
    </row>
    <row r="1221" spans="2:53">
      <c r="B1221" s="64" t="s">
        <v>107</v>
      </c>
      <c r="C1221" s="65" t="s">
        <v>230</v>
      </c>
      <c r="D1221" s="66">
        <v>12.31</v>
      </c>
      <c r="E1221" s="67">
        <v>45943</v>
      </c>
      <c r="F1221" s="64">
        <v>1</v>
      </c>
      <c r="G1221" s="67">
        <v>45952</v>
      </c>
      <c r="H1221" s="64">
        <v>1</v>
      </c>
      <c r="I1221" s="67">
        <v>45952</v>
      </c>
      <c r="J1221" s="64">
        <v>0</v>
      </c>
      <c r="K1221" s="67">
        <v>45948</v>
      </c>
      <c r="L1221" s="64">
        <v>0</v>
      </c>
      <c r="M1221" s="64">
        <v>0</v>
      </c>
      <c r="N1221" s="67">
        <v>45953</v>
      </c>
      <c r="O1221" s="64">
        <v>1</v>
      </c>
      <c r="P1221" s="64">
        <v>0</v>
      </c>
      <c r="Q1221" s="91" t="s">
        <v>2551</v>
      </c>
      <c r="R1221" s="64">
        <v>0</v>
      </c>
      <c r="S1221" s="67">
        <v>45953</v>
      </c>
      <c r="T1221" s="67">
        <v>45984</v>
      </c>
      <c r="U1221" s="64">
        <v>1</v>
      </c>
      <c r="V1221" s="66"/>
      <c r="W1221" s="66"/>
      <c r="X1221" s="93"/>
      <c r="Y1221" s="94"/>
      <c r="Z1221" s="91" t="str">
        <f t="shared" si="432"/>
        <v>100%</v>
      </c>
      <c r="AA1221" s="67"/>
      <c r="AB1221" s="473"/>
      <c r="AC1221" s="478" t="s">
        <v>2711</v>
      </c>
      <c r="AD1221" s="67"/>
    </row>
    <row r="1222" spans="2:53">
      <c r="B1222" s="64" t="s">
        <v>107</v>
      </c>
      <c r="C1222" s="65" t="s">
        <v>200</v>
      </c>
      <c r="D1222" s="66">
        <v>10.24</v>
      </c>
      <c r="E1222" s="67">
        <v>45962</v>
      </c>
      <c r="F1222" s="64">
        <v>1</v>
      </c>
      <c r="G1222" s="67">
        <v>45966</v>
      </c>
      <c r="H1222" s="64">
        <v>1</v>
      </c>
      <c r="I1222" s="67">
        <v>45973</v>
      </c>
      <c r="J1222" s="64">
        <v>0</v>
      </c>
      <c r="K1222" s="67">
        <v>45968</v>
      </c>
      <c r="L1222" s="64">
        <v>0</v>
      </c>
      <c r="M1222" s="64">
        <v>0</v>
      </c>
      <c r="N1222" s="67">
        <v>45974</v>
      </c>
      <c r="O1222" s="64">
        <v>1</v>
      </c>
      <c r="P1222" s="64">
        <v>0</v>
      </c>
      <c r="Q1222" s="91" t="s">
        <v>2551</v>
      </c>
      <c r="R1222" s="64">
        <v>0</v>
      </c>
      <c r="S1222" s="67">
        <v>45971</v>
      </c>
      <c r="T1222" s="67">
        <v>45987</v>
      </c>
      <c r="U1222" s="64">
        <v>1</v>
      </c>
      <c r="V1222" s="66"/>
      <c r="W1222" s="66"/>
      <c r="X1222" s="93"/>
      <c r="Y1222" s="94"/>
      <c r="Z1222" s="91" t="str">
        <f t="shared" si="432"/>
        <v>100%</v>
      </c>
      <c r="AA1222" s="67"/>
      <c r="AB1222" s="473"/>
      <c r="AC1222" s="478" t="s">
        <v>2711</v>
      </c>
      <c r="AD1222" s="67"/>
      <c r="AU1222" s="42"/>
    </row>
    <row r="1223" spans="2:53">
      <c r="B1223" s="64" t="s">
        <v>105</v>
      </c>
      <c r="C1223" s="65" t="s">
        <v>656</v>
      </c>
      <c r="D1223" s="66">
        <v>4.49</v>
      </c>
      <c r="E1223" s="67">
        <v>45955</v>
      </c>
      <c r="F1223" s="64">
        <v>1</v>
      </c>
      <c r="G1223" s="67">
        <v>45973</v>
      </c>
      <c r="H1223" s="64">
        <v>1</v>
      </c>
      <c r="I1223" s="67">
        <v>45973</v>
      </c>
      <c r="J1223" s="64">
        <v>0</v>
      </c>
      <c r="K1223" s="67">
        <v>45972</v>
      </c>
      <c r="L1223" s="64">
        <v>0</v>
      </c>
      <c r="M1223" s="64">
        <v>0</v>
      </c>
      <c r="N1223" s="67">
        <v>45974</v>
      </c>
      <c r="O1223" s="64">
        <v>1</v>
      </c>
      <c r="P1223" s="64">
        <v>0</v>
      </c>
      <c r="Q1223" s="91" t="s">
        <v>2551</v>
      </c>
      <c r="R1223" s="64">
        <v>0</v>
      </c>
      <c r="S1223" s="67">
        <v>45974</v>
      </c>
      <c r="T1223" s="67">
        <v>45986</v>
      </c>
      <c r="U1223" s="64">
        <v>1</v>
      </c>
      <c r="V1223" s="66"/>
      <c r="W1223" s="66"/>
      <c r="X1223" s="93"/>
      <c r="Y1223" s="94"/>
      <c r="Z1223" s="91" t="str">
        <f t="shared" si="432"/>
        <v>100%</v>
      </c>
      <c r="AA1223" s="67"/>
      <c r="AB1223" s="473"/>
      <c r="AC1223" s="478" t="s">
        <v>2711</v>
      </c>
      <c r="AD1223" s="67"/>
      <c r="AU1223" s="42"/>
    </row>
    <row r="1224" spans="2:53">
      <c r="B1224" s="64" t="s">
        <v>107</v>
      </c>
      <c r="C1224" s="65" t="s">
        <v>332</v>
      </c>
      <c r="D1224" s="66">
        <v>6.52</v>
      </c>
      <c r="E1224" s="67">
        <v>45906</v>
      </c>
      <c r="F1224" s="64">
        <v>1</v>
      </c>
      <c r="G1224" s="67">
        <v>45907</v>
      </c>
      <c r="H1224" s="64">
        <v>1</v>
      </c>
      <c r="I1224" s="67">
        <v>45914</v>
      </c>
      <c r="J1224" s="64">
        <v>0</v>
      </c>
      <c r="K1224" s="67">
        <v>45906</v>
      </c>
      <c r="L1224" s="64">
        <v>0</v>
      </c>
      <c r="M1224" s="64">
        <v>0</v>
      </c>
      <c r="N1224" s="67">
        <v>45915</v>
      </c>
      <c r="O1224" s="64">
        <v>1</v>
      </c>
      <c r="P1224" s="64">
        <v>0</v>
      </c>
      <c r="Q1224" s="91" t="s">
        <v>2551</v>
      </c>
      <c r="R1224" s="64">
        <v>0</v>
      </c>
      <c r="S1224" s="67">
        <v>45944</v>
      </c>
      <c r="T1224" s="67">
        <v>45988</v>
      </c>
      <c r="U1224" s="64">
        <v>1</v>
      </c>
      <c r="V1224" s="66"/>
      <c r="W1224" s="66"/>
      <c r="X1224" s="93"/>
      <c r="Y1224" s="94"/>
      <c r="Z1224" s="91" t="str">
        <f t="shared" si="432"/>
        <v>100%</v>
      </c>
      <c r="AA1224" s="67"/>
      <c r="AB1224" s="473"/>
      <c r="AC1224" s="478" t="s">
        <v>2711</v>
      </c>
      <c r="AD1224" s="67"/>
      <c r="AU1224" s="42"/>
    </row>
    <row r="1225" spans="2:53">
      <c r="B1225" s="64" t="s">
        <v>107</v>
      </c>
      <c r="C1225" s="65" t="s">
        <v>631</v>
      </c>
      <c r="D1225" s="66">
        <v>9.33</v>
      </c>
      <c r="E1225" s="67">
        <v>45962</v>
      </c>
      <c r="F1225" s="64">
        <v>1</v>
      </c>
      <c r="G1225" s="67">
        <v>45966</v>
      </c>
      <c r="H1225" s="64">
        <v>1</v>
      </c>
      <c r="I1225" s="67">
        <v>45974</v>
      </c>
      <c r="J1225" s="64">
        <v>0</v>
      </c>
      <c r="K1225" s="67">
        <v>45971</v>
      </c>
      <c r="L1225" s="64">
        <v>0</v>
      </c>
      <c r="M1225" s="64">
        <v>0</v>
      </c>
      <c r="N1225" s="67">
        <v>45975</v>
      </c>
      <c r="O1225" s="64">
        <v>1</v>
      </c>
      <c r="P1225" s="64">
        <v>0</v>
      </c>
      <c r="Q1225" s="91" t="s">
        <v>2551</v>
      </c>
      <c r="R1225" s="64">
        <v>0</v>
      </c>
      <c r="S1225" s="67">
        <v>45975</v>
      </c>
      <c r="T1225" s="67">
        <v>45990</v>
      </c>
      <c r="U1225" s="64">
        <v>1</v>
      </c>
      <c r="V1225" s="66"/>
      <c r="W1225" s="66"/>
      <c r="X1225" s="93"/>
      <c r="Y1225" s="94"/>
      <c r="Z1225" s="91" t="str">
        <f t="shared" si="432"/>
        <v>100%</v>
      </c>
      <c r="AA1225" s="67"/>
      <c r="AB1225" s="473"/>
      <c r="AC1225" s="478" t="s">
        <v>2711</v>
      </c>
      <c r="AD1225" s="67"/>
      <c r="AU1225" s="42"/>
    </row>
    <row r="1226" spans="2:53">
      <c r="B1226" s="64" t="s">
        <v>107</v>
      </c>
      <c r="C1226" s="65" t="s">
        <v>654</v>
      </c>
      <c r="D1226" s="66">
        <v>4.26</v>
      </c>
      <c r="E1226" s="67">
        <v>45962</v>
      </c>
      <c r="F1226" s="64">
        <v>1</v>
      </c>
      <c r="G1226" s="67">
        <v>45935</v>
      </c>
      <c r="H1226" s="64">
        <v>1</v>
      </c>
      <c r="I1226" s="67">
        <v>45943</v>
      </c>
      <c r="J1226" s="64">
        <v>0</v>
      </c>
      <c r="K1226" s="67">
        <v>45971</v>
      </c>
      <c r="L1226" s="64">
        <v>0</v>
      </c>
      <c r="M1226" s="64">
        <v>0</v>
      </c>
      <c r="N1226" s="67">
        <v>45972</v>
      </c>
      <c r="O1226" s="64">
        <v>1</v>
      </c>
      <c r="P1226" s="64">
        <v>0</v>
      </c>
      <c r="Q1226" s="91" t="s">
        <v>2551</v>
      </c>
      <c r="R1226" s="64">
        <v>0</v>
      </c>
      <c r="S1226" s="67">
        <v>45975</v>
      </c>
      <c r="T1226" s="67">
        <v>45990</v>
      </c>
      <c r="U1226" s="64">
        <v>1</v>
      </c>
      <c r="V1226" s="66"/>
      <c r="W1226" s="66"/>
      <c r="X1226" s="93"/>
      <c r="Y1226" s="94"/>
      <c r="Z1226" s="91" t="str">
        <f t="shared" ref="Z1226:Z1289" si="433">IF(T1226="","","100%")</f>
        <v>100%</v>
      </c>
      <c r="AA1226" s="67"/>
      <c r="AB1226" s="473"/>
      <c r="AC1226" s="478" t="s">
        <v>2711</v>
      </c>
      <c r="AD1226" s="67"/>
      <c r="AU1226" s="42"/>
    </row>
    <row r="1227" spans="2:53">
      <c r="B1227" s="64" t="s">
        <v>111</v>
      </c>
      <c r="C1227" s="65" t="s">
        <v>168</v>
      </c>
      <c r="D1227" s="66">
        <v>7.13</v>
      </c>
      <c r="E1227" s="67">
        <v>45957</v>
      </c>
      <c r="F1227" s="64">
        <v>1</v>
      </c>
      <c r="G1227" s="67">
        <v>45973</v>
      </c>
      <c r="H1227" s="64">
        <v>1</v>
      </c>
      <c r="I1227" s="67">
        <v>45975</v>
      </c>
      <c r="J1227" s="64">
        <v>0</v>
      </c>
      <c r="K1227" s="67">
        <v>45975</v>
      </c>
      <c r="L1227" s="64">
        <v>0</v>
      </c>
      <c r="M1227" s="64">
        <v>0</v>
      </c>
      <c r="N1227" s="67">
        <v>45976</v>
      </c>
      <c r="O1227" s="64">
        <v>1</v>
      </c>
      <c r="P1227" s="64">
        <v>0</v>
      </c>
      <c r="Q1227" s="91" t="s">
        <v>2551</v>
      </c>
      <c r="R1227" s="64">
        <v>0</v>
      </c>
      <c r="S1227" s="67">
        <v>45977</v>
      </c>
      <c r="T1227" s="67">
        <v>45990</v>
      </c>
      <c r="U1227" s="64">
        <v>1</v>
      </c>
      <c r="V1227" s="66"/>
      <c r="W1227" s="66"/>
      <c r="X1227" s="93"/>
      <c r="Y1227" s="94"/>
      <c r="Z1227" s="91" t="str">
        <f t="shared" si="433"/>
        <v>100%</v>
      </c>
      <c r="AA1227" s="67"/>
      <c r="AB1227" s="473"/>
      <c r="AC1227" s="478" t="s">
        <v>2711</v>
      </c>
      <c r="AD1227" s="67"/>
      <c r="AU1227" s="42"/>
    </row>
    <row r="1228" spans="2:53">
      <c r="B1228" s="64" t="s">
        <v>113</v>
      </c>
      <c r="C1228" s="65" t="s">
        <v>181</v>
      </c>
      <c r="D1228" s="66">
        <v>10.220000000000001</v>
      </c>
      <c r="E1228" s="67">
        <v>45944</v>
      </c>
      <c r="F1228" s="64">
        <v>1</v>
      </c>
      <c r="G1228" s="67">
        <v>45951</v>
      </c>
      <c r="H1228" s="64">
        <v>1</v>
      </c>
      <c r="I1228" s="67">
        <v>45954</v>
      </c>
      <c r="J1228" s="64">
        <v>0</v>
      </c>
      <c r="K1228" s="67">
        <v>45951</v>
      </c>
      <c r="L1228" s="64">
        <v>0</v>
      </c>
      <c r="M1228" s="64">
        <v>0</v>
      </c>
      <c r="N1228" s="67">
        <v>45955</v>
      </c>
      <c r="O1228" s="64">
        <v>1</v>
      </c>
      <c r="P1228" s="64">
        <v>0</v>
      </c>
      <c r="Q1228" s="91" t="s">
        <v>2551</v>
      </c>
      <c r="R1228" s="64">
        <v>0</v>
      </c>
      <c r="S1228" s="67">
        <v>45956</v>
      </c>
      <c r="T1228" s="67">
        <v>45992</v>
      </c>
      <c r="U1228" s="64">
        <v>1</v>
      </c>
      <c r="V1228" s="66"/>
      <c r="W1228" s="66"/>
      <c r="X1228" s="93"/>
      <c r="Y1228" s="94"/>
      <c r="Z1228" s="91" t="str">
        <f t="shared" si="433"/>
        <v>100%</v>
      </c>
      <c r="AA1228" s="67"/>
      <c r="AB1228" s="473"/>
      <c r="AC1228" s="478" t="s">
        <v>2711</v>
      </c>
      <c r="AD1228" s="67"/>
      <c r="AU1228" s="42">
        <v>0</v>
      </c>
      <c r="AV1228" s="42" t="s">
        <v>79</v>
      </c>
      <c r="AX1228" s="42">
        <v>10.220000000000001</v>
      </c>
      <c r="AY1228" s="42">
        <v>-10.220000000000001</v>
      </c>
    </row>
    <row r="1229" spans="2:53">
      <c r="B1229" s="64" t="s">
        <v>107</v>
      </c>
      <c r="C1229" s="65" t="s">
        <v>2580</v>
      </c>
      <c r="D1229" s="66">
        <v>7.25</v>
      </c>
      <c r="E1229" s="67">
        <v>45915</v>
      </c>
      <c r="F1229" s="64">
        <v>1</v>
      </c>
      <c r="G1229" s="67">
        <v>45925</v>
      </c>
      <c r="H1229" s="64">
        <v>1</v>
      </c>
      <c r="I1229" s="67">
        <v>45932</v>
      </c>
      <c r="J1229" s="64">
        <v>0</v>
      </c>
      <c r="K1229" s="67">
        <v>45919</v>
      </c>
      <c r="L1229" s="64">
        <v>0</v>
      </c>
      <c r="M1229" s="64">
        <v>0</v>
      </c>
      <c r="N1229" s="67">
        <v>45933</v>
      </c>
      <c r="O1229" s="64">
        <v>1</v>
      </c>
      <c r="P1229" s="64">
        <v>0</v>
      </c>
      <c r="Q1229" s="91" t="s">
        <v>2551</v>
      </c>
      <c r="R1229" s="64">
        <v>0</v>
      </c>
      <c r="S1229" s="67">
        <v>45974</v>
      </c>
      <c r="T1229" s="67">
        <v>45992</v>
      </c>
      <c r="U1229" s="64">
        <v>1</v>
      </c>
      <c r="V1229" s="66"/>
      <c r="W1229" s="66"/>
      <c r="X1229" s="93"/>
      <c r="Y1229" s="94"/>
      <c r="Z1229" s="91" t="str">
        <f t="shared" si="433"/>
        <v>100%</v>
      </c>
      <c r="AA1229" s="67"/>
      <c r="AB1229" s="473"/>
      <c r="AC1229" s="478" t="s">
        <v>2711</v>
      </c>
      <c r="AD1229" s="67"/>
      <c r="AU1229" s="42">
        <v>0</v>
      </c>
      <c r="AV1229" s="42" t="s">
        <v>79</v>
      </c>
      <c r="AX1229" s="42">
        <v>0</v>
      </c>
      <c r="AY1229" s="42" t="s">
        <v>79</v>
      </c>
    </row>
    <row r="1230" spans="2:53">
      <c r="B1230" s="64" t="s">
        <v>105</v>
      </c>
      <c r="C1230" s="65" t="s">
        <v>639</v>
      </c>
      <c r="D1230" s="66">
        <v>7.49</v>
      </c>
      <c r="E1230" s="67">
        <v>45956</v>
      </c>
      <c r="F1230" s="64">
        <v>1</v>
      </c>
      <c r="G1230" s="67">
        <v>45973</v>
      </c>
      <c r="H1230" s="64">
        <v>1</v>
      </c>
      <c r="I1230" s="67">
        <v>45973</v>
      </c>
      <c r="J1230" s="64">
        <v>0</v>
      </c>
      <c r="K1230" s="67">
        <v>45973</v>
      </c>
      <c r="L1230" s="64">
        <v>0</v>
      </c>
      <c r="M1230" s="64">
        <v>0</v>
      </c>
      <c r="N1230" s="67">
        <v>45974</v>
      </c>
      <c r="O1230" s="64">
        <v>1</v>
      </c>
      <c r="P1230" s="64">
        <v>0</v>
      </c>
      <c r="Q1230" s="91" t="s">
        <v>2551</v>
      </c>
      <c r="R1230" s="64">
        <v>0</v>
      </c>
      <c r="S1230" s="67">
        <v>45974</v>
      </c>
      <c r="T1230" s="67">
        <v>45995</v>
      </c>
      <c r="U1230" s="64">
        <v>1</v>
      </c>
      <c r="V1230" s="66"/>
      <c r="W1230" s="66"/>
      <c r="X1230" s="93"/>
      <c r="Y1230" s="94"/>
      <c r="Z1230" s="91" t="str">
        <f t="shared" si="433"/>
        <v>100%</v>
      </c>
      <c r="AA1230" s="67"/>
      <c r="AB1230" s="473"/>
      <c r="AC1230" s="478" t="s">
        <v>2711</v>
      </c>
      <c r="AD1230" s="67"/>
      <c r="AU1230" s="42">
        <v>0.05</v>
      </c>
      <c r="AV1230" s="42">
        <v>-0.05</v>
      </c>
      <c r="AX1230" s="42">
        <v>0.05</v>
      </c>
      <c r="AY1230" s="42">
        <v>-0.05</v>
      </c>
    </row>
    <row r="1231" spans="2:53">
      <c r="B1231" s="64" t="s">
        <v>116</v>
      </c>
      <c r="C1231" s="65" t="s">
        <v>560</v>
      </c>
      <c r="D1231" s="66">
        <v>10.02</v>
      </c>
      <c r="E1231" s="67">
        <v>45972</v>
      </c>
      <c r="F1231" s="64">
        <v>1</v>
      </c>
      <c r="G1231" s="67">
        <v>45973</v>
      </c>
      <c r="H1231" s="64">
        <v>1</v>
      </c>
      <c r="I1231" s="67">
        <v>45980</v>
      </c>
      <c r="J1231" s="64">
        <v>0</v>
      </c>
      <c r="K1231" s="67">
        <v>45988</v>
      </c>
      <c r="L1231" s="64">
        <v>0</v>
      </c>
      <c r="M1231" s="64">
        <v>0</v>
      </c>
      <c r="N1231" s="67">
        <v>45989</v>
      </c>
      <c r="O1231" s="64">
        <v>1</v>
      </c>
      <c r="P1231" s="64">
        <v>0</v>
      </c>
      <c r="Q1231" s="91" t="s">
        <v>2551</v>
      </c>
      <c r="R1231" s="64">
        <v>0</v>
      </c>
      <c r="S1231" s="67">
        <v>45988</v>
      </c>
      <c r="T1231" s="67">
        <v>46005</v>
      </c>
      <c r="U1231" s="64">
        <v>1</v>
      </c>
      <c r="V1231" s="66"/>
      <c r="W1231" s="66"/>
      <c r="X1231" s="93"/>
      <c r="Y1231" s="94"/>
      <c r="Z1231" s="91" t="str">
        <f t="shared" si="433"/>
        <v>100%</v>
      </c>
      <c r="AA1231" s="67"/>
      <c r="AB1231" s="473"/>
      <c r="AC1231" s="478" t="s">
        <v>2711</v>
      </c>
      <c r="AD1231" s="67"/>
      <c r="AU1231" s="42">
        <v>3.2100000000000004</v>
      </c>
      <c r="AV1231" s="42">
        <v>-3.2100000000000004</v>
      </c>
      <c r="AX1231" s="42">
        <v>6.4600000000000009</v>
      </c>
      <c r="AY1231" s="42">
        <v>-6.4600000000000009</v>
      </c>
    </row>
    <row r="1232" spans="2:53">
      <c r="B1232" s="64" t="s">
        <v>109</v>
      </c>
      <c r="C1232" s="65" t="s">
        <v>2591</v>
      </c>
      <c r="D1232" s="66">
        <v>7.79</v>
      </c>
      <c r="E1232" s="67">
        <v>45990</v>
      </c>
      <c r="F1232" s="64">
        <v>1</v>
      </c>
      <c r="G1232" s="67">
        <v>45991</v>
      </c>
      <c r="H1232" s="64">
        <v>1</v>
      </c>
      <c r="I1232" s="67">
        <v>45993</v>
      </c>
      <c r="J1232" s="64">
        <v>0</v>
      </c>
      <c r="K1232" s="67">
        <v>45994</v>
      </c>
      <c r="L1232" s="64">
        <v>0</v>
      </c>
      <c r="M1232" s="64">
        <v>0</v>
      </c>
      <c r="N1232" s="67">
        <v>45995</v>
      </c>
      <c r="O1232" s="64">
        <v>1</v>
      </c>
      <c r="P1232" s="64">
        <v>0</v>
      </c>
      <c r="Q1232" s="91" t="s">
        <v>2551</v>
      </c>
      <c r="R1232" s="64">
        <v>0</v>
      </c>
      <c r="S1232" s="67">
        <v>45995</v>
      </c>
      <c r="T1232" s="67">
        <v>46014</v>
      </c>
      <c r="U1232" s="64">
        <v>1</v>
      </c>
      <c r="V1232" s="66"/>
      <c r="W1232" s="66"/>
      <c r="X1232" s="93"/>
      <c r="Y1232" s="94"/>
      <c r="Z1232" s="91" t="str">
        <f t="shared" si="433"/>
        <v>100%</v>
      </c>
      <c r="AA1232" s="67"/>
      <c r="AB1232" s="473"/>
      <c r="AC1232" s="478" t="s">
        <v>2711</v>
      </c>
      <c r="AD1232" s="67"/>
      <c r="AU1232" s="42">
        <v>0.27</v>
      </c>
      <c r="AX1232" s="42">
        <v>8.0699999999999985</v>
      </c>
      <c r="AY1232" s="42">
        <v>-8.0699999999999985</v>
      </c>
      <c r="BA1232" s="42"/>
    </row>
    <row r="1233" spans="2:53">
      <c r="B1233" s="64" t="s">
        <v>113</v>
      </c>
      <c r="C1233" s="65" t="s">
        <v>2488</v>
      </c>
      <c r="D1233" s="66">
        <v>10.15</v>
      </c>
      <c r="E1233" s="67">
        <v>45934</v>
      </c>
      <c r="F1233" s="64">
        <v>1</v>
      </c>
      <c r="G1233" s="67">
        <v>45936</v>
      </c>
      <c r="H1233" s="64">
        <v>1</v>
      </c>
      <c r="I1233" s="67">
        <v>45944</v>
      </c>
      <c r="J1233" s="64">
        <v>0</v>
      </c>
      <c r="K1233" s="67">
        <v>45954</v>
      </c>
      <c r="L1233" s="64">
        <v>0</v>
      </c>
      <c r="M1233" s="64">
        <v>0</v>
      </c>
      <c r="N1233" s="67">
        <v>45955</v>
      </c>
      <c r="O1233" s="64">
        <v>1</v>
      </c>
      <c r="P1233" s="64">
        <v>0</v>
      </c>
      <c r="Q1233" s="91" t="s">
        <v>2551</v>
      </c>
      <c r="R1233" s="64">
        <v>0</v>
      </c>
      <c r="S1233" s="67">
        <v>45972</v>
      </c>
      <c r="T1233" s="67">
        <v>46008</v>
      </c>
      <c r="U1233" s="64">
        <v>1</v>
      </c>
      <c r="V1233" s="66"/>
      <c r="W1233" s="66"/>
      <c r="X1233" s="93"/>
      <c r="Y1233" s="94"/>
      <c r="Z1233" s="91" t="str">
        <f t="shared" si="433"/>
        <v>100%</v>
      </c>
      <c r="AA1233" s="67"/>
      <c r="AB1233" s="473"/>
      <c r="AC1233" s="478" t="s">
        <v>2711</v>
      </c>
      <c r="AD1233" s="67"/>
      <c r="AU1233" s="42">
        <v>0.78000000000000014</v>
      </c>
      <c r="AV1233" s="42">
        <v>-0.78000000000000014</v>
      </c>
      <c r="AX1233" s="42">
        <v>1.6000000000000003</v>
      </c>
      <c r="AY1233" s="42">
        <v>-1.6000000000000003</v>
      </c>
      <c r="BA1233" s="42"/>
    </row>
    <row r="1234" spans="2:53">
      <c r="B1234" s="64" t="s">
        <v>111</v>
      </c>
      <c r="C1234" s="65" t="s">
        <v>172</v>
      </c>
      <c r="D1234" s="66">
        <v>7.78</v>
      </c>
      <c r="E1234" s="67">
        <v>45972</v>
      </c>
      <c r="F1234" s="64">
        <v>1</v>
      </c>
      <c r="G1234" s="67">
        <v>45990</v>
      </c>
      <c r="H1234" s="64">
        <v>1</v>
      </c>
      <c r="I1234" s="67">
        <v>45990</v>
      </c>
      <c r="J1234" s="64">
        <v>0</v>
      </c>
      <c r="K1234" s="67">
        <v>45987</v>
      </c>
      <c r="L1234" s="64">
        <v>0</v>
      </c>
      <c r="M1234" s="64">
        <v>0</v>
      </c>
      <c r="N1234" s="67">
        <v>45991</v>
      </c>
      <c r="O1234" s="64">
        <v>1</v>
      </c>
      <c r="P1234" s="64">
        <v>0</v>
      </c>
      <c r="Q1234" s="91" t="s">
        <v>2551</v>
      </c>
      <c r="R1234" s="64">
        <v>0</v>
      </c>
      <c r="S1234" s="67">
        <v>45991</v>
      </c>
      <c r="T1234" s="67">
        <v>46010</v>
      </c>
      <c r="U1234" s="64">
        <v>1</v>
      </c>
      <c r="V1234" s="66"/>
      <c r="W1234" s="66"/>
      <c r="X1234" s="93"/>
      <c r="Y1234" s="94"/>
      <c r="Z1234" s="91" t="str">
        <f t="shared" si="433"/>
        <v>100%</v>
      </c>
      <c r="AA1234" s="67"/>
      <c r="AB1234" s="473"/>
      <c r="AC1234" s="478" t="s">
        <v>2711</v>
      </c>
      <c r="AD1234" s="67"/>
      <c r="AU1234" s="42">
        <v>7.36</v>
      </c>
      <c r="AV1234" s="42">
        <v>-7.36</v>
      </c>
      <c r="AX1234" s="42">
        <v>14.72</v>
      </c>
      <c r="AY1234" s="42">
        <v>-14.72</v>
      </c>
      <c r="BA1234" s="42"/>
    </row>
    <row r="1235" spans="2:53">
      <c r="B1235" s="64" t="s">
        <v>107</v>
      </c>
      <c r="C1235" s="65" t="s">
        <v>333</v>
      </c>
      <c r="D1235" s="66">
        <v>6.81</v>
      </c>
      <c r="E1235" s="67">
        <v>45902</v>
      </c>
      <c r="F1235" s="64">
        <v>1</v>
      </c>
      <c r="G1235" s="67">
        <v>45907</v>
      </c>
      <c r="H1235" s="64">
        <v>1</v>
      </c>
      <c r="I1235" s="67">
        <v>45914</v>
      </c>
      <c r="J1235" s="64">
        <v>0</v>
      </c>
      <c r="K1235" s="67">
        <v>45911</v>
      </c>
      <c r="L1235" s="64">
        <v>0</v>
      </c>
      <c r="M1235" s="64">
        <v>0</v>
      </c>
      <c r="N1235" s="67">
        <v>45915</v>
      </c>
      <c r="O1235" s="64">
        <v>1</v>
      </c>
      <c r="P1235" s="64">
        <v>0</v>
      </c>
      <c r="Q1235" s="91" t="s">
        <v>2551</v>
      </c>
      <c r="R1235" s="64">
        <v>0</v>
      </c>
      <c r="S1235" s="67">
        <v>45987</v>
      </c>
      <c r="T1235" s="67">
        <v>46011</v>
      </c>
      <c r="U1235" s="64">
        <v>1</v>
      </c>
      <c r="V1235" s="66"/>
      <c r="W1235" s="66"/>
      <c r="X1235" s="93"/>
      <c r="Y1235" s="94"/>
      <c r="Z1235" s="91" t="str">
        <f t="shared" si="433"/>
        <v>100%</v>
      </c>
      <c r="AA1235" s="67"/>
      <c r="AB1235" s="473"/>
      <c r="AC1235" s="478" t="s">
        <v>2711</v>
      </c>
      <c r="AD1235" s="67"/>
      <c r="AU1235" s="42">
        <v>0</v>
      </c>
      <c r="AV1235" s="42"/>
      <c r="AX1235" s="42">
        <v>3.2530000000000001</v>
      </c>
      <c r="AY1235" s="42">
        <v>-3.2530000000000001</v>
      </c>
      <c r="BA1235" s="42"/>
    </row>
    <row r="1236" spans="2:53">
      <c r="B1236" s="64" t="s">
        <v>107</v>
      </c>
      <c r="C1236" s="65" t="s">
        <v>272</v>
      </c>
      <c r="D1236" s="66">
        <v>2.96</v>
      </c>
      <c r="E1236" s="67">
        <v>45986</v>
      </c>
      <c r="F1236" s="64">
        <v>1</v>
      </c>
      <c r="G1236" s="67">
        <v>45990</v>
      </c>
      <c r="H1236" s="64">
        <v>1</v>
      </c>
      <c r="I1236" s="67">
        <v>45996</v>
      </c>
      <c r="J1236" s="64">
        <v>0</v>
      </c>
      <c r="K1236" s="67">
        <v>45995</v>
      </c>
      <c r="L1236" s="64">
        <v>0</v>
      </c>
      <c r="M1236" s="64">
        <v>0</v>
      </c>
      <c r="N1236" s="67">
        <v>45997</v>
      </c>
      <c r="O1236" s="64">
        <v>1</v>
      </c>
      <c r="P1236" s="64">
        <v>0</v>
      </c>
      <c r="Q1236" s="91" t="s">
        <v>2551</v>
      </c>
      <c r="R1236" s="64">
        <v>0</v>
      </c>
      <c r="S1236" s="67">
        <v>45997</v>
      </c>
      <c r="T1236" s="67">
        <v>46022</v>
      </c>
      <c r="U1236" s="64">
        <v>1</v>
      </c>
      <c r="V1236" s="66"/>
      <c r="W1236" s="66"/>
      <c r="X1236" s="93"/>
      <c r="Y1236" s="94"/>
      <c r="Z1236" s="91" t="str">
        <f t="shared" si="433"/>
        <v>100%</v>
      </c>
      <c r="AA1236" s="67"/>
      <c r="AB1236" s="473"/>
      <c r="AC1236" s="478" t="s">
        <v>2711</v>
      </c>
      <c r="AD1236" s="67"/>
      <c r="AU1236" s="42">
        <v>2.36</v>
      </c>
      <c r="AV1236" s="42">
        <v>-2.36</v>
      </c>
      <c r="AX1236" s="42">
        <v>5.18</v>
      </c>
      <c r="AY1236" s="42">
        <v>-5.18</v>
      </c>
      <c r="BA1236" s="42"/>
    </row>
    <row r="1237" spans="2:53">
      <c r="B1237" s="64" t="s">
        <v>111</v>
      </c>
      <c r="C1237" s="65" t="s">
        <v>1579</v>
      </c>
      <c r="D1237" s="66">
        <v>4.41</v>
      </c>
      <c r="E1237" s="67">
        <v>45991</v>
      </c>
      <c r="F1237" s="64">
        <v>1</v>
      </c>
      <c r="G1237" s="67">
        <v>45997</v>
      </c>
      <c r="H1237" s="64">
        <v>1</v>
      </c>
      <c r="I1237" s="67">
        <v>46002</v>
      </c>
      <c r="J1237" s="64">
        <v>0</v>
      </c>
      <c r="K1237" s="67">
        <v>46000</v>
      </c>
      <c r="L1237" s="64">
        <v>0</v>
      </c>
      <c r="M1237" s="64">
        <v>0</v>
      </c>
      <c r="N1237" s="67">
        <v>46003</v>
      </c>
      <c r="O1237" s="64">
        <v>1</v>
      </c>
      <c r="P1237" s="64">
        <v>0</v>
      </c>
      <c r="Q1237" s="91" t="s">
        <v>2551</v>
      </c>
      <c r="R1237" s="64">
        <v>0</v>
      </c>
      <c r="S1237" s="67">
        <v>46005</v>
      </c>
      <c r="T1237" s="67">
        <v>46021</v>
      </c>
      <c r="U1237" s="64">
        <v>1</v>
      </c>
      <c r="V1237" s="66"/>
      <c r="W1237" s="66"/>
      <c r="X1237" s="93"/>
      <c r="Y1237" s="94"/>
      <c r="Z1237" s="91" t="str">
        <f t="shared" si="433"/>
        <v>100%</v>
      </c>
      <c r="AA1237" s="67"/>
      <c r="AB1237" s="473"/>
      <c r="AC1237" s="478" t="s">
        <v>2711</v>
      </c>
      <c r="AD1237" s="67"/>
      <c r="BA1237" s="42"/>
    </row>
    <row r="1238" spans="2:53">
      <c r="B1238" s="64" t="s">
        <v>111</v>
      </c>
      <c r="C1238" s="65" t="s">
        <v>1307</v>
      </c>
      <c r="D1238" s="66">
        <v>4.59</v>
      </c>
      <c r="E1238" s="67">
        <v>45991</v>
      </c>
      <c r="F1238" s="64">
        <v>1</v>
      </c>
      <c r="G1238" s="67">
        <v>45997</v>
      </c>
      <c r="H1238" s="64">
        <v>1</v>
      </c>
      <c r="I1238" s="67">
        <v>46004</v>
      </c>
      <c r="J1238" s="64">
        <v>0</v>
      </c>
      <c r="K1238" s="67">
        <v>46000</v>
      </c>
      <c r="L1238" s="64">
        <v>0</v>
      </c>
      <c r="M1238" s="64">
        <v>0</v>
      </c>
      <c r="N1238" s="67">
        <v>46005</v>
      </c>
      <c r="O1238" s="64">
        <v>1</v>
      </c>
      <c r="P1238" s="64">
        <v>0</v>
      </c>
      <c r="Q1238" s="91" t="s">
        <v>2551</v>
      </c>
      <c r="R1238" s="64">
        <v>0</v>
      </c>
      <c r="S1238" s="67">
        <v>46007</v>
      </c>
      <c r="T1238" s="67">
        <v>46021</v>
      </c>
      <c r="U1238" s="64">
        <v>1</v>
      </c>
      <c r="V1238" s="66"/>
      <c r="W1238" s="66"/>
      <c r="X1238" s="93"/>
      <c r="Y1238" s="94"/>
      <c r="Z1238" s="91" t="str">
        <f t="shared" si="433"/>
        <v>100%</v>
      </c>
      <c r="AA1238" s="67"/>
      <c r="AB1238" s="473"/>
      <c r="AC1238" s="478" t="s">
        <v>2711</v>
      </c>
      <c r="AD1238" s="67"/>
    </row>
    <row r="1239" spans="2:53">
      <c r="B1239" s="64" t="s">
        <v>118</v>
      </c>
      <c r="C1239" s="65" t="s">
        <v>635</v>
      </c>
      <c r="D1239" s="66">
        <v>8.15</v>
      </c>
      <c r="E1239" s="67">
        <v>45991</v>
      </c>
      <c r="F1239" s="64">
        <v>1</v>
      </c>
      <c r="G1239" s="67">
        <v>45997</v>
      </c>
      <c r="H1239" s="64">
        <v>1</v>
      </c>
      <c r="I1239" s="67">
        <v>46001</v>
      </c>
      <c r="J1239" s="64">
        <v>0</v>
      </c>
      <c r="K1239" s="67">
        <v>46002</v>
      </c>
      <c r="L1239" s="64">
        <v>0</v>
      </c>
      <c r="M1239" s="64">
        <v>0</v>
      </c>
      <c r="N1239" s="67">
        <v>46003</v>
      </c>
      <c r="O1239" s="64">
        <v>1</v>
      </c>
      <c r="P1239" s="64">
        <v>0</v>
      </c>
      <c r="Q1239" s="91" t="s">
        <v>2551</v>
      </c>
      <c r="R1239" s="64">
        <v>0</v>
      </c>
      <c r="S1239" s="67">
        <v>46003</v>
      </c>
      <c r="T1239" s="67">
        <v>46016</v>
      </c>
      <c r="U1239" s="64">
        <v>1</v>
      </c>
      <c r="V1239" s="66"/>
      <c r="W1239" s="66"/>
      <c r="X1239" s="93"/>
      <c r="Y1239" s="94"/>
      <c r="Z1239" s="91" t="str">
        <f t="shared" si="433"/>
        <v>100%</v>
      </c>
      <c r="AA1239" s="67"/>
      <c r="AB1239" s="473"/>
      <c r="AC1239" s="478" t="s">
        <v>2711</v>
      </c>
      <c r="AD1239" s="67"/>
      <c r="AU1239" s="42"/>
      <c r="AV1239" s="42" t="s">
        <v>79</v>
      </c>
      <c r="AX1239" s="42">
        <v>8.15</v>
      </c>
      <c r="AY1239" s="42">
        <v>-8.15</v>
      </c>
      <c r="BA1239" s="42"/>
    </row>
    <row r="1240" spans="2:53">
      <c r="B1240" s="64" t="s">
        <v>107</v>
      </c>
      <c r="C1240" s="65" t="s">
        <v>198</v>
      </c>
      <c r="D1240" s="66">
        <v>6.6</v>
      </c>
      <c r="E1240" s="67">
        <v>45986</v>
      </c>
      <c r="F1240" s="64">
        <f>IF(E1240&gt;0,1,0)</f>
        <v>1</v>
      </c>
      <c r="G1240" s="67">
        <v>45990</v>
      </c>
      <c r="H1240" s="64">
        <f>IF(G1240&gt;0,1,0)</f>
        <v>1</v>
      </c>
      <c r="I1240" s="67">
        <v>45996</v>
      </c>
      <c r="J1240" s="64">
        <f>IF(I1240&gt;0,0,1)</f>
        <v>0</v>
      </c>
      <c r="K1240" s="67">
        <v>45993</v>
      </c>
      <c r="L1240" s="64">
        <f>IF(K1240&gt;0,0,1)</f>
        <v>0</v>
      </c>
      <c r="M1240" s="64">
        <f>IF(AND(J1240&gt;0,L1240&gt;0),1,0)</f>
        <v>0</v>
      </c>
      <c r="N1240" s="67">
        <f t="shared" ref="N1240" si="434">IF(AND(I1240&gt;0,K1240&gt;0),MAX(I1240:K1240)+1,"")</f>
        <v>45997</v>
      </c>
      <c r="O1240" s="64">
        <f>IF(N1240&gt;0,1,0)</f>
        <v>1</v>
      </c>
      <c r="P1240" s="64">
        <f>IF(O1240&gt;0,0,1)</f>
        <v>0</v>
      </c>
      <c r="Q1240" s="91" t="str">
        <f t="shared" ref="Q1240" si="435">IF(T1240&gt;0,"Selesai","Proses")</f>
        <v>Selesai</v>
      </c>
      <c r="R1240" s="64">
        <f>IF(Q1240="proses",1,0)</f>
        <v>0</v>
      </c>
      <c r="S1240" s="67">
        <v>45997</v>
      </c>
      <c r="T1240" s="67">
        <f>VLOOKUP($C1240,[12]Real!$B$11:$XFD$30,24,0)</f>
        <v>46027</v>
      </c>
      <c r="U1240" s="64">
        <f t="shared" ref="U1240:U1259" si="436">IF(T1240&gt;0,1,0)</f>
        <v>1</v>
      </c>
      <c r="V1240" s="66"/>
      <c r="W1240" s="66"/>
      <c r="X1240" s="93"/>
      <c r="Y1240" s="94"/>
      <c r="Z1240" s="91" t="str">
        <f t="shared" si="433"/>
        <v>100%</v>
      </c>
      <c r="AA1240" s="67"/>
      <c r="AB1240" s="473"/>
      <c r="AC1240" s="478" t="s">
        <v>2711</v>
      </c>
      <c r="AD1240" s="67"/>
      <c r="AU1240" s="42"/>
      <c r="AX1240" s="42">
        <f>+AR1240+AU1240</f>
        <v>0</v>
      </c>
      <c r="AY1240" s="42" t="str">
        <f>IF(AP1240-AX1240=0,"",(AP1240-AX1240))</f>
        <v/>
      </c>
    </row>
    <row r="1241" spans="2:53">
      <c r="B1241" s="64" t="s">
        <v>107</v>
      </c>
      <c r="C1241" s="65" t="s">
        <v>2579</v>
      </c>
      <c r="D1241" s="66">
        <v>5.16</v>
      </c>
      <c r="E1241" s="67">
        <v>45911</v>
      </c>
      <c r="F1241" s="64">
        <f t="shared" ref="F1241:F1246" si="437">IF(E1241&gt;0,1,0)</f>
        <v>1</v>
      </c>
      <c r="G1241" s="67">
        <v>45925</v>
      </c>
      <c r="H1241" s="64">
        <f t="shared" ref="H1241:H1246" si="438">IF(G1241&gt;0,1,0)</f>
        <v>1</v>
      </c>
      <c r="I1241" s="67">
        <f>+G1241+7</f>
        <v>45932</v>
      </c>
      <c r="J1241" s="64">
        <f t="shared" ref="J1241:J1246" si="439">IF(I1241&gt;0,0,1)</f>
        <v>0</v>
      </c>
      <c r="K1241" s="67">
        <v>45919</v>
      </c>
      <c r="L1241" s="64">
        <f t="shared" ref="L1241:L1246" si="440">IF(K1241&gt;0,0,1)</f>
        <v>0</v>
      </c>
      <c r="M1241" s="64">
        <f t="shared" ref="M1241:M1246" si="441">IF(AND(J1241&gt;0,L1241&gt;0),1,0)</f>
        <v>0</v>
      </c>
      <c r="N1241" s="67">
        <f>IF(AND(I1241&gt;0,K1241&gt;0),MAX(I1241:K1241)+1,"")</f>
        <v>45933</v>
      </c>
      <c r="O1241" s="64">
        <f t="shared" ref="O1241" si="442">IF(N1241&gt;0,1,0)</f>
        <v>1</v>
      </c>
      <c r="P1241" s="64">
        <f t="shared" ref="P1241" si="443">IF(O1241&gt;0,0,1)</f>
        <v>0</v>
      </c>
      <c r="Q1241" s="91" t="str">
        <f>IF(T1241&gt;0,"Selesai","Proses")</f>
        <v>Selesai</v>
      </c>
      <c r="R1241" s="64">
        <f t="shared" ref="R1241" si="444">IF(Q1241="proses",1,0)</f>
        <v>0</v>
      </c>
      <c r="S1241" s="67">
        <v>46002</v>
      </c>
      <c r="T1241" s="67">
        <f>VLOOKUP($C1241,[12]Real!$B$11:$XFD$30,24,0)</f>
        <v>46027</v>
      </c>
      <c r="U1241" s="64">
        <f t="shared" si="436"/>
        <v>1</v>
      </c>
      <c r="V1241" s="66"/>
      <c r="W1241" s="66"/>
      <c r="X1241" s="93"/>
      <c r="Y1241" s="94"/>
      <c r="Z1241" s="91" t="str">
        <f t="shared" si="433"/>
        <v>100%</v>
      </c>
      <c r="AA1241" s="67"/>
      <c r="AB1241" s="473"/>
      <c r="AC1241" s="478" t="s">
        <v>2711</v>
      </c>
      <c r="AD1241" s="67"/>
      <c r="AU1241" s="42"/>
      <c r="AX1241" s="42">
        <f>+AR1241+AU1241</f>
        <v>0</v>
      </c>
      <c r="AY1241" s="42" t="str">
        <f>IF(AP1241-AX1241=0,"",(AP1241-AX1241))</f>
        <v/>
      </c>
      <c r="BA1241" s="42"/>
    </row>
    <row r="1242" spans="2:53">
      <c r="B1242" s="64" t="s">
        <v>118</v>
      </c>
      <c r="C1242" s="65" t="s">
        <v>648</v>
      </c>
      <c r="D1242" s="66">
        <v>12.79</v>
      </c>
      <c r="E1242" s="67">
        <v>45992</v>
      </c>
      <c r="F1242" s="64">
        <f t="shared" si="437"/>
        <v>1</v>
      </c>
      <c r="G1242" s="67">
        <v>46008</v>
      </c>
      <c r="H1242" s="64">
        <f t="shared" si="438"/>
        <v>1</v>
      </c>
      <c r="I1242" s="67">
        <v>46012</v>
      </c>
      <c r="J1242" s="64">
        <f t="shared" si="439"/>
        <v>0</v>
      </c>
      <c r="K1242" s="67">
        <v>46008</v>
      </c>
      <c r="L1242" s="64">
        <f t="shared" si="440"/>
        <v>0</v>
      </c>
      <c r="M1242" s="64">
        <f t="shared" si="441"/>
        <v>0</v>
      </c>
      <c r="N1242" s="67">
        <f>IF(AND(I1242&gt;0,K1242&gt;0),MAX(I1242:K1242)+1,"")</f>
        <v>46013</v>
      </c>
      <c r="O1242" s="64">
        <f t="shared" ref="O1242" si="445">IF(N1242&gt;0,1,0)</f>
        <v>1</v>
      </c>
      <c r="P1242" s="64">
        <f t="shared" ref="P1242" si="446">IF(O1242&gt;0,0,1)</f>
        <v>0</v>
      </c>
      <c r="Q1242" s="91" t="str">
        <f>IF(T1242&gt;0,"Selesai","Proses")</f>
        <v>Selesai</v>
      </c>
      <c r="R1242" s="64">
        <f t="shared" ref="R1242" si="447">IF(Q1242="proses",1,0)</f>
        <v>0</v>
      </c>
      <c r="S1242" s="67">
        <v>46014</v>
      </c>
      <c r="T1242" s="67">
        <f>VLOOKUP($C1242,[12]Real!$B$11:$XFD$30,24,0)</f>
        <v>46031</v>
      </c>
      <c r="U1242" s="64">
        <f t="shared" si="436"/>
        <v>1</v>
      </c>
      <c r="V1242" s="66"/>
      <c r="W1242" s="66"/>
      <c r="X1242" s="93"/>
      <c r="Y1242" s="94"/>
      <c r="Z1242" s="91" t="str">
        <f t="shared" si="433"/>
        <v>100%</v>
      </c>
      <c r="AA1242" s="67"/>
      <c r="AB1242" s="473"/>
      <c r="AC1242" s="478" t="s">
        <v>2711</v>
      </c>
      <c r="AD1242" s="67"/>
    </row>
    <row r="1243" spans="2:53">
      <c r="B1243" s="64" t="s">
        <v>107</v>
      </c>
      <c r="C1243" s="65" t="s">
        <v>201</v>
      </c>
      <c r="D1243" s="66">
        <v>8.24</v>
      </c>
      <c r="E1243" s="67">
        <v>45986</v>
      </c>
      <c r="F1243" s="64">
        <f t="shared" si="437"/>
        <v>1</v>
      </c>
      <c r="G1243" s="67">
        <v>45990</v>
      </c>
      <c r="H1243" s="64">
        <f t="shared" si="438"/>
        <v>1</v>
      </c>
      <c r="I1243" s="67">
        <f>+G1243+3</f>
        <v>45993</v>
      </c>
      <c r="J1243" s="64">
        <f t="shared" si="439"/>
        <v>0</v>
      </c>
      <c r="K1243" s="67">
        <v>45993</v>
      </c>
      <c r="L1243" s="64">
        <f t="shared" si="440"/>
        <v>0</v>
      </c>
      <c r="M1243" s="64">
        <f t="shared" si="441"/>
        <v>0</v>
      </c>
      <c r="N1243" s="67">
        <f>IF(AND(I1243&gt;0,K1243&gt;0),MAX(I1243:K1243)+1,"")</f>
        <v>45994</v>
      </c>
      <c r="O1243" s="64">
        <f t="shared" ref="O1243" si="448">IF(N1243&gt;0,1,0)</f>
        <v>1</v>
      </c>
      <c r="P1243" s="64">
        <f t="shared" ref="P1243" si="449">IF(O1243&gt;0,0,1)</f>
        <v>0</v>
      </c>
      <c r="Q1243" s="91" t="str">
        <f t="shared" ref="Q1243" si="450">IF(T1243&gt;0,"Selesai","Proses")</f>
        <v>Selesai</v>
      </c>
      <c r="R1243" s="64">
        <f t="shared" ref="R1243" si="451">IF(Q1243="proses",1,0)</f>
        <v>0</v>
      </c>
      <c r="S1243" s="67">
        <v>45994</v>
      </c>
      <c r="T1243" s="67">
        <f>VLOOKUP($C1243,[12]Real!$B$11:$XFD$30,24,0)</f>
        <v>46033</v>
      </c>
      <c r="U1243" s="64">
        <f t="shared" si="436"/>
        <v>1</v>
      </c>
      <c r="V1243" s="66"/>
      <c r="W1243" s="66"/>
      <c r="X1243" s="93"/>
      <c r="Y1243" s="94"/>
      <c r="Z1243" s="91" t="str">
        <f t="shared" si="433"/>
        <v>100%</v>
      </c>
      <c r="AA1243" s="67"/>
      <c r="AB1243" s="473"/>
      <c r="AC1243" s="478" t="s">
        <v>2711</v>
      </c>
      <c r="AD1243" s="67"/>
      <c r="AU1243" s="42"/>
      <c r="AV1243" s="42"/>
      <c r="AX1243" s="42">
        <f>+AR1243+AU1243</f>
        <v>0</v>
      </c>
      <c r="AY1243" s="42" t="str">
        <f>IF(AP1243-AX1243=0,"",(AP1243-AX1243))</f>
        <v/>
      </c>
    </row>
    <row r="1244" spans="2:53">
      <c r="B1244" s="64" t="s">
        <v>109</v>
      </c>
      <c r="C1244" s="65" t="s">
        <v>617</v>
      </c>
      <c r="D1244" s="66">
        <v>7.83</v>
      </c>
      <c r="E1244" s="67">
        <v>45987</v>
      </c>
      <c r="F1244" s="64">
        <f t="shared" si="437"/>
        <v>1</v>
      </c>
      <c r="G1244" s="67">
        <v>45990</v>
      </c>
      <c r="H1244" s="64">
        <f t="shared" si="438"/>
        <v>1</v>
      </c>
      <c r="I1244" s="67">
        <f>+G1244+11</f>
        <v>46001</v>
      </c>
      <c r="J1244" s="64">
        <f t="shared" si="439"/>
        <v>0</v>
      </c>
      <c r="K1244" s="67">
        <v>45994</v>
      </c>
      <c r="L1244" s="64">
        <f t="shared" si="440"/>
        <v>0</v>
      </c>
      <c r="M1244" s="64">
        <f t="shared" si="441"/>
        <v>0</v>
      </c>
      <c r="N1244" s="67">
        <f>IF(AND(I1244&gt;0,K1244&gt;0),MAX(I1244:K1244)+1,"")</f>
        <v>46002</v>
      </c>
      <c r="O1244" s="64">
        <f t="shared" ref="O1244" si="452">IF(N1244&gt;0,1,0)</f>
        <v>1</v>
      </c>
      <c r="P1244" s="64">
        <f t="shared" ref="P1244" si="453">IF(O1244&gt;0,0,1)</f>
        <v>0</v>
      </c>
      <c r="Q1244" s="91" t="str">
        <f t="shared" ref="Q1244" si="454">IF(T1244&gt;0,"Selesai","Proses")</f>
        <v>Selesai</v>
      </c>
      <c r="R1244" s="64">
        <f t="shared" ref="R1244" si="455">IF(Q1244="proses",1,0)</f>
        <v>0</v>
      </c>
      <c r="S1244" s="67">
        <v>46002</v>
      </c>
      <c r="T1244" s="67">
        <f>VLOOKUP($C1244,[12]Real!$B$11:$XFD$30,24,0)</f>
        <v>46033</v>
      </c>
      <c r="U1244" s="64">
        <f t="shared" si="436"/>
        <v>1</v>
      </c>
      <c r="V1244" s="66"/>
      <c r="W1244" s="66"/>
      <c r="X1244" s="93"/>
      <c r="Y1244" s="94"/>
      <c r="Z1244" s="91" t="str">
        <f t="shared" si="433"/>
        <v>100%</v>
      </c>
      <c r="AA1244" s="67"/>
      <c r="AB1244" s="473"/>
      <c r="AC1244" s="478" t="s">
        <v>2711</v>
      </c>
      <c r="AD1244" s="67"/>
      <c r="AU1244" s="42">
        <f>VLOOKUP($C1244,[13]Real!$B$15:$Y$25,18,0)</f>
        <v>0.56000000000000005</v>
      </c>
      <c r="AV1244" s="42">
        <f t="shared" ref="AV1244" si="456">IF(AP1244-AU1244=0,"",(AP1244-AU1244))</f>
        <v>-0.56000000000000005</v>
      </c>
      <c r="AX1244" s="42">
        <f>+AR1244+AU1244</f>
        <v>0.56000000000000005</v>
      </c>
      <c r="AY1244" s="42">
        <f>IF(AP1244-AX1244=0,"",(AP1244-AX1244))</f>
        <v>-0.56000000000000005</v>
      </c>
      <c r="BA1244" s="42"/>
    </row>
    <row r="1245" spans="2:53">
      <c r="B1245" s="64" t="s">
        <v>109</v>
      </c>
      <c r="C1245" s="65" t="s">
        <v>618</v>
      </c>
      <c r="D1245" s="66">
        <v>8.2899999999999991</v>
      </c>
      <c r="E1245" s="67">
        <v>45987</v>
      </c>
      <c r="F1245" s="64">
        <f t="shared" si="437"/>
        <v>1</v>
      </c>
      <c r="G1245" s="67">
        <v>45990</v>
      </c>
      <c r="H1245" s="64">
        <f t="shared" si="438"/>
        <v>1</v>
      </c>
      <c r="I1245" s="67">
        <f>+G1245+8</f>
        <v>45998</v>
      </c>
      <c r="J1245" s="64">
        <f t="shared" si="439"/>
        <v>0</v>
      </c>
      <c r="K1245" s="67">
        <v>45994</v>
      </c>
      <c r="L1245" s="64">
        <f t="shared" si="440"/>
        <v>0</v>
      </c>
      <c r="M1245" s="64">
        <f t="shared" si="441"/>
        <v>0</v>
      </c>
      <c r="N1245" s="67">
        <f>IF(AND(I1245&gt;0,K1245&gt;0),MAX(I1245:K1245)+1,"")</f>
        <v>45999</v>
      </c>
      <c r="O1245" s="64">
        <f t="shared" ref="O1245" si="457">IF(N1245&gt;0,1,0)</f>
        <v>1</v>
      </c>
      <c r="P1245" s="64">
        <f t="shared" ref="P1245" si="458">IF(O1245&gt;0,0,1)</f>
        <v>0</v>
      </c>
      <c r="Q1245" s="91" t="str">
        <f t="shared" ref="Q1245" si="459">IF(T1245&gt;0,"Selesai","Proses")</f>
        <v>Selesai</v>
      </c>
      <c r="R1245" s="64">
        <f>IF(Q1245="proses",1,0)</f>
        <v>0</v>
      </c>
      <c r="S1245" s="67">
        <v>46005</v>
      </c>
      <c r="T1245" s="67">
        <f>VLOOKUP($C1245,[12]Real!$B$11:$XFD$30,24,0)</f>
        <v>46033</v>
      </c>
      <c r="U1245" s="64">
        <f t="shared" si="436"/>
        <v>1</v>
      </c>
      <c r="V1245" s="66"/>
      <c r="W1245" s="66"/>
      <c r="X1245" s="93"/>
      <c r="Y1245" s="94"/>
      <c r="Z1245" s="91" t="str">
        <f t="shared" si="433"/>
        <v>100%</v>
      </c>
      <c r="AA1245" s="67"/>
      <c r="AB1245" s="473"/>
      <c r="AC1245" s="478" t="s">
        <v>2711</v>
      </c>
      <c r="AD1245" s="67"/>
      <c r="BA1245" s="42"/>
    </row>
    <row r="1246" spans="2:53">
      <c r="B1246" s="64" t="s">
        <v>109</v>
      </c>
      <c r="C1246" s="65" t="s">
        <v>239</v>
      </c>
      <c r="D1246" s="66">
        <v>6.34</v>
      </c>
      <c r="E1246" s="67">
        <v>45989</v>
      </c>
      <c r="F1246" s="64">
        <f t="shared" si="437"/>
        <v>1</v>
      </c>
      <c r="G1246" s="67">
        <v>45991</v>
      </c>
      <c r="H1246" s="64">
        <f t="shared" si="438"/>
        <v>1</v>
      </c>
      <c r="I1246" s="67">
        <f>+G1246+15</f>
        <v>46006</v>
      </c>
      <c r="J1246" s="64">
        <f t="shared" si="439"/>
        <v>0</v>
      </c>
      <c r="K1246" s="67">
        <v>46001</v>
      </c>
      <c r="L1246" s="64">
        <f t="shared" si="440"/>
        <v>0</v>
      </c>
      <c r="M1246" s="64">
        <f t="shared" si="441"/>
        <v>0</v>
      </c>
      <c r="N1246" s="67">
        <f t="shared" ref="N1246" si="460">IF(AND(I1246&gt;0,K1246&gt;0),MAX(I1246:K1246)+1,"")</f>
        <v>46007</v>
      </c>
      <c r="O1246" s="64">
        <f>IF(N1246&gt;0,1,0)</f>
        <v>1</v>
      </c>
      <c r="P1246" s="64">
        <f>IF(O1246&gt;0,0,1)</f>
        <v>0</v>
      </c>
      <c r="Q1246" s="91" t="str">
        <f t="shared" ref="Q1246" si="461">IF(T1246&gt;0,"Selesai","Proses")</f>
        <v>Selesai</v>
      </c>
      <c r="R1246" s="64">
        <f>IF(Q1246="proses",1,0)</f>
        <v>0</v>
      </c>
      <c r="S1246" s="67">
        <v>46008</v>
      </c>
      <c r="T1246" s="67">
        <f>VLOOKUP($C1246,[12]Real!$B$11:$XFD$30,24,0)</f>
        <v>46033</v>
      </c>
      <c r="U1246" s="64">
        <f t="shared" si="436"/>
        <v>1</v>
      </c>
      <c r="V1246" s="66"/>
      <c r="W1246" s="66"/>
      <c r="X1246" s="93"/>
      <c r="Y1246" s="94"/>
      <c r="Z1246" s="91" t="str">
        <f t="shared" si="433"/>
        <v>100%</v>
      </c>
      <c r="AA1246" s="67"/>
      <c r="AB1246" s="473"/>
      <c r="AC1246" s="478" t="s">
        <v>2711</v>
      </c>
      <c r="AD1246" s="67"/>
    </row>
    <row r="1247" spans="2:53">
      <c r="B1247" s="64" t="s">
        <v>118</v>
      </c>
      <c r="C1247" s="65" t="s">
        <v>178</v>
      </c>
      <c r="D1247" s="66">
        <v>6.59</v>
      </c>
      <c r="E1247" s="67">
        <v>45991</v>
      </c>
      <c r="F1247" s="64">
        <f>IF(E1247&gt;0,1,0)</f>
        <v>1</v>
      </c>
      <c r="G1247" s="67">
        <v>45997</v>
      </c>
      <c r="H1247" s="64">
        <f>IF(G1247&gt;0,1,0)</f>
        <v>1</v>
      </c>
      <c r="I1247" s="67">
        <f>+G1247+7</f>
        <v>46004</v>
      </c>
      <c r="J1247" s="64">
        <f>IF(I1247&gt;0,0,1)</f>
        <v>0</v>
      </c>
      <c r="K1247" s="67">
        <v>46003</v>
      </c>
      <c r="L1247" s="64">
        <f>IF(K1247&gt;0,0,1)</f>
        <v>0</v>
      </c>
      <c r="M1247" s="64">
        <f>IF(AND(J1247&gt;0,L1247&gt;0),1,0)</f>
        <v>0</v>
      </c>
      <c r="N1247" s="67">
        <f>IF(AND(I1247&gt;0,K1247&gt;0),MAX(I1247:K1247)+1,"")</f>
        <v>46005</v>
      </c>
      <c r="O1247" s="64">
        <f>IF(N1247&gt;0,1,0)</f>
        <v>1</v>
      </c>
      <c r="P1247" s="64">
        <f>IF(O1247&gt;0,0,1)</f>
        <v>0</v>
      </c>
      <c r="Q1247" s="91" t="str">
        <f>IF(T1247&gt;0,"Selesai","Proses")</f>
        <v>Selesai</v>
      </c>
      <c r="R1247" s="64">
        <f>IF(Q1247="proses",1,0)</f>
        <v>0</v>
      </c>
      <c r="S1247" s="67">
        <v>46007</v>
      </c>
      <c r="T1247" s="67">
        <f>VLOOKUP($C1247,[12]Real!$B$11:$XFD$30,24,0)</f>
        <v>46034</v>
      </c>
      <c r="U1247" s="64">
        <f t="shared" si="436"/>
        <v>1</v>
      </c>
      <c r="V1247" s="66"/>
      <c r="W1247" s="66"/>
      <c r="X1247" s="93"/>
      <c r="Y1247" s="94"/>
      <c r="Z1247" s="91" t="str">
        <f t="shared" si="433"/>
        <v>100%</v>
      </c>
      <c r="AA1247" s="67"/>
      <c r="AB1247" s="473"/>
      <c r="AC1247" s="478" t="s">
        <v>2711</v>
      </c>
      <c r="AD1247" s="67"/>
    </row>
    <row r="1248" spans="2:53">
      <c r="B1248" s="64" t="s">
        <v>109</v>
      </c>
      <c r="C1248" s="65" t="s">
        <v>647</v>
      </c>
      <c r="D1248" s="66">
        <v>10.33</v>
      </c>
      <c r="E1248" s="67">
        <v>45989</v>
      </c>
      <c r="F1248" s="64">
        <f t="shared" ref="F1248" si="462">IF(E1248&gt;0,1,0)</f>
        <v>1</v>
      </c>
      <c r="G1248" s="67">
        <v>45991</v>
      </c>
      <c r="H1248" s="64">
        <f t="shared" ref="H1248" si="463">IF(G1248&gt;0,1,0)</f>
        <v>1</v>
      </c>
      <c r="I1248" s="67">
        <f>+G1248+15</f>
        <v>46006</v>
      </c>
      <c r="J1248" s="64">
        <f t="shared" ref="J1248" si="464">IF(I1248&gt;0,0,1)</f>
        <v>0</v>
      </c>
      <c r="K1248" s="67">
        <v>46001</v>
      </c>
      <c r="L1248" s="64">
        <f t="shared" ref="L1248" si="465">IF(K1248&gt;0,0,1)</f>
        <v>0</v>
      </c>
      <c r="M1248" s="64">
        <f t="shared" ref="M1248" si="466">IF(AND(J1248&gt;0,L1248&gt;0),1,0)</f>
        <v>0</v>
      </c>
      <c r="N1248" s="67">
        <f t="shared" ref="N1248" si="467">IF(AND(I1248&gt;0,K1248&gt;0),MAX(I1248:K1248)+1,"")</f>
        <v>46007</v>
      </c>
      <c r="O1248" s="64">
        <f t="shared" ref="O1248" si="468">IF(N1248&gt;0,1,0)</f>
        <v>1</v>
      </c>
      <c r="P1248" s="64">
        <f t="shared" ref="P1248" si="469">IF(O1248&gt;0,0,1)</f>
        <v>0</v>
      </c>
      <c r="Q1248" s="91" t="str">
        <f t="shared" ref="Q1248" si="470">IF(T1248&gt;0,"Selesai","Proses")</f>
        <v>Selesai</v>
      </c>
      <c r="R1248" s="64">
        <f t="shared" ref="R1248" si="471">IF(Q1248="proses",1,0)</f>
        <v>0</v>
      </c>
      <c r="S1248" s="67">
        <v>46011</v>
      </c>
      <c r="T1248" s="67">
        <f>VLOOKUP($C1248,[12]Real!$B$11:$XFD$30,24,0)</f>
        <v>46036</v>
      </c>
      <c r="U1248" s="64">
        <f t="shared" si="436"/>
        <v>1</v>
      </c>
      <c r="V1248" s="66"/>
      <c r="W1248" s="66"/>
      <c r="X1248" s="93"/>
      <c r="Y1248" s="94"/>
      <c r="Z1248" s="91" t="str">
        <f t="shared" si="433"/>
        <v>100%</v>
      </c>
      <c r="AA1248" s="67"/>
      <c r="AB1248" s="473"/>
      <c r="AC1248" s="478" t="s">
        <v>2711</v>
      </c>
      <c r="AD1248" s="67"/>
    </row>
    <row r="1249" spans="2:55">
      <c r="B1249" s="64" t="s">
        <v>107</v>
      </c>
      <c r="C1249" s="65" t="s">
        <v>367</v>
      </c>
      <c r="D1249" s="66">
        <v>5.38</v>
      </c>
      <c r="E1249" s="67">
        <v>45941</v>
      </c>
      <c r="F1249" s="64">
        <f t="shared" ref="F1249" si="472">IF(E1249&gt;0,1,0)</f>
        <v>1</v>
      </c>
      <c r="G1249" s="67">
        <v>45945</v>
      </c>
      <c r="H1249" s="64">
        <f t="shared" ref="H1249" si="473">IF(G1249&gt;0,1,0)</f>
        <v>1</v>
      </c>
      <c r="I1249" s="67">
        <f>+G1249+12</f>
        <v>45957</v>
      </c>
      <c r="J1249" s="64">
        <f t="shared" ref="J1249" si="474">IF(I1249&gt;0,0,1)</f>
        <v>0</v>
      </c>
      <c r="K1249" s="67">
        <v>45945</v>
      </c>
      <c r="L1249" s="64">
        <f t="shared" ref="L1249" si="475">IF(K1249&gt;0,0,1)</f>
        <v>0</v>
      </c>
      <c r="M1249" s="64">
        <f t="shared" ref="M1249" si="476">IF(AND(J1249&gt;0,L1249&gt;0),1,0)</f>
        <v>0</v>
      </c>
      <c r="N1249" s="67">
        <f t="shared" ref="N1249" si="477">IF(AND(I1249&gt;0,K1249&gt;0),MAX(I1249:K1249)+1,"")</f>
        <v>45958</v>
      </c>
      <c r="O1249" s="64">
        <f>IF(N1249&gt;0,1,0)</f>
        <v>1</v>
      </c>
      <c r="P1249" s="64">
        <f>IF(O1249&gt;0,0,1)</f>
        <v>0</v>
      </c>
      <c r="Q1249" s="91" t="str">
        <f t="shared" ref="Q1249" si="478">IF(T1249&gt;0,"Selesai","Proses")</f>
        <v>Selesai</v>
      </c>
      <c r="R1249" s="64">
        <f>IF(Q1249="proses",1,0)</f>
        <v>0</v>
      </c>
      <c r="S1249" s="67">
        <v>46006</v>
      </c>
      <c r="T1249" s="67">
        <f>VLOOKUP($C1249,[12]Real!$B$11:$XFD$30,24,0)</f>
        <v>46042</v>
      </c>
      <c r="U1249" s="64">
        <f t="shared" si="436"/>
        <v>1</v>
      </c>
      <c r="V1249" s="66"/>
      <c r="W1249" s="66"/>
      <c r="X1249" s="93"/>
      <c r="Y1249" s="94"/>
      <c r="Z1249" s="91" t="str">
        <f t="shared" si="433"/>
        <v>100%</v>
      </c>
      <c r="AA1249" s="67"/>
      <c r="AB1249" s="473"/>
      <c r="AC1249" s="478" t="s">
        <v>2711</v>
      </c>
      <c r="AD1249" s="67"/>
    </row>
    <row r="1250" spans="2:55">
      <c r="B1250" s="64" t="s">
        <v>109</v>
      </c>
      <c r="C1250" s="65" t="s">
        <v>2598</v>
      </c>
      <c r="D1250" s="66">
        <v>2.86</v>
      </c>
      <c r="E1250" s="67">
        <v>45993</v>
      </c>
      <c r="F1250" s="64">
        <f>IF(E1250&gt;0,1,0)</f>
        <v>1</v>
      </c>
      <c r="G1250" s="67">
        <v>46006</v>
      </c>
      <c r="H1250" s="64">
        <f>IF(G1250&gt;0,1,0)</f>
        <v>1</v>
      </c>
      <c r="I1250" s="67">
        <f>+G1250+3</f>
        <v>46009</v>
      </c>
      <c r="J1250" s="64">
        <f>IF(I1250&gt;0,0,1)</f>
        <v>0</v>
      </c>
      <c r="K1250" s="67">
        <v>46008</v>
      </c>
      <c r="L1250" s="64">
        <f>IF(K1250&gt;0,0,1)</f>
        <v>0</v>
      </c>
      <c r="M1250" s="64">
        <f>IF(AND(J1250&gt;0,L1250&gt;0),1,0)</f>
        <v>0</v>
      </c>
      <c r="N1250" s="67">
        <f t="shared" ref="N1250" si="479">IF(AND(I1250&gt;0,K1250&gt;0),MAX(I1250:K1250)+1,"")</f>
        <v>46010</v>
      </c>
      <c r="O1250" s="64">
        <f>IF(N1250&gt;0,1,0)</f>
        <v>1</v>
      </c>
      <c r="P1250" s="64">
        <f>IF(O1250&gt;0,0,1)</f>
        <v>0</v>
      </c>
      <c r="Q1250" s="91" t="str">
        <f t="shared" ref="Q1250" si="480">IF(T1250&gt;0,"Selesai","Proses")</f>
        <v>Selesai</v>
      </c>
      <c r="R1250" s="64">
        <f>IF(Q1250="proses",1,0)</f>
        <v>0</v>
      </c>
      <c r="S1250" s="67">
        <v>46010</v>
      </c>
      <c r="T1250" s="67">
        <f>VLOOKUP($C1250,[12]Real!$B$11:$XFD$30,24,0)</f>
        <v>46042</v>
      </c>
      <c r="U1250" s="64">
        <f t="shared" si="436"/>
        <v>1</v>
      </c>
      <c r="V1250" s="66"/>
      <c r="W1250" s="66"/>
      <c r="X1250" s="93"/>
      <c r="Y1250" s="94"/>
      <c r="Z1250" s="91" t="str">
        <f t="shared" si="433"/>
        <v>100%</v>
      </c>
      <c r="AA1250" s="67"/>
      <c r="AB1250" s="473"/>
      <c r="AC1250" s="478" t="s">
        <v>2711</v>
      </c>
      <c r="AD1250" s="67"/>
    </row>
    <row r="1251" spans="2:55">
      <c r="B1251" s="64" t="s">
        <v>109</v>
      </c>
      <c r="C1251" s="65" t="s">
        <v>2592</v>
      </c>
      <c r="D1251" s="66">
        <v>10.29</v>
      </c>
      <c r="E1251" s="67">
        <v>45990</v>
      </c>
      <c r="F1251" s="64">
        <f t="shared" ref="F1251" si="481">IF(E1251&gt;0,1,0)</f>
        <v>1</v>
      </c>
      <c r="G1251" s="67">
        <v>45991</v>
      </c>
      <c r="H1251" s="64">
        <f t="shared" ref="H1251" si="482">IF(G1251&gt;0,1,0)</f>
        <v>1</v>
      </c>
      <c r="I1251" s="67">
        <v>45996</v>
      </c>
      <c r="J1251" s="64">
        <f t="shared" ref="J1251" si="483">IF(I1251&gt;0,0,1)</f>
        <v>0</v>
      </c>
      <c r="K1251" s="67">
        <v>45994</v>
      </c>
      <c r="L1251" s="64">
        <f t="shared" ref="L1251" si="484">IF(K1251&gt;0,0,1)</f>
        <v>0</v>
      </c>
      <c r="M1251" s="64">
        <f t="shared" ref="M1251" si="485">IF(AND(J1251&gt;0,L1251&gt;0),1,0)</f>
        <v>0</v>
      </c>
      <c r="N1251" s="67">
        <f t="shared" ref="N1251" si="486">IF(AND(I1251&gt;0,K1251&gt;0),MAX(I1251:K1251)+1,"")</f>
        <v>45997</v>
      </c>
      <c r="O1251" s="64">
        <f t="shared" ref="O1251" si="487">IF(N1251&gt;0,1,0)</f>
        <v>1</v>
      </c>
      <c r="P1251" s="64">
        <f t="shared" ref="P1251" si="488">IF(O1251&gt;0,0,1)</f>
        <v>0</v>
      </c>
      <c r="Q1251" s="91" t="str">
        <f t="shared" ref="Q1251" si="489">IF(T1251&gt;0,"Selesai","Proses")</f>
        <v>Selesai</v>
      </c>
      <c r="R1251" s="64">
        <f t="shared" ref="R1251" si="490">IF(Q1251="proses",1,0)</f>
        <v>0</v>
      </c>
      <c r="S1251" s="67">
        <v>45997</v>
      </c>
      <c r="T1251" s="67">
        <f>VLOOKUP($C1251,[12]Real!$B$11:$XFD$30,24,0)</f>
        <v>46043</v>
      </c>
      <c r="U1251" s="64">
        <f t="shared" si="436"/>
        <v>1</v>
      </c>
      <c r="V1251" s="66"/>
      <c r="W1251" s="66"/>
      <c r="X1251" s="93"/>
      <c r="Y1251" s="94"/>
      <c r="Z1251" s="91" t="str">
        <f t="shared" si="433"/>
        <v>100%</v>
      </c>
      <c r="AA1251" s="67"/>
      <c r="AB1251" s="473"/>
      <c r="AC1251" s="478" t="s">
        <v>2711</v>
      </c>
      <c r="AD1251" s="67"/>
      <c r="AU1251" s="42">
        <f>VLOOKUP($C1251,[13]Real!$B$15:$Y$25,18,0)</f>
        <v>0.69</v>
      </c>
      <c r="AX1251" s="42">
        <f t="shared" ref="AX1251" si="491">+AR1251+AU1251</f>
        <v>0.69</v>
      </c>
      <c r="AY1251" s="42">
        <f t="shared" ref="AY1251" si="492">IF(AP1251-AX1251=0,"",(AP1251-AX1251))</f>
        <v>-0.69</v>
      </c>
      <c r="BA1251" s="42"/>
    </row>
    <row r="1252" spans="2:55">
      <c r="B1252" s="64" t="s">
        <v>111</v>
      </c>
      <c r="C1252" s="65" t="s">
        <v>2599</v>
      </c>
      <c r="D1252" s="66">
        <v>5.73</v>
      </c>
      <c r="E1252" s="67">
        <v>46009</v>
      </c>
      <c r="F1252" s="64">
        <f>IF(E1252&gt;0,1,0)</f>
        <v>1</v>
      </c>
      <c r="G1252" s="67">
        <v>46014</v>
      </c>
      <c r="H1252" s="64">
        <f>IF(G1252&gt;0,1,0)</f>
        <v>1</v>
      </c>
      <c r="I1252" s="67">
        <f>+G1252+4</f>
        <v>46018</v>
      </c>
      <c r="J1252" s="64">
        <f>IF(I1252&gt;0,0,1)</f>
        <v>0</v>
      </c>
      <c r="K1252" s="67">
        <v>46016</v>
      </c>
      <c r="L1252" s="64">
        <f>IF(K1252&gt;0,0,1)</f>
        <v>0</v>
      </c>
      <c r="M1252" s="64">
        <f>IF(AND(J1252&gt;0,L1252&gt;0),1,0)</f>
        <v>0</v>
      </c>
      <c r="N1252" s="67">
        <f>IF(AND(I1252&gt;0,K1252&gt;0),MAX(I1252:K1252)+1,"")</f>
        <v>46019</v>
      </c>
      <c r="O1252" s="64">
        <f t="shared" ref="O1252" si="493">IF(N1252&gt;0,1,0)</f>
        <v>1</v>
      </c>
      <c r="P1252" s="64">
        <f t="shared" ref="P1252" si="494">IF(O1252&gt;0,0,1)</f>
        <v>0</v>
      </c>
      <c r="Q1252" s="91" t="str">
        <f>IF(T1252&gt;0,"Selesai","Proses")</f>
        <v>Selesai</v>
      </c>
      <c r="R1252" s="64">
        <f t="shared" ref="R1252" si="495">IF(Q1252="proses",1,0)</f>
        <v>0</v>
      </c>
      <c r="S1252" s="67">
        <v>46020</v>
      </c>
      <c r="T1252" s="67">
        <f>VLOOKUP($C1252,[12]Real!$B$11:$XFD$30,24,0)</f>
        <v>46053</v>
      </c>
      <c r="U1252" s="64">
        <f t="shared" si="436"/>
        <v>1</v>
      </c>
      <c r="V1252" s="66"/>
      <c r="W1252" s="66"/>
      <c r="X1252" s="93"/>
      <c r="Y1252" s="94"/>
      <c r="Z1252" s="91" t="str">
        <f t="shared" si="433"/>
        <v>100%</v>
      </c>
      <c r="AA1252" s="67"/>
      <c r="AB1252" s="473"/>
      <c r="AC1252" s="478" t="s">
        <v>2711</v>
      </c>
      <c r="AD1252" s="67"/>
      <c r="BA1252" s="42"/>
      <c r="BB1252" s="42"/>
      <c r="BC1252" s="42"/>
    </row>
    <row r="1253" spans="2:55">
      <c r="B1253" s="64" t="s">
        <v>111</v>
      </c>
      <c r="C1253" s="65" t="s">
        <v>2600</v>
      </c>
      <c r="D1253" s="66">
        <v>8.0500000000000007</v>
      </c>
      <c r="E1253" s="67">
        <v>46009</v>
      </c>
      <c r="F1253" s="64">
        <f>IF(E1253&gt;0,1,0)</f>
        <v>1</v>
      </c>
      <c r="G1253" s="67">
        <v>46014</v>
      </c>
      <c r="H1253" s="64">
        <f>IF(G1253&gt;0,1,0)</f>
        <v>1</v>
      </c>
      <c r="I1253" s="67">
        <f>+G1253+9</f>
        <v>46023</v>
      </c>
      <c r="J1253" s="64">
        <f>IF(I1253&gt;0,0,1)</f>
        <v>0</v>
      </c>
      <c r="K1253" s="67">
        <v>46016</v>
      </c>
      <c r="L1253" s="64">
        <f>IF(K1253&gt;0,0,1)</f>
        <v>0</v>
      </c>
      <c r="M1253" s="64">
        <f>IF(AND(J1253&gt;0,L1253&gt;0),1,0)</f>
        <v>0</v>
      </c>
      <c r="N1253" s="67">
        <f t="shared" ref="N1253" si="496">IF(AND(I1253&gt;0,K1253&gt;0),MAX(I1253:K1253)+1,"")</f>
        <v>46024</v>
      </c>
      <c r="O1253" s="64">
        <f t="shared" ref="O1253" si="497">IF(N1253&gt;0,1,0)</f>
        <v>1</v>
      </c>
      <c r="P1253" s="64">
        <f t="shared" ref="P1253" si="498">IF(O1253&gt;0,0,1)</f>
        <v>0</v>
      </c>
      <c r="Q1253" s="91" t="str">
        <f t="shared" ref="Q1253" si="499">IF(T1253&gt;0,"Selesai","Proses")</f>
        <v>Selesai</v>
      </c>
      <c r="R1253" s="64">
        <f t="shared" ref="R1253" si="500">IF(Q1253="proses",1,0)</f>
        <v>0</v>
      </c>
      <c r="S1253" s="67">
        <v>46024</v>
      </c>
      <c r="T1253" s="67">
        <f>VLOOKUP($C1253,[12]Real!$B$11:$XFD$30,24,0)</f>
        <v>46047</v>
      </c>
      <c r="U1253" s="64">
        <f t="shared" si="436"/>
        <v>1</v>
      </c>
      <c r="V1253" s="66"/>
      <c r="W1253" s="66"/>
      <c r="X1253" s="93"/>
      <c r="Y1253" s="94"/>
      <c r="Z1253" s="91" t="str">
        <f t="shared" si="433"/>
        <v>100%</v>
      </c>
      <c r="AA1253" s="67"/>
      <c r="AB1253" s="473"/>
      <c r="AC1253" s="478" t="s">
        <v>2711</v>
      </c>
      <c r="AD1253" s="67"/>
      <c r="BA1253" s="42"/>
      <c r="BB1253" s="42"/>
      <c r="BC1253" s="42"/>
    </row>
    <row r="1254" spans="2:55">
      <c r="B1254" s="64" t="s">
        <v>116</v>
      </c>
      <c r="C1254" s="65" t="s">
        <v>637</v>
      </c>
      <c r="D1254" s="66">
        <v>6.07</v>
      </c>
      <c r="E1254" s="67">
        <v>45992</v>
      </c>
      <c r="F1254" s="64">
        <f>IF(E1254&gt;0,1,0)</f>
        <v>1</v>
      </c>
      <c r="G1254" s="67">
        <v>46009</v>
      </c>
      <c r="H1254" s="64">
        <f>IF(G1254&gt;0,1,0)</f>
        <v>1</v>
      </c>
      <c r="I1254" s="67">
        <f>+G1254+7</f>
        <v>46016</v>
      </c>
      <c r="J1254" s="64">
        <f>IF(I1254&gt;0,0,1)</f>
        <v>0</v>
      </c>
      <c r="K1254" s="67">
        <v>46004</v>
      </c>
      <c r="L1254" s="64">
        <f>IF(K1254&gt;0,0,1)</f>
        <v>0</v>
      </c>
      <c r="M1254" s="64">
        <f>IF(AND(J1254&gt;0,L1254&gt;0),1,0)</f>
        <v>0</v>
      </c>
      <c r="N1254" s="67">
        <f t="shared" ref="N1254" si="501">IF(AND(I1254&gt;0,K1254&gt;0),MAX(I1254:K1254)+1,"")</f>
        <v>46017</v>
      </c>
      <c r="O1254" s="64">
        <f t="shared" ref="O1254" si="502">IF(N1254&gt;0,1,0)</f>
        <v>1</v>
      </c>
      <c r="P1254" s="64">
        <f t="shared" ref="P1254" si="503">IF(O1254&gt;0,0,1)</f>
        <v>0</v>
      </c>
      <c r="Q1254" s="91" t="str">
        <f t="shared" ref="Q1254" si="504">IF(T1254&gt;0,"Selesai","Proses")</f>
        <v>Selesai</v>
      </c>
      <c r="R1254" s="64">
        <f t="shared" ref="R1254" si="505">IF(Q1254="proses",1,0)</f>
        <v>0</v>
      </c>
      <c r="S1254" s="67">
        <v>46022</v>
      </c>
      <c r="T1254" s="67">
        <f>VLOOKUP($C1254,[12]Real!$B$11:$XFD$30,24,0)</f>
        <v>46048</v>
      </c>
      <c r="U1254" s="64">
        <f t="shared" si="436"/>
        <v>1</v>
      </c>
      <c r="V1254" s="66"/>
      <c r="W1254" s="66"/>
      <c r="X1254" s="93"/>
      <c r="Y1254" s="94"/>
      <c r="Z1254" s="91" t="str">
        <f t="shared" si="433"/>
        <v>100%</v>
      </c>
      <c r="AA1254" s="67"/>
      <c r="AB1254" s="473"/>
      <c r="AC1254" s="478" t="s">
        <v>2711</v>
      </c>
      <c r="AD1254" s="67"/>
    </row>
    <row r="1255" spans="2:55">
      <c r="B1255" s="64" t="s">
        <v>107</v>
      </c>
      <c r="C1255" s="65" t="s">
        <v>2583</v>
      </c>
      <c r="D1255" s="66">
        <v>4.58</v>
      </c>
      <c r="E1255" s="67">
        <v>45927</v>
      </c>
      <c r="F1255" s="64">
        <f t="shared" ref="F1255" si="506">IF(E1255&gt;0,1,0)</f>
        <v>1</v>
      </c>
      <c r="G1255" s="67">
        <v>45928</v>
      </c>
      <c r="H1255" s="64">
        <f t="shared" ref="H1255" si="507">IF(G1255&gt;0,1,0)</f>
        <v>1</v>
      </c>
      <c r="I1255" s="67">
        <f t="shared" ref="I1255" si="508">+G1255+7</f>
        <v>45935</v>
      </c>
      <c r="J1255" s="64">
        <f t="shared" ref="J1255" si="509">IF(I1255&gt;0,0,1)</f>
        <v>0</v>
      </c>
      <c r="K1255" s="67">
        <v>45933</v>
      </c>
      <c r="L1255" s="64">
        <f t="shared" ref="L1255" si="510">IF(K1255&gt;0,0,1)</f>
        <v>0</v>
      </c>
      <c r="M1255" s="64">
        <f t="shared" ref="M1255" si="511">IF(AND(J1255&gt;0,L1255&gt;0),1,0)</f>
        <v>0</v>
      </c>
      <c r="N1255" s="67">
        <f t="shared" ref="N1255" si="512">IF(AND(I1255&gt;0,K1255&gt;0),MAX(I1255:K1255)+1,"")</f>
        <v>45936</v>
      </c>
      <c r="O1255" s="64">
        <f t="shared" ref="O1255" si="513">IF(N1255&gt;0,1,0)</f>
        <v>1</v>
      </c>
      <c r="P1255" s="64">
        <f t="shared" ref="P1255" si="514">IF(O1255&gt;0,0,1)</f>
        <v>0</v>
      </c>
      <c r="Q1255" s="91" t="str">
        <f t="shared" ref="Q1255" si="515">IF(T1255&gt;0,"Selesai","Proses")</f>
        <v>Selesai</v>
      </c>
      <c r="R1255" s="64">
        <f>IF(Q1255="proses",1,0)</f>
        <v>0</v>
      </c>
      <c r="S1255" s="67">
        <v>46017</v>
      </c>
      <c r="T1255" s="67">
        <f>VLOOKUP($C1255,[12]Real!$B$11:$XFD$30,24,0)</f>
        <v>46053</v>
      </c>
      <c r="U1255" s="64">
        <f t="shared" si="436"/>
        <v>1</v>
      </c>
      <c r="V1255" s="66"/>
      <c r="W1255" s="66"/>
      <c r="X1255" s="93"/>
      <c r="Y1255" s="94"/>
      <c r="Z1255" s="91" t="str">
        <f t="shared" si="433"/>
        <v>100%</v>
      </c>
      <c r="AA1255" s="67"/>
      <c r="AB1255" s="473"/>
      <c r="AC1255" s="478" t="s">
        <v>2711</v>
      </c>
      <c r="AD1255" s="67"/>
      <c r="AV1255" s="36"/>
      <c r="BA1255" s="42"/>
      <c r="BB1255" s="42"/>
      <c r="BC1255" s="42"/>
    </row>
    <row r="1256" spans="2:55">
      <c r="B1256" s="64" t="s">
        <v>113</v>
      </c>
      <c r="C1256" s="65" t="s">
        <v>265</v>
      </c>
      <c r="D1256" s="66">
        <v>4.5199999999999996</v>
      </c>
      <c r="E1256" s="67">
        <v>46010</v>
      </c>
      <c r="F1256" s="64">
        <f>IF(E1256&gt;0,1,0)</f>
        <v>1</v>
      </c>
      <c r="G1256" s="67">
        <v>46021</v>
      </c>
      <c r="H1256" s="64">
        <f>IF(G1256&gt;0,1,0)</f>
        <v>1</v>
      </c>
      <c r="I1256" s="67">
        <f>+G1256+7</f>
        <v>46028</v>
      </c>
      <c r="J1256" s="64">
        <f>IF(I1256&gt;0,0,1)</f>
        <v>0</v>
      </c>
      <c r="K1256" s="67">
        <v>46030</v>
      </c>
      <c r="L1256" s="64">
        <f>IF(K1256&gt;0,0,1)</f>
        <v>0</v>
      </c>
      <c r="M1256" s="64">
        <f>IF(AND(J1256&gt;0,L1256&gt;0),1,0)</f>
        <v>0</v>
      </c>
      <c r="N1256" s="67">
        <f>IF(AND(I1256&gt;0,K1256&gt;0),MAX(I1256:K1256)+1,"")</f>
        <v>46031</v>
      </c>
      <c r="O1256" s="64">
        <f t="shared" ref="O1256" si="516">IF(N1256&gt;0,1,0)</f>
        <v>1</v>
      </c>
      <c r="P1256" s="64">
        <f t="shared" ref="P1256" si="517">IF(O1256&gt;0,0,1)</f>
        <v>0</v>
      </c>
      <c r="Q1256" s="91" t="str">
        <f t="shared" ref="Q1256" si="518">IF(T1256&gt;0,"Selesai","Proses")</f>
        <v>Selesai</v>
      </c>
      <c r="R1256" s="64">
        <f t="shared" ref="R1256" si="519">IF(Q1256="proses",1,0)</f>
        <v>0</v>
      </c>
      <c r="S1256" s="67">
        <v>46036</v>
      </c>
      <c r="T1256" s="67">
        <f>VLOOKUP($C1256,[12]Real!$B$11:$XFD$30,24,0)</f>
        <v>46049</v>
      </c>
      <c r="U1256" s="64">
        <f t="shared" si="436"/>
        <v>1</v>
      </c>
      <c r="V1256" s="66"/>
      <c r="W1256" s="66"/>
      <c r="X1256" s="93"/>
      <c r="Y1256" s="94"/>
      <c r="Z1256" s="91" t="str">
        <f t="shared" si="433"/>
        <v>100%</v>
      </c>
      <c r="AA1256" s="67"/>
      <c r="AB1256" s="473"/>
      <c r="AC1256" s="478" t="s">
        <v>2711</v>
      </c>
      <c r="AD1256" s="67"/>
      <c r="BA1256" s="42"/>
      <c r="BB1256" s="42"/>
      <c r="BC1256" s="42"/>
    </row>
    <row r="1257" spans="2:55">
      <c r="B1257" s="64" t="s">
        <v>113</v>
      </c>
      <c r="C1257" s="65" t="s">
        <v>644</v>
      </c>
      <c r="D1257" s="66">
        <v>6.43</v>
      </c>
      <c r="E1257" s="67">
        <v>46010</v>
      </c>
      <c r="F1257" s="64">
        <f>IF(E1257&gt;0,1,0)</f>
        <v>1</v>
      </c>
      <c r="G1257" s="67">
        <v>46014</v>
      </c>
      <c r="H1257" s="64">
        <f>IF(G1257&gt;0,1,0)</f>
        <v>1</v>
      </c>
      <c r="I1257" s="67">
        <f>+G1257+7</f>
        <v>46021</v>
      </c>
      <c r="J1257" s="64">
        <f>IF(I1257&gt;0,0,1)</f>
        <v>0</v>
      </c>
      <c r="K1257" s="67">
        <v>46028</v>
      </c>
      <c r="L1257" s="64">
        <f>IF(K1257&gt;0,0,1)</f>
        <v>0</v>
      </c>
      <c r="M1257" s="64">
        <f>IF(AND(J1257&gt;0,L1257&gt;0),1,0)</f>
        <v>0</v>
      </c>
      <c r="N1257" s="67">
        <f t="shared" ref="N1257" si="520">IF(AND(I1257&gt;0,K1257&gt;0),MAX(I1257:K1257)+1,"")</f>
        <v>46029</v>
      </c>
      <c r="O1257" s="64">
        <f>IF(N1257&gt;0,1,0)</f>
        <v>1</v>
      </c>
      <c r="P1257" s="64">
        <f>IF(O1257&gt;0,0,1)</f>
        <v>0</v>
      </c>
      <c r="Q1257" s="91" t="str">
        <f t="shared" ref="Q1257" si="521">IF(T1257&gt;0,"Selesai","Proses")</f>
        <v>Selesai</v>
      </c>
      <c r="R1257" s="64">
        <f>IF(Q1257="proses",1,0)</f>
        <v>0</v>
      </c>
      <c r="S1257" s="67">
        <v>46035</v>
      </c>
      <c r="T1257" s="67">
        <f>VLOOKUP($C1257,[12]Real!$B$11:$XFD$30,24,0)</f>
        <v>46050</v>
      </c>
      <c r="U1257" s="64">
        <f t="shared" si="436"/>
        <v>1</v>
      </c>
      <c r="V1257" s="66"/>
      <c r="W1257" s="66"/>
      <c r="X1257" s="93"/>
      <c r="Y1257" s="94"/>
      <c r="Z1257" s="91" t="str">
        <f t="shared" si="433"/>
        <v>100%</v>
      </c>
      <c r="AA1257" s="67"/>
      <c r="AB1257" s="473"/>
      <c r="AC1257" s="478" t="s">
        <v>2711</v>
      </c>
      <c r="AD1257" s="67"/>
      <c r="BA1257" s="42"/>
      <c r="BB1257" s="42"/>
      <c r="BC1257" s="42"/>
    </row>
    <row r="1258" spans="2:55">
      <c r="B1258" s="64" t="s">
        <v>118</v>
      </c>
      <c r="C1258" s="65" t="s">
        <v>71</v>
      </c>
      <c r="D1258" s="66">
        <v>3.57</v>
      </c>
      <c r="E1258" s="67">
        <v>46009</v>
      </c>
      <c r="F1258" s="64">
        <f>IF(E1258&gt;0,1,0)</f>
        <v>1</v>
      </c>
      <c r="G1258" s="67">
        <v>46014</v>
      </c>
      <c r="H1258" s="64">
        <f>IF(G1258&gt;0,1,0)</f>
        <v>1</v>
      </c>
      <c r="I1258" s="67">
        <f>+G1258+7</f>
        <v>46021</v>
      </c>
      <c r="J1258" s="64">
        <f>IF(I1258&gt;0,0,1)</f>
        <v>0</v>
      </c>
      <c r="K1258" s="67">
        <v>46022</v>
      </c>
      <c r="L1258" s="64">
        <f>IF(K1258&gt;0,0,1)</f>
        <v>0</v>
      </c>
      <c r="M1258" s="64">
        <f>IF(AND(J1258&gt;0,L1258&gt;0),1,0)</f>
        <v>0</v>
      </c>
      <c r="N1258" s="67">
        <f t="shared" ref="N1258" si="522">IF(AND(I1258&gt;0,K1258&gt;0),MAX(I1258:K1258)+1,"")</f>
        <v>46023</v>
      </c>
      <c r="O1258" s="64">
        <f t="shared" ref="O1258" si="523">IF(N1258&gt;0,1,0)</f>
        <v>1</v>
      </c>
      <c r="P1258" s="64">
        <f t="shared" ref="P1258" si="524">IF(O1258&gt;0,0,1)</f>
        <v>0</v>
      </c>
      <c r="Q1258" s="91" t="str">
        <f t="shared" ref="Q1258" si="525">IF(T1258&gt;0,"Selesai","Proses")</f>
        <v>Selesai</v>
      </c>
      <c r="R1258" s="64">
        <f t="shared" ref="R1258" si="526">IF(Q1258="proses",1,0)</f>
        <v>0</v>
      </c>
      <c r="S1258" s="67">
        <v>46038</v>
      </c>
      <c r="T1258" s="67">
        <f>VLOOKUP($C1258,[12]Real!$B$11:$XFD$30,24,0)</f>
        <v>46053</v>
      </c>
      <c r="U1258" s="64">
        <f t="shared" si="436"/>
        <v>1</v>
      </c>
      <c r="V1258" s="66"/>
      <c r="W1258" s="66"/>
      <c r="X1258" s="93"/>
      <c r="Y1258" s="94"/>
      <c r="Z1258" s="91" t="str">
        <f t="shared" si="433"/>
        <v>100%</v>
      </c>
      <c r="AA1258" s="67"/>
      <c r="AB1258" s="473"/>
      <c r="AC1258" s="478" t="s">
        <v>2711</v>
      </c>
      <c r="AD1258" s="67"/>
      <c r="BA1258" s="42"/>
      <c r="BB1258" s="42"/>
      <c r="BC1258" s="42"/>
    </row>
    <row r="1259" spans="2:55">
      <c r="B1259" s="64" t="s">
        <v>105</v>
      </c>
      <c r="C1259" s="65" t="s">
        <v>216</v>
      </c>
      <c r="D1259" s="66">
        <v>9.51</v>
      </c>
      <c r="E1259" s="67">
        <v>45992</v>
      </c>
      <c r="F1259" s="64">
        <f>IF(E1259&gt;0,1,0)</f>
        <v>1</v>
      </c>
      <c r="G1259" s="67">
        <v>46010</v>
      </c>
      <c r="H1259" s="64">
        <f>IF(G1259&gt;0,1,0)</f>
        <v>1</v>
      </c>
      <c r="I1259" s="67">
        <f>+G1259+10</f>
        <v>46020</v>
      </c>
      <c r="J1259" s="64">
        <f>IF(I1259&gt;0,0,1)</f>
        <v>0</v>
      </c>
      <c r="K1259" s="67">
        <v>46013</v>
      </c>
      <c r="L1259" s="64">
        <f>IF(K1259&gt;0,0,1)</f>
        <v>0</v>
      </c>
      <c r="M1259" s="64">
        <f>IF(AND(J1259&gt;0,L1259&gt;0),1,0)</f>
        <v>0</v>
      </c>
      <c r="N1259" s="67">
        <f>IF(AND(I1259&gt;0,K1259&gt;0),MAX(I1259:K1259)+1,"")</f>
        <v>46021</v>
      </c>
      <c r="O1259" s="64">
        <f t="shared" ref="O1259" si="527">IF(N1259&gt;0,1,0)</f>
        <v>1</v>
      </c>
      <c r="P1259" s="64">
        <f t="shared" ref="P1259" si="528">IF(O1259&gt;0,0,1)</f>
        <v>0</v>
      </c>
      <c r="Q1259" s="91" t="str">
        <f t="shared" ref="Q1259" si="529">IF(T1259&gt;0,"Selesai","Proses")</f>
        <v>Selesai</v>
      </c>
      <c r="R1259" s="64">
        <f t="shared" ref="R1259" si="530">IF(Q1259="proses",1,0)</f>
        <v>0</v>
      </c>
      <c r="S1259" s="67">
        <v>46025</v>
      </c>
      <c r="T1259" s="67">
        <f>VLOOKUP($C1259,[12]Real!$B$11:$XFD$30,24,0)</f>
        <v>46053</v>
      </c>
      <c r="U1259" s="64">
        <f t="shared" si="436"/>
        <v>1</v>
      </c>
      <c r="V1259" s="66"/>
      <c r="W1259" s="66"/>
      <c r="X1259" s="93"/>
      <c r="Y1259" s="94"/>
      <c r="Z1259" s="91" t="str">
        <f t="shared" si="433"/>
        <v>100%</v>
      </c>
      <c r="AA1259" s="67"/>
      <c r="AB1259" s="473"/>
      <c r="AC1259" s="478" t="s">
        <v>2711</v>
      </c>
      <c r="AD1259" s="67"/>
      <c r="BA1259" s="42"/>
      <c r="BB1259" s="42"/>
      <c r="BC1259" s="42"/>
    </row>
    <row r="1260" spans="2:55">
      <c r="B1260" s="64" t="s">
        <v>107</v>
      </c>
      <c r="C1260" s="65" t="s">
        <v>211</v>
      </c>
      <c r="D1260" s="66">
        <v>9.2200000000000006</v>
      </c>
      <c r="E1260" s="67">
        <v>46012</v>
      </c>
      <c r="F1260" s="64">
        <v>1</v>
      </c>
      <c r="G1260" s="67">
        <v>46020</v>
      </c>
      <c r="H1260" s="64">
        <v>1</v>
      </c>
      <c r="I1260" s="67">
        <v>46027</v>
      </c>
      <c r="J1260" s="64">
        <v>0</v>
      </c>
      <c r="K1260" s="67">
        <v>46028</v>
      </c>
      <c r="L1260" s="64">
        <v>0</v>
      </c>
      <c r="M1260" s="64">
        <v>0</v>
      </c>
      <c r="N1260" s="67">
        <v>46029</v>
      </c>
      <c r="O1260" s="64">
        <v>1</v>
      </c>
      <c r="P1260" s="64">
        <v>0</v>
      </c>
      <c r="Q1260" s="91" t="s">
        <v>2551</v>
      </c>
      <c r="R1260" s="64">
        <v>0</v>
      </c>
      <c r="S1260" s="67">
        <v>46037</v>
      </c>
      <c r="T1260" s="67">
        <v>46058</v>
      </c>
      <c r="U1260" s="64">
        <v>1</v>
      </c>
      <c r="V1260" s="66"/>
      <c r="W1260" s="66"/>
      <c r="X1260" s="93"/>
      <c r="Y1260" s="94"/>
      <c r="Z1260" s="91" t="str">
        <f t="shared" si="433"/>
        <v>100%</v>
      </c>
      <c r="AA1260" s="67"/>
      <c r="AB1260" s="473"/>
      <c r="AC1260" s="478" t="s">
        <v>2711</v>
      </c>
      <c r="AD1260" s="67"/>
      <c r="BA1260" s="42"/>
      <c r="BB1260" s="42"/>
      <c r="BC1260" s="42"/>
    </row>
    <row r="1261" spans="2:55">
      <c r="B1261" s="64" t="s">
        <v>107</v>
      </c>
      <c r="C1261" s="65" t="s">
        <v>193</v>
      </c>
      <c r="D1261" s="66">
        <v>8.99</v>
      </c>
      <c r="E1261" s="67">
        <v>46013</v>
      </c>
      <c r="F1261" s="64">
        <v>1</v>
      </c>
      <c r="G1261" s="67">
        <v>46020</v>
      </c>
      <c r="H1261" s="64">
        <v>1</v>
      </c>
      <c r="I1261" s="67">
        <v>46026</v>
      </c>
      <c r="J1261" s="64">
        <v>0</v>
      </c>
      <c r="K1261" s="67">
        <v>46021</v>
      </c>
      <c r="L1261" s="64">
        <v>0</v>
      </c>
      <c r="M1261" s="64">
        <v>0</v>
      </c>
      <c r="N1261" s="67">
        <v>46027</v>
      </c>
      <c r="O1261" s="64">
        <v>1</v>
      </c>
      <c r="P1261" s="64">
        <v>0</v>
      </c>
      <c r="Q1261" s="91" t="s">
        <v>2551</v>
      </c>
      <c r="R1261" s="64">
        <v>0</v>
      </c>
      <c r="S1261" s="67">
        <v>46033</v>
      </c>
      <c r="T1261" s="67">
        <v>46058</v>
      </c>
      <c r="U1261" s="64">
        <v>1</v>
      </c>
      <c r="V1261" s="66"/>
      <c r="W1261" s="66"/>
      <c r="X1261" s="93"/>
      <c r="Y1261" s="94"/>
      <c r="Z1261" s="91" t="str">
        <f t="shared" si="433"/>
        <v>100%</v>
      </c>
      <c r="AA1261" s="67"/>
      <c r="AB1261" s="473"/>
      <c r="AC1261" s="478" t="s">
        <v>2711</v>
      </c>
      <c r="AD1261" s="67"/>
      <c r="BA1261" s="42"/>
      <c r="BB1261" s="42"/>
      <c r="BC1261" s="42"/>
    </row>
    <row r="1262" spans="2:55">
      <c r="B1262" s="64" t="s">
        <v>116</v>
      </c>
      <c r="C1262" s="65" t="s">
        <v>632</v>
      </c>
      <c r="D1262" s="66">
        <v>7.43</v>
      </c>
      <c r="E1262" s="67">
        <v>45992</v>
      </c>
      <c r="F1262" s="64">
        <v>1</v>
      </c>
      <c r="G1262" s="67">
        <v>46009</v>
      </c>
      <c r="H1262" s="64">
        <v>1</v>
      </c>
      <c r="I1262" s="67">
        <v>46010</v>
      </c>
      <c r="J1262" s="64">
        <v>0</v>
      </c>
      <c r="K1262" s="67">
        <v>46004</v>
      </c>
      <c r="L1262" s="64">
        <v>0</v>
      </c>
      <c r="M1262" s="64">
        <v>0</v>
      </c>
      <c r="N1262" s="67">
        <v>46011</v>
      </c>
      <c r="O1262" s="64">
        <v>1</v>
      </c>
      <c r="P1262" s="64">
        <v>0</v>
      </c>
      <c r="Q1262" s="91" t="s">
        <v>2551</v>
      </c>
      <c r="R1262" s="64">
        <v>0</v>
      </c>
      <c r="S1262" s="67">
        <v>46043</v>
      </c>
      <c r="T1262" s="67">
        <v>46059</v>
      </c>
      <c r="U1262" s="64">
        <v>1</v>
      </c>
      <c r="V1262" s="66"/>
      <c r="W1262" s="66"/>
      <c r="X1262" s="93"/>
      <c r="Y1262" s="94"/>
      <c r="Z1262" s="91" t="str">
        <f t="shared" si="433"/>
        <v>100%</v>
      </c>
      <c r="AA1262" s="67"/>
      <c r="AB1262" s="473"/>
      <c r="AC1262" s="478" t="s">
        <v>2711</v>
      </c>
      <c r="AD1262" s="67"/>
      <c r="BA1262" s="42"/>
      <c r="BB1262" s="42"/>
      <c r="BC1262" s="42"/>
    </row>
    <row r="1263" spans="2:55">
      <c r="B1263" s="64" t="s">
        <v>118</v>
      </c>
      <c r="C1263" s="65" t="s">
        <v>532</v>
      </c>
      <c r="D1263" s="66">
        <v>10.83</v>
      </c>
      <c r="E1263" s="67">
        <v>46038</v>
      </c>
      <c r="F1263" s="64">
        <v>1</v>
      </c>
      <c r="G1263" s="67">
        <v>46040</v>
      </c>
      <c r="H1263" s="64">
        <v>1</v>
      </c>
      <c r="I1263" s="67">
        <v>46047</v>
      </c>
      <c r="J1263" s="64">
        <v>0</v>
      </c>
      <c r="K1263" s="67">
        <v>46043</v>
      </c>
      <c r="L1263" s="64">
        <v>0</v>
      </c>
      <c r="M1263" s="64">
        <v>0</v>
      </c>
      <c r="N1263" s="67">
        <v>46048</v>
      </c>
      <c r="O1263" s="64">
        <v>1</v>
      </c>
      <c r="P1263" s="64">
        <v>0</v>
      </c>
      <c r="Q1263" s="91" t="s">
        <v>2551</v>
      </c>
      <c r="R1263" s="64">
        <v>0</v>
      </c>
      <c r="S1263" s="67">
        <v>46048</v>
      </c>
      <c r="T1263" s="67">
        <v>46063</v>
      </c>
      <c r="U1263" s="64">
        <v>1</v>
      </c>
      <c r="V1263" s="66"/>
      <c r="W1263" s="66"/>
      <c r="X1263" s="93"/>
      <c r="Y1263" s="94"/>
      <c r="Z1263" s="91" t="str">
        <f t="shared" si="433"/>
        <v>100%</v>
      </c>
      <c r="AA1263" s="67"/>
      <c r="AB1263" s="473"/>
      <c r="AC1263" s="478" t="s">
        <v>2711</v>
      </c>
      <c r="AD1263" s="67"/>
      <c r="BA1263" s="42"/>
    </row>
    <row r="1264" spans="2:55">
      <c r="B1264" s="64" t="s">
        <v>107</v>
      </c>
      <c r="C1264" s="65" t="s">
        <v>643</v>
      </c>
      <c r="D1264" s="66">
        <v>6.12</v>
      </c>
      <c r="E1264" s="67">
        <v>45941</v>
      </c>
      <c r="F1264" s="64">
        <v>1</v>
      </c>
      <c r="G1264" s="67">
        <v>45952</v>
      </c>
      <c r="H1264" s="64">
        <v>1</v>
      </c>
      <c r="I1264" s="67">
        <v>46007</v>
      </c>
      <c r="J1264" s="64">
        <v>0</v>
      </c>
      <c r="K1264" s="67">
        <v>45945</v>
      </c>
      <c r="L1264" s="64">
        <v>0</v>
      </c>
      <c r="M1264" s="64">
        <v>0</v>
      </c>
      <c r="N1264" s="67">
        <v>46008</v>
      </c>
      <c r="O1264" s="64">
        <v>1</v>
      </c>
      <c r="P1264" s="64">
        <v>0</v>
      </c>
      <c r="Q1264" s="91" t="s">
        <v>2551</v>
      </c>
      <c r="R1264" s="64">
        <v>0</v>
      </c>
      <c r="S1264" s="67">
        <v>46031</v>
      </c>
      <c r="T1264" s="67">
        <v>46066</v>
      </c>
      <c r="U1264" s="64">
        <v>1</v>
      </c>
      <c r="V1264" s="66"/>
      <c r="W1264" s="66"/>
      <c r="X1264" s="93"/>
      <c r="Y1264" s="94"/>
      <c r="Z1264" s="91" t="str">
        <f t="shared" si="433"/>
        <v>100%</v>
      </c>
      <c r="AA1264" s="67"/>
      <c r="AB1264" s="473"/>
      <c r="AC1264" s="478" t="s">
        <v>2711</v>
      </c>
      <c r="AD1264" s="67"/>
      <c r="BA1264" s="42"/>
      <c r="BB1264" s="42"/>
      <c r="BC1264" s="42"/>
    </row>
    <row r="1265" spans="2:55">
      <c r="B1265" s="64" t="s">
        <v>105</v>
      </c>
      <c r="C1265" s="65" t="s">
        <v>235</v>
      </c>
      <c r="D1265" s="66">
        <v>3.87</v>
      </c>
      <c r="E1265" s="67">
        <v>45992</v>
      </c>
      <c r="F1265" s="64">
        <v>1</v>
      </c>
      <c r="G1265" s="67">
        <v>46006</v>
      </c>
      <c r="H1265" s="64">
        <v>1</v>
      </c>
      <c r="I1265" s="67">
        <v>46009</v>
      </c>
      <c r="J1265" s="64">
        <v>0</v>
      </c>
      <c r="K1265" s="67">
        <v>46013</v>
      </c>
      <c r="L1265" s="64">
        <v>0</v>
      </c>
      <c r="M1265" s="64">
        <v>0</v>
      </c>
      <c r="N1265" s="67">
        <v>46014</v>
      </c>
      <c r="O1265" s="64">
        <v>1</v>
      </c>
      <c r="P1265" s="64">
        <v>0</v>
      </c>
      <c r="Q1265" s="91" t="s">
        <v>2551</v>
      </c>
      <c r="R1265" s="64">
        <v>0</v>
      </c>
      <c r="S1265" s="67">
        <v>46042</v>
      </c>
      <c r="T1265" s="67">
        <v>46066</v>
      </c>
      <c r="U1265" s="64">
        <v>1</v>
      </c>
      <c r="V1265" s="66"/>
      <c r="W1265" s="66"/>
      <c r="X1265" s="93"/>
      <c r="Y1265" s="94"/>
      <c r="Z1265" s="91" t="str">
        <f t="shared" si="433"/>
        <v>100%</v>
      </c>
      <c r="AA1265" s="67"/>
      <c r="AB1265" s="473"/>
      <c r="AC1265" s="478" t="s">
        <v>2711</v>
      </c>
      <c r="AD1265" s="67"/>
      <c r="BA1265" s="42"/>
      <c r="BB1265" s="42"/>
      <c r="BC1265" s="42"/>
    </row>
    <row r="1266" spans="2:55">
      <c r="B1266" s="64" t="s">
        <v>107</v>
      </c>
      <c r="C1266" s="65" t="s">
        <v>204</v>
      </c>
      <c r="D1266" s="66">
        <v>6.75</v>
      </c>
      <c r="E1266" s="67">
        <v>46049</v>
      </c>
      <c r="F1266" s="64">
        <v>1</v>
      </c>
      <c r="G1266" s="67">
        <v>46051</v>
      </c>
      <c r="H1266" s="64">
        <v>1</v>
      </c>
      <c r="I1266" s="67">
        <v>46052</v>
      </c>
      <c r="J1266" s="64">
        <v>0</v>
      </c>
      <c r="K1266" s="67">
        <v>46053</v>
      </c>
      <c r="L1266" s="64">
        <v>0</v>
      </c>
      <c r="M1266" s="64">
        <v>0</v>
      </c>
      <c r="N1266" s="67">
        <v>46054</v>
      </c>
      <c r="O1266" s="64">
        <v>1</v>
      </c>
      <c r="P1266" s="64">
        <v>0</v>
      </c>
      <c r="Q1266" s="91" t="s">
        <v>2551</v>
      </c>
      <c r="R1266" s="64">
        <v>0</v>
      </c>
      <c r="S1266" s="67">
        <v>46057</v>
      </c>
      <c r="T1266" s="67">
        <v>46075</v>
      </c>
      <c r="U1266" s="64">
        <v>1</v>
      </c>
      <c r="V1266" s="66"/>
      <c r="W1266" s="66"/>
      <c r="X1266" s="93"/>
      <c r="Y1266" s="94"/>
      <c r="Z1266" s="91" t="str">
        <f t="shared" si="433"/>
        <v>100%</v>
      </c>
      <c r="AA1266" s="67"/>
      <c r="AB1266" s="473"/>
      <c r="AC1266" s="478" t="s">
        <v>2711</v>
      </c>
      <c r="AD1266" s="67"/>
      <c r="BA1266" s="42"/>
      <c r="BB1266" s="42"/>
    </row>
    <row r="1267" spans="2:55">
      <c r="B1267" s="64" t="s">
        <v>107</v>
      </c>
      <c r="C1267" s="65" t="s">
        <v>213</v>
      </c>
      <c r="D1267" s="66">
        <v>7.18</v>
      </c>
      <c r="E1267" s="67">
        <v>46048</v>
      </c>
      <c r="F1267" s="64">
        <v>1</v>
      </c>
      <c r="G1267" s="67">
        <v>46051</v>
      </c>
      <c r="H1267" s="64">
        <v>1</v>
      </c>
      <c r="I1267" s="67">
        <v>46051</v>
      </c>
      <c r="J1267" s="64">
        <v>0</v>
      </c>
      <c r="K1267" s="67">
        <v>46051</v>
      </c>
      <c r="L1267" s="64">
        <v>0</v>
      </c>
      <c r="M1267" s="64">
        <v>0</v>
      </c>
      <c r="N1267" s="67">
        <v>46052</v>
      </c>
      <c r="O1267" s="64">
        <v>1</v>
      </c>
      <c r="P1267" s="64">
        <v>0</v>
      </c>
      <c r="Q1267" s="91" t="s">
        <v>2551</v>
      </c>
      <c r="R1267" s="64">
        <v>0</v>
      </c>
      <c r="S1267" s="67">
        <v>46052</v>
      </c>
      <c r="T1267" s="67">
        <v>46075</v>
      </c>
      <c r="U1267" s="64">
        <v>1</v>
      </c>
      <c r="V1267" s="66"/>
      <c r="W1267" s="66"/>
      <c r="X1267" s="93"/>
      <c r="Y1267" s="94"/>
      <c r="Z1267" s="91" t="str">
        <f t="shared" si="433"/>
        <v>100%</v>
      </c>
      <c r="AA1267" s="67"/>
      <c r="AB1267" s="473"/>
      <c r="AC1267" s="478" t="s">
        <v>2711</v>
      </c>
      <c r="AD1267" s="67"/>
      <c r="BA1267" s="42"/>
      <c r="BB1267" s="42"/>
    </row>
    <row r="1268" spans="2:55">
      <c r="B1268" s="64" t="s">
        <v>113</v>
      </c>
      <c r="C1268" s="65" t="s">
        <v>231</v>
      </c>
      <c r="D1268" s="66">
        <v>4.28</v>
      </c>
      <c r="E1268" s="67">
        <v>45993</v>
      </c>
      <c r="F1268" s="64">
        <v>1</v>
      </c>
      <c r="G1268" s="67">
        <v>46014</v>
      </c>
      <c r="H1268" s="64">
        <v>1</v>
      </c>
      <c r="I1268" s="67">
        <v>46002</v>
      </c>
      <c r="J1268" s="64">
        <v>0</v>
      </c>
      <c r="K1268" s="67">
        <v>46014</v>
      </c>
      <c r="L1268" s="64">
        <v>0</v>
      </c>
      <c r="M1268" s="64">
        <v>0</v>
      </c>
      <c r="N1268" s="67">
        <v>46015</v>
      </c>
      <c r="O1268" s="64">
        <v>1</v>
      </c>
      <c r="P1268" s="64">
        <v>0</v>
      </c>
      <c r="Q1268" s="91" t="s">
        <v>2551</v>
      </c>
      <c r="R1268" s="64">
        <v>0</v>
      </c>
      <c r="S1268" s="67">
        <v>46038</v>
      </c>
      <c r="T1268" s="67">
        <v>46063</v>
      </c>
      <c r="U1268" s="64">
        <v>1</v>
      </c>
      <c r="V1268" s="66"/>
      <c r="W1268" s="66"/>
      <c r="X1268" s="93"/>
      <c r="Y1268" s="94"/>
      <c r="Z1268" s="91" t="str">
        <f t="shared" si="433"/>
        <v>100%</v>
      </c>
      <c r="AA1268" s="67"/>
      <c r="AB1268" s="473"/>
      <c r="AC1268" s="478" t="s">
        <v>2711</v>
      </c>
      <c r="AD1268" s="67"/>
      <c r="BA1268" s="42"/>
      <c r="BB1268" s="42"/>
      <c r="BC1268" s="42"/>
    </row>
    <row r="1269" spans="2:55">
      <c r="B1269" s="64" t="s">
        <v>118</v>
      </c>
      <c r="C1269" s="65" t="s">
        <v>563</v>
      </c>
      <c r="D1269" s="66">
        <v>10.029999999999999</v>
      </c>
      <c r="E1269" s="67">
        <v>46049</v>
      </c>
      <c r="F1269" s="64">
        <v>1</v>
      </c>
      <c r="G1269" s="67">
        <v>46051</v>
      </c>
      <c r="H1269" s="64">
        <v>1</v>
      </c>
      <c r="I1269" s="67">
        <v>46051</v>
      </c>
      <c r="J1269" s="64">
        <v>0</v>
      </c>
      <c r="K1269" s="67">
        <v>46052</v>
      </c>
      <c r="L1269" s="64">
        <v>0</v>
      </c>
      <c r="M1269" s="64">
        <v>0</v>
      </c>
      <c r="N1269" s="67">
        <v>46053</v>
      </c>
      <c r="O1269" s="64">
        <v>1</v>
      </c>
      <c r="P1269" s="64">
        <v>0</v>
      </c>
      <c r="Q1269" s="91" t="s">
        <v>2551</v>
      </c>
      <c r="R1269" s="64">
        <v>0</v>
      </c>
      <c r="S1269" s="67">
        <v>46053</v>
      </c>
      <c r="T1269" s="67">
        <v>46079</v>
      </c>
      <c r="U1269" s="64">
        <v>1</v>
      </c>
      <c r="V1269" s="66"/>
      <c r="W1269" s="66"/>
      <c r="X1269" s="93"/>
      <c r="Y1269" s="94"/>
      <c r="Z1269" s="91" t="str">
        <f t="shared" si="433"/>
        <v>100%</v>
      </c>
      <c r="AA1269" s="67"/>
      <c r="AB1269" s="473"/>
      <c r="AC1269" s="478" t="s">
        <v>2711</v>
      </c>
      <c r="AD1269" s="67"/>
      <c r="BA1269" s="42"/>
      <c r="BB1269" s="42"/>
    </row>
    <row r="1270" spans="2:55">
      <c r="B1270" s="64" t="s">
        <v>105</v>
      </c>
      <c r="C1270" s="65" t="s">
        <v>2601</v>
      </c>
      <c r="D1270" s="66">
        <v>6.15</v>
      </c>
      <c r="E1270" s="67">
        <v>46065</v>
      </c>
      <c r="F1270" s="64">
        <v>1</v>
      </c>
      <c r="G1270" s="67">
        <v>46066</v>
      </c>
      <c r="H1270" s="64">
        <v>1</v>
      </c>
      <c r="I1270" s="67">
        <v>46067</v>
      </c>
      <c r="J1270" s="64">
        <v>0</v>
      </c>
      <c r="K1270" s="67">
        <v>46067</v>
      </c>
      <c r="L1270" s="64">
        <v>0</v>
      </c>
      <c r="M1270" s="64">
        <v>0</v>
      </c>
      <c r="N1270" s="67">
        <v>46068</v>
      </c>
      <c r="O1270" s="64">
        <v>1</v>
      </c>
      <c r="P1270" s="64">
        <v>0</v>
      </c>
      <c r="Q1270" s="91" t="s">
        <v>2551</v>
      </c>
      <c r="R1270" s="64">
        <v>0</v>
      </c>
      <c r="S1270" s="67">
        <v>46068</v>
      </c>
      <c r="T1270" s="67">
        <v>46087</v>
      </c>
      <c r="U1270" s="64">
        <v>1</v>
      </c>
      <c r="V1270" s="66"/>
      <c r="W1270" s="66"/>
      <c r="X1270" s="93"/>
      <c r="Y1270" s="94"/>
      <c r="Z1270" s="91" t="str">
        <f t="shared" si="433"/>
        <v>100%</v>
      </c>
      <c r="AA1270" s="67"/>
      <c r="AB1270" s="473"/>
      <c r="AC1270" s="478" t="s">
        <v>2711</v>
      </c>
      <c r="AD1270" s="67"/>
      <c r="BA1270" s="42"/>
      <c r="BB1270" s="42"/>
    </row>
    <row r="1271" spans="2:55">
      <c r="B1271" s="64" t="s">
        <v>107</v>
      </c>
      <c r="C1271" s="65" t="s">
        <v>660</v>
      </c>
      <c r="D1271" s="66">
        <v>3.38</v>
      </c>
      <c r="E1271" s="67">
        <v>46065</v>
      </c>
      <c r="F1271" s="64">
        <v>1</v>
      </c>
      <c r="G1271" s="67">
        <v>46066</v>
      </c>
      <c r="H1271" s="64">
        <v>1</v>
      </c>
      <c r="I1271" s="67">
        <v>46069</v>
      </c>
      <c r="J1271" s="64">
        <v>0</v>
      </c>
      <c r="K1271" s="67">
        <v>46071</v>
      </c>
      <c r="L1271" s="64">
        <v>0</v>
      </c>
      <c r="M1271" s="64">
        <v>0</v>
      </c>
      <c r="N1271" s="67">
        <v>46072</v>
      </c>
      <c r="O1271" s="64">
        <v>1</v>
      </c>
      <c r="P1271" s="64">
        <v>0</v>
      </c>
      <c r="Q1271" s="91" t="s">
        <v>2551</v>
      </c>
      <c r="R1271" s="64">
        <v>0</v>
      </c>
      <c r="S1271" s="67">
        <v>46073</v>
      </c>
      <c r="T1271" s="67">
        <v>46107</v>
      </c>
      <c r="U1271" s="64">
        <v>1</v>
      </c>
      <c r="V1271" s="66"/>
      <c r="W1271" s="66"/>
      <c r="X1271" s="93"/>
      <c r="Y1271" s="94"/>
      <c r="Z1271" s="91" t="str">
        <f t="shared" si="433"/>
        <v>100%</v>
      </c>
      <c r="AA1271" s="67"/>
      <c r="AB1271" s="473"/>
      <c r="AC1271" s="478" t="s">
        <v>2711</v>
      </c>
      <c r="AD1271" s="67"/>
      <c r="BA1271" s="42"/>
    </row>
    <row r="1272" spans="2:55">
      <c r="B1272" s="64" t="s">
        <v>107</v>
      </c>
      <c r="C1272" s="65" t="s">
        <v>662</v>
      </c>
      <c r="D1272" s="66">
        <v>2.48</v>
      </c>
      <c r="E1272" s="67">
        <v>46065</v>
      </c>
      <c r="F1272" s="64">
        <v>1</v>
      </c>
      <c r="G1272" s="67">
        <v>46066</v>
      </c>
      <c r="H1272" s="64">
        <v>1</v>
      </c>
      <c r="I1272" s="67">
        <v>46069</v>
      </c>
      <c r="J1272" s="64">
        <v>0</v>
      </c>
      <c r="K1272" s="67">
        <v>46071</v>
      </c>
      <c r="L1272" s="64">
        <v>0</v>
      </c>
      <c r="M1272" s="64">
        <v>0</v>
      </c>
      <c r="N1272" s="67">
        <v>46072</v>
      </c>
      <c r="O1272" s="64">
        <v>1</v>
      </c>
      <c r="P1272" s="64">
        <v>0</v>
      </c>
      <c r="Q1272" s="91" t="s">
        <v>2551</v>
      </c>
      <c r="R1272" s="64">
        <v>0</v>
      </c>
      <c r="S1272" s="67">
        <v>46073</v>
      </c>
      <c r="T1272" s="67">
        <v>46107</v>
      </c>
      <c r="U1272" s="64">
        <v>1</v>
      </c>
      <c r="V1272" s="66"/>
      <c r="W1272" s="66"/>
      <c r="X1272" s="93"/>
      <c r="Y1272" s="94"/>
      <c r="Z1272" s="91" t="str">
        <f t="shared" si="433"/>
        <v>100%</v>
      </c>
      <c r="AA1272" s="67"/>
      <c r="AB1272" s="473"/>
      <c r="AC1272" s="478" t="s">
        <v>2711</v>
      </c>
      <c r="AD1272" s="67"/>
      <c r="BA1272" s="42"/>
    </row>
    <row r="1273" spans="2:55">
      <c r="B1273" s="64" t="s">
        <v>116</v>
      </c>
      <c r="C1273" s="65" t="s">
        <v>675</v>
      </c>
      <c r="D1273" s="66">
        <v>8.33</v>
      </c>
      <c r="E1273" s="67">
        <v>46080</v>
      </c>
      <c r="F1273" s="64">
        <v>1</v>
      </c>
      <c r="G1273" s="67">
        <v>46081</v>
      </c>
      <c r="H1273" s="64">
        <v>1</v>
      </c>
      <c r="I1273" s="67">
        <v>46084</v>
      </c>
      <c r="J1273" s="64">
        <v>0</v>
      </c>
      <c r="K1273" s="67">
        <v>46083</v>
      </c>
      <c r="L1273" s="64">
        <v>0</v>
      </c>
      <c r="M1273" s="64">
        <v>0</v>
      </c>
      <c r="N1273" s="67">
        <v>46085</v>
      </c>
      <c r="O1273" s="64">
        <v>1</v>
      </c>
      <c r="P1273" s="64">
        <v>0</v>
      </c>
      <c r="Q1273" s="91" t="s">
        <v>2551</v>
      </c>
      <c r="R1273" s="64">
        <v>0</v>
      </c>
      <c r="S1273" s="67">
        <v>46085</v>
      </c>
      <c r="T1273" s="67">
        <v>46115</v>
      </c>
      <c r="U1273" s="64">
        <v>1</v>
      </c>
      <c r="V1273" s="66"/>
      <c r="W1273" s="66"/>
      <c r="X1273" s="93"/>
      <c r="Y1273" s="94"/>
      <c r="Z1273" s="91" t="str">
        <f t="shared" si="433"/>
        <v>100%</v>
      </c>
      <c r="AA1273" s="67"/>
      <c r="AB1273" s="473"/>
      <c r="AC1273" s="478" t="s">
        <v>2711</v>
      </c>
      <c r="AD1273" s="67"/>
      <c r="AS1273" s="253"/>
      <c r="BA1273" s="42"/>
    </row>
    <row r="1274" spans="2:55">
      <c r="B1274" s="64" t="s">
        <v>116</v>
      </c>
      <c r="C1274" s="65" t="s">
        <v>2602</v>
      </c>
      <c r="D1274" s="66">
        <v>6.29</v>
      </c>
      <c r="E1274" s="67">
        <v>46080</v>
      </c>
      <c r="F1274" s="64">
        <v>1</v>
      </c>
      <c r="G1274" s="67">
        <v>46081</v>
      </c>
      <c r="H1274" s="64">
        <v>1</v>
      </c>
      <c r="I1274" s="67">
        <v>46083</v>
      </c>
      <c r="J1274" s="64">
        <v>0</v>
      </c>
      <c r="K1274" s="67">
        <v>46083</v>
      </c>
      <c r="L1274" s="64">
        <v>0</v>
      </c>
      <c r="M1274" s="64">
        <v>0</v>
      </c>
      <c r="N1274" s="67">
        <v>46084</v>
      </c>
      <c r="O1274" s="64">
        <v>1</v>
      </c>
      <c r="P1274" s="64">
        <v>0</v>
      </c>
      <c r="Q1274" s="91" t="s">
        <v>2551</v>
      </c>
      <c r="R1274" s="64">
        <v>0</v>
      </c>
      <c r="S1274" s="67">
        <v>46084</v>
      </c>
      <c r="T1274" s="67">
        <v>46117</v>
      </c>
      <c r="U1274" s="64">
        <v>1</v>
      </c>
      <c r="V1274" s="66"/>
      <c r="W1274" s="66"/>
      <c r="X1274" s="93"/>
      <c r="Y1274" s="94"/>
      <c r="Z1274" s="91" t="str">
        <f t="shared" si="433"/>
        <v>100%</v>
      </c>
      <c r="AA1274" s="67"/>
      <c r="AB1274" s="473"/>
      <c r="AC1274" s="478" t="s">
        <v>2711</v>
      </c>
      <c r="AD1274" s="67"/>
      <c r="BA1274" s="42"/>
    </row>
    <row r="1275" spans="2:55">
      <c r="B1275" s="64" t="s">
        <v>116</v>
      </c>
      <c r="C1275" s="65" t="s">
        <v>2606</v>
      </c>
      <c r="D1275" s="66">
        <v>6.74</v>
      </c>
      <c r="E1275" s="67">
        <v>46083</v>
      </c>
      <c r="F1275" s="64">
        <v>1</v>
      </c>
      <c r="G1275" s="67">
        <v>46084</v>
      </c>
      <c r="H1275" s="64">
        <v>1</v>
      </c>
      <c r="I1275" s="67">
        <v>46085</v>
      </c>
      <c r="J1275" s="64">
        <v>0</v>
      </c>
      <c r="K1275" s="67">
        <v>46085</v>
      </c>
      <c r="L1275" s="64">
        <v>0</v>
      </c>
      <c r="M1275" s="64">
        <v>0</v>
      </c>
      <c r="N1275" s="67">
        <v>46086</v>
      </c>
      <c r="O1275" s="64">
        <v>1</v>
      </c>
      <c r="P1275" s="64">
        <v>0</v>
      </c>
      <c r="Q1275" s="91" t="s">
        <v>2551</v>
      </c>
      <c r="R1275" s="64">
        <v>0</v>
      </c>
      <c r="S1275" s="67">
        <v>46087</v>
      </c>
      <c r="T1275" s="67">
        <v>46122</v>
      </c>
      <c r="U1275" s="64">
        <v>1</v>
      </c>
      <c r="V1275" s="66"/>
      <c r="W1275" s="66"/>
      <c r="X1275" s="93"/>
      <c r="Y1275" s="94"/>
      <c r="Z1275" s="91" t="str">
        <f t="shared" si="433"/>
        <v>100%</v>
      </c>
      <c r="AA1275" s="67"/>
      <c r="AB1275" s="473"/>
      <c r="AC1275" s="478" t="s">
        <v>2711</v>
      </c>
      <c r="AD1275" s="67"/>
      <c r="BA1275" s="42"/>
    </row>
    <row r="1276" spans="2:55">
      <c r="B1276" s="64" t="s">
        <v>107</v>
      </c>
      <c r="C1276" s="65" t="s">
        <v>661</v>
      </c>
      <c r="D1276" s="66">
        <v>7.13</v>
      </c>
      <c r="E1276" s="67">
        <v>46075</v>
      </c>
      <c r="F1276" s="64">
        <v>1</v>
      </c>
      <c r="G1276" s="67">
        <v>46080</v>
      </c>
      <c r="H1276" s="64">
        <v>1</v>
      </c>
      <c r="I1276" s="67">
        <v>46079</v>
      </c>
      <c r="J1276" s="64">
        <v>0</v>
      </c>
      <c r="K1276" s="67">
        <v>46078</v>
      </c>
      <c r="L1276" s="64">
        <v>0</v>
      </c>
      <c r="M1276" s="64">
        <v>0</v>
      </c>
      <c r="N1276" s="67">
        <v>46080</v>
      </c>
      <c r="O1276" s="64">
        <v>1</v>
      </c>
      <c r="P1276" s="64">
        <v>0</v>
      </c>
      <c r="Q1276" s="91" t="s">
        <v>2551</v>
      </c>
      <c r="R1276" s="64">
        <v>0</v>
      </c>
      <c r="S1276" s="67">
        <v>46081</v>
      </c>
      <c r="T1276" s="67">
        <v>46124</v>
      </c>
      <c r="U1276" s="64">
        <v>1</v>
      </c>
      <c r="V1276" s="66"/>
      <c r="W1276" s="66"/>
      <c r="X1276" s="93"/>
      <c r="Y1276" s="94"/>
      <c r="Z1276" s="91" t="str">
        <f t="shared" si="433"/>
        <v>100%</v>
      </c>
      <c r="AA1276" s="67"/>
      <c r="AB1276" s="473"/>
      <c r="AC1276" s="478" t="s">
        <v>2711</v>
      </c>
      <c r="AD1276" s="67"/>
      <c r="BA1276" s="42"/>
    </row>
    <row r="1277" spans="2:55">
      <c r="B1277" s="64" t="s">
        <v>107</v>
      </c>
      <c r="C1277" s="65" t="s">
        <v>223</v>
      </c>
      <c r="D1277" s="66">
        <v>10.24</v>
      </c>
      <c r="E1277" s="67">
        <v>46082</v>
      </c>
      <c r="F1277" s="64">
        <v>1</v>
      </c>
      <c r="G1277" s="67">
        <v>46083</v>
      </c>
      <c r="H1277" s="64">
        <v>1</v>
      </c>
      <c r="I1277" s="67">
        <v>46083</v>
      </c>
      <c r="J1277" s="64">
        <v>0</v>
      </c>
      <c r="K1277" s="67">
        <v>46084</v>
      </c>
      <c r="L1277" s="64">
        <v>0</v>
      </c>
      <c r="M1277" s="64">
        <v>0</v>
      </c>
      <c r="N1277" s="67">
        <v>46085</v>
      </c>
      <c r="O1277" s="64">
        <v>1</v>
      </c>
      <c r="P1277" s="64">
        <v>0</v>
      </c>
      <c r="Q1277" s="91" t="s">
        <v>2551</v>
      </c>
      <c r="R1277" s="64">
        <v>0</v>
      </c>
      <c r="S1277" s="67">
        <v>46085</v>
      </c>
      <c r="T1277" s="67">
        <v>46128</v>
      </c>
      <c r="U1277" s="64">
        <v>1</v>
      </c>
      <c r="V1277" s="66"/>
      <c r="W1277" s="66"/>
      <c r="X1277" s="93"/>
      <c r="Y1277" s="94"/>
      <c r="Z1277" s="91" t="str">
        <f t="shared" si="433"/>
        <v>100%</v>
      </c>
      <c r="AA1277" s="67"/>
      <c r="AB1277" s="473"/>
      <c r="AC1277" s="478" t="s">
        <v>2711</v>
      </c>
      <c r="AD1277" s="67"/>
      <c r="AS1277" s="253"/>
      <c r="BA1277" s="42"/>
    </row>
    <row r="1278" spans="2:55">
      <c r="B1278" s="64" t="s">
        <v>113</v>
      </c>
      <c r="C1278" s="65" t="s">
        <v>240</v>
      </c>
      <c r="D1278" s="66">
        <v>4.59</v>
      </c>
      <c r="E1278" s="67">
        <v>46084</v>
      </c>
      <c r="F1278" s="64">
        <v>1</v>
      </c>
      <c r="G1278" s="67">
        <v>46085</v>
      </c>
      <c r="H1278" s="64">
        <v>1</v>
      </c>
      <c r="I1278" s="67">
        <v>46088</v>
      </c>
      <c r="J1278" s="64">
        <v>0</v>
      </c>
      <c r="K1278" s="67">
        <v>46087</v>
      </c>
      <c r="L1278" s="64">
        <v>0</v>
      </c>
      <c r="M1278" s="64">
        <v>0</v>
      </c>
      <c r="N1278" s="67">
        <v>46089</v>
      </c>
      <c r="O1278" s="64">
        <v>1</v>
      </c>
      <c r="P1278" s="64">
        <v>0</v>
      </c>
      <c r="Q1278" s="91" t="s">
        <v>2551</v>
      </c>
      <c r="R1278" s="64">
        <v>0</v>
      </c>
      <c r="S1278" s="67">
        <v>46089</v>
      </c>
      <c r="T1278" s="67">
        <v>46128</v>
      </c>
      <c r="U1278" s="64">
        <v>1</v>
      </c>
      <c r="V1278" s="66"/>
      <c r="W1278" s="66"/>
      <c r="X1278" s="93"/>
      <c r="Y1278" s="94"/>
      <c r="Z1278" s="91" t="str">
        <f t="shared" si="433"/>
        <v>100%</v>
      </c>
      <c r="AA1278" s="67"/>
      <c r="AB1278" s="473"/>
      <c r="AC1278" s="478" t="s">
        <v>2711</v>
      </c>
      <c r="AD1278" s="67"/>
      <c r="AS1278" s="253"/>
      <c r="BA1278" s="42"/>
    </row>
    <row r="1279" spans="2:55">
      <c r="B1279" s="64" t="s">
        <v>109</v>
      </c>
      <c r="C1279" s="65" t="s">
        <v>308</v>
      </c>
      <c r="D1279" s="66">
        <v>6.54</v>
      </c>
      <c r="E1279" s="67">
        <v>46066</v>
      </c>
      <c r="F1279" s="64">
        <v>1</v>
      </c>
      <c r="G1279" s="67">
        <v>46080</v>
      </c>
      <c r="H1279" s="64">
        <v>1</v>
      </c>
      <c r="I1279" s="67">
        <v>46073</v>
      </c>
      <c r="J1279" s="64">
        <v>0</v>
      </c>
      <c r="K1279" s="67">
        <v>46079</v>
      </c>
      <c r="L1279" s="64">
        <v>0</v>
      </c>
      <c r="M1279" s="64">
        <v>0</v>
      </c>
      <c r="N1279" s="67">
        <v>46080</v>
      </c>
      <c r="O1279" s="64">
        <v>1</v>
      </c>
      <c r="P1279" s="64">
        <v>0</v>
      </c>
      <c r="Q1279" s="91" t="s">
        <v>2551</v>
      </c>
      <c r="R1279" s="64">
        <v>0</v>
      </c>
      <c r="S1279" s="67">
        <v>46081</v>
      </c>
      <c r="T1279" s="67">
        <v>46128</v>
      </c>
      <c r="U1279" s="64">
        <v>1</v>
      </c>
      <c r="V1279" s="66"/>
      <c r="W1279" s="66"/>
      <c r="X1279" s="93"/>
      <c r="Y1279" s="94"/>
      <c r="Z1279" s="91" t="str">
        <f t="shared" si="433"/>
        <v>100%</v>
      </c>
      <c r="AA1279" s="67"/>
      <c r="AB1279" s="473"/>
      <c r="AC1279" s="478" t="s">
        <v>2711</v>
      </c>
      <c r="AD1279" s="67"/>
      <c r="BA1279" s="42"/>
    </row>
    <row r="1280" spans="2:55">
      <c r="B1280" s="64" t="s">
        <v>109</v>
      </c>
      <c r="C1280" s="65" t="s">
        <v>2605</v>
      </c>
      <c r="D1280" s="66">
        <v>3.11</v>
      </c>
      <c r="E1280" s="67">
        <v>46081</v>
      </c>
      <c r="F1280" s="64">
        <v>1</v>
      </c>
      <c r="G1280" s="67">
        <v>46082</v>
      </c>
      <c r="H1280" s="64">
        <v>1</v>
      </c>
      <c r="I1280" s="67">
        <v>46090</v>
      </c>
      <c r="J1280" s="64">
        <v>0</v>
      </c>
      <c r="K1280" s="67">
        <v>46082</v>
      </c>
      <c r="L1280" s="64">
        <v>0</v>
      </c>
      <c r="M1280" s="64">
        <v>0</v>
      </c>
      <c r="N1280" s="67">
        <v>46091</v>
      </c>
      <c r="O1280" s="64">
        <v>1</v>
      </c>
      <c r="P1280" s="64">
        <v>0</v>
      </c>
      <c r="Q1280" s="91" t="s">
        <v>2551</v>
      </c>
      <c r="R1280" s="64">
        <v>0</v>
      </c>
      <c r="S1280" s="67">
        <v>46095</v>
      </c>
      <c r="T1280" s="67">
        <v>46128</v>
      </c>
      <c r="U1280" s="64">
        <v>1</v>
      </c>
      <c r="V1280" s="66"/>
      <c r="W1280" s="66"/>
      <c r="X1280" s="93"/>
      <c r="Y1280" s="94"/>
      <c r="Z1280" s="91" t="str">
        <f t="shared" si="433"/>
        <v>100%</v>
      </c>
      <c r="AA1280" s="67"/>
      <c r="AB1280" s="473"/>
      <c r="AC1280" s="478" t="s">
        <v>2711</v>
      </c>
      <c r="AD1280" s="67"/>
      <c r="BA1280" s="42"/>
    </row>
    <row r="1281" spans="2:54">
      <c r="B1281" s="64" t="s">
        <v>109</v>
      </c>
      <c r="C1281" s="65" t="s">
        <v>2603</v>
      </c>
      <c r="D1281" s="66">
        <v>2.37</v>
      </c>
      <c r="E1281" s="67">
        <v>46081</v>
      </c>
      <c r="F1281" s="64">
        <v>1</v>
      </c>
      <c r="G1281" s="67">
        <v>46082</v>
      </c>
      <c r="H1281" s="64">
        <v>1</v>
      </c>
      <c r="I1281" s="67">
        <v>46088</v>
      </c>
      <c r="J1281" s="64">
        <v>0</v>
      </c>
      <c r="K1281" s="67">
        <v>46082</v>
      </c>
      <c r="L1281" s="64">
        <v>0</v>
      </c>
      <c r="M1281" s="64">
        <v>0</v>
      </c>
      <c r="N1281" s="67">
        <v>46089</v>
      </c>
      <c r="O1281" s="64">
        <v>1</v>
      </c>
      <c r="P1281" s="64">
        <v>0</v>
      </c>
      <c r="Q1281" s="91" t="s">
        <v>2551</v>
      </c>
      <c r="R1281" s="64">
        <v>0</v>
      </c>
      <c r="S1281" s="67">
        <v>46092</v>
      </c>
      <c r="T1281" s="67">
        <v>46129</v>
      </c>
      <c r="U1281" s="64">
        <v>1</v>
      </c>
      <c r="V1281" s="66"/>
      <c r="W1281" s="66"/>
      <c r="X1281" s="93"/>
      <c r="Y1281" s="94"/>
      <c r="Z1281" s="91" t="str">
        <f t="shared" si="433"/>
        <v>100%</v>
      </c>
      <c r="AA1281" s="67"/>
      <c r="AB1281" s="473"/>
      <c r="AC1281" s="478" t="s">
        <v>2711</v>
      </c>
      <c r="AD1281" s="67"/>
      <c r="BA1281" s="42"/>
    </row>
    <row r="1282" spans="2:54">
      <c r="B1282" s="64" t="s">
        <v>109</v>
      </c>
      <c r="C1282" s="65" t="s">
        <v>2604</v>
      </c>
      <c r="D1282" s="66">
        <v>5.87</v>
      </c>
      <c r="E1282" s="67">
        <v>46081</v>
      </c>
      <c r="F1282" s="64">
        <v>1</v>
      </c>
      <c r="G1282" s="67">
        <v>46082</v>
      </c>
      <c r="H1282" s="64">
        <v>1</v>
      </c>
      <c r="I1282" s="67">
        <v>46088</v>
      </c>
      <c r="J1282" s="64">
        <v>0</v>
      </c>
      <c r="K1282" s="67">
        <v>46082</v>
      </c>
      <c r="L1282" s="64">
        <v>0</v>
      </c>
      <c r="M1282" s="64">
        <v>0</v>
      </c>
      <c r="N1282" s="67">
        <v>46089</v>
      </c>
      <c r="O1282" s="64">
        <v>1</v>
      </c>
      <c r="P1282" s="64">
        <v>0</v>
      </c>
      <c r="Q1282" s="91" t="s">
        <v>2551</v>
      </c>
      <c r="R1282" s="64">
        <v>0</v>
      </c>
      <c r="S1282" s="67">
        <v>46091</v>
      </c>
      <c r="T1282" s="67">
        <v>46129</v>
      </c>
      <c r="U1282" s="64">
        <v>1</v>
      </c>
      <c r="V1282" s="66"/>
      <c r="W1282" s="66"/>
      <c r="X1282" s="93"/>
      <c r="Y1282" s="94"/>
      <c r="Z1282" s="91" t="str">
        <f t="shared" si="433"/>
        <v>100%</v>
      </c>
      <c r="AA1282" s="67"/>
      <c r="AB1282" s="473"/>
      <c r="AC1282" s="478" t="s">
        <v>2711</v>
      </c>
      <c r="AD1282" s="67"/>
      <c r="BA1282" s="42"/>
    </row>
    <row r="1283" spans="2:54">
      <c r="B1283" s="64" t="s">
        <v>113</v>
      </c>
      <c r="C1283" s="65" t="s">
        <v>264</v>
      </c>
      <c r="D1283" s="66">
        <v>5.85</v>
      </c>
      <c r="E1283" s="67">
        <v>46088</v>
      </c>
      <c r="F1283" s="64">
        <v>1</v>
      </c>
      <c r="G1283" s="67">
        <v>46092</v>
      </c>
      <c r="H1283" s="64">
        <v>1</v>
      </c>
      <c r="I1283" s="67">
        <v>46094</v>
      </c>
      <c r="J1283" s="64">
        <v>0</v>
      </c>
      <c r="K1283" s="67">
        <v>46092</v>
      </c>
      <c r="L1283" s="64">
        <v>0</v>
      </c>
      <c r="M1283" s="64">
        <v>0</v>
      </c>
      <c r="N1283" s="67">
        <v>46095</v>
      </c>
      <c r="O1283" s="64">
        <v>1</v>
      </c>
      <c r="P1283" s="64">
        <v>0</v>
      </c>
      <c r="Q1283" s="91" t="s">
        <v>2551</v>
      </c>
      <c r="R1283" s="64">
        <v>0</v>
      </c>
      <c r="S1283" s="67">
        <v>46095</v>
      </c>
      <c r="T1283" s="67">
        <v>46134</v>
      </c>
      <c r="U1283" s="64">
        <v>1</v>
      </c>
      <c r="V1283" s="66"/>
      <c r="W1283" s="66"/>
      <c r="X1283" s="93"/>
      <c r="Y1283" s="94"/>
      <c r="Z1283" s="91" t="str">
        <f t="shared" si="433"/>
        <v>100%</v>
      </c>
      <c r="AA1283" s="67"/>
      <c r="AB1283" s="473"/>
      <c r="AC1283" s="478" t="s">
        <v>2711</v>
      </c>
      <c r="AD1283" s="67"/>
      <c r="AS1283" s="253"/>
      <c r="BA1283" s="42"/>
    </row>
    <row r="1284" spans="2:54">
      <c r="B1284" s="64" t="s">
        <v>113</v>
      </c>
      <c r="C1284" s="65" t="s">
        <v>268</v>
      </c>
      <c r="D1284" s="66">
        <v>7.91</v>
      </c>
      <c r="E1284" s="67">
        <v>46088</v>
      </c>
      <c r="F1284" s="64">
        <v>1</v>
      </c>
      <c r="G1284" s="67">
        <v>46092</v>
      </c>
      <c r="H1284" s="64">
        <v>1</v>
      </c>
      <c r="I1284" s="67">
        <v>46093</v>
      </c>
      <c r="J1284" s="64">
        <v>0</v>
      </c>
      <c r="K1284" s="67">
        <v>46092</v>
      </c>
      <c r="L1284" s="64">
        <v>0</v>
      </c>
      <c r="M1284" s="64">
        <v>0</v>
      </c>
      <c r="N1284" s="67">
        <v>46094</v>
      </c>
      <c r="O1284" s="64">
        <v>1</v>
      </c>
      <c r="P1284" s="64">
        <v>0</v>
      </c>
      <c r="Q1284" s="91" t="s">
        <v>2551</v>
      </c>
      <c r="R1284" s="64">
        <v>0</v>
      </c>
      <c r="S1284" s="67">
        <v>46093</v>
      </c>
      <c r="T1284" s="67">
        <v>46134</v>
      </c>
      <c r="U1284" s="64">
        <v>1</v>
      </c>
      <c r="V1284" s="66"/>
      <c r="W1284" s="66"/>
      <c r="X1284" s="93"/>
      <c r="Y1284" s="94"/>
      <c r="Z1284" s="91" t="str">
        <f t="shared" si="433"/>
        <v>100%</v>
      </c>
      <c r="AA1284" s="67"/>
      <c r="AB1284" s="473"/>
      <c r="AC1284" s="478" t="s">
        <v>2711</v>
      </c>
      <c r="AD1284" s="67"/>
      <c r="AS1284" s="253"/>
      <c r="BA1284" s="42"/>
    </row>
    <row r="1285" spans="2:54">
      <c r="B1285" s="64" t="s">
        <v>113</v>
      </c>
      <c r="C1285" s="65" t="s">
        <v>221</v>
      </c>
      <c r="D1285" s="66">
        <v>3.85</v>
      </c>
      <c r="E1285" s="67">
        <v>46084</v>
      </c>
      <c r="F1285" s="64">
        <v>1</v>
      </c>
      <c r="G1285" s="67">
        <v>46085</v>
      </c>
      <c r="H1285" s="64">
        <v>1</v>
      </c>
      <c r="I1285" s="67">
        <v>46088</v>
      </c>
      <c r="J1285" s="64">
        <v>0</v>
      </c>
      <c r="K1285" s="67">
        <v>46087</v>
      </c>
      <c r="L1285" s="64">
        <v>0</v>
      </c>
      <c r="M1285" s="64">
        <v>0</v>
      </c>
      <c r="N1285" s="67">
        <v>46089</v>
      </c>
      <c r="O1285" s="64">
        <v>1</v>
      </c>
      <c r="P1285" s="64">
        <v>0</v>
      </c>
      <c r="Q1285" s="91" t="s">
        <v>2551</v>
      </c>
      <c r="R1285" s="64">
        <v>0</v>
      </c>
      <c r="S1285" s="67">
        <v>46089</v>
      </c>
      <c r="T1285" s="67">
        <v>46134</v>
      </c>
      <c r="U1285" s="64">
        <v>1</v>
      </c>
      <c r="V1285" s="66"/>
      <c r="W1285" s="66"/>
      <c r="X1285" s="93"/>
      <c r="Y1285" s="94"/>
      <c r="Z1285" s="91" t="str">
        <f t="shared" si="433"/>
        <v>100%</v>
      </c>
      <c r="AA1285" s="67"/>
      <c r="AB1285" s="473"/>
      <c r="AC1285" s="478" t="s">
        <v>2711</v>
      </c>
      <c r="AD1285" s="67"/>
      <c r="BA1285" s="42"/>
    </row>
    <row r="1286" spans="2:54">
      <c r="B1286" s="64" t="s">
        <v>105</v>
      </c>
      <c r="C1286" s="65" t="s">
        <v>290</v>
      </c>
      <c r="D1286" s="66">
        <v>9.4</v>
      </c>
      <c r="E1286" s="67">
        <v>46087</v>
      </c>
      <c r="F1286" s="64">
        <v>1</v>
      </c>
      <c r="G1286" s="67">
        <v>46107</v>
      </c>
      <c r="H1286" s="64">
        <v>1</v>
      </c>
      <c r="I1286" s="67">
        <v>46106</v>
      </c>
      <c r="J1286" s="64">
        <v>0</v>
      </c>
      <c r="K1286" s="67">
        <v>46094</v>
      </c>
      <c r="L1286" s="64">
        <v>0</v>
      </c>
      <c r="M1286" s="64">
        <v>0</v>
      </c>
      <c r="N1286" s="67">
        <v>46107</v>
      </c>
      <c r="O1286" s="64">
        <v>1</v>
      </c>
      <c r="P1286" s="64">
        <v>0</v>
      </c>
      <c r="Q1286" s="91" t="s">
        <v>2551</v>
      </c>
      <c r="R1286" s="64">
        <v>0</v>
      </c>
      <c r="S1286" s="67">
        <v>46107</v>
      </c>
      <c r="T1286" s="67">
        <v>46135</v>
      </c>
      <c r="U1286" s="64">
        <v>1</v>
      </c>
      <c r="V1286" s="66"/>
      <c r="W1286" s="66"/>
      <c r="X1286" s="93"/>
      <c r="Y1286" s="94"/>
      <c r="Z1286" s="91" t="str">
        <f t="shared" si="433"/>
        <v>100%</v>
      </c>
      <c r="AA1286" s="67"/>
      <c r="AB1286" s="473"/>
      <c r="AC1286" s="478" t="s">
        <v>2711</v>
      </c>
      <c r="AD1286" s="67"/>
    </row>
    <row r="1287" spans="2:54">
      <c r="B1287" s="64" t="s">
        <v>105</v>
      </c>
      <c r="C1287" s="65" t="s">
        <v>247</v>
      </c>
      <c r="D1287" s="66">
        <v>7.05</v>
      </c>
      <c r="E1287" s="67">
        <v>46092</v>
      </c>
      <c r="F1287" s="64">
        <v>1</v>
      </c>
      <c r="G1287" s="67">
        <v>46107</v>
      </c>
      <c r="H1287" s="64">
        <v>1</v>
      </c>
      <c r="I1287" s="67">
        <v>46106</v>
      </c>
      <c r="J1287" s="64">
        <v>0</v>
      </c>
      <c r="K1287" s="67">
        <v>46094</v>
      </c>
      <c r="L1287" s="64">
        <v>0</v>
      </c>
      <c r="M1287" s="64">
        <v>0</v>
      </c>
      <c r="N1287" s="67">
        <v>46107</v>
      </c>
      <c r="O1287" s="64">
        <v>1</v>
      </c>
      <c r="P1287" s="64">
        <v>0</v>
      </c>
      <c r="Q1287" s="91" t="s">
        <v>2551</v>
      </c>
      <c r="R1287" s="64">
        <v>0</v>
      </c>
      <c r="S1287" s="67">
        <v>46107</v>
      </c>
      <c r="T1287" s="67">
        <v>46135</v>
      </c>
      <c r="U1287" s="64">
        <v>1</v>
      </c>
      <c r="V1287" s="66"/>
      <c r="W1287" s="66"/>
      <c r="X1287" s="93"/>
      <c r="Y1287" s="94"/>
      <c r="Z1287" s="91" t="str">
        <f t="shared" si="433"/>
        <v>100%</v>
      </c>
      <c r="AA1287" s="67"/>
      <c r="AB1287" s="473"/>
      <c r="AC1287" s="478" t="s">
        <v>2711</v>
      </c>
      <c r="AD1287" s="67"/>
    </row>
    <row r="1288" spans="2:54">
      <c r="B1288" s="64" t="s">
        <v>107</v>
      </c>
      <c r="C1288" s="65" t="s">
        <v>626</v>
      </c>
      <c r="D1288" s="66">
        <v>6.09</v>
      </c>
      <c r="E1288" s="67">
        <v>46044</v>
      </c>
      <c r="F1288" s="64">
        <v>1</v>
      </c>
      <c r="G1288" s="67">
        <v>46048</v>
      </c>
      <c r="H1288" s="64">
        <v>1</v>
      </c>
      <c r="I1288" s="67">
        <v>46049</v>
      </c>
      <c r="J1288" s="64">
        <v>0</v>
      </c>
      <c r="K1288" s="67">
        <v>46049</v>
      </c>
      <c r="L1288" s="64">
        <v>0</v>
      </c>
      <c r="M1288" s="64">
        <v>0</v>
      </c>
      <c r="N1288" s="67">
        <v>46050</v>
      </c>
      <c r="O1288" s="64">
        <v>1</v>
      </c>
      <c r="P1288" s="64">
        <v>0</v>
      </c>
      <c r="Q1288" s="91" t="s">
        <v>2551</v>
      </c>
      <c r="R1288" s="64">
        <v>0</v>
      </c>
      <c r="S1288" s="67">
        <v>46049</v>
      </c>
      <c r="T1288" s="67">
        <v>46137</v>
      </c>
      <c r="U1288" s="64">
        <v>1</v>
      </c>
      <c r="V1288" s="66"/>
      <c r="W1288" s="66"/>
      <c r="X1288" s="93"/>
      <c r="Y1288" s="94"/>
      <c r="Z1288" s="91" t="str">
        <f t="shared" si="433"/>
        <v>100%</v>
      </c>
      <c r="AA1288" s="67"/>
      <c r="AB1288" s="473"/>
      <c r="AC1288" s="478" t="s">
        <v>2711</v>
      </c>
      <c r="AD1288" s="67"/>
      <c r="BA1288" s="42"/>
      <c r="BB1288" s="42"/>
    </row>
    <row r="1289" spans="2:54">
      <c r="B1289" s="64" t="s">
        <v>109</v>
      </c>
      <c r="C1289" s="65" t="s">
        <v>2419</v>
      </c>
      <c r="D1289" s="66">
        <v>5.69</v>
      </c>
      <c r="E1289" s="67">
        <v>46085</v>
      </c>
      <c r="F1289" s="64">
        <v>1</v>
      </c>
      <c r="G1289" s="67">
        <v>46088</v>
      </c>
      <c r="H1289" s="64">
        <v>1</v>
      </c>
      <c r="I1289" s="67">
        <v>46103</v>
      </c>
      <c r="J1289" s="64">
        <v>0</v>
      </c>
      <c r="K1289" s="67">
        <v>46114</v>
      </c>
      <c r="L1289" s="64">
        <v>0</v>
      </c>
      <c r="M1289" s="64">
        <v>0</v>
      </c>
      <c r="N1289" s="67">
        <v>46115</v>
      </c>
      <c r="O1289" s="64">
        <v>1</v>
      </c>
      <c r="P1289" s="64">
        <v>0</v>
      </c>
      <c r="Q1289" s="91" t="s">
        <v>2551</v>
      </c>
      <c r="R1289" s="64">
        <v>0</v>
      </c>
      <c r="S1289" s="67">
        <v>46115</v>
      </c>
      <c r="T1289" s="67">
        <v>46140</v>
      </c>
      <c r="U1289" s="64">
        <v>1</v>
      </c>
      <c r="V1289" s="66"/>
      <c r="W1289" s="66"/>
      <c r="X1289" s="93"/>
      <c r="Y1289" s="94"/>
      <c r="Z1289" s="91" t="str">
        <f t="shared" si="433"/>
        <v>100%</v>
      </c>
      <c r="AA1289" s="67"/>
      <c r="AB1289" s="473"/>
      <c r="AC1289" s="478" t="s">
        <v>2711</v>
      </c>
      <c r="AD1289" s="67"/>
    </row>
    <row r="1290" spans="2:54">
      <c r="B1290" s="64" t="s">
        <v>107</v>
      </c>
      <c r="C1290" s="65" t="s">
        <v>666</v>
      </c>
      <c r="D1290" s="66">
        <v>7.07</v>
      </c>
      <c r="E1290" s="67">
        <v>46118</v>
      </c>
      <c r="F1290" s="64">
        <f t="shared" ref="F1290:F1296" si="531">IF(E1290&gt;0,1,0)</f>
        <v>1</v>
      </c>
      <c r="G1290" s="67">
        <v>46121</v>
      </c>
      <c r="H1290" s="64">
        <f t="shared" ref="H1290:H1296" si="532">IF(G1290&gt;0,1,0)</f>
        <v>1</v>
      </c>
      <c r="I1290" s="67">
        <v>46122</v>
      </c>
      <c r="J1290" s="64">
        <f t="shared" ref="J1290:J1296" si="533">IF(I1290&gt;0,0,1)</f>
        <v>0</v>
      </c>
      <c r="K1290" s="67">
        <v>46120</v>
      </c>
      <c r="L1290" s="64">
        <f t="shared" ref="L1290:L1296" si="534">IF(K1290&gt;0,0,1)</f>
        <v>0</v>
      </c>
      <c r="M1290" s="64">
        <f t="shared" ref="M1290:M1296" si="535">IF(AND(J1290&gt;0,L1290&gt;0),1,0)</f>
        <v>0</v>
      </c>
      <c r="N1290" s="67">
        <f t="shared" ref="N1290:N1296" si="536">IF(AND(I1290&gt;0,K1290&gt;0),MAX(I1290:K1290)+1,"")</f>
        <v>46123</v>
      </c>
      <c r="O1290" s="64">
        <f t="shared" ref="O1290:O1296" si="537">IF(N1290&gt;0,1,0)</f>
        <v>1</v>
      </c>
      <c r="P1290" s="64">
        <f t="shared" ref="P1290:P1296" si="538">IF(O1290&gt;0,0,1)</f>
        <v>0</v>
      </c>
      <c r="Q1290" s="91" t="s">
        <v>2551</v>
      </c>
      <c r="R1290" s="64">
        <f t="shared" ref="R1290:R1296" si="539">IF(Q1290="proses",1,0)</f>
        <v>0</v>
      </c>
      <c r="S1290" s="67">
        <v>46122</v>
      </c>
      <c r="T1290" s="67">
        <v>46149</v>
      </c>
      <c r="U1290" s="64"/>
      <c r="V1290" s="66"/>
      <c r="W1290" s="66"/>
      <c r="X1290" s="93"/>
      <c r="Y1290" s="94"/>
      <c r="Z1290" s="91" t="str">
        <f t="shared" ref="Z1290:Z1353" si="540">IF(T1290="","","100%")</f>
        <v>100%</v>
      </c>
      <c r="AA1290" s="67"/>
      <c r="AB1290" s="473"/>
      <c r="AC1290" s="478" t="s">
        <v>2711</v>
      </c>
      <c r="AD1290" s="67"/>
    </row>
    <row r="1291" spans="2:54">
      <c r="B1291" s="64" t="s">
        <v>105</v>
      </c>
      <c r="C1291" s="65" t="s">
        <v>343</v>
      </c>
      <c r="D1291" s="66">
        <v>7.93</v>
      </c>
      <c r="E1291" s="67">
        <v>46092</v>
      </c>
      <c r="F1291" s="64">
        <f t="shared" si="531"/>
        <v>1</v>
      </c>
      <c r="G1291" s="67">
        <v>46110</v>
      </c>
      <c r="H1291" s="64">
        <f t="shared" si="532"/>
        <v>1</v>
      </c>
      <c r="I1291" s="67">
        <f>+E1291+7</f>
        <v>46099</v>
      </c>
      <c r="J1291" s="64">
        <f t="shared" si="533"/>
        <v>0</v>
      </c>
      <c r="K1291" s="67">
        <v>46094</v>
      </c>
      <c r="L1291" s="64">
        <f t="shared" si="534"/>
        <v>0</v>
      </c>
      <c r="M1291" s="64">
        <f t="shared" si="535"/>
        <v>0</v>
      </c>
      <c r="N1291" s="67">
        <f t="shared" si="536"/>
        <v>46100</v>
      </c>
      <c r="O1291" s="64">
        <f t="shared" si="537"/>
        <v>1</v>
      </c>
      <c r="P1291" s="64">
        <f t="shared" si="538"/>
        <v>0</v>
      </c>
      <c r="Q1291" s="91" t="s">
        <v>2551</v>
      </c>
      <c r="R1291" s="64">
        <f t="shared" si="539"/>
        <v>0</v>
      </c>
      <c r="S1291" s="67">
        <v>46110</v>
      </c>
      <c r="T1291" s="67">
        <v>46146</v>
      </c>
      <c r="U1291" s="64">
        <f t="shared" ref="U1291:U1296" si="541">IF(T1291&gt;0,1,0)</f>
        <v>1</v>
      </c>
      <c r="V1291" s="66"/>
      <c r="W1291" s="66"/>
      <c r="X1291" s="93"/>
      <c r="Y1291" s="94"/>
      <c r="Z1291" s="91" t="str">
        <f t="shared" si="540"/>
        <v>100%</v>
      </c>
      <c r="AA1291" s="67"/>
      <c r="AB1291" s="473"/>
      <c r="AC1291" s="478" t="s">
        <v>2711</v>
      </c>
      <c r="AD1291" s="67"/>
    </row>
    <row r="1292" spans="2:54">
      <c r="B1292" s="64" t="s">
        <v>109</v>
      </c>
      <c r="C1292" s="65" t="s">
        <v>2421</v>
      </c>
      <c r="D1292" s="66">
        <v>8.3699999999999992</v>
      </c>
      <c r="E1292" s="67">
        <v>46085</v>
      </c>
      <c r="F1292" s="64">
        <f t="shared" si="531"/>
        <v>1</v>
      </c>
      <c r="G1292" s="67">
        <v>46088</v>
      </c>
      <c r="H1292" s="64">
        <f t="shared" si="532"/>
        <v>1</v>
      </c>
      <c r="I1292" s="67">
        <f>+G1292+15</f>
        <v>46103</v>
      </c>
      <c r="J1292" s="64">
        <f t="shared" si="533"/>
        <v>0</v>
      </c>
      <c r="K1292" s="67">
        <v>46114</v>
      </c>
      <c r="L1292" s="64">
        <f t="shared" si="534"/>
        <v>0</v>
      </c>
      <c r="M1292" s="64">
        <f t="shared" si="535"/>
        <v>0</v>
      </c>
      <c r="N1292" s="67">
        <f t="shared" si="536"/>
        <v>46115</v>
      </c>
      <c r="O1292" s="64">
        <f t="shared" si="537"/>
        <v>1</v>
      </c>
      <c r="P1292" s="64">
        <f t="shared" si="538"/>
        <v>0</v>
      </c>
      <c r="Q1292" s="91" t="s">
        <v>2551</v>
      </c>
      <c r="R1292" s="64">
        <f t="shared" si="539"/>
        <v>0</v>
      </c>
      <c r="S1292" s="67">
        <v>46115</v>
      </c>
      <c r="T1292" s="67">
        <v>46162</v>
      </c>
      <c r="U1292" s="64">
        <f t="shared" si="541"/>
        <v>1</v>
      </c>
      <c r="V1292" s="66"/>
      <c r="W1292" s="66"/>
      <c r="X1292" s="93"/>
      <c r="Y1292" s="94"/>
      <c r="Z1292" s="91" t="str">
        <f t="shared" si="540"/>
        <v>100%</v>
      </c>
      <c r="AA1292" s="67"/>
      <c r="AB1292" s="473"/>
      <c r="AC1292" s="478" t="s">
        <v>2711</v>
      </c>
      <c r="AD1292" s="67"/>
    </row>
    <row r="1293" spans="2:54">
      <c r="B1293" s="64" t="s">
        <v>116</v>
      </c>
      <c r="C1293" s="65" t="s">
        <v>26</v>
      </c>
      <c r="D1293" s="66">
        <v>9.89</v>
      </c>
      <c r="E1293" s="67">
        <v>46122</v>
      </c>
      <c r="F1293" s="64">
        <f t="shared" si="531"/>
        <v>1</v>
      </c>
      <c r="G1293" s="67">
        <v>46126</v>
      </c>
      <c r="H1293" s="64">
        <f t="shared" si="532"/>
        <v>1</v>
      </c>
      <c r="I1293" s="67">
        <v>46126</v>
      </c>
      <c r="J1293" s="64">
        <f t="shared" si="533"/>
        <v>0</v>
      </c>
      <c r="K1293" s="67">
        <v>46125</v>
      </c>
      <c r="L1293" s="64">
        <f t="shared" si="534"/>
        <v>0</v>
      </c>
      <c r="M1293" s="64">
        <f t="shared" si="535"/>
        <v>0</v>
      </c>
      <c r="N1293" s="67">
        <f t="shared" si="536"/>
        <v>46127</v>
      </c>
      <c r="O1293" s="64">
        <f t="shared" si="537"/>
        <v>1</v>
      </c>
      <c r="P1293" s="64">
        <f t="shared" si="538"/>
        <v>0</v>
      </c>
      <c r="Q1293" s="91" t="s">
        <v>2551</v>
      </c>
      <c r="R1293" s="64">
        <f t="shared" si="539"/>
        <v>0</v>
      </c>
      <c r="S1293" s="67">
        <v>46127</v>
      </c>
      <c r="T1293" s="67">
        <v>46154</v>
      </c>
      <c r="U1293" s="64">
        <f t="shared" si="541"/>
        <v>1</v>
      </c>
      <c r="V1293" s="66"/>
      <c r="W1293" s="66"/>
      <c r="X1293" s="93"/>
      <c r="Y1293" s="94"/>
      <c r="Z1293" s="91" t="str">
        <f t="shared" si="540"/>
        <v>100%</v>
      </c>
      <c r="AA1293" s="67"/>
      <c r="AB1293" s="473"/>
      <c r="AC1293" s="478" t="s">
        <v>2711</v>
      </c>
      <c r="AD1293" s="67"/>
    </row>
    <row r="1294" spans="2:54">
      <c r="B1294" s="64" t="s">
        <v>118</v>
      </c>
      <c r="C1294" s="65" t="s">
        <v>669</v>
      </c>
      <c r="D1294" s="66">
        <v>10.7</v>
      </c>
      <c r="E1294" s="67">
        <v>46135</v>
      </c>
      <c r="F1294" s="64">
        <f t="shared" si="531"/>
        <v>1</v>
      </c>
      <c r="G1294" s="67">
        <v>46136</v>
      </c>
      <c r="H1294" s="64">
        <f t="shared" si="532"/>
        <v>1</v>
      </c>
      <c r="I1294" s="67">
        <v>46137</v>
      </c>
      <c r="J1294" s="64">
        <f t="shared" si="533"/>
        <v>0</v>
      </c>
      <c r="K1294" s="67">
        <v>46136</v>
      </c>
      <c r="L1294" s="64">
        <f t="shared" si="534"/>
        <v>0</v>
      </c>
      <c r="M1294" s="64">
        <f t="shared" si="535"/>
        <v>0</v>
      </c>
      <c r="N1294" s="67">
        <f t="shared" si="536"/>
        <v>46138</v>
      </c>
      <c r="O1294" s="64">
        <f t="shared" si="537"/>
        <v>1</v>
      </c>
      <c r="P1294" s="64">
        <f t="shared" si="538"/>
        <v>0</v>
      </c>
      <c r="Q1294" s="91" t="s">
        <v>2551</v>
      </c>
      <c r="R1294" s="64">
        <f t="shared" si="539"/>
        <v>0</v>
      </c>
      <c r="S1294" s="67">
        <v>46137</v>
      </c>
      <c r="T1294" s="67">
        <v>46163</v>
      </c>
      <c r="U1294" s="64">
        <f t="shared" si="541"/>
        <v>1</v>
      </c>
      <c r="V1294" s="66"/>
      <c r="W1294" s="66"/>
      <c r="X1294" s="93"/>
      <c r="Y1294" s="94"/>
      <c r="Z1294" s="91" t="str">
        <f t="shared" si="540"/>
        <v>100%</v>
      </c>
      <c r="AA1294" s="67"/>
      <c r="AB1294" s="473"/>
      <c r="AC1294" s="478" t="s">
        <v>2711</v>
      </c>
      <c r="AD1294" s="67"/>
    </row>
    <row r="1295" spans="2:54">
      <c r="B1295" s="64" t="s">
        <v>118</v>
      </c>
      <c r="C1295" s="65" t="s">
        <v>2610</v>
      </c>
      <c r="D1295" s="66">
        <v>5.49</v>
      </c>
      <c r="E1295" s="67">
        <v>46135</v>
      </c>
      <c r="F1295" s="64">
        <f t="shared" si="531"/>
        <v>1</v>
      </c>
      <c r="G1295" s="67">
        <v>46136</v>
      </c>
      <c r="H1295" s="64">
        <f t="shared" si="532"/>
        <v>1</v>
      </c>
      <c r="I1295" s="67">
        <v>46137</v>
      </c>
      <c r="J1295" s="64">
        <f t="shared" si="533"/>
        <v>0</v>
      </c>
      <c r="K1295" s="67">
        <v>46136</v>
      </c>
      <c r="L1295" s="64">
        <f t="shared" si="534"/>
        <v>0</v>
      </c>
      <c r="M1295" s="64">
        <f t="shared" si="535"/>
        <v>0</v>
      </c>
      <c r="N1295" s="67">
        <f t="shared" si="536"/>
        <v>46138</v>
      </c>
      <c r="O1295" s="64">
        <f t="shared" si="537"/>
        <v>1</v>
      </c>
      <c r="P1295" s="64">
        <f t="shared" si="538"/>
        <v>0</v>
      </c>
      <c r="Q1295" s="91" t="s">
        <v>2551</v>
      </c>
      <c r="R1295" s="64">
        <f t="shared" si="539"/>
        <v>0</v>
      </c>
      <c r="S1295" s="67">
        <v>46137</v>
      </c>
      <c r="T1295" s="67">
        <v>46154</v>
      </c>
      <c r="U1295" s="64">
        <f t="shared" si="541"/>
        <v>1</v>
      </c>
      <c r="V1295" s="66"/>
      <c r="W1295" s="66"/>
      <c r="X1295" s="93"/>
      <c r="Y1295" s="94"/>
      <c r="Z1295" s="91" t="str">
        <f t="shared" si="540"/>
        <v>100%</v>
      </c>
      <c r="AA1295" s="67"/>
      <c r="AB1295" s="473"/>
      <c r="AC1295" s="478" t="s">
        <v>2711</v>
      </c>
      <c r="AD1295" s="67"/>
    </row>
    <row r="1296" spans="2:54">
      <c r="B1296" s="64" t="s">
        <v>105</v>
      </c>
      <c r="C1296" s="65" t="s">
        <v>694</v>
      </c>
      <c r="D1296" s="66">
        <v>8.65</v>
      </c>
      <c r="E1296" s="67">
        <v>46086</v>
      </c>
      <c r="F1296" s="64">
        <f t="shared" si="531"/>
        <v>1</v>
      </c>
      <c r="G1296" s="67">
        <v>46118</v>
      </c>
      <c r="H1296" s="64">
        <f t="shared" si="532"/>
        <v>1</v>
      </c>
      <c r="I1296" s="67">
        <v>46119</v>
      </c>
      <c r="J1296" s="64">
        <f t="shared" si="533"/>
        <v>0</v>
      </c>
      <c r="K1296" s="67">
        <v>46094</v>
      </c>
      <c r="L1296" s="64">
        <f t="shared" si="534"/>
        <v>0</v>
      </c>
      <c r="M1296" s="64">
        <f t="shared" si="535"/>
        <v>0</v>
      </c>
      <c r="N1296" s="67">
        <f t="shared" si="536"/>
        <v>46120</v>
      </c>
      <c r="O1296" s="64">
        <f t="shared" si="537"/>
        <v>1</v>
      </c>
      <c r="P1296" s="64">
        <f t="shared" si="538"/>
        <v>0</v>
      </c>
      <c r="Q1296" s="91" t="s">
        <v>2551</v>
      </c>
      <c r="R1296" s="64">
        <f t="shared" si="539"/>
        <v>0</v>
      </c>
      <c r="S1296" s="67">
        <v>46120</v>
      </c>
      <c r="T1296" s="67">
        <v>46171</v>
      </c>
      <c r="U1296" s="64">
        <f t="shared" si="541"/>
        <v>1</v>
      </c>
      <c r="V1296" s="66"/>
      <c r="W1296" s="66"/>
      <c r="X1296" s="93"/>
      <c r="Y1296" s="94"/>
      <c r="Z1296" s="91" t="str">
        <f t="shared" si="540"/>
        <v>100%</v>
      </c>
      <c r="AA1296" s="67"/>
      <c r="AB1296" s="473"/>
      <c r="AC1296" s="478" t="s">
        <v>2711</v>
      </c>
      <c r="AD1296" s="67"/>
    </row>
    <row r="1297" spans="2:30">
      <c r="B1297" s="64" t="s">
        <v>113</v>
      </c>
      <c r="C1297" s="65" t="s">
        <v>674</v>
      </c>
      <c r="D1297" s="66">
        <v>6.96</v>
      </c>
      <c r="E1297" s="67">
        <v>46135</v>
      </c>
      <c r="F1297" s="64">
        <f t="shared" ref="F1297:F1313" si="542">IF(E1297&gt;0,1,0)</f>
        <v>1</v>
      </c>
      <c r="G1297" s="67">
        <v>46137</v>
      </c>
      <c r="H1297" s="64">
        <f t="shared" ref="H1297:H1313" si="543">IF(G1297&gt;0,1,0)</f>
        <v>1</v>
      </c>
      <c r="I1297" s="67">
        <v>46138</v>
      </c>
      <c r="J1297" s="64">
        <f t="shared" ref="J1297:J1320" si="544">IF(I1297&gt;0,0,1)</f>
        <v>0</v>
      </c>
      <c r="K1297" s="67">
        <v>46137</v>
      </c>
      <c r="L1297" s="64">
        <f t="shared" ref="L1297:L1320" si="545">IF(K1297&gt;0,0,1)</f>
        <v>0</v>
      </c>
      <c r="M1297" s="64">
        <f t="shared" ref="M1297:M1320" si="546">IF(AND(J1297&gt;0,L1297&gt;0),1,0)</f>
        <v>0</v>
      </c>
      <c r="N1297" s="67">
        <f t="shared" ref="N1297:N1320" si="547">IF(AND(I1297&gt;0,K1297&gt;0),MAX(I1297:K1297)+1,"")</f>
        <v>46139</v>
      </c>
      <c r="O1297" s="64">
        <f t="shared" ref="O1297:O1320" si="548">IF(N1297&gt;0,1,0)</f>
        <v>1</v>
      </c>
      <c r="P1297" s="64">
        <f t="shared" ref="P1297:P1320" si="549">IF(O1297&gt;0,0,1)</f>
        <v>0</v>
      </c>
      <c r="Q1297" s="91" t="str">
        <f t="shared" ref="Q1297:Q1320" si="550">IF(T1297&gt;0,"Selesai","Proses")</f>
        <v>Selesai</v>
      </c>
      <c r="R1297" s="64">
        <f t="shared" ref="R1297:R1320" si="551">IF(Q1297="proses",1,0)</f>
        <v>0</v>
      </c>
      <c r="S1297" s="67">
        <v>46138</v>
      </c>
      <c r="T1297" s="67">
        <v>46178</v>
      </c>
      <c r="U1297" s="64" t="e">
        <f>IF(#REF!&gt;0,1,0)</f>
        <v>#REF!</v>
      </c>
      <c r="V1297" s="66"/>
      <c r="W1297" s="66"/>
      <c r="X1297" s="93"/>
      <c r="Y1297" s="94"/>
      <c r="Z1297" s="91" t="str">
        <f t="shared" si="540"/>
        <v>100%</v>
      </c>
      <c r="AA1297" s="67"/>
      <c r="AB1297" s="473"/>
      <c r="AC1297" s="478" t="s">
        <v>2711</v>
      </c>
      <c r="AD1297" s="67"/>
    </row>
    <row r="1298" spans="2:30">
      <c r="B1298" s="258" t="s">
        <v>109</v>
      </c>
      <c r="C1298" s="65" t="s">
        <v>334</v>
      </c>
      <c r="D1298" s="66">
        <v>8.5</v>
      </c>
      <c r="E1298" s="67">
        <v>46152</v>
      </c>
      <c r="F1298" s="64">
        <f t="shared" si="542"/>
        <v>1</v>
      </c>
      <c r="G1298" s="67">
        <v>46153</v>
      </c>
      <c r="H1298" s="64">
        <f t="shared" si="543"/>
        <v>1</v>
      </c>
      <c r="I1298" s="67">
        <v>46153</v>
      </c>
      <c r="J1298" s="64">
        <f t="shared" si="544"/>
        <v>0</v>
      </c>
      <c r="K1298" s="67">
        <v>46153</v>
      </c>
      <c r="L1298" s="64">
        <f t="shared" si="545"/>
        <v>0</v>
      </c>
      <c r="M1298" s="64">
        <f t="shared" si="546"/>
        <v>0</v>
      </c>
      <c r="N1298" s="67">
        <f t="shared" si="547"/>
        <v>46154</v>
      </c>
      <c r="O1298" s="64">
        <f t="shared" si="548"/>
        <v>1</v>
      </c>
      <c r="P1298" s="64">
        <f t="shared" si="549"/>
        <v>0</v>
      </c>
      <c r="Q1298" s="91" t="str">
        <f t="shared" si="550"/>
        <v>Selesai</v>
      </c>
      <c r="R1298" s="64">
        <f t="shared" si="551"/>
        <v>0</v>
      </c>
      <c r="S1298" s="67">
        <v>46154</v>
      </c>
      <c r="T1298" s="67">
        <v>46178</v>
      </c>
      <c r="U1298" s="64" t="e">
        <f>IF(#REF!&gt;0,1,0)</f>
        <v>#REF!</v>
      </c>
      <c r="V1298" s="66"/>
      <c r="W1298" s="66"/>
      <c r="X1298" s="93"/>
      <c r="Y1298" s="94"/>
      <c r="Z1298" s="91" t="str">
        <f t="shared" si="540"/>
        <v>100%</v>
      </c>
      <c r="AA1298" s="67"/>
      <c r="AB1298" s="473"/>
      <c r="AC1298" s="478" t="s">
        <v>2711</v>
      </c>
      <c r="AD1298" s="67"/>
    </row>
    <row r="1299" spans="2:30">
      <c r="B1299" s="64" t="s">
        <v>113</v>
      </c>
      <c r="C1299" s="65" t="s">
        <v>271</v>
      </c>
      <c r="D1299" s="66">
        <v>2.02</v>
      </c>
      <c r="E1299" s="67">
        <v>46155</v>
      </c>
      <c r="F1299" s="64">
        <f t="shared" si="542"/>
        <v>1</v>
      </c>
      <c r="G1299" s="67">
        <v>46157</v>
      </c>
      <c r="H1299" s="64">
        <f t="shared" si="543"/>
        <v>1</v>
      </c>
      <c r="I1299" s="67">
        <v>46167</v>
      </c>
      <c r="J1299" s="64">
        <f t="shared" si="544"/>
        <v>0</v>
      </c>
      <c r="K1299" s="67">
        <v>46161</v>
      </c>
      <c r="L1299" s="64">
        <f t="shared" si="545"/>
        <v>0</v>
      </c>
      <c r="M1299" s="64">
        <f t="shared" si="546"/>
        <v>0</v>
      </c>
      <c r="N1299" s="67">
        <f t="shared" si="547"/>
        <v>46168</v>
      </c>
      <c r="O1299" s="64">
        <f t="shared" si="548"/>
        <v>1</v>
      </c>
      <c r="P1299" s="64">
        <f t="shared" si="549"/>
        <v>0</v>
      </c>
      <c r="Q1299" s="91" t="str">
        <f t="shared" si="550"/>
        <v>Selesai</v>
      </c>
      <c r="R1299" s="64">
        <f t="shared" si="551"/>
        <v>0</v>
      </c>
      <c r="S1299" s="67">
        <v>46164</v>
      </c>
      <c r="T1299" s="67">
        <v>46180</v>
      </c>
      <c r="U1299" s="64" t="e">
        <f>IF(#REF!&gt;0,1,0)</f>
        <v>#REF!</v>
      </c>
      <c r="V1299" s="66"/>
      <c r="W1299" s="66"/>
      <c r="X1299" s="93"/>
      <c r="Y1299" s="94"/>
      <c r="Z1299" s="91" t="str">
        <f t="shared" si="540"/>
        <v>100%</v>
      </c>
      <c r="AA1299" s="67"/>
      <c r="AB1299" s="473"/>
      <c r="AC1299" s="478" t="s">
        <v>2711</v>
      </c>
      <c r="AD1299" s="67"/>
    </row>
    <row r="1300" spans="2:30">
      <c r="B1300" s="64" t="s">
        <v>113</v>
      </c>
      <c r="C1300" s="65" t="s">
        <v>424</v>
      </c>
      <c r="D1300" s="66">
        <v>8.11</v>
      </c>
      <c r="E1300" s="67">
        <v>46140</v>
      </c>
      <c r="F1300" s="64">
        <f t="shared" si="542"/>
        <v>1</v>
      </c>
      <c r="G1300" s="67">
        <v>46142</v>
      </c>
      <c r="H1300" s="64">
        <f t="shared" si="543"/>
        <v>1</v>
      </c>
      <c r="I1300" s="67">
        <v>46145</v>
      </c>
      <c r="J1300" s="64">
        <f t="shared" si="544"/>
        <v>0</v>
      </c>
      <c r="K1300" s="67">
        <v>46142</v>
      </c>
      <c r="L1300" s="64">
        <f t="shared" si="545"/>
        <v>0</v>
      </c>
      <c r="M1300" s="64">
        <f t="shared" si="546"/>
        <v>0</v>
      </c>
      <c r="N1300" s="67">
        <f t="shared" si="547"/>
        <v>46146</v>
      </c>
      <c r="O1300" s="64">
        <f t="shared" si="548"/>
        <v>1</v>
      </c>
      <c r="P1300" s="64">
        <f t="shared" si="549"/>
        <v>0</v>
      </c>
      <c r="Q1300" s="91" t="str">
        <f t="shared" si="550"/>
        <v>Selesai</v>
      </c>
      <c r="R1300" s="64">
        <f t="shared" si="551"/>
        <v>0</v>
      </c>
      <c r="S1300" s="67">
        <v>46146</v>
      </c>
      <c r="T1300" s="67">
        <v>46180</v>
      </c>
      <c r="U1300" s="64" t="e">
        <f>IF(#REF!&gt;0,1,0)</f>
        <v>#REF!</v>
      </c>
      <c r="V1300" s="66"/>
      <c r="W1300" s="66"/>
      <c r="X1300" s="93"/>
      <c r="Y1300" s="94"/>
      <c r="Z1300" s="91" t="str">
        <f t="shared" si="540"/>
        <v>100%</v>
      </c>
      <c r="AA1300" s="67"/>
      <c r="AB1300" s="473"/>
      <c r="AC1300" s="478" t="s">
        <v>2711</v>
      </c>
      <c r="AD1300" s="67"/>
    </row>
    <row r="1301" spans="2:30">
      <c r="B1301" s="64" t="s">
        <v>118</v>
      </c>
      <c r="C1301" s="65" t="s">
        <v>208</v>
      </c>
      <c r="D1301" s="66">
        <v>11.51</v>
      </c>
      <c r="E1301" s="67">
        <v>46139</v>
      </c>
      <c r="F1301" s="64">
        <f t="shared" si="542"/>
        <v>1</v>
      </c>
      <c r="G1301" s="67">
        <v>46141</v>
      </c>
      <c r="H1301" s="64">
        <f t="shared" si="543"/>
        <v>1</v>
      </c>
      <c r="I1301" s="67">
        <f>+G1301</f>
        <v>46141</v>
      </c>
      <c r="J1301" s="64">
        <f t="shared" si="544"/>
        <v>0</v>
      </c>
      <c r="K1301" s="67">
        <v>46141</v>
      </c>
      <c r="L1301" s="64">
        <f t="shared" si="545"/>
        <v>0</v>
      </c>
      <c r="M1301" s="64">
        <f t="shared" si="546"/>
        <v>0</v>
      </c>
      <c r="N1301" s="67">
        <f t="shared" si="547"/>
        <v>46142</v>
      </c>
      <c r="O1301" s="64">
        <f t="shared" si="548"/>
        <v>1</v>
      </c>
      <c r="P1301" s="64">
        <f t="shared" si="549"/>
        <v>0</v>
      </c>
      <c r="Q1301" s="91" t="str">
        <f t="shared" si="550"/>
        <v>Selesai</v>
      </c>
      <c r="R1301" s="64">
        <f t="shared" si="551"/>
        <v>0</v>
      </c>
      <c r="S1301" s="67">
        <v>46142</v>
      </c>
      <c r="T1301" s="67">
        <v>46182</v>
      </c>
      <c r="U1301" s="64" t="e">
        <f>IF(#REF!&gt;0,1,0)</f>
        <v>#REF!</v>
      </c>
      <c r="V1301" s="66"/>
      <c r="W1301" s="66"/>
      <c r="X1301" s="93"/>
      <c r="Y1301" s="94"/>
      <c r="Z1301" s="91" t="str">
        <f t="shared" si="540"/>
        <v>100%</v>
      </c>
      <c r="AA1301" s="67"/>
      <c r="AB1301" s="473"/>
      <c r="AC1301" s="478" t="s">
        <v>2711</v>
      </c>
      <c r="AD1301" s="67"/>
    </row>
    <row r="1302" spans="2:30">
      <c r="B1302" s="262" t="s">
        <v>118</v>
      </c>
      <c r="C1302" s="263" t="s">
        <v>169</v>
      </c>
      <c r="D1302" s="264">
        <v>9.69</v>
      </c>
      <c r="E1302" s="265">
        <v>46148</v>
      </c>
      <c r="F1302" s="262">
        <f t="shared" si="542"/>
        <v>1</v>
      </c>
      <c r="G1302" s="265">
        <v>46150</v>
      </c>
      <c r="H1302" s="262">
        <f t="shared" si="543"/>
        <v>1</v>
      </c>
      <c r="I1302" s="265">
        <f>+G1302</f>
        <v>46150</v>
      </c>
      <c r="J1302" s="262">
        <f t="shared" si="544"/>
        <v>0</v>
      </c>
      <c r="K1302" s="265">
        <v>46150</v>
      </c>
      <c r="L1302" s="262">
        <f t="shared" si="545"/>
        <v>0</v>
      </c>
      <c r="M1302" s="262">
        <f t="shared" si="546"/>
        <v>0</v>
      </c>
      <c r="N1302" s="265">
        <f t="shared" si="547"/>
        <v>46151</v>
      </c>
      <c r="O1302" s="262">
        <f t="shared" si="548"/>
        <v>1</v>
      </c>
      <c r="P1302" s="262">
        <f t="shared" si="549"/>
        <v>0</v>
      </c>
      <c r="Q1302" s="266" t="str">
        <f t="shared" si="550"/>
        <v>Selesai</v>
      </c>
      <c r="R1302" s="262">
        <f t="shared" si="551"/>
        <v>0</v>
      </c>
      <c r="S1302" s="265">
        <v>46151</v>
      </c>
      <c r="T1302" s="265">
        <v>46198</v>
      </c>
      <c r="U1302" s="64" t="e">
        <f>IF(#REF!&gt;0,1,0)</f>
        <v>#REF!</v>
      </c>
      <c r="V1302" s="66"/>
      <c r="W1302" s="66"/>
      <c r="X1302" s="93"/>
      <c r="Y1302" s="94"/>
      <c r="Z1302" s="91" t="str">
        <f t="shared" si="540"/>
        <v>100%</v>
      </c>
      <c r="AA1302" s="265"/>
      <c r="AB1302" s="475"/>
      <c r="AC1302" s="478" t="s">
        <v>2711</v>
      </c>
      <c r="AD1302" s="265"/>
    </row>
    <row r="1303" spans="2:30">
      <c r="B1303" s="64" t="s">
        <v>118</v>
      </c>
      <c r="C1303" s="65" t="s">
        <v>2614</v>
      </c>
      <c r="D1303" s="66">
        <v>3.83</v>
      </c>
      <c r="E1303" s="67">
        <v>46148</v>
      </c>
      <c r="F1303" s="64">
        <f t="shared" si="542"/>
        <v>1</v>
      </c>
      <c r="G1303" s="67">
        <v>46150</v>
      </c>
      <c r="H1303" s="64">
        <f t="shared" si="543"/>
        <v>1</v>
      </c>
      <c r="I1303" s="67">
        <f>+G1303</f>
        <v>46150</v>
      </c>
      <c r="J1303" s="64">
        <f t="shared" si="544"/>
        <v>0</v>
      </c>
      <c r="K1303" s="67">
        <v>46149</v>
      </c>
      <c r="L1303" s="64">
        <f t="shared" si="545"/>
        <v>0</v>
      </c>
      <c r="M1303" s="64">
        <f t="shared" si="546"/>
        <v>0</v>
      </c>
      <c r="N1303" s="67">
        <f t="shared" si="547"/>
        <v>46151</v>
      </c>
      <c r="O1303" s="64">
        <f t="shared" si="548"/>
        <v>1</v>
      </c>
      <c r="P1303" s="64">
        <f t="shared" si="549"/>
        <v>0</v>
      </c>
      <c r="Q1303" s="91" t="str">
        <f t="shared" si="550"/>
        <v>Selesai</v>
      </c>
      <c r="R1303" s="64">
        <f t="shared" si="551"/>
        <v>0</v>
      </c>
      <c r="S1303" s="67">
        <v>46151</v>
      </c>
      <c r="T1303" s="67">
        <v>46188</v>
      </c>
      <c r="U1303" s="64"/>
      <c r="V1303" s="66"/>
      <c r="W1303" s="66"/>
      <c r="X1303" s="93"/>
      <c r="Y1303" s="94"/>
      <c r="Z1303" s="91" t="str">
        <f t="shared" si="540"/>
        <v>100%</v>
      </c>
      <c r="AA1303" s="67"/>
      <c r="AB1303" s="473"/>
      <c r="AC1303" s="478" t="s">
        <v>2711</v>
      </c>
      <c r="AD1303" s="67"/>
    </row>
    <row r="1304" spans="2:30">
      <c r="B1304" s="64" t="s">
        <v>111</v>
      </c>
      <c r="C1304" s="65" t="s">
        <v>2612</v>
      </c>
      <c r="D1304" s="66">
        <v>5.7</v>
      </c>
      <c r="E1304" s="67">
        <v>46138</v>
      </c>
      <c r="F1304" s="64">
        <f t="shared" si="542"/>
        <v>1</v>
      </c>
      <c r="G1304" s="67">
        <v>46139</v>
      </c>
      <c r="H1304" s="64">
        <f t="shared" si="543"/>
        <v>1</v>
      </c>
      <c r="I1304" s="67">
        <f>+G1304</f>
        <v>46139</v>
      </c>
      <c r="J1304" s="64">
        <f t="shared" si="544"/>
        <v>0</v>
      </c>
      <c r="K1304" s="67">
        <v>46139</v>
      </c>
      <c r="L1304" s="64">
        <f t="shared" si="545"/>
        <v>0</v>
      </c>
      <c r="M1304" s="64">
        <f t="shared" si="546"/>
        <v>0</v>
      </c>
      <c r="N1304" s="67">
        <f t="shared" si="547"/>
        <v>46140</v>
      </c>
      <c r="O1304" s="64">
        <f t="shared" si="548"/>
        <v>1</v>
      </c>
      <c r="P1304" s="64">
        <f t="shared" si="549"/>
        <v>0</v>
      </c>
      <c r="Q1304" s="91" t="str">
        <f t="shared" si="550"/>
        <v>Selesai</v>
      </c>
      <c r="R1304" s="64">
        <f t="shared" si="551"/>
        <v>0</v>
      </c>
      <c r="S1304" s="67">
        <v>46141</v>
      </c>
      <c r="T1304" s="67">
        <v>46195</v>
      </c>
      <c r="U1304" s="64"/>
      <c r="V1304" s="66"/>
      <c r="W1304" s="66"/>
      <c r="X1304" s="93"/>
      <c r="Y1304" s="94"/>
      <c r="Z1304" s="91" t="str">
        <f t="shared" si="540"/>
        <v>100%</v>
      </c>
      <c r="AA1304" s="67"/>
      <c r="AB1304" s="473"/>
      <c r="AC1304" s="478" t="s">
        <v>2711</v>
      </c>
      <c r="AD1304" s="67"/>
    </row>
    <row r="1305" spans="2:30">
      <c r="B1305" s="64" t="s">
        <v>111</v>
      </c>
      <c r="C1305" s="65" t="s">
        <v>2611</v>
      </c>
      <c r="D1305" s="66">
        <v>7.53</v>
      </c>
      <c r="E1305" s="67">
        <v>46138</v>
      </c>
      <c r="F1305" s="64">
        <f t="shared" si="542"/>
        <v>1</v>
      </c>
      <c r="G1305" s="67">
        <v>46139</v>
      </c>
      <c r="H1305" s="64">
        <f t="shared" si="543"/>
        <v>1</v>
      </c>
      <c r="I1305" s="67">
        <v>46140</v>
      </c>
      <c r="J1305" s="64">
        <f t="shared" si="544"/>
        <v>0</v>
      </c>
      <c r="K1305" s="67">
        <v>46139</v>
      </c>
      <c r="L1305" s="64">
        <f t="shared" si="545"/>
        <v>0</v>
      </c>
      <c r="M1305" s="64">
        <f t="shared" si="546"/>
        <v>0</v>
      </c>
      <c r="N1305" s="67">
        <f t="shared" si="547"/>
        <v>46141</v>
      </c>
      <c r="O1305" s="64">
        <f t="shared" si="548"/>
        <v>1</v>
      </c>
      <c r="P1305" s="64">
        <f t="shared" si="549"/>
        <v>0</v>
      </c>
      <c r="Q1305" s="91" t="str">
        <f t="shared" si="550"/>
        <v>Selesai</v>
      </c>
      <c r="R1305" s="64">
        <f t="shared" si="551"/>
        <v>0</v>
      </c>
      <c r="S1305" s="67">
        <v>46140</v>
      </c>
      <c r="T1305" s="67">
        <v>46195</v>
      </c>
      <c r="U1305" s="64"/>
      <c r="V1305" s="66"/>
      <c r="W1305" s="66"/>
      <c r="X1305" s="93"/>
      <c r="Y1305" s="94"/>
      <c r="Z1305" s="91" t="str">
        <f t="shared" si="540"/>
        <v>100%</v>
      </c>
      <c r="AA1305" s="67"/>
      <c r="AB1305" s="473"/>
      <c r="AC1305" s="478" t="s">
        <v>2711</v>
      </c>
      <c r="AD1305" s="67"/>
    </row>
    <row r="1306" spans="2:30">
      <c r="B1306" s="64" t="s">
        <v>118</v>
      </c>
      <c r="C1306" s="65" t="s">
        <v>641</v>
      </c>
      <c r="D1306" s="66">
        <v>6.56</v>
      </c>
      <c r="E1306" s="67">
        <v>46167</v>
      </c>
      <c r="F1306" s="64">
        <f t="shared" si="542"/>
        <v>1</v>
      </c>
      <c r="G1306" s="67">
        <v>46168</v>
      </c>
      <c r="H1306" s="64">
        <f t="shared" si="543"/>
        <v>1</v>
      </c>
      <c r="I1306" s="67">
        <v>46183</v>
      </c>
      <c r="J1306" s="64">
        <f t="shared" si="544"/>
        <v>0</v>
      </c>
      <c r="K1306" s="67">
        <v>46170</v>
      </c>
      <c r="L1306" s="64">
        <f t="shared" si="545"/>
        <v>0</v>
      </c>
      <c r="M1306" s="64">
        <f t="shared" si="546"/>
        <v>0</v>
      </c>
      <c r="N1306" s="67">
        <f t="shared" si="547"/>
        <v>46184</v>
      </c>
      <c r="O1306" s="64">
        <f t="shared" si="548"/>
        <v>1</v>
      </c>
      <c r="P1306" s="64">
        <f t="shared" si="549"/>
        <v>0</v>
      </c>
      <c r="Q1306" s="91" t="str">
        <f t="shared" si="550"/>
        <v>Selesai</v>
      </c>
      <c r="R1306" s="64">
        <f t="shared" si="551"/>
        <v>0</v>
      </c>
      <c r="S1306" s="67">
        <v>46171</v>
      </c>
      <c r="T1306" s="67">
        <v>46198</v>
      </c>
      <c r="U1306" s="64"/>
      <c r="V1306" s="66"/>
      <c r="W1306" s="66"/>
      <c r="X1306" s="93"/>
      <c r="Y1306" s="94"/>
      <c r="Z1306" s="91" t="str">
        <f t="shared" si="540"/>
        <v>100%</v>
      </c>
      <c r="AA1306" s="67"/>
      <c r="AB1306" s="473"/>
      <c r="AC1306" s="478" t="s">
        <v>2711</v>
      </c>
      <c r="AD1306" s="67"/>
    </row>
    <row r="1307" spans="2:30">
      <c r="B1307" s="320" t="s">
        <v>107</v>
      </c>
      <c r="C1307" s="321" t="s">
        <v>676</v>
      </c>
      <c r="D1307" s="322">
        <v>4.05</v>
      </c>
      <c r="E1307" s="323">
        <v>46144</v>
      </c>
      <c r="F1307" s="320">
        <f t="shared" si="542"/>
        <v>1</v>
      </c>
      <c r="G1307" s="323">
        <v>46147</v>
      </c>
      <c r="H1307" s="320">
        <f t="shared" si="543"/>
        <v>1</v>
      </c>
      <c r="I1307" s="323">
        <f>+G1307</f>
        <v>46147</v>
      </c>
      <c r="J1307" s="320">
        <f t="shared" si="544"/>
        <v>0</v>
      </c>
      <c r="K1307" s="323">
        <v>46147</v>
      </c>
      <c r="L1307" s="320">
        <f t="shared" si="545"/>
        <v>0</v>
      </c>
      <c r="M1307" s="320">
        <f t="shared" si="546"/>
        <v>0</v>
      </c>
      <c r="N1307" s="323">
        <f t="shared" si="547"/>
        <v>46148</v>
      </c>
      <c r="O1307" s="320">
        <f t="shared" si="548"/>
        <v>1</v>
      </c>
      <c r="P1307" s="320">
        <f t="shared" si="549"/>
        <v>0</v>
      </c>
      <c r="Q1307" s="324" t="str">
        <f t="shared" si="550"/>
        <v>Selesai</v>
      </c>
      <c r="R1307" s="320">
        <f t="shared" si="551"/>
        <v>0</v>
      </c>
      <c r="S1307" s="323">
        <v>46148</v>
      </c>
      <c r="T1307" s="323">
        <v>46199</v>
      </c>
      <c r="U1307" s="64"/>
      <c r="V1307" s="66"/>
      <c r="W1307" s="66"/>
      <c r="X1307" s="93"/>
      <c r="Y1307" s="94"/>
      <c r="Z1307" s="91" t="str">
        <f t="shared" si="540"/>
        <v>100%</v>
      </c>
      <c r="AA1307" s="323"/>
      <c r="AB1307" s="476"/>
      <c r="AC1307" s="478" t="s">
        <v>2711</v>
      </c>
      <c r="AD1307" s="323"/>
    </row>
    <row r="1308" spans="2:30">
      <c r="B1308" s="64" t="s">
        <v>109</v>
      </c>
      <c r="C1308" s="65" t="s">
        <v>2608</v>
      </c>
      <c r="D1308" s="66">
        <v>1.44</v>
      </c>
      <c r="E1308" s="67">
        <v>46132</v>
      </c>
      <c r="F1308" s="64">
        <f t="shared" si="542"/>
        <v>1</v>
      </c>
      <c r="G1308" s="67">
        <v>46133</v>
      </c>
      <c r="H1308" s="64">
        <f t="shared" si="543"/>
        <v>1</v>
      </c>
      <c r="I1308" s="67">
        <v>46136</v>
      </c>
      <c r="J1308" s="64">
        <f t="shared" si="544"/>
        <v>0</v>
      </c>
      <c r="K1308" s="67">
        <v>46133</v>
      </c>
      <c r="L1308" s="64">
        <f t="shared" si="545"/>
        <v>0</v>
      </c>
      <c r="M1308" s="64">
        <f t="shared" si="546"/>
        <v>0</v>
      </c>
      <c r="N1308" s="67">
        <f t="shared" si="547"/>
        <v>46137</v>
      </c>
      <c r="O1308" s="64">
        <f t="shared" si="548"/>
        <v>1</v>
      </c>
      <c r="P1308" s="64">
        <f t="shared" si="549"/>
        <v>0</v>
      </c>
      <c r="Q1308" s="91" t="str">
        <f t="shared" si="550"/>
        <v>Selesai</v>
      </c>
      <c r="R1308" s="64">
        <f t="shared" si="551"/>
        <v>0</v>
      </c>
      <c r="S1308" s="67">
        <v>46134</v>
      </c>
      <c r="T1308" s="67">
        <v>46199</v>
      </c>
      <c r="U1308" s="64"/>
      <c r="V1308" s="66"/>
      <c r="W1308" s="66"/>
      <c r="X1308" s="93"/>
      <c r="Y1308" s="94"/>
      <c r="Z1308" s="91" t="str">
        <f t="shared" si="540"/>
        <v>100%</v>
      </c>
      <c r="AA1308" s="67"/>
      <c r="AB1308" s="473"/>
      <c r="AC1308" s="478" t="s">
        <v>2711</v>
      </c>
      <c r="AD1308" s="67"/>
    </row>
    <row r="1309" spans="2:30">
      <c r="B1309" s="262" t="s">
        <v>109</v>
      </c>
      <c r="C1309" s="263" t="s">
        <v>2609</v>
      </c>
      <c r="D1309" s="264">
        <v>3.41</v>
      </c>
      <c r="E1309" s="265">
        <v>46132</v>
      </c>
      <c r="F1309" s="262">
        <f t="shared" si="542"/>
        <v>1</v>
      </c>
      <c r="G1309" s="265">
        <v>46133</v>
      </c>
      <c r="H1309" s="262">
        <f t="shared" si="543"/>
        <v>1</v>
      </c>
      <c r="I1309" s="265">
        <f>+G1309+3</f>
        <v>46136</v>
      </c>
      <c r="J1309" s="262">
        <f t="shared" si="544"/>
        <v>0</v>
      </c>
      <c r="K1309" s="265">
        <v>46133</v>
      </c>
      <c r="L1309" s="262">
        <f t="shared" si="545"/>
        <v>0</v>
      </c>
      <c r="M1309" s="262">
        <f t="shared" si="546"/>
        <v>0</v>
      </c>
      <c r="N1309" s="265">
        <f t="shared" si="547"/>
        <v>46137</v>
      </c>
      <c r="O1309" s="262">
        <f t="shared" si="548"/>
        <v>1</v>
      </c>
      <c r="P1309" s="262">
        <f t="shared" si="549"/>
        <v>0</v>
      </c>
      <c r="Q1309" s="266" t="str">
        <f t="shared" si="550"/>
        <v>Selesai</v>
      </c>
      <c r="R1309" s="262">
        <f t="shared" si="551"/>
        <v>0</v>
      </c>
      <c r="S1309" s="265">
        <v>46134</v>
      </c>
      <c r="T1309" s="265">
        <v>46199</v>
      </c>
      <c r="U1309" s="64"/>
      <c r="V1309" s="66"/>
      <c r="W1309" s="66"/>
      <c r="X1309" s="93"/>
      <c r="Y1309" s="94"/>
      <c r="Z1309" s="91" t="str">
        <f t="shared" si="540"/>
        <v>100%</v>
      </c>
      <c r="AA1309" s="265"/>
      <c r="AB1309" s="475"/>
      <c r="AC1309" s="478" t="s">
        <v>2711</v>
      </c>
      <c r="AD1309" s="265"/>
    </row>
    <row r="1310" spans="2:30">
      <c r="B1310" s="64" t="s">
        <v>105</v>
      </c>
      <c r="C1310" s="65" t="s">
        <v>663</v>
      </c>
      <c r="D1310" s="66">
        <v>7.95</v>
      </c>
      <c r="E1310" s="67">
        <v>46081</v>
      </c>
      <c r="F1310" s="64">
        <f t="shared" si="542"/>
        <v>1</v>
      </c>
      <c r="G1310" s="67">
        <v>46082</v>
      </c>
      <c r="H1310" s="64">
        <f t="shared" si="543"/>
        <v>1</v>
      </c>
      <c r="I1310" s="67">
        <v>46086</v>
      </c>
      <c r="J1310" s="64">
        <f t="shared" si="544"/>
        <v>0</v>
      </c>
      <c r="K1310" s="67">
        <v>46082</v>
      </c>
      <c r="L1310" s="64">
        <f t="shared" si="545"/>
        <v>0</v>
      </c>
      <c r="M1310" s="64">
        <f t="shared" si="546"/>
        <v>0</v>
      </c>
      <c r="N1310" s="67">
        <f t="shared" si="547"/>
        <v>46087</v>
      </c>
      <c r="O1310" s="64">
        <f t="shared" si="548"/>
        <v>1</v>
      </c>
      <c r="P1310" s="64">
        <f t="shared" si="549"/>
        <v>0</v>
      </c>
      <c r="Q1310" s="91" t="str">
        <f t="shared" si="550"/>
        <v>Selesai</v>
      </c>
      <c r="R1310" s="64">
        <f t="shared" si="551"/>
        <v>0</v>
      </c>
      <c r="S1310" s="67">
        <v>46088</v>
      </c>
      <c r="T1310" s="67">
        <v>46202</v>
      </c>
      <c r="U1310" s="64"/>
      <c r="V1310" s="66"/>
      <c r="W1310" s="66"/>
      <c r="X1310" s="93"/>
      <c r="Y1310" s="94"/>
      <c r="Z1310" s="91" t="str">
        <f t="shared" si="540"/>
        <v>100%</v>
      </c>
      <c r="AA1310" s="67"/>
      <c r="AB1310" s="473"/>
      <c r="AC1310" s="478" t="s">
        <v>2711</v>
      </c>
      <c r="AD1310" s="67"/>
    </row>
    <row r="1311" spans="2:30">
      <c r="B1311" s="64" t="s">
        <v>107</v>
      </c>
      <c r="C1311" s="65" t="s">
        <v>658</v>
      </c>
      <c r="D1311" s="66">
        <v>7.77</v>
      </c>
      <c r="E1311" s="67">
        <v>46157</v>
      </c>
      <c r="F1311" s="64">
        <f t="shared" si="542"/>
        <v>1</v>
      </c>
      <c r="G1311" s="67">
        <v>46158</v>
      </c>
      <c r="H1311" s="64">
        <f t="shared" si="543"/>
        <v>1</v>
      </c>
      <c r="I1311" s="67">
        <v>46183</v>
      </c>
      <c r="J1311" s="64">
        <f t="shared" si="544"/>
        <v>0</v>
      </c>
      <c r="K1311" s="67">
        <v>46160</v>
      </c>
      <c r="L1311" s="64">
        <f t="shared" si="545"/>
        <v>0</v>
      </c>
      <c r="M1311" s="64">
        <f t="shared" si="546"/>
        <v>0</v>
      </c>
      <c r="N1311" s="67">
        <f t="shared" si="547"/>
        <v>46184</v>
      </c>
      <c r="O1311" s="64">
        <f t="shared" si="548"/>
        <v>1</v>
      </c>
      <c r="P1311" s="64">
        <f t="shared" si="549"/>
        <v>0</v>
      </c>
      <c r="Q1311" s="91" t="str">
        <f t="shared" si="550"/>
        <v>Selesai</v>
      </c>
      <c r="R1311" s="64">
        <f>IF(Q1311="proses",1,0)</f>
        <v>0</v>
      </c>
      <c r="S1311" s="67">
        <v>46162</v>
      </c>
      <c r="T1311" s="67">
        <v>46203</v>
      </c>
      <c r="U1311" s="64"/>
      <c r="V1311" s="66"/>
      <c r="W1311" s="66"/>
      <c r="X1311" s="93"/>
      <c r="Y1311" s="94"/>
      <c r="Z1311" s="91" t="str">
        <f t="shared" si="540"/>
        <v>100%</v>
      </c>
      <c r="AA1311" s="67"/>
      <c r="AB1311" s="473"/>
      <c r="AC1311" s="478" t="s">
        <v>2711</v>
      </c>
      <c r="AD1311" s="67"/>
    </row>
    <row r="1312" spans="2:30">
      <c r="B1312" s="64" t="s">
        <v>107</v>
      </c>
      <c r="C1312" s="65" t="s">
        <v>652</v>
      </c>
      <c r="D1312" s="66">
        <v>5.24</v>
      </c>
      <c r="E1312" s="67">
        <v>46157</v>
      </c>
      <c r="F1312" s="64">
        <f t="shared" si="542"/>
        <v>1</v>
      </c>
      <c r="G1312" s="67">
        <v>46158</v>
      </c>
      <c r="H1312" s="64">
        <f t="shared" si="543"/>
        <v>1</v>
      </c>
      <c r="I1312" s="67">
        <v>46183</v>
      </c>
      <c r="J1312" s="64">
        <f t="shared" si="544"/>
        <v>0</v>
      </c>
      <c r="K1312" s="67">
        <v>46160</v>
      </c>
      <c r="L1312" s="64">
        <f t="shared" si="545"/>
        <v>0</v>
      </c>
      <c r="M1312" s="64">
        <f t="shared" si="546"/>
        <v>0</v>
      </c>
      <c r="N1312" s="67">
        <f t="shared" si="547"/>
        <v>46184</v>
      </c>
      <c r="O1312" s="64">
        <f t="shared" si="548"/>
        <v>1</v>
      </c>
      <c r="P1312" s="64">
        <f t="shared" si="549"/>
        <v>0</v>
      </c>
      <c r="Q1312" s="91" t="str">
        <f t="shared" si="550"/>
        <v>Selesai</v>
      </c>
      <c r="R1312" s="64">
        <f t="shared" si="551"/>
        <v>0</v>
      </c>
      <c r="S1312" s="67">
        <v>46164</v>
      </c>
      <c r="T1312" s="67">
        <v>46203</v>
      </c>
      <c r="U1312" s="64"/>
      <c r="V1312" s="66"/>
      <c r="W1312" s="66"/>
      <c r="X1312" s="93"/>
      <c r="Y1312" s="94"/>
      <c r="Z1312" s="91" t="str">
        <f t="shared" si="540"/>
        <v>100%</v>
      </c>
      <c r="AA1312" s="67"/>
      <c r="AB1312" s="473"/>
      <c r="AC1312" s="478" t="s">
        <v>2711</v>
      </c>
      <c r="AD1312" s="67"/>
    </row>
    <row r="1313" spans="2:30">
      <c r="B1313" s="64" t="s">
        <v>113</v>
      </c>
      <c r="C1313" s="65" t="s">
        <v>348</v>
      </c>
      <c r="D1313" s="66">
        <v>7.42</v>
      </c>
      <c r="E1313" s="67">
        <v>46148</v>
      </c>
      <c r="F1313" s="64">
        <f t="shared" si="542"/>
        <v>1</v>
      </c>
      <c r="G1313" s="67">
        <v>46150</v>
      </c>
      <c r="H1313" s="64">
        <f t="shared" si="543"/>
        <v>1</v>
      </c>
      <c r="I1313" s="67">
        <f>+E1313</f>
        <v>46148</v>
      </c>
      <c r="J1313" s="64">
        <f t="shared" si="544"/>
        <v>0</v>
      </c>
      <c r="K1313" s="67">
        <v>46149</v>
      </c>
      <c r="L1313" s="64">
        <f t="shared" si="545"/>
        <v>0</v>
      </c>
      <c r="M1313" s="64">
        <f t="shared" si="546"/>
        <v>0</v>
      </c>
      <c r="N1313" s="67">
        <f t="shared" si="547"/>
        <v>46150</v>
      </c>
      <c r="O1313" s="64">
        <f t="shared" si="548"/>
        <v>1</v>
      </c>
      <c r="P1313" s="64">
        <f t="shared" si="549"/>
        <v>0</v>
      </c>
      <c r="Q1313" s="91" t="str">
        <f t="shared" si="550"/>
        <v>Selesai</v>
      </c>
      <c r="R1313" s="64">
        <f t="shared" si="551"/>
        <v>0</v>
      </c>
      <c r="S1313" s="67">
        <v>46151</v>
      </c>
      <c r="T1313" s="67">
        <v>46203</v>
      </c>
      <c r="U1313" s="64"/>
      <c r="V1313" s="66"/>
      <c r="W1313" s="66"/>
      <c r="X1313" s="93"/>
      <c r="Y1313" s="94"/>
      <c r="Z1313" s="91" t="str">
        <f t="shared" si="540"/>
        <v>100%</v>
      </c>
      <c r="AA1313" s="67"/>
      <c r="AB1313" s="473"/>
      <c r="AC1313" s="478" t="s">
        <v>2711</v>
      </c>
      <c r="AD1313" s="67"/>
    </row>
    <row r="1314" spans="2:30">
      <c r="B1314" s="64" t="s">
        <v>109</v>
      </c>
      <c r="C1314" s="65" t="s">
        <v>2648</v>
      </c>
      <c r="D1314" s="66">
        <v>0.31</v>
      </c>
      <c r="E1314" s="67">
        <v>46153</v>
      </c>
      <c r="F1314" s="64"/>
      <c r="G1314" s="67">
        <v>46185</v>
      </c>
      <c r="H1314" s="67"/>
      <c r="I1314" s="67">
        <f>+G1314</f>
        <v>46185</v>
      </c>
      <c r="J1314" s="64">
        <f t="shared" si="544"/>
        <v>0</v>
      </c>
      <c r="K1314" s="319">
        <v>46197</v>
      </c>
      <c r="L1314" s="64">
        <f t="shared" si="545"/>
        <v>0</v>
      </c>
      <c r="M1314" s="64">
        <f t="shared" si="546"/>
        <v>0</v>
      </c>
      <c r="N1314" s="67">
        <f t="shared" si="547"/>
        <v>46198</v>
      </c>
      <c r="O1314" s="64">
        <f t="shared" si="548"/>
        <v>1</v>
      </c>
      <c r="P1314" s="64">
        <f t="shared" si="549"/>
        <v>0</v>
      </c>
      <c r="Q1314" s="91" t="str">
        <f t="shared" si="550"/>
        <v>Selesai</v>
      </c>
      <c r="R1314" s="64">
        <f t="shared" si="551"/>
        <v>0</v>
      </c>
      <c r="S1314" s="67">
        <v>46198</v>
      </c>
      <c r="T1314" s="67">
        <v>46203</v>
      </c>
      <c r="U1314" s="64"/>
      <c r="V1314" s="66"/>
      <c r="W1314" s="66"/>
      <c r="X1314" s="93"/>
      <c r="Y1314" s="94"/>
      <c r="Z1314" s="91" t="str">
        <f t="shared" si="540"/>
        <v>100%</v>
      </c>
      <c r="AA1314" s="67"/>
      <c r="AB1314" s="473"/>
      <c r="AC1314" s="478" t="s">
        <v>2711</v>
      </c>
      <c r="AD1314" s="67"/>
    </row>
    <row r="1315" spans="2:30">
      <c r="B1315" s="64" t="s">
        <v>109</v>
      </c>
      <c r="C1315" s="65" t="s">
        <v>702</v>
      </c>
      <c r="D1315" s="66">
        <v>4.8899999999999997</v>
      </c>
      <c r="E1315" s="67">
        <v>46177</v>
      </c>
      <c r="F1315" s="64">
        <f t="shared" ref="F1315:F1320" si="552">IF(E1315&gt;0,1,0)</f>
        <v>1</v>
      </c>
      <c r="G1315" s="67">
        <v>46180</v>
      </c>
      <c r="H1315" s="64">
        <f t="shared" ref="H1315:H1320" si="553">IF(G1315&gt;0,1,0)</f>
        <v>1</v>
      </c>
      <c r="I1315" s="67">
        <f>+G1315</f>
        <v>46180</v>
      </c>
      <c r="J1315" s="64">
        <f t="shared" si="544"/>
        <v>0</v>
      </c>
      <c r="K1315" s="67">
        <v>46179</v>
      </c>
      <c r="L1315" s="64">
        <f t="shared" si="545"/>
        <v>0</v>
      </c>
      <c r="M1315" s="64">
        <f t="shared" si="546"/>
        <v>0</v>
      </c>
      <c r="N1315" s="67">
        <f t="shared" si="547"/>
        <v>46181</v>
      </c>
      <c r="O1315" s="64">
        <f t="shared" si="548"/>
        <v>1</v>
      </c>
      <c r="P1315" s="64">
        <f t="shared" si="549"/>
        <v>0</v>
      </c>
      <c r="Q1315" s="91" t="str">
        <f t="shared" si="550"/>
        <v>Selesai</v>
      </c>
      <c r="R1315" s="64">
        <f t="shared" si="551"/>
        <v>0</v>
      </c>
      <c r="S1315" s="67">
        <v>46180</v>
      </c>
      <c r="T1315" s="67">
        <v>46203</v>
      </c>
      <c r="U1315" s="64"/>
      <c r="V1315" s="66"/>
      <c r="W1315" s="66"/>
      <c r="X1315" s="93"/>
      <c r="Y1315" s="94"/>
      <c r="Z1315" s="91" t="str">
        <f t="shared" si="540"/>
        <v>100%</v>
      </c>
      <c r="AA1315" s="67"/>
      <c r="AB1315" s="473"/>
      <c r="AC1315" s="478" t="s">
        <v>2711</v>
      </c>
      <c r="AD1315" s="67"/>
    </row>
    <row r="1316" spans="2:30">
      <c r="B1316" s="64" t="s">
        <v>109</v>
      </c>
      <c r="C1316" s="65" t="s">
        <v>2621</v>
      </c>
      <c r="D1316" s="66">
        <v>2</v>
      </c>
      <c r="E1316" s="67">
        <v>46168</v>
      </c>
      <c r="F1316" s="64">
        <f t="shared" si="552"/>
        <v>1</v>
      </c>
      <c r="G1316" s="67">
        <v>46172</v>
      </c>
      <c r="H1316" s="64">
        <f t="shared" si="553"/>
        <v>1</v>
      </c>
      <c r="I1316" s="67">
        <v>46172</v>
      </c>
      <c r="J1316" s="64">
        <f t="shared" si="544"/>
        <v>0</v>
      </c>
      <c r="K1316" s="67">
        <v>46172</v>
      </c>
      <c r="L1316" s="64">
        <f t="shared" si="545"/>
        <v>0</v>
      </c>
      <c r="M1316" s="64">
        <f t="shared" si="546"/>
        <v>0</v>
      </c>
      <c r="N1316" s="67">
        <f t="shared" si="547"/>
        <v>46173</v>
      </c>
      <c r="O1316" s="64">
        <f t="shared" si="548"/>
        <v>1</v>
      </c>
      <c r="P1316" s="64">
        <f t="shared" si="549"/>
        <v>0</v>
      </c>
      <c r="Q1316" s="91" t="str">
        <f t="shared" si="550"/>
        <v>Selesai</v>
      </c>
      <c r="R1316" s="64">
        <f t="shared" si="551"/>
        <v>0</v>
      </c>
      <c r="S1316" s="67">
        <v>46175</v>
      </c>
      <c r="T1316" s="67">
        <v>46203</v>
      </c>
      <c r="U1316" s="64"/>
      <c r="V1316" s="66"/>
      <c r="W1316" s="66"/>
      <c r="X1316" s="93"/>
      <c r="Y1316" s="94"/>
      <c r="Z1316" s="91" t="str">
        <f t="shared" si="540"/>
        <v>100%</v>
      </c>
      <c r="AA1316" s="67"/>
      <c r="AB1316" s="473"/>
      <c r="AC1316" s="478" t="s">
        <v>2711</v>
      </c>
      <c r="AD1316" s="67"/>
    </row>
    <row r="1317" spans="2:30">
      <c r="B1317" s="64" t="s">
        <v>105</v>
      </c>
      <c r="C1317" s="65" t="s">
        <v>237</v>
      </c>
      <c r="D1317" s="66">
        <v>9.42</v>
      </c>
      <c r="E1317" s="67">
        <v>46152</v>
      </c>
      <c r="F1317" s="64">
        <f t="shared" si="552"/>
        <v>1</v>
      </c>
      <c r="G1317" s="67">
        <v>46156</v>
      </c>
      <c r="H1317" s="64">
        <f t="shared" si="553"/>
        <v>1</v>
      </c>
      <c r="I1317" s="67">
        <f>+G1317</f>
        <v>46156</v>
      </c>
      <c r="J1317" s="64">
        <f t="shared" si="544"/>
        <v>0</v>
      </c>
      <c r="K1317" s="67">
        <v>46158</v>
      </c>
      <c r="L1317" s="64">
        <f t="shared" si="545"/>
        <v>0</v>
      </c>
      <c r="M1317" s="64">
        <f t="shared" si="546"/>
        <v>0</v>
      </c>
      <c r="N1317" s="67">
        <f t="shared" si="547"/>
        <v>46159</v>
      </c>
      <c r="O1317" s="64">
        <f t="shared" si="548"/>
        <v>1</v>
      </c>
      <c r="P1317" s="64">
        <f t="shared" si="549"/>
        <v>0</v>
      </c>
      <c r="Q1317" s="91" t="str">
        <f t="shared" si="550"/>
        <v>Selesai</v>
      </c>
      <c r="R1317" s="64">
        <f t="shared" si="551"/>
        <v>0</v>
      </c>
      <c r="S1317" s="67">
        <v>46158</v>
      </c>
      <c r="T1317" s="67">
        <v>46203</v>
      </c>
      <c r="U1317" s="64"/>
      <c r="V1317" s="66"/>
      <c r="W1317" s="66"/>
      <c r="X1317" s="93"/>
      <c r="Y1317" s="94"/>
      <c r="Z1317" s="91" t="str">
        <f t="shared" si="540"/>
        <v>100%</v>
      </c>
      <c r="AA1317" s="67"/>
      <c r="AB1317" s="473"/>
      <c r="AC1317" s="478" t="s">
        <v>2711</v>
      </c>
      <c r="AD1317" s="67"/>
    </row>
    <row r="1318" spans="2:30">
      <c r="B1318" s="64" t="s">
        <v>105</v>
      </c>
      <c r="C1318" s="65" t="s">
        <v>691</v>
      </c>
      <c r="D1318" s="66">
        <v>7.27</v>
      </c>
      <c r="E1318" s="67">
        <v>46155</v>
      </c>
      <c r="F1318" s="64">
        <f t="shared" si="552"/>
        <v>1</v>
      </c>
      <c r="G1318" s="67">
        <v>46156</v>
      </c>
      <c r="H1318" s="64">
        <f t="shared" si="553"/>
        <v>1</v>
      </c>
      <c r="I1318" s="67">
        <f>+G1318</f>
        <v>46156</v>
      </c>
      <c r="J1318" s="64">
        <f t="shared" si="544"/>
        <v>0</v>
      </c>
      <c r="K1318" s="67">
        <v>46156</v>
      </c>
      <c r="L1318" s="64">
        <f t="shared" si="545"/>
        <v>0</v>
      </c>
      <c r="M1318" s="64">
        <f t="shared" si="546"/>
        <v>0</v>
      </c>
      <c r="N1318" s="67">
        <f t="shared" si="547"/>
        <v>46157</v>
      </c>
      <c r="O1318" s="64">
        <f t="shared" si="548"/>
        <v>1</v>
      </c>
      <c r="P1318" s="64">
        <f t="shared" si="549"/>
        <v>0</v>
      </c>
      <c r="Q1318" s="91" t="str">
        <f t="shared" si="550"/>
        <v>Selesai</v>
      </c>
      <c r="R1318" s="64">
        <f t="shared" si="551"/>
        <v>0</v>
      </c>
      <c r="S1318" s="67">
        <v>46156</v>
      </c>
      <c r="T1318" s="67">
        <v>46203</v>
      </c>
      <c r="U1318" s="64"/>
      <c r="V1318" s="66"/>
      <c r="W1318" s="66"/>
      <c r="X1318" s="93"/>
      <c r="Y1318" s="94"/>
      <c r="Z1318" s="91" t="str">
        <f t="shared" si="540"/>
        <v>100%</v>
      </c>
      <c r="AA1318" s="67"/>
      <c r="AB1318" s="473"/>
      <c r="AC1318" s="478" t="s">
        <v>2711</v>
      </c>
      <c r="AD1318" s="67"/>
    </row>
    <row r="1319" spans="2:30">
      <c r="B1319" s="64" t="s">
        <v>105</v>
      </c>
      <c r="C1319" s="65" t="s">
        <v>682</v>
      </c>
      <c r="D1319" s="66">
        <v>6.45</v>
      </c>
      <c r="E1319" s="67">
        <v>46171</v>
      </c>
      <c r="F1319" s="64">
        <f t="shared" si="552"/>
        <v>1</v>
      </c>
      <c r="G1319" s="67">
        <v>46172</v>
      </c>
      <c r="H1319" s="64">
        <f t="shared" si="553"/>
        <v>1</v>
      </c>
      <c r="I1319" s="67">
        <v>46171</v>
      </c>
      <c r="J1319" s="64">
        <f t="shared" si="544"/>
        <v>0</v>
      </c>
      <c r="K1319" s="67">
        <v>46172</v>
      </c>
      <c r="L1319" s="64">
        <f t="shared" si="545"/>
        <v>0</v>
      </c>
      <c r="M1319" s="64">
        <f t="shared" si="546"/>
        <v>0</v>
      </c>
      <c r="N1319" s="67">
        <f t="shared" si="547"/>
        <v>46173</v>
      </c>
      <c r="O1319" s="64">
        <f t="shared" si="548"/>
        <v>1</v>
      </c>
      <c r="P1319" s="64">
        <f t="shared" si="549"/>
        <v>0</v>
      </c>
      <c r="Q1319" s="91" t="str">
        <f t="shared" si="550"/>
        <v>Selesai</v>
      </c>
      <c r="R1319" s="64">
        <f t="shared" si="551"/>
        <v>0</v>
      </c>
      <c r="S1319" s="67">
        <v>46173</v>
      </c>
      <c r="T1319" s="67">
        <v>46203</v>
      </c>
      <c r="U1319" s="64"/>
      <c r="V1319" s="66"/>
      <c r="W1319" s="66"/>
      <c r="X1319" s="93"/>
      <c r="Y1319" s="94"/>
      <c r="Z1319" s="91" t="str">
        <f t="shared" si="540"/>
        <v>100%</v>
      </c>
      <c r="AA1319" s="67"/>
      <c r="AB1319" s="473"/>
      <c r="AC1319" s="478" t="s">
        <v>2711</v>
      </c>
      <c r="AD1319" s="67"/>
    </row>
    <row r="1320" spans="2:30">
      <c r="B1320" s="64" t="s">
        <v>111</v>
      </c>
      <c r="C1320" s="65" t="s">
        <v>163</v>
      </c>
      <c r="D1320" s="66">
        <v>9.94</v>
      </c>
      <c r="E1320" s="67">
        <v>46138</v>
      </c>
      <c r="F1320" s="64">
        <f t="shared" si="552"/>
        <v>1</v>
      </c>
      <c r="G1320" s="67">
        <v>46141</v>
      </c>
      <c r="H1320" s="64">
        <f t="shared" si="553"/>
        <v>1</v>
      </c>
      <c r="I1320" s="67">
        <f>+G1320</f>
        <v>46141</v>
      </c>
      <c r="J1320" s="64">
        <f t="shared" si="544"/>
        <v>0</v>
      </c>
      <c r="K1320" s="67">
        <v>46141</v>
      </c>
      <c r="L1320" s="64">
        <f t="shared" si="545"/>
        <v>0</v>
      </c>
      <c r="M1320" s="64">
        <f t="shared" si="546"/>
        <v>0</v>
      </c>
      <c r="N1320" s="67">
        <f t="shared" si="547"/>
        <v>46142</v>
      </c>
      <c r="O1320" s="64">
        <f t="shared" si="548"/>
        <v>1</v>
      </c>
      <c r="P1320" s="64">
        <f t="shared" si="549"/>
        <v>0</v>
      </c>
      <c r="Q1320" s="91" t="str">
        <f t="shared" si="550"/>
        <v>Selesai</v>
      </c>
      <c r="R1320" s="64">
        <f t="shared" si="551"/>
        <v>0</v>
      </c>
      <c r="S1320" s="67">
        <v>46142</v>
      </c>
      <c r="T1320" s="67">
        <v>46203</v>
      </c>
      <c r="U1320" s="64"/>
      <c r="V1320" s="66"/>
      <c r="W1320" s="66"/>
      <c r="X1320" s="93"/>
      <c r="Y1320" s="94"/>
      <c r="Z1320" s="91" t="str">
        <f t="shared" si="540"/>
        <v>100%</v>
      </c>
      <c r="AA1320" s="67"/>
      <c r="AB1320" s="473"/>
      <c r="AC1320" s="478" t="s">
        <v>2711</v>
      </c>
      <c r="AD1320" s="67"/>
    </row>
    <row r="1321" spans="2:30">
      <c r="B1321" s="64" t="s">
        <v>107</v>
      </c>
      <c r="C1321" s="65" t="s">
        <v>681</v>
      </c>
      <c r="D1321" s="66">
        <v>6.53</v>
      </c>
      <c r="E1321" s="67">
        <v>46202</v>
      </c>
      <c r="F1321" s="64"/>
      <c r="G1321" s="67">
        <v>46214</v>
      </c>
      <c r="H1321" s="64"/>
      <c r="I1321" s="67">
        <v>46214</v>
      </c>
      <c r="J1321" s="64">
        <v>0</v>
      </c>
      <c r="K1321" s="67">
        <v>46205</v>
      </c>
      <c r="L1321" s="64">
        <v>0</v>
      </c>
      <c r="M1321" s="64">
        <v>0</v>
      </c>
      <c r="N1321" s="67">
        <v>46215</v>
      </c>
      <c r="O1321" s="64">
        <v>1</v>
      </c>
      <c r="P1321" s="64">
        <v>0</v>
      </c>
      <c r="Q1321" s="91" t="s">
        <v>2551</v>
      </c>
      <c r="R1321" s="64">
        <v>0</v>
      </c>
      <c r="S1321" s="67">
        <v>46215</v>
      </c>
      <c r="T1321" s="67">
        <v>46225</v>
      </c>
      <c r="U1321" s="64"/>
      <c r="V1321" s="66"/>
      <c r="W1321" s="66"/>
      <c r="X1321" s="93"/>
      <c r="Y1321" s="94"/>
      <c r="Z1321" s="91" t="str">
        <f t="shared" si="540"/>
        <v>100%</v>
      </c>
      <c r="AA1321" s="67"/>
      <c r="AB1321" s="473"/>
      <c r="AC1321" s="478" t="s">
        <v>2711</v>
      </c>
      <c r="AD1321" s="67"/>
    </row>
    <row r="1322" spans="2:30">
      <c r="B1322" s="64" t="s">
        <v>107</v>
      </c>
      <c r="C1322" s="65" t="s">
        <v>678</v>
      </c>
      <c r="D1322" s="66">
        <v>7.97</v>
      </c>
      <c r="E1322" s="67">
        <v>46144</v>
      </c>
      <c r="F1322" s="64">
        <v>1</v>
      </c>
      <c r="G1322" s="67">
        <v>46146</v>
      </c>
      <c r="H1322" s="64">
        <v>1</v>
      </c>
      <c r="I1322" s="67">
        <v>46146</v>
      </c>
      <c r="J1322" s="64">
        <v>0</v>
      </c>
      <c r="K1322" s="67">
        <v>46146</v>
      </c>
      <c r="L1322" s="64">
        <v>0</v>
      </c>
      <c r="M1322" s="64">
        <v>0</v>
      </c>
      <c r="N1322" s="67">
        <v>46147</v>
      </c>
      <c r="O1322" s="64">
        <v>1</v>
      </c>
      <c r="P1322" s="64">
        <v>0</v>
      </c>
      <c r="Q1322" s="91" t="s">
        <v>2551</v>
      </c>
      <c r="R1322" s="64">
        <v>0</v>
      </c>
      <c r="S1322" s="67">
        <v>46147</v>
      </c>
      <c r="T1322" s="67">
        <v>46220</v>
      </c>
      <c r="U1322" s="64">
        <v>1</v>
      </c>
      <c r="V1322" s="66"/>
      <c r="W1322" s="66"/>
      <c r="X1322" s="93"/>
      <c r="Y1322" s="94"/>
      <c r="Z1322" s="91" t="str">
        <f t="shared" si="540"/>
        <v>100%</v>
      </c>
      <c r="AA1322" s="67"/>
      <c r="AB1322" s="473"/>
      <c r="AC1322" s="478" t="s">
        <v>2711</v>
      </c>
      <c r="AD1322" s="67"/>
    </row>
    <row r="1323" spans="2:30">
      <c r="B1323" s="64" t="s">
        <v>113</v>
      </c>
      <c r="C1323" s="65" t="s">
        <v>685</v>
      </c>
      <c r="D1323" s="66">
        <v>6.36</v>
      </c>
      <c r="E1323" s="67">
        <v>46192</v>
      </c>
      <c r="F1323" s="64"/>
      <c r="G1323" s="67">
        <v>46197</v>
      </c>
      <c r="H1323" s="64"/>
      <c r="I1323" s="67">
        <v>46197</v>
      </c>
      <c r="J1323" s="64">
        <v>0</v>
      </c>
      <c r="K1323" s="67">
        <v>46198</v>
      </c>
      <c r="L1323" s="64"/>
      <c r="M1323" s="64">
        <v>0</v>
      </c>
      <c r="N1323" s="67">
        <v>46199</v>
      </c>
      <c r="O1323" s="64">
        <v>1</v>
      </c>
      <c r="P1323" s="64">
        <v>0</v>
      </c>
      <c r="Q1323" s="91" t="s">
        <v>2551</v>
      </c>
      <c r="R1323" s="64">
        <v>0</v>
      </c>
      <c r="S1323" s="67">
        <v>46201</v>
      </c>
      <c r="T1323" s="67">
        <v>46224</v>
      </c>
      <c r="U1323" s="64"/>
      <c r="V1323" s="66"/>
      <c r="W1323" s="66"/>
      <c r="X1323" s="93"/>
      <c r="Y1323" s="94"/>
      <c r="Z1323" s="91" t="str">
        <f t="shared" si="540"/>
        <v>100%</v>
      </c>
      <c r="AA1323" s="67"/>
      <c r="AB1323" s="473"/>
      <c r="AC1323" s="478" t="s">
        <v>2711</v>
      </c>
      <c r="AD1323" s="67"/>
    </row>
    <row r="1324" spans="2:30">
      <c r="B1324" s="64" t="s">
        <v>113</v>
      </c>
      <c r="C1324" s="65" t="s">
        <v>688</v>
      </c>
      <c r="D1324" s="66">
        <v>8.35</v>
      </c>
      <c r="E1324" s="67">
        <v>46193</v>
      </c>
      <c r="F1324" s="64"/>
      <c r="G1324" s="67">
        <v>46197</v>
      </c>
      <c r="H1324" s="64"/>
      <c r="I1324" s="67">
        <v>46197</v>
      </c>
      <c r="J1324" s="64">
        <v>0</v>
      </c>
      <c r="K1324" s="67">
        <v>46198</v>
      </c>
      <c r="L1324" s="64"/>
      <c r="M1324" s="64">
        <v>0</v>
      </c>
      <c r="N1324" s="67">
        <v>46199</v>
      </c>
      <c r="O1324" s="64">
        <v>1</v>
      </c>
      <c r="P1324" s="64">
        <v>0</v>
      </c>
      <c r="Q1324" s="91" t="s">
        <v>2551</v>
      </c>
      <c r="R1324" s="64">
        <v>0</v>
      </c>
      <c r="S1324" s="67">
        <v>46203</v>
      </c>
      <c r="T1324" s="67">
        <v>46227</v>
      </c>
      <c r="U1324" s="64"/>
      <c r="V1324" s="66"/>
      <c r="W1324" s="66"/>
      <c r="X1324" s="93"/>
      <c r="Y1324" s="94"/>
      <c r="Z1324" s="91" t="str">
        <f t="shared" si="540"/>
        <v>100%</v>
      </c>
      <c r="AA1324" s="67"/>
      <c r="AB1324" s="473"/>
      <c r="AC1324" s="478" t="s">
        <v>2711</v>
      </c>
      <c r="AD1324" s="67"/>
    </row>
    <row r="1325" spans="2:30">
      <c r="B1325" s="64" t="s">
        <v>113</v>
      </c>
      <c r="C1325" s="65" t="s">
        <v>251</v>
      </c>
      <c r="D1325" s="66">
        <v>8.25</v>
      </c>
      <c r="E1325" s="67">
        <v>46191</v>
      </c>
      <c r="F1325" s="64"/>
      <c r="G1325" s="67">
        <v>46192</v>
      </c>
      <c r="H1325" s="64"/>
      <c r="I1325" s="67">
        <v>46192</v>
      </c>
      <c r="J1325" s="64">
        <v>0</v>
      </c>
      <c r="K1325" s="67">
        <v>46191</v>
      </c>
      <c r="L1325" s="64">
        <v>0</v>
      </c>
      <c r="M1325" s="64">
        <v>0</v>
      </c>
      <c r="N1325" s="67">
        <v>46193</v>
      </c>
      <c r="O1325" s="64">
        <v>1</v>
      </c>
      <c r="P1325" s="64">
        <v>0</v>
      </c>
      <c r="Q1325" s="91" t="s">
        <v>2551</v>
      </c>
      <c r="R1325" s="64">
        <v>0</v>
      </c>
      <c r="S1325" s="67">
        <v>46193</v>
      </c>
      <c r="T1325" s="67">
        <v>46224</v>
      </c>
      <c r="U1325" s="64"/>
      <c r="V1325" s="66"/>
      <c r="W1325" s="66"/>
      <c r="X1325" s="93"/>
      <c r="Y1325" s="94"/>
      <c r="Z1325" s="91" t="str">
        <f t="shared" si="540"/>
        <v>100%</v>
      </c>
      <c r="AA1325" s="67"/>
      <c r="AB1325" s="473"/>
      <c r="AC1325" s="478" t="s">
        <v>2711</v>
      </c>
      <c r="AD1325" s="67"/>
    </row>
    <row r="1326" spans="2:30">
      <c r="B1326" s="64" t="s">
        <v>105</v>
      </c>
      <c r="C1326" s="65" t="s">
        <v>106</v>
      </c>
      <c r="D1326" s="66">
        <v>4.12</v>
      </c>
      <c r="E1326" s="67">
        <v>46191</v>
      </c>
      <c r="F1326" s="64"/>
      <c r="G1326" s="67">
        <v>46195</v>
      </c>
      <c r="H1326" s="64"/>
      <c r="I1326" s="67">
        <v>46195</v>
      </c>
      <c r="J1326" s="64">
        <v>0</v>
      </c>
      <c r="K1326" s="67">
        <v>46200</v>
      </c>
      <c r="L1326" s="64">
        <v>0</v>
      </c>
      <c r="M1326" s="64">
        <v>0</v>
      </c>
      <c r="N1326" s="67">
        <v>46201</v>
      </c>
      <c r="O1326" s="64">
        <v>1</v>
      </c>
      <c r="P1326" s="64">
        <v>0</v>
      </c>
      <c r="Q1326" s="91" t="s">
        <v>2551</v>
      </c>
      <c r="R1326" s="64">
        <v>0</v>
      </c>
      <c r="S1326" s="67">
        <v>46202</v>
      </c>
      <c r="T1326" s="67">
        <v>46226</v>
      </c>
      <c r="U1326" s="64"/>
      <c r="V1326" s="66"/>
      <c r="W1326" s="66"/>
      <c r="X1326" s="93"/>
      <c r="Y1326" s="94"/>
      <c r="Z1326" s="91" t="str">
        <f t="shared" si="540"/>
        <v>100%</v>
      </c>
      <c r="AA1326" s="67"/>
      <c r="AB1326" s="473"/>
      <c r="AC1326" s="478" t="s">
        <v>2711</v>
      </c>
      <c r="AD1326" s="67"/>
    </row>
    <row r="1327" spans="2:30">
      <c r="B1327" s="64" t="s">
        <v>105</v>
      </c>
      <c r="C1327" s="65" t="s">
        <v>670</v>
      </c>
      <c r="D1327" s="66">
        <v>5.07</v>
      </c>
      <c r="E1327" s="67">
        <v>46191</v>
      </c>
      <c r="F1327" s="64"/>
      <c r="G1327" s="67">
        <v>46192</v>
      </c>
      <c r="H1327" s="64"/>
      <c r="I1327" s="67">
        <v>46192</v>
      </c>
      <c r="J1327" s="64">
        <v>0</v>
      </c>
      <c r="K1327" s="67">
        <v>46193</v>
      </c>
      <c r="L1327" s="64">
        <v>0</v>
      </c>
      <c r="M1327" s="64">
        <v>0</v>
      </c>
      <c r="N1327" s="67">
        <v>46194</v>
      </c>
      <c r="O1327" s="64">
        <v>1</v>
      </c>
      <c r="P1327" s="64">
        <v>0</v>
      </c>
      <c r="Q1327" s="91" t="s">
        <v>2551</v>
      </c>
      <c r="R1327" s="64">
        <v>0</v>
      </c>
      <c r="S1327" s="67">
        <v>46196</v>
      </c>
      <c r="T1327" s="67">
        <v>46218</v>
      </c>
      <c r="U1327" s="64"/>
      <c r="V1327" s="66"/>
      <c r="W1327" s="66"/>
      <c r="X1327" s="93"/>
      <c r="Y1327" s="94"/>
      <c r="Z1327" s="91" t="str">
        <f t="shared" si="540"/>
        <v>100%</v>
      </c>
      <c r="AA1327" s="67"/>
      <c r="AB1327" s="473"/>
      <c r="AC1327" s="478" t="s">
        <v>2711</v>
      </c>
      <c r="AD1327" s="67"/>
    </row>
    <row r="1328" spans="2:30">
      <c r="B1328" s="64" t="s">
        <v>105</v>
      </c>
      <c r="C1328" s="65" t="s">
        <v>671</v>
      </c>
      <c r="D1328" s="66">
        <v>8.4600000000000009</v>
      </c>
      <c r="E1328" s="67">
        <v>46191</v>
      </c>
      <c r="F1328" s="64"/>
      <c r="G1328" s="67">
        <v>46192</v>
      </c>
      <c r="H1328" s="64"/>
      <c r="I1328" s="67">
        <v>46192</v>
      </c>
      <c r="J1328" s="64">
        <v>0</v>
      </c>
      <c r="K1328" s="67">
        <v>46193</v>
      </c>
      <c r="L1328" s="64">
        <v>0</v>
      </c>
      <c r="M1328" s="64">
        <v>0</v>
      </c>
      <c r="N1328" s="67">
        <v>46194</v>
      </c>
      <c r="O1328" s="64">
        <v>1</v>
      </c>
      <c r="P1328" s="64">
        <v>0</v>
      </c>
      <c r="Q1328" s="91" t="s">
        <v>2551</v>
      </c>
      <c r="R1328" s="64">
        <v>0</v>
      </c>
      <c r="S1328" s="67">
        <v>46195</v>
      </c>
      <c r="T1328" s="67">
        <v>46223</v>
      </c>
      <c r="U1328" s="64"/>
      <c r="V1328" s="66"/>
      <c r="W1328" s="66"/>
      <c r="X1328" s="93"/>
      <c r="Y1328" s="94"/>
      <c r="Z1328" s="91" t="str">
        <f t="shared" si="540"/>
        <v>100%</v>
      </c>
      <c r="AA1328" s="67"/>
      <c r="AB1328" s="473"/>
      <c r="AC1328" s="478" t="s">
        <v>2711</v>
      </c>
      <c r="AD1328" s="67"/>
    </row>
    <row r="1329" spans="2:30">
      <c r="B1329" s="64" t="s">
        <v>105</v>
      </c>
      <c r="C1329" s="65" t="s">
        <v>2663</v>
      </c>
      <c r="D1329" s="66">
        <v>7.48</v>
      </c>
      <c r="E1329" s="67">
        <v>46199</v>
      </c>
      <c r="F1329" s="64">
        <v>46199</v>
      </c>
      <c r="G1329" s="67">
        <v>46174</v>
      </c>
      <c r="H1329" s="64"/>
      <c r="I1329" s="67">
        <v>46174</v>
      </c>
      <c r="J1329" s="64">
        <v>0</v>
      </c>
      <c r="K1329" s="67">
        <v>46204</v>
      </c>
      <c r="L1329" s="64">
        <v>0</v>
      </c>
      <c r="M1329" s="64">
        <v>0</v>
      </c>
      <c r="N1329" s="67">
        <v>46205</v>
      </c>
      <c r="O1329" s="64">
        <v>1</v>
      </c>
      <c r="P1329" s="64">
        <v>0</v>
      </c>
      <c r="Q1329" s="91" t="s">
        <v>2551</v>
      </c>
      <c r="R1329" s="64">
        <v>0</v>
      </c>
      <c r="S1329" s="67">
        <v>46206</v>
      </c>
      <c r="T1329" s="67">
        <v>46228</v>
      </c>
      <c r="U1329" s="64"/>
      <c r="V1329" s="66"/>
      <c r="W1329" s="66"/>
      <c r="X1329" s="93"/>
      <c r="Y1329" s="94"/>
      <c r="Z1329" s="91" t="str">
        <f t="shared" si="540"/>
        <v>100%</v>
      </c>
      <c r="AA1329" s="67"/>
      <c r="AB1329" s="473"/>
      <c r="AC1329" s="478" t="s">
        <v>2711</v>
      </c>
      <c r="AD1329" s="67"/>
    </row>
    <row r="1330" spans="2:30">
      <c r="B1330" s="64" t="s">
        <v>109</v>
      </c>
      <c r="C1330" s="65" t="s">
        <v>689</v>
      </c>
      <c r="D1330" s="66">
        <v>7.73</v>
      </c>
      <c r="E1330" s="67">
        <v>46181</v>
      </c>
      <c r="F1330" s="64">
        <v>1</v>
      </c>
      <c r="G1330" s="67">
        <v>46183</v>
      </c>
      <c r="H1330" s="64">
        <v>46174</v>
      </c>
      <c r="I1330" s="67">
        <v>46183</v>
      </c>
      <c r="J1330" s="64">
        <v>0</v>
      </c>
      <c r="K1330" s="67">
        <v>46183</v>
      </c>
      <c r="L1330" s="64">
        <v>0</v>
      </c>
      <c r="M1330" s="64">
        <v>0</v>
      </c>
      <c r="N1330" s="67">
        <v>46184</v>
      </c>
      <c r="O1330" s="64">
        <v>1</v>
      </c>
      <c r="P1330" s="64">
        <v>0</v>
      </c>
      <c r="Q1330" s="91" t="s">
        <v>2551</v>
      </c>
      <c r="R1330" s="64">
        <v>0</v>
      </c>
      <c r="S1330" s="67">
        <v>46185</v>
      </c>
      <c r="T1330" s="67">
        <v>46213</v>
      </c>
      <c r="U1330" s="64"/>
      <c r="V1330" s="66"/>
      <c r="W1330" s="66"/>
      <c r="X1330" s="93"/>
      <c r="Y1330" s="94"/>
      <c r="Z1330" s="91" t="str">
        <f t="shared" si="540"/>
        <v>100%</v>
      </c>
      <c r="AA1330" s="67"/>
      <c r="AB1330" s="473"/>
      <c r="AC1330" s="478" t="s">
        <v>2711</v>
      </c>
      <c r="AD1330" s="67"/>
    </row>
    <row r="1331" spans="2:30">
      <c r="B1331" s="64" t="s">
        <v>109</v>
      </c>
      <c r="C1331" s="65" t="s">
        <v>320</v>
      </c>
      <c r="D1331" s="66">
        <v>9.6199999999999992</v>
      </c>
      <c r="E1331" s="67">
        <v>46184</v>
      </c>
      <c r="F1331" s="64"/>
      <c r="G1331" s="67">
        <v>46185</v>
      </c>
      <c r="H1331" s="64"/>
      <c r="I1331" s="67">
        <v>46185</v>
      </c>
      <c r="J1331" s="64">
        <v>0</v>
      </c>
      <c r="K1331" s="67">
        <v>46192</v>
      </c>
      <c r="L1331" s="64">
        <v>0</v>
      </c>
      <c r="M1331" s="64">
        <v>0</v>
      </c>
      <c r="N1331" s="67">
        <v>46193</v>
      </c>
      <c r="O1331" s="64">
        <v>1</v>
      </c>
      <c r="P1331" s="64">
        <v>0</v>
      </c>
      <c r="Q1331" s="91" t="s">
        <v>2551</v>
      </c>
      <c r="R1331" s="64">
        <v>0</v>
      </c>
      <c r="S1331" s="67">
        <v>46205</v>
      </c>
      <c r="T1331" s="67">
        <v>46234</v>
      </c>
      <c r="U1331" s="64"/>
      <c r="V1331" s="66"/>
      <c r="W1331" s="66"/>
      <c r="X1331" s="93"/>
      <c r="Y1331" s="94"/>
      <c r="Z1331" s="91" t="str">
        <f t="shared" si="540"/>
        <v>100%</v>
      </c>
      <c r="AA1331" s="67"/>
      <c r="AB1331" s="473"/>
      <c r="AC1331" s="478" t="s">
        <v>2711</v>
      </c>
      <c r="AD1331" s="67"/>
    </row>
    <row r="1332" spans="2:30">
      <c r="B1332" s="64" t="s">
        <v>109</v>
      </c>
      <c r="C1332" s="65" t="s">
        <v>2420</v>
      </c>
      <c r="D1332" s="66">
        <v>7.19</v>
      </c>
      <c r="E1332" s="67">
        <v>46168</v>
      </c>
      <c r="F1332" s="64">
        <v>1</v>
      </c>
      <c r="G1332" s="67">
        <v>46176</v>
      </c>
      <c r="H1332" s="64">
        <v>46174</v>
      </c>
      <c r="I1332" s="67">
        <v>46176</v>
      </c>
      <c r="J1332" s="64">
        <v>0</v>
      </c>
      <c r="K1332" s="67">
        <v>46176</v>
      </c>
      <c r="L1332" s="64">
        <v>0</v>
      </c>
      <c r="M1332" s="64">
        <v>0</v>
      </c>
      <c r="N1332" s="67">
        <v>46177</v>
      </c>
      <c r="O1332" s="64">
        <v>1</v>
      </c>
      <c r="P1332" s="64">
        <v>0</v>
      </c>
      <c r="Q1332" s="91" t="s">
        <v>2551</v>
      </c>
      <c r="R1332" s="64">
        <v>0</v>
      </c>
      <c r="S1332" s="67">
        <v>46177</v>
      </c>
      <c r="T1332" s="67">
        <v>46219</v>
      </c>
      <c r="U1332" s="64"/>
      <c r="V1332" s="66"/>
      <c r="W1332" s="66"/>
      <c r="X1332" s="93"/>
      <c r="Y1332" s="94"/>
      <c r="Z1332" s="91" t="str">
        <f t="shared" si="540"/>
        <v>100%</v>
      </c>
      <c r="AA1332" s="67"/>
      <c r="AB1332" s="473"/>
      <c r="AC1332" s="478" t="s">
        <v>2711</v>
      </c>
      <c r="AD1332" s="67"/>
    </row>
    <row r="1333" spans="2:30">
      <c r="B1333" s="64" t="s">
        <v>111</v>
      </c>
      <c r="C1333" s="65" t="s">
        <v>250</v>
      </c>
      <c r="D1333" s="66">
        <v>8.84</v>
      </c>
      <c r="E1333" s="67">
        <v>46171</v>
      </c>
      <c r="F1333" s="64">
        <v>1</v>
      </c>
      <c r="G1333" s="67">
        <v>46171</v>
      </c>
      <c r="H1333" s="64">
        <v>1</v>
      </c>
      <c r="I1333" s="67">
        <v>46171</v>
      </c>
      <c r="J1333" s="64">
        <v>0</v>
      </c>
      <c r="K1333" s="67">
        <v>46170</v>
      </c>
      <c r="L1333" s="64">
        <v>0</v>
      </c>
      <c r="M1333" s="64">
        <v>0</v>
      </c>
      <c r="N1333" s="67">
        <v>46172</v>
      </c>
      <c r="O1333" s="64">
        <v>1</v>
      </c>
      <c r="P1333" s="64">
        <v>0</v>
      </c>
      <c r="Q1333" s="91" t="s">
        <v>2551</v>
      </c>
      <c r="R1333" s="64">
        <v>0</v>
      </c>
      <c r="S1333" s="67">
        <v>46173</v>
      </c>
      <c r="T1333" s="67">
        <v>46226</v>
      </c>
      <c r="U1333" s="64">
        <v>1</v>
      </c>
      <c r="V1333" s="66"/>
      <c r="W1333" s="66"/>
      <c r="X1333" s="93"/>
      <c r="Y1333" s="94"/>
      <c r="Z1333" s="91" t="str">
        <f t="shared" si="540"/>
        <v>100%</v>
      </c>
      <c r="AA1333" s="67"/>
      <c r="AB1333" s="473"/>
      <c r="AC1333" s="478" t="s">
        <v>2711</v>
      </c>
      <c r="AD1333" s="67"/>
    </row>
    <row r="1334" spans="2:30">
      <c r="B1334" s="64" t="s">
        <v>116</v>
      </c>
      <c r="C1334" s="65" t="s">
        <v>623</v>
      </c>
      <c r="D1334" s="66">
        <v>4.07</v>
      </c>
      <c r="E1334" s="67">
        <v>46185</v>
      </c>
      <c r="F1334" s="64"/>
      <c r="G1334" s="67">
        <v>46187</v>
      </c>
      <c r="H1334" s="64"/>
      <c r="I1334" s="67">
        <v>46187</v>
      </c>
      <c r="J1334" s="64">
        <v>0</v>
      </c>
      <c r="K1334" s="67">
        <v>46188</v>
      </c>
      <c r="L1334" s="64">
        <v>0</v>
      </c>
      <c r="M1334" s="64">
        <v>0</v>
      </c>
      <c r="N1334" s="67">
        <v>46189</v>
      </c>
      <c r="O1334" s="64">
        <v>1</v>
      </c>
      <c r="P1334" s="64">
        <v>0</v>
      </c>
      <c r="Q1334" s="91" t="s">
        <v>2551</v>
      </c>
      <c r="R1334" s="64">
        <v>0</v>
      </c>
      <c r="S1334" s="67">
        <v>46192</v>
      </c>
      <c r="T1334" s="67">
        <v>46234</v>
      </c>
      <c r="U1334" s="64"/>
      <c r="V1334" s="66"/>
      <c r="W1334" s="66"/>
      <c r="X1334" s="93"/>
      <c r="Y1334" s="94"/>
      <c r="Z1334" s="91" t="str">
        <f t="shared" si="540"/>
        <v>100%</v>
      </c>
      <c r="AA1334" s="67"/>
      <c r="AB1334" s="473"/>
      <c r="AC1334" s="478" t="s">
        <v>2711</v>
      </c>
      <c r="AD1334" s="67"/>
    </row>
    <row r="1335" spans="2:30">
      <c r="B1335" s="64" t="s">
        <v>118</v>
      </c>
      <c r="C1335" s="65" t="s">
        <v>665</v>
      </c>
      <c r="D1335" s="66">
        <v>5.15</v>
      </c>
      <c r="E1335" s="67">
        <v>46181</v>
      </c>
      <c r="F1335" s="64">
        <v>1</v>
      </c>
      <c r="G1335" s="67">
        <v>46182</v>
      </c>
      <c r="H1335" s="64">
        <v>46174</v>
      </c>
      <c r="I1335" s="67">
        <v>46182</v>
      </c>
      <c r="J1335" s="64">
        <v>0</v>
      </c>
      <c r="K1335" s="67">
        <v>46182</v>
      </c>
      <c r="L1335" s="64">
        <v>0</v>
      </c>
      <c r="M1335" s="64">
        <v>0</v>
      </c>
      <c r="N1335" s="67">
        <v>46183</v>
      </c>
      <c r="O1335" s="64">
        <v>1</v>
      </c>
      <c r="P1335" s="64">
        <v>0</v>
      </c>
      <c r="Q1335" s="91" t="s">
        <v>2551</v>
      </c>
      <c r="R1335" s="64">
        <v>0</v>
      </c>
      <c r="S1335" s="67">
        <v>46194</v>
      </c>
      <c r="T1335" s="67">
        <v>46234</v>
      </c>
      <c r="U1335" s="64"/>
      <c r="V1335" s="66"/>
      <c r="W1335" s="66"/>
      <c r="X1335" s="93"/>
      <c r="Y1335" s="94"/>
      <c r="Z1335" s="91" t="str">
        <f t="shared" si="540"/>
        <v>100%</v>
      </c>
      <c r="AA1335" s="67"/>
      <c r="AB1335" s="473"/>
      <c r="AC1335" s="478" t="s">
        <v>2711</v>
      </c>
      <c r="AD1335" s="67"/>
    </row>
    <row r="1336" spans="2:30">
      <c r="B1336" s="64" t="s">
        <v>111</v>
      </c>
      <c r="C1336" s="65" t="s">
        <v>373</v>
      </c>
      <c r="D1336" s="66">
        <v>6.84</v>
      </c>
      <c r="E1336" s="67">
        <v>46136</v>
      </c>
      <c r="F1336" s="64">
        <v>1</v>
      </c>
      <c r="G1336" s="67">
        <v>46139</v>
      </c>
      <c r="H1336" s="64">
        <v>1</v>
      </c>
      <c r="I1336" s="67">
        <v>46140</v>
      </c>
      <c r="J1336" s="64">
        <v>0</v>
      </c>
      <c r="K1336" s="67">
        <v>46139</v>
      </c>
      <c r="L1336" s="64">
        <v>0</v>
      </c>
      <c r="M1336" s="64">
        <v>0</v>
      </c>
      <c r="N1336" s="67">
        <v>46141</v>
      </c>
      <c r="O1336" s="64">
        <v>1</v>
      </c>
      <c r="P1336" s="64">
        <v>0</v>
      </c>
      <c r="Q1336" s="91" t="s">
        <v>2551</v>
      </c>
      <c r="R1336" s="64">
        <v>0</v>
      </c>
      <c r="S1336" s="67">
        <v>46140</v>
      </c>
      <c r="T1336" s="67">
        <v>46211</v>
      </c>
      <c r="U1336" s="64">
        <v>1</v>
      </c>
      <c r="V1336" s="66"/>
      <c r="W1336" s="66"/>
      <c r="X1336" s="93"/>
      <c r="Y1336" s="94"/>
      <c r="Z1336" s="91" t="str">
        <f t="shared" si="540"/>
        <v>100%</v>
      </c>
      <c r="AA1336" s="67"/>
      <c r="AB1336" s="473"/>
      <c r="AC1336" s="478" t="s">
        <v>2711</v>
      </c>
      <c r="AD1336" s="67"/>
    </row>
    <row r="1337" spans="2:30">
      <c r="B1337" s="64" t="s">
        <v>111</v>
      </c>
      <c r="C1337" s="65" t="s">
        <v>366</v>
      </c>
      <c r="D1337" s="66">
        <v>8.68</v>
      </c>
      <c r="E1337" s="67">
        <v>46136</v>
      </c>
      <c r="F1337" s="64">
        <v>1</v>
      </c>
      <c r="G1337" s="67">
        <v>46142</v>
      </c>
      <c r="H1337" s="64">
        <v>1</v>
      </c>
      <c r="I1337" s="67">
        <v>46149</v>
      </c>
      <c r="J1337" s="64">
        <v>0</v>
      </c>
      <c r="K1337" s="67">
        <v>46139</v>
      </c>
      <c r="L1337" s="64">
        <v>0</v>
      </c>
      <c r="M1337" s="64">
        <v>0</v>
      </c>
      <c r="N1337" s="67">
        <v>46150</v>
      </c>
      <c r="O1337" s="64">
        <v>1</v>
      </c>
      <c r="P1337" s="64">
        <v>0</v>
      </c>
      <c r="Q1337" s="91" t="s">
        <v>2551</v>
      </c>
      <c r="R1337" s="64">
        <v>0</v>
      </c>
      <c r="S1337" s="67">
        <v>46156</v>
      </c>
      <c r="T1337" s="67">
        <v>46212</v>
      </c>
      <c r="U1337" s="64">
        <v>1</v>
      </c>
      <c r="V1337" s="66"/>
      <c r="W1337" s="66"/>
      <c r="X1337" s="93"/>
      <c r="Y1337" s="94"/>
      <c r="Z1337" s="91" t="str">
        <f t="shared" si="540"/>
        <v>100%</v>
      </c>
      <c r="AA1337" s="67"/>
      <c r="AB1337" s="473"/>
      <c r="AC1337" s="478" t="s">
        <v>2711</v>
      </c>
      <c r="AD1337" s="67"/>
    </row>
    <row r="1338" spans="2:30">
      <c r="B1338" s="64" t="s">
        <v>118</v>
      </c>
      <c r="C1338" s="65" t="s">
        <v>286</v>
      </c>
      <c r="D1338" s="66">
        <v>8.7200000000000006</v>
      </c>
      <c r="E1338" s="67">
        <v>46180</v>
      </c>
      <c r="F1338" s="64">
        <v>1</v>
      </c>
      <c r="G1338" s="67">
        <v>46182</v>
      </c>
      <c r="H1338" s="64">
        <v>46174</v>
      </c>
      <c r="I1338" s="67">
        <v>46182</v>
      </c>
      <c r="J1338" s="64">
        <v>0</v>
      </c>
      <c r="K1338" s="67">
        <v>46182</v>
      </c>
      <c r="L1338" s="64">
        <v>0</v>
      </c>
      <c r="M1338" s="64">
        <v>0</v>
      </c>
      <c r="N1338" s="67">
        <v>46183</v>
      </c>
      <c r="O1338" s="64">
        <v>1</v>
      </c>
      <c r="P1338" s="64">
        <v>0</v>
      </c>
      <c r="Q1338" s="91" t="s">
        <v>2551</v>
      </c>
      <c r="R1338" s="64">
        <v>0</v>
      </c>
      <c r="S1338" s="67">
        <v>46188</v>
      </c>
      <c r="T1338" s="67">
        <v>46231</v>
      </c>
      <c r="U1338" s="64"/>
      <c r="V1338" s="66"/>
      <c r="W1338" s="66"/>
      <c r="X1338" s="93"/>
      <c r="Y1338" s="94"/>
      <c r="Z1338" s="91" t="str">
        <f t="shared" si="540"/>
        <v>100%</v>
      </c>
      <c r="AA1338" s="67"/>
      <c r="AB1338" s="473"/>
      <c r="AC1338" s="478" t="s">
        <v>2711</v>
      </c>
      <c r="AD1338" s="67"/>
    </row>
    <row r="1339" spans="2:30">
      <c r="B1339" s="64" t="s">
        <v>118</v>
      </c>
      <c r="C1339" s="65" t="s">
        <v>182</v>
      </c>
      <c r="D1339" s="66">
        <v>8.94</v>
      </c>
      <c r="E1339" s="67">
        <v>46175</v>
      </c>
      <c r="F1339" s="64">
        <v>1</v>
      </c>
      <c r="G1339" s="67">
        <v>46178</v>
      </c>
      <c r="H1339" s="64">
        <v>1</v>
      </c>
      <c r="I1339" s="67">
        <v>46178</v>
      </c>
      <c r="J1339" s="64">
        <v>0</v>
      </c>
      <c r="K1339" s="67">
        <v>46178</v>
      </c>
      <c r="L1339" s="64">
        <v>0</v>
      </c>
      <c r="M1339" s="64">
        <v>0</v>
      </c>
      <c r="N1339" s="67">
        <v>46179</v>
      </c>
      <c r="O1339" s="64">
        <v>1</v>
      </c>
      <c r="P1339" s="64">
        <v>0</v>
      </c>
      <c r="Q1339" s="91" t="s">
        <v>2551</v>
      </c>
      <c r="R1339" s="64">
        <v>0</v>
      </c>
      <c r="S1339" s="67">
        <v>46179</v>
      </c>
      <c r="T1339" s="67">
        <v>46234</v>
      </c>
      <c r="U1339" s="64">
        <v>1</v>
      </c>
      <c r="V1339" s="66"/>
      <c r="W1339" s="66"/>
      <c r="X1339" s="93"/>
      <c r="Y1339" s="94"/>
      <c r="Z1339" s="91" t="str">
        <f t="shared" si="540"/>
        <v>100%</v>
      </c>
      <c r="AA1339" s="67"/>
      <c r="AB1339" s="473"/>
      <c r="AC1339" s="478" t="s">
        <v>2711</v>
      </c>
      <c r="AD1339" s="67"/>
    </row>
    <row r="1340" spans="2:30">
      <c r="B1340" s="64" t="s">
        <v>116</v>
      </c>
      <c r="C1340" s="65" t="s">
        <v>580</v>
      </c>
      <c r="D1340" s="66">
        <v>3.25</v>
      </c>
      <c r="E1340" s="67">
        <v>46180</v>
      </c>
      <c r="F1340" s="64">
        <v>1</v>
      </c>
      <c r="G1340" s="67">
        <v>46180</v>
      </c>
      <c r="H1340" s="64">
        <v>46174</v>
      </c>
      <c r="I1340" s="67">
        <v>46180</v>
      </c>
      <c r="J1340" s="64">
        <v>0</v>
      </c>
      <c r="K1340" s="67">
        <v>46181</v>
      </c>
      <c r="L1340" s="64">
        <v>0</v>
      </c>
      <c r="M1340" s="64">
        <v>0</v>
      </c>
      <c r="N1340" s="67">
        <v>46182</v>
      </c>
      <c r="O1340" s="64">
        <v>1</v>
      </c>
      <c r="P1340" s="64">
        <v>0</v>
      </c>
      <c r="Q1340" s="91" t="s">
        <v>2551</v>
      </c>
      <c r="R1340" s="64">
        <v>0</v>
      </c>
      <c r="S1340" s="67">
        <v>46183</v>
      </c>
      <c r="T1340" s="67">
        <v>46226</v>
      </c>
      <c r="U1340" s="64"/>
      <c r="V1340" s="66"/>
      <c r="W1340" s="66"/>
      <c r="X1340" s="93"/>
      <c r="Y1340" s="94"/>
      <c r="Z1340" s="91" t="str">
        <f t="shared" si="540"/>
        <v>100%</v>
      </c>
      <c r="AA1340" s="67"/>
      <c r="AB1340" s="473"/>
      <c r="AC1340" s="478" t="s">
        <v>2711</v>
      </c>
      <c r="AD1340" s="67"/>
    </row>
    <row r="1341" spans="2:30">
      <c r="B1341" s="64" t="s">
        <v>116</v>
      </c>
      <c r="C1341" s="65" t="s">
        <v>552</v>
      </c>
      <c r="D1341" s="66">
        <v>14.06</v>
      </c>
      <c r="E1341" s="67">
        <v>46171</v>
      </c>
      <c r="F1341" s="64">
        <v>1</v>
      </c>
      <c r="G1341" s="67">
        <v>46172</v>
      </c>
      <c r="H1341" s="64">
        <v>1</v>
      </c>
      <c r="I1341" s="67">
        <v>46172</v>
      </c>
      <c r="J1341" s="64">
        <v>0</v>
      </c>
      <c r="K1341" s="67">
        <v>46172</v>
      </c>
      <c r="L1341" s="64">
        <v>0</v>
      </c>
      <c r="M1341" s="64">
        <v>0</v>
      </c>
      <c r="N1341" s="67">
        <v>46173</v>
      </c>
      <c r="O1341" s="64">
        <v>1</v>
      </c>
      <c r="P1341" s="64">
        <v>0</v>
      </c>
      <c r="Q1341" s="91" t="s">
        <v>2551</v>
      </c>
      <c r="R1341" s="64">
        <v>0</v>
      </c>
      <c r="S1341" s="67">
        <v>46173</v>
      </c>
      <c r="T1341" s="67">
        <v>46209</v>
      </c>
      <c r="U1341" s="64"/>
      <c r="V1341" s="66"/>
      <c r="W1341" s="66"/>
      <c r="X1341" s="93"/>
      <c r="Y1341" s="94"/>
      <c r="Z1341" s="91" t="str">
        <f t="shared" si="540"/>
        <v>100%</v>
      </c>
      <c r="AA1341" s="67"/>
      <c r="AB1341" s="473"/>
      <c r="AC1341" s="478" t="s">
        <v>2711</v>
      </c>
      <c r="AD1341" s="67"/>
    </row>
    <row r="1342" spans="2:30">
      <c r="B1342" s="64" t="s">
        <v>118</v>
      </c>
      <c r="C1342" s="65" t="s">
        <v>263</v>
      </c>
      <c r="D1342" s="66">
        <v>7.97</v>
      </c>
      <c r="E1342" s="67">
        <v>46180</v>
      </c>
      <c r="F1342" s="64">
        <v>1</v>
      </c>
      <c r="G1342" s="67">
        <v>46182</v>
      </c>
      <c r="H1342" s="64">
        <v>46174</v>
      </c>
      <c r="I1342" s="67">
        <v>46182</v>
      </c>
      <c r="J1342" s="64">
        <v>0</v>
      </c>
      <c r="K1342" s="67">
        <v>46182</v>
      </c>
      <c r="L1342" s="64">
        <v>0</v>
      </c>
      <c r="M1342" s="64">
        <v>0</v>
      </c>
      <c r="N1342" s="67">
        <v>46183</v>
      </c>
      <c r="O1342" s="64">
        <v>1</v>
      </c>
      <c r="P1342" s="64">
        <v>0</v>
      </c>
      <c r="Q1342" s="91" t="s">
        <v>2551</v>
      </c>
      <c r="R1342" s="64">
        <v>0</v>
      </c>
      <c r="S1342" s="67">
        <v>46185</v>
      </c>
      <c r="T1342" s="67">
        <v>46234</v>
      </c>
      <c r="U1342" s="64"/>
      <c r="V1342" s="66"/>
      <c r="W1342" s="66"/>
      <c r="X1342" s="93"/>
      <c r="Y1342" s="94"/>
      <c r="Z1342" s="91" t="str">
        <f t="shared" si="540"/>
        <v>100%</v>
      </c>
      <c r="AA1342" s="67"/>
      <c r="AB1342" s="473"/>
      <c r="AC1342" s="478" t="s">
        <v>2711</v>
      </c>
      <c r="AD1342" s="67"/>
    </row>
    <row r="1343" spans="2:30">
      <c r="B1343" s="64" t="s">
        <v>118</v>
      </c>
      <c r="C1343" s="65" t="s">
        <v>650</v>
      </c>
      <c r="D1343" s="66">
        <v>9.5500000000000007</v>
      </c>
      <c r="E1343" s="67">
        <v>46175</v>
      </c>
      <c r="F1343" s="64">
        <v>1</v>
      </c>
      <c r="G1343" s="67">
        <v>46176</v>
      </c>
      <c r="H1343" s="64">
        <v>1</v>
      </c>
      <c r="I1343" s="67">
        <v>46176</v>
      </c>
      <c r="J1343" s="64">
        <v>0</v>
      </c>
      <c r="K1343" s="67">
        <v>46176</v>
      </c>
      <c r="L1343" s="64">
        <v>0</v>
      </c>
      <c r="M1343" s="64">
        <v>0</v>
      </c>
      <c r="N1343" s="67">
        <v>46177</v>
      </c>
      <c r="O1343" s="64">
        <v>1</v>
      </c>
      <c r="P1343" s="64">
        <v>0</v>
      </c>
      <c r="Q1343" s="91" t="s">
        <v>2551</v>
      </c>
      <c r="R1343" s="64">
        <v>0</v>
      </c>
      <c r="S1343" s="67">
        <v>46177</v>
      </c>
      <c r="T1343" s="67">
        <v>46217</v>
      </c>
      <c r="U1343" s="64">
        <v>1</v>
      </c>
      <c r="V1343" s="66"/>
      <c r="W1343" s="66"/>
      <c r="X1343" s="93"/>
      <c r="Y1343" s="94"/>
      <c r="Z1343" s="91" t="str">
        <f t="shared" si="540"/>
        <v>100%</v>
      </c>
      <c r="AA1343" s="67"/>
      <c r="AB1343" s="473"/>
      <c r="AC1343" s="478" t="s">
        <v>2711</v>
      </c>
      <c r="AD1343" s="67"/>
    </row>
    <row r="1344" spans="2:30">
      <c r="B1344" s="64" t="s">
        <v>118</v>
      </c>
      <c r="C1344" s="65" t="s">
        <v>229</v>
      </c>
      <c r="D1344" s="66">
        <v>7.22</v>
      </c>
      <c r="E1344" s="67">
        <v>46172</v>
      </c>
      <c r="F1344" s="64">
        <v>1</v>
      </c>
      <c r="G1344" s="67">
        <v>46174</v>
      </c>
      <c r="H1344" s="64">
        <v>46174</v>
      </c>
      <c r="I1344" s="67">
        <v>46174</v>
      </c>
      <c r="J1344" s="64">
        <v>0</v>
      </c>
      <c r="K1344" s="67">
        <v>46174</v>
      </c>
      <c r="L1344" s="64">
        <v>0</v>
      </c>
      <c r="M1344" s="64">
        <v>0</v>
      </c>
      <c r="N1344" s="67">
        <v>46175</v>
      </c>
      <c r="O1344" s="64">
        <v>1</v>
      </c>
      <c r="P1344" s="64">
        <v>0</v>
      </c>
      <c r="Q1344" s="91" t="s">
        <v>2551</v>
      </c>
      <c r="R1344" s="64">
        <v>0</v>
      </c>
      <c r="S1344" s="67">
        <v>46188</v>
      </c>
      <c r="T1344" s="67">
        <v>46230</v>
      </c>
      <c r="U1344" s="64">
        <v>1</v>
      </c>
      <c r="V1344" s="66"/>
      <c r="W1344" s="66"/>
      <c r="X1344" s="93"/>
      <c r="Y1344" s="94"/>
      <c r="Z1344" s="91" t="str">
        <f t="shared" si="540"/>
        <v>100%</v>
      </c>
      <c r="AA1344" s="67"/>
      <c r="AB1344" s="473"/>
      <c r="AC1344" s="478" t="s">
        <v>2711</v>
      </c>
      <c r="AD1344" s="67"/>
    </row>
    <row r="1345" spans="2:53">
      <c r="B1345" s="64" t="s">
        <v>107</v>
      </c>
      <c r="C1345" s="65" t="s">
        <v>697</v>
      </c>
      <c r="D1345" s="66">
        <v>4.67</v>
      </c>
      <c r="E1345" s="67">
        <v>46200</v>
      </c>
      <c r="F1345" s="64">
        <v>46202</v>
      </c>
      <c r="G1345" s="67">
        <v>46202</v>
      </c>
      <c r="H1345" s="64"/>
      <c r="I1345" s="67">
        <v>46202</v>
      </c>
      <c r="J1345" s="64">
        <v>0</v>
      </c>
      <c r="K1345" s="67">
        <v>46205</v>
      </c>
      <c r="L1345" s="64">
        <v>0</v>
      </c>
      <c r="M1345" s="64">
        <v>0</v>
      </c>
      <c r="N1345" s="67">
        <v>46206</v>
      </c>
      <c r="O1345" s="64">
        <v>1</v>
      </c>
      <c r="P1345" s="64">
        <v>0</v>
      </c>
      <c r="Q1345" s="91" t="s">
        <v>2551</v>
      </c>
      <c r="R1345" s="64">
        <v>0</v>
      </c>
      <c r="S1345" s="67">
        <v>46208</v>
      </c>
      <c r="T1345" s="67">
        <v>46237</v>
      </c>
      <c r="U1345" s="64"/>
      <c r="V1345" s="66"/>
      <c r="W1345" s="66"/>
      <c r="X1345" s="93"/>
      <c r="Y1345" s="94"/>
      <c r="Z1345" s="91" t="str">
        <f t="shared" si="540"/>
        <v>100%</v>
      </c>
      <c r="AA1345" s="67"/>
      <c r="AB1345" s="473"/>
      <c r="AC1345" s="478" t="s">
        <v>2711</v>
      </c>
      <c r="AD1345" s="67"/>
      <c r="BA1345" t="s">
        <v>2672</v>
      </c>
    </row>
    <row r="1346" spans="2:53">
      <c r="B1346" s="64" t="s">
        <v>111</v>
      </c>
      <c r="C1346" s="65" t="s">
        <v>212</v>
      </c>
      <c r="D1346" s="66">
        <v>8.75</v>
      </c>
      <c r="E1346" s="67">
        <v>46173</v>
      </c>
      <c r="F1346" s="64">
        <v>1</v>
      </c>
      <c r="G1346" s="67">
        <v>46174</v>
      </c>
      <c r="H1346" s="64">
        <v>46174</v>
      </c>
      <c r="I1346" s="67">
        <v>46174</v>
      </c>
      <c r="J1346" s="64">
        <v>0</v>
      </c>
      <c r="K1346" s="67">
        <v>46175</v>
      </c>
      <c r="L1346" s="64">
        <v>0</v>
      </c>
      <c r="M1346" s="64">
        <v>0</v>
      </c>
      <c r="N1346" s="67">
        <v>46176</v>
      </c>
      <c r="O1346" s="64">
        <v>1</v>
      </c>
      <c r="P1346" s="64">
        <v>0</v>
      </c>
      <c r="Q1346" s="91" t="s">
        <v>2551</v>
      </c>
      <c r="R1346" s="64">
        <v>0</v>
      </c>
      <c r="S1346" s="67">
        <v>46177</v>
      </c>
      <c r="T1346" s="67">
        <v>46237</v>
      </c>
      <c r="U1346" s="64"/>
      <c r="V1346" s="66"/>
      <c r="W1346" s="66"/>
      <c r="X1346" s="93"/>
      <c r="Y1346" s="94"/>
      <c r="Z1346" s="91" t="str">
        <f t="shared" si="540"/>
        <v>100%</v>
      </c>
      <c r="AA1346" s="67"/>
      <c r="AB1346" s="473"/>
      <c r="AC1346" s="478" t="s">
        <v>2711</v>
      </c>
      <c r="AD1346" s="67"/>
      <c r="BA1346" t="s">
        <v>2616</v>
      </c>
    </row>
    <row r="1347" spans="2:53">
      <c r="B1347" s="64" t="s">
        <v>107</v>
      </c>
      <c r="C1347" s="65" t="s">
        <v>636</v>
      </c>
      <c r="D1347" s="66">
        <v>6.35</v>
      </c>
      <c r="E1347" s="67">
        <v>46202</v>
      </c>
      <c r="F1347" s="64"/>
      <c r="G1347" s="67">
        <v>46216</v>
      </c>
      <c r="H1347" s="64"/>
      <c r="I1347" s="67">
        <v>46216</v>
      </c>
      <c r="J1347" s="64">
        <v>0</v>
      </c>
      <c r="K1347" s="67">
        <v>46213</v>
      </c>
      <c r="L1347" s="64"/>
      <c r="M1347" s="64">
        <v>0</v>
      </c>
      <c r="N1347" s="67">
        <v>46217</v>
      </c>
      <c r="O1347" s="64">
        <v>1</v>
      </c>
      <c r="P1347" s="64">
        <v>0</v>
      </c>
      <c r="Q1347" s="91" t="s">
        <v>2551</v>
      </c>
      <c r="R1347" s="64">
        <v>0</v>
      </c>
      <c r="S1347" s="67">
        <v>46217</v>
      </c>
      <c r="T1347" s="67">
        <v>46238</v>
      </c>
      <c r="U1347" s="64"/>
      <c r="V1347" s="66"/>
      <c r="W1347" s="66"/>
      <c r="X1347" s="93"/>
      <c r="Y1347" s="94"/>
      <c r="Z1347" s="91" t="str">
        <f t="shared" si="540"/>
        <v>100%</v>
      </c>
      <c r="AA1347" s="67"/>
      <c r="AB1347" s="473"/>
      <c r="AC1347" s="478" t="s">
        <v>2711</v>
      </c>
      <c r="AD1347" s="67"/>
      <c r="BA1347" t="s">
        <v>2677</v>
      </c>
    </row>
    <row r="1348" spans="2:53">
      <c r="B1348" s="64" t="s">
        <v>109</v>
      </c>
      <c r="C1348" s="65" t="s">
        <v>2678</v>
      </c>
      <c r="D1348" s="66">
        <v>1.34</v>
      </c>
      <c r="E1348" s="67">
        <v>46217</v>
      </c>
      <c r="F1348" s="64"/>
      <c r="G1348" s="67">
        <v>46218</v>
      </c>
      <c r="H1348" s="64"/>
      <c r="I1348" s="67">
        <v>46218</v>
      </c>
      <c r="J1348" s="64">
        <v>0</v>
      </c>
      <c r="K1348" s="67">
        <v>46212</v>
      </c>
      <c r="L1348" s="64"/>
      <c r="M1348" s="64">
        <v>0</v>
      </c>
      <c r="N1348" s="67">
        <v>46219</v>
      </c>
      <c r="O1348" s="64">
        <v>1</v>
      </c>
      <c r="P1348" s="64">
        <v>0</v>
      </c>
      <c r="Q1348" s="91" t="s">
        <v>2551</v>
      </c>
      <c r="R1348" s="64">
        <v>0</v>
      </c>
      <c r="S1348" s="67">
        <v>46222</v>
      </c>
      <c r="T1348" s="67">
        <v>46239</v>
      </c>
      <c r="U1348" s="64"/>
      <c r="V1348" s="66"/>
      <c r="W1348" s="66"/>
      <c r="X1348" s="93"/>
      <c r="Y1348" s="94"/>
      <c r="Z1348" s="91" t="str">
        <f t="shared" si="540"/>
        <v>100%</v>
      </c>
      <c r="AA1348" s="67"/>
      <c r="AB1348" s="473"/>
      <c r="AC1348" s="478" t="s">
        <v>2711</v>
      </c>
      <c r="AD1348" s="67"/>
      <c r="BA1348" t="s">
        <v>2680</v>
      </c>
    </row>
    <row r="1349" spans="2:53">
      <c r="B1349" s="64" t="s">
        <v>113</v>
      </c>
      <c r="C1349" s="65" t="s">
        <v>232</v>
      </c>
      <c r="D1349" s="66">
        <v>9.02</v>
      </c>
      <c r="E1349" s="67">
        <v>46190</v>
      </c>
      <c r="F1349" s="64"/>
      <c r="G1349" s="67">
        <v>46191</v>
      </c>
      <c r="H1349" s="64"/>
      <c r="I1349" s="67">
        <v>46191</v>
      </c>
      <c r="J1349" s="64">
        <v>0</v>
      </c>
      <c r="K1349" s="67">
        <v>46198</v>
      </c>
      <c r="L1349" s="64">
        <v>0</v>
      </c>
      <c r="M1349" s="64">
        <v>0</v>
      </c>
      <c r="N1349" s="67">
        <v>46199</v>
      </c>
      <c r="O1349" s="64">
        <v>1</v>
      </c>
      <c r="P1349" s="64">
        <v>0</v>
      </c>
      <c r="Q1349" s="91" t="s">
        <v>2551</v>
      </c>
      <c r="R1349" s="64">
        <v>0</v>
      </c>
      <c r="S1349" s="67">
        <v>46198</v>
      </c>
      <c r="T1349" s="67">
        <v>46241</v>
      </c>
      <c r="U1349" s="64"/>
      <c r="V1349" s="66"/>
      <c r="W1349" s="66"/>
      <c r="X1349" s="93"/>
      <c r="Y1349" s="94"/>
      <c r="Z1349" s="91" t="str">
        <f t="shared" si="540"/>
        <v>100%</v>
      </c>
      <c r="AA1349" s="67"/>
      <c r="AB1349" s="473"/>
      <c r="AC1349" s="478" t="s">
        <v>2711</v>
      </c>
      <c r="AD1349" s="67"/>
      <c r="BA1349" t="s">
        <v>2615</v>
      </c>
    </row>
    <row r="1350" spans="2:53">
      <c r="B1350" s="64" t="s">
        <v>107</v>
      </c>
      <c r="C1350" s="65" t="s">
        <v>706</v>
      </c>
      <c r="D1350" s="66">
        <v>5.75</v>
      </c>
      <c r="E1350" s="67">
        <v>46200</v>
      </c>
      <c r="F1350" s="64">
        <v>46202</v>
      </c>
      <c r="G1350" s="67">
        <v>46202</v>
      </c>
      <c r="H1350" s="64"/>
      <c r="I1350" s="67">
        <v>46202</v>
      </c>
      <c r="J1350" s="64">
        <v>0</v>
      </c>
      <c r="K1350" s="67">
        <v>46205</v>
      </c>
      <c r="L1350" s="64"/>
      <c r="M1350" s="64">
        <v>0</v>
      </c>
      <c r="N1350" s="67">
        <v>46206</v>
      </c>
      <c r="O1350" s="64">
        <v>1</v>
      </c>
      <c r="P1350" s="64">
        <v>0</v>
      </c>
      <c r="Q1350" s="91" t="s">
        <v>2551</v>
      </c>
      <c r="R1350" s="64">
        <v>0</v>
      </c>
      <c r="S1350" s="67">
        <v>46213</v>
      </c>
      <c r="T1350" s="67">
        <v>46242</v>
      </c>
      <c r="U1350" s="64"/>
      <c r="V1350" s="66"/>
      <c r="W1350" s="66"/>
      <c r="X1350" s="93"/>
      <c r="Y1350" s="94"/>
      <c r="Z1350" s="91" t="str">
        <f t="shared" si="540"/>
        <v>100%</v>
      </c>
      <c r="AA1350" s="67"/>
      <c r="AB1350" s="473"/>
      <c r="AC1350" s="478" t="s">
        <v>2711</v>
      </c>
      <c r="AD1350" s="67"/>
      <c r="BA1350" t="s">
        <v>2673</v>
      </c>
    </row>
    <row r="1351" spans="2:53">
      <c r="B1351" s="64" t="s">
        <v>116</v>
      </c>
      <c r="C1351" s="65" t="s">
        <v>620</v>
      </c>
      <c r="D1351" s="66">
        <v>5.96</v>
      </c>
      <c r="E1351" s="67">
        <v>46185</v>
      </c>
      <c r="F1351" s="64"/>
      <c r="G1351" s="67">
        <v>46187</v>
      </c>
      <c r="H1351" s="64"/>
      <c r="I1351" s="67">
        <v>46187</v>
      </c>
      <c r="J1351" s="64">
        <v>0</v>
      </c>
      <c r="K1351" s="67">
        <v>46188</v>
      </c>
      <c r="L1351" s="64">
        <v>0</v>
      </c>
      <c r="M1351" s="64">
        <v>0</v>
      </c>
      <c r="N1351" s="67">
        <v>46189</v>
      </c>
      <c r="O1351" s="64">
        <v>1</v>
      </c>
      <c r="P1351" s="64">
        <v>0</v>
      </c>
      <c r="Q1351" s="91" t="s">
        <v>2551</v>
      </c>
      <c r="R1351" s="64">
        <v>0</v>
      </c>
      <c r="S1351" s="67">
        <v>46191</v>
      </c>
      <c r="T1351" s="67">
        <v>46242</v>
      </c>
      <c r="U1351" s="64"/>
      <c r="V1351" s="66"/>
      <c r="W1351" s="66"/>
      <c r="X1351" s="93"/>
      <c r="Y1351" s="94"/>
      <c r="Z1351" s="91" t="str">
        <f t="shared" si="540"/>
        <v>100%</v>
      </c>
      <c r="AA1351" s="67"/>
      <c r="AB1351" s="473"/>
      <c r="AC1351" s="478" t="s">
        <v>2711</v>
      </c>
      <c r="AD1351" s="67"/>
      <c r="BA1351" t="s">
        <v>354</v>
      </c>
    </row>
    <row r="1352" spans="2:53">
      <c r="B1352" s="64" t="s">
        <v>116</v>
      </c>
      <c r="C1352" s="65" t="s">
        <v>657</v>
      </c>
      <c r="D1352" s="66">
        <v>8.4</v>
      </c>
      <c r="E1352" s="67">
        <v>46211</v>
      </c>
      <c r="F1352" s="64"/>
      <c r="G1352" s="67">
        <v>46213</v>
      </c>
      <c r="H1352" s="64"/>
      <c r="I1352" s="67">
        <v>46213</v>
      </c>
      <c r="J1352" s="64">
        <v>0</v>
      </c>
      <c r="K1352" s="67">
        <v>46213</v>
      </c>
      <c r="L1352" s="64"/>
      <c r="M1352" s="64">
        <v>0</v>
      </c>
      <c r="N1352" s="67">
        <v>46214</v>
      </c>
      <c r="O1352" s="64">
        <v>1</v>
      </c>
      <c r="P1352" s="64">
        <v>0</v>
      </c>
      <c r="Q1352" s="91" t="s">
        <v>2551</v>
      </c>
      <c r="R1352" s="64">
        <v>0</v>
      </c>
      <c r="S1352" s="67">
        <v>46215</v>
      </c>
      <c r="T1352" s="67">
        <v>46242</v>
      </c>
      <c r="U1352" s="64"/>
      <c r="V1352" s="66"/>
      <c r="W1352" s="66"/>
      <c r="X1352" s="93"/>
      <c r="Y1352" s="94"/>
      <c r="Z1352" s="91" t="str">
        <f t="shared" si="540"/>
        <v>100%</v>
      </c>
      <c r="AA1352" s="67"/>
      <c r="AB1352" s="473"/>
      <c r="AC1352" s="478" t="s">
        <v>2711</v>
      </c>
      <c r="AD1352" s="67"/>
      <c r="BA1352" t="s">
        <v>2674</v>
      </c>
    </row>
    <row r="1353" spans="2:53">
      <c r="B1353" s="64" t="s">
        <v>113</v>
      </c>
      <c r="C1353" s="65" t="s">
        <v>690</v>
      </c>
      <c r="D1353" s="66">
        <v>2.72</v>
      </c>
      <c r="E1353" s="67">
        <v>46213</v>
      </c>
      <c r="F1353" s="64"/>
      <c r="G1353" s="67">
        <v>46213</v>
      </c>
      <c r="H1353" s="64"/>
      <c r="I1353" s="67">
        <v>46213</v>
      </c>
      <c r="J1353" s="64">
        <v>0</v>
      </c>
      <c r="K1353" s="67">
        <v>46214</v>
      </c>
      <c r="L1353" s="64"/>
      <c r="M1353" s="64">
        <v>0</v>
      </c>
      <c r="N1353" s="67">
        <v>46215</v>
      </c>
      <c r="O1353" s="64">
        <v>1</v>
      </c>
      <c r="P1353" s="64">
        <v>0</v>
      </c>
      <c r="Q1353" s="91" t="s">
        <v>2551</v>
      </c>
      <c r="R1353" s="64">
        <v>0</v>
      </c>
      <c r="S1353" s="67">
        <v>46236</v>
      </c>
      <c r="T1353" s="67">
        <v>46244</v>
      </c>
      <c r="U1353" s="64"/>
      <c r="V1353" s="66"/>
      <c r="W1353" s="66"/>
      <c r="X1353" s="93"/>
      <c r="Y1353" s="94"/>
      <c r="Z1353" s="91" t="str">
        <f t="shared" si="540"/>
        <v>100%</v>
      </c>
      <c r="AA1353" s="67"/>
      <c r="AB1353" s="473"/>
      <c r="AC1353" s="478" t="s">
        <v>2711</v>
      </c>
      <c r="AD1353" s="67"/>
      <c r="BA1353" t="s">
        <v>2704</v>
      </c>
    </row>
    <row r="1354" spans="2:53">
      <c r="B1354" s="64" t="s">
        <v>109</v>
      </c>
      <c r="C1354" s="65" t="s">
        <v>110</v>
      </c>
      <c r="D1354" s="66">
        <v>9.3000000000000007</v>
      </c>
      <c r="E1354" s="67">
        <v>46221</v>
      </c>
      <c r="F1354" s="64"/>
      <c r="G1354" s="67">
        <v>46225</v>
      </c>
      <c r="H1354" s="64"/>
      <c r="I1354" s="67">
        <v>46225</v>
      </c>
      <c r="J1354" s="64">
        <v>0</v>
      </c>
      <c r="K1354" s="67">
        <v>46217</v>
      </c>
      <c r="L1354" s="64"/>
      <c r="M1354" s="64">
        <v>0</v>
      </c>
      <c r="N1354" s="67">
        <v>46226</v>
      </c>
      <c r="O1354" s="64">
        <v>1</v>
      </c>
      <c r="P1354" s="64">
        <v>0</v>
      </c>
      <c r="Q1354" s="91" t="s">
        <v>2551</v>
      </c>
      <c r="R1354" s="64">
        <v>0</v>
      </c>
      <c r="S1354" s="67">
        <v>46226</v>
      </c>
      <c r="T1354" s="67">
        <v>46246</v>
      </c>
      <c r="U1354" s="64"/>
      <c r="V1354" s="66"/>
      <c r="W1354" s="66"/>
      <c r="X1354" s="93"/>
      <c r="Y1354" s="94"/>
      <c r="Z1354" s="91" t="str">
        <f t="shared" ref="Z1354:Z1373" si="554">IF(T1354="","","100%")</f>
        <v>100%</v>
      </c>
      <c r="AA1354" s="67"/>
      <c r="AB1354" s="473"/>
      <c r="AC1354" s="478" t="s">
        <v>2711</v>
      </c>
      <c r="AD1354" s="67"/>
      <c r="BA1354" t="s">
        <v>2706</v>
      </c>
    </row>
    <row r="1355" spans="2:53">
      <c r="B1355" s="64" t="s">
        <v>116</v>
      </c>
      <c r="C1355" s="65" t="s">
        <v>659</v>
      </c>
      <c r="D1355" s="66">
        <v>6.14</v>
      </c>
      <c r="E1355" s="67">
        <v>46211</v>
      </c>
      <c r="F1355" s="64"/>
      <c r="G1355" s="67">
        <v>46213</v>
      </c>
      <c r="H1355" s="64"/>
      <c r="I1355" s="67">
        <v>46213</v>
      </c>
      <c r="J1355" s="64">
        <v>0</v>
      </c>
      <c r="K1355" s="67">
        <v>46213</v>
      </c>
      <c r="L1355" s="64"/>
      <c r="M1355" s="64">
        <v>0</v>
      </c>
      <c r="N1355" s="67">
        <v>46214</v>
      </c>
      <c r="O1355" s="64">
        <v>1</v>
      </c>
      <c r="P1355" s="64">
        <v>0</v>
      </c>
      <c r="Q1355" s="91" t="s">
        <v>2551</v>
      </c>
      <c r="R1355" s="64">
        <v>0</v>
      </c>
      <c r="S1355" s="67">
        <v>46216</v>
      </c>
      <c r="T1355" s="67">
        <v>46248</v>
      </c>
      <c r="U1355" s="64"/>
      <c r="V1355" s="66"/>
      <c r="W1355" s="66"/>
      <c r="X1355" s="93"/>
      <c r="Y1355" s="94"/>
      <c r="Z1355" s="91" t="str">
        <f t="shared" si="554"/>
        <v>100%</v>
      </c>
      <c r="AA1355" s="67"/>
      <c r="AB1355" s="473"/>
      <c r="AC1355" s="478" t="s">
        <v>2711</v>
      </c>
      <c r="AD1355" s="67"/>
      <c r="BA1355" t="s">
        <v>2676</v>
      </c>
    </row>
    <row r="1356" spans="2:53">
      <c r="B1356" s="64" t="s">
        <v>109</v>
      </c>
      <c r="C1356" s="65" t="s">
        <v>126</v>
      </c>
      <c r="D1356" s="66">
        <v>6.95</v>
      </c>
      <c r="E1356" s="67">
        <v>46223</v>
      </c>
      <c r="F1356" s="64"/>
      <c r="G1356" s="67">
        <v>46224</v>
      </c>
      <c r="H1356" s="64"/>
      <c r="I1356" s="67">
        <v>46224</v>
      </c>
      <c r="J1356" s="64">
        <v>0</v>
      </c>
      <c r="K1356" s="67">
        <v>46226</v>
      </c>
      <c r="L1356" s="64"/>
      <c r="M1356" s="64">
        <v>0</v>
      </c>
      <c r="N1356" s="67">
        <v>46227</v>
      </c>
      <c r="O1356" s="64">
        <v>1</v>
      </c>
      <c r="P1356" s="64">
        <v>0</v>
      </c>
      <c r="Q1356" s="91" t="s">
        <v>2551</v>
      </c>
      <c r="R1356" s="64">
        <v>0</v>
      </c>
      <c r="S1356" s="67">
        <v>46227</v>
      </c>
      <c r="T1356" s="67">
        <v>46248</v>
      </c>
      <c r="U1356" s="64"/>
      <c r="V1356" s="66"/>
      <c r="W1356" s="66"/>
      <c r="X1356" s="93"/>
      <c r="Y1356" s="94"/>
      <c r="Z1356" s="91" t="str">
        <f t="shared" si="554"/>
        <v>100%</v>
      </c>
      <c r="AA1356" s="67"/>
      <c r="AB1356" s="473"/>
      <c r="AC1356" s="478" t="s">
        <v>2711</v>
      </c>
      <c r="AD1356" s="67"/>
      <c r="BA1356" t="s">
        <v>2689</v>
      </c>
    </row>
    <row r="1357" spans="2:53">
      <c r="B1357" s="64" t="s">
        <v>105</v>
      </c>
      <c r="C1357" s="65" t="s">
        <v>2662</v>
      </c>
      <c r="D1357" s="66">
        <v>5.64</v>
      </c>
      <c r="E1357" s="67">
        <v>46199</v>
      </c>
      <c r="F1357" s="64">
        <v>46199</v>
      </c>
      <c r="G1357" s="67">
        <v>46174</v>
      </c>
      <c r="H1357" s="64"/>
      <c r="I1357" s="67">
        <v>46174</v>
      </c>
      <c r="J1357" s="64">
        <v>0</v>
      </c>
      <c r="K1357" s="67">
        <v>46204</v>
      </c>
      <c r="L1357" s="64">
        <v>0</v>
      </c>
      <c r="M1357" s="64">
        <v>0</v>
      </c>
      <c r="N1357" s="67">
        <v>46205</v>
      </c>
      <c r="O1357" s="64">
        <v>1</v>
      </c>
      <c r="P1357" s="64">
        <v>0</v>
      </c>
      <c r="Q1357" s="91" t="s">
        <v>2551</v>
      </c>
      <c r="R1357" s="64">
        <v>0</v>
      </c>
      <c r="S1357" s="67">
        <v>46204</v>
      </c>
      <c r="T1357" s="67">
        <v>46252</v>
      </c>
      <c r="U1357" s="64"/>
      <c r="V1357" s="66"/>
      <c r="W1357" s="66"/>
      <c r="X1357" s="93"/>
      <c r="Y1357" s="94"/>
      <c r="Z1357" s="91" t="str">
        <f t="shared" si="554"/>
        <v>100%</v>
      </c>
      <c r="AA1357" s="67"/>
      <c r="AB1357" s="473"/>
      <c r="AC1357" s="478" t="s">
        <v>2711</v>
      </c>
      <c r="AD1357" s="67"/>
      <c r="BA1357" t="s">
        <v>2620</v>
      </c>
    </row>
    <row r="1358" spans="2:53">
      <c r="B1358" s="64" t="s">
        <v>109</v>
      </c>
      <c r="C1358" s="65" t="s">
        <v>299</v>
      </c>
      <c r="D1358" s="66">
        <v>3.86</v>
      </c>
      <c r="E1358" s="67">
        <v>46186</v>
      </c>
      <c r="F1358" s="64"/>
      <c r="G1358" s="67">
        <v>46187</v>
      </c>
      <c r="H1358" s="64"/>
      <c r="I1358" s="67">
        <v>46187</v>
      </c>
      <c r="J1358" s="64">
        <v>0</v>
      </c>
      <c r="K1358" s="67">
        <v>46192</v>
      </c>
      <c r="L1358" s="64">
        <v>0</v>
      </c>
      <c r="M1358" s="64">
        <v>0</v>
      </c>
      <c r="N1358" s="67">
        <v>46193</v>
      </c>
      <c r="O1358" s="64">
        <v>1</v>
      </c>
      <c r="P1358" s="64">
        <v>0</v>
      </c>
      <c r="Q1358" s="91" t="s">
        <v>2551</v>
      </c>
      <c r="R1358" s="64">
        <v>0</v>
      </c>
      <c r="S1358" s="67">
        <v>46233</v>
      </c>
      <c r="T1358" s="67">
        <v>46253</v>
      </c>
      <c r="U1358" s="64"/>
      <c r="V1358" s="66"/>
      <c r="W1358" s="66"/>
      <c r="X1358" s="93"/>
      <c r="Y1358" s="94"/>
      <c r="Z1358" s="91" t="str">
        <f t="shared" si="554"/>
        <v>100%</v>
      </c>
      <c r="AA1358" s="67"/>
      <c r="AB1358" s="473"/>
      <c r="AC1358" s="478" t="s">
        <v>2711</v>
      </c>
      <c r="AD1358" s="67"/>
      <c r="BA1358" t="s">
        <v>2708</v>
      </c>
    </row>
    <row r="1359" spans="2:53">
      <c r="B1359" s="64" t="s">
        <v>109</v>
      </c>
      <c r="C1359" s="65" t="s">
        <v>294</v>
      </c>
      <c r="D1359" s="66">
        <v>7.32</v>
      </c>
      <c r="E1359" s="67">
        <v>46186</v>
      </c>
      <c r="F1359" s="64"/>
      <c r="G1359" s="67">
        <v>46187</v>
      </c>
      <c r="H1359" s="64"/>
      <c r="I1359" s="67">
        <v>46187</v>
      </c>
      <c r="J1359" s="64">
        <v>0</v>
      </c>
      <c r="K1359" s="67">
        <v>46192</v>
      </c>
      <c r="L1359" s="64">
        <v>0</v>
      </c>
      <c r="M1359" s="64">
        <v>0</v>
      </c>
      <c r="N1359" s="67">
        <v>46193</v>
      </c>
      <c r="O1359" s="64">
        <v>1</v>
      </c>
      <c r="P1359" s="64">
        <v>0</v>
      </c>
      <c r="Q1359" s="91" t="s">
        <v>2551</v>
      </c>
      <c r="R1359" s="64">
        <v>0</v>
      </c>
      <c r="S1359" s="67">
        <v>46220</v>
      </c>
      <c r="T1359" s="67">
        <v>46253</v>
      </c>
      <c r="U1359" s="64"/>
      <c r="V1359" s="66"/>
      <c r="W1359" s="66"/>
      <c r="X1359" s="93"/>
      <c r="Y1359" s="94"/>
      <c r="Z1359" s="91" t="str">
        <f t="shared" si="554"/>
        <v>100%</v>
      </c>
      <c r="AA1359" s="67"/>
      <c r="AB1359" s="473"/>
      <c r="AC1359" s="478" t="s">
        <v>2711</v>
      </c>
      <c r="AD1359" s="67"/>
      <c r="BA1359" t="s">
        <v>2683</v>
      </c>
    </row>
    <row r="1360" spans="2:53">
      <c r="B1360" s="64" t="s">
        <v>116</v>
      </c>
      <c r="C1360" s="65" t="s">
        <v>311</v>
      </c>
      <c r="D1360" s="66">
        <v>5.44</v>
      </c>
      <c r="E1360" s="67">
        <v>46227</v>
      </c>
      <c r="F1360" s="64"/>
      <c r="G1360" s="67">
        <v>46230</v>
      </c>
      <c r="H1360" s="64"/>
      <c r="I1360" s="67">
        <v>46230</v>
      </c>
      <c r="J1360" s="64">
        <v>0</v>
      </c>
      <c r="K1360" s="67">
        <v>46231</v>
      </c>
      <c r="L1360" s="64"/>
      <c r="M1360" s="64">
        <v>0</v>
      </c>
      <c r="N1360" s="67">
        <v>46232</v>
      </c>
      <c r="O1360" s="64">
        <v>1</v>
      </c>
      <c r="P1360" s="64">
        <v>0</v>
      </c>
      <c r="Q1360" s="91" t="s">
        <v>2551</v>
      </c>
      <c r="R1360" s="64">
        <v>0</v>
      </c>
      <c r="S1360" s="67">
        <v>46233</v>
      </c>
      <c r="T1360" s="67">
        <v>46260</v>
      </c>
      <c r="U1360" s="64"/>
      <c r="V1360" s="66"/>
      <c r="W1360" s="66"/>
      <c r="X1360" s="93"/>
      <c r="Y1360" s="94"/>
      <c r="Z1360" s="91" t="str">
        <f t="shared" si="554"/>
        <v>100%</v>
      </c>
      <c r="AA1360" s="67"/>
      <c r="AB1360" s="473"/>
      <c r="AC1360" s="478" t="s">
        <v>2711</v>
      </c>
      <c r="AD1360" s="67"/>
      <c r="BA1360" t="s">
        <v>2695</v>
      </c>
    </row>
    <row r="1361" spans="2:60">
      <c r="B1361" s="64" t="s">
        <v>111</v>
      </c>
      <c r="C1361" s="65" t="s">
        <v>705</v>
      </c>
      <c r="D1361" s="66">
        <v>8.0299999999999994</v>
      </c>
      <c r="E1361" s="67">
        <v>46224</v>
      </c>
      <c r="F1361" s="64"/>
      <c r="G1361" s="67">
        <v>46226</v>
      </c>
      <c r="H1361" s="64"/>
      <c r="I1361" s="67">
        <v>46226</v>
      </c>
      <c r="J1361" s="64">
        <v>0</v>
      </c>
      <c r="K1361" s="67">
        <v>46226</v>
      </c>
      <c r="L1361" s="64"/>
      <c r="M1361" s="64">
        <v>0</v>
      </c>
      <c r="N1361" s="67">
        <v>46227</v>
      </c>
      <c r="O1361" s="64">
        <v>1</v>
      </c>
      <c r="P1361" s="64">
        <v>0</v>
      </c>
      <c r="Q1361" s="91" t="s">
        <v>2551</v>
      </c>
      <c r="R1361" s="64">
        <v>0</v>
      </c>
      <c r="S1361" s="67">
        <v>46227</v>
      </c>
      <c r="T1361" s="67">
        <v>46258</v>
      </c>
      <c r="U1361" s="64"/>
      <c r="V1361" s="66"/>
      <c r="W1361" s="66"/>
      <c r="X1361" s="93"/>
      <c r="Y1361" s="94"/>
      <c r="Z1361" s="91" t="str">
        <f t="shared" si="554"/>
        <v>100%</v>
      </c>
      <c r="AA1361" s="67"/>
      <c r="AB1361" s="473"/>
      <c r="AC1361" s="478" t="s">
        <v>2711</v>
      </c>
      <c r="AD1361" s="67"/>
      <c r="BA1361" t="s">
        <v>2687</v>
      </c>
    </row>
    <row r="1362" spans="2:60">
      <c r="B1362" s="64" t="s">
        <v>113</v>
      </c>
      <c r="C1362" s="65" t="s">
        <v>270</v>
      </c>
      <c r="D1362" s="66">
        <v>6.36</v>
      </c>
      <c r="E1362" s="67">
        <v>46192</v>
      </c>
      <c r="F1362" s="64">
        <v>46192</v>
      </c>
      <c r="G1362" s="67">
        <v>46203</v>
      </c>
      <c r="H1362" s="64"/>
      <c r="I1362" s="67">
        <v>46203</v>
      </c>
      <c r="J1362" s="64">
        <v>0</v>
      </c>
      <c r="K1362" s="67">
        <v>46240</v>
      </c>
      <c r="L1362" s="64"/>
      <c r="M1362" s="64">
        <v>0</v>
      </c>
      <c r="N1362" s="67">
        <v>46241</v>
      </c>
      <c r="O1362" s="64">
        <v>1</v>
      </c>
      <c r="P1362" s="64">
        <v>0</v>
      </c>
      <c r="Q1362" s="91" t="s">
        <v>2551</v>
      </c>
      <c r="R1362" s="64">
        <v>0</v>
      </c>
      <c r="S1362" s="67">
        <v>46245</v>
      </c>
      <c r="T1362" s="67">
        <v>46259</v>
      </c>
      <c r="U1362" s="64"/>
      <c r="V1362" s="66"/>
      <c r="W1362" s="66"/>
      <c r="X1362" s="93"/>
      <c r="Y1362" s="94"/>
      <c r="Z1362" s="91" t="str">
        <f t="shared" si="554"/>
        <v>100%</v>
      </c>
      <c r="AA1362" s="67"/>
      <c r="AB1362" s="473"/>
      <c r="AC1362" s="478" t="s">
        <v>2711</v>
      </c>
      <c r="AD1362" s="67"/>
      <c r="BA1362" t="s">
        <v>2715</v>
      </c>
    </row>
    <row r="1363" spans="2:60">
      <c r="B1363" s="64" t="s">
        <v>111</v>
      </c>
      <c r="C1363" s="65" t="s">
        <v>687</v>
      </c>
      <c r="D1363" s="66">
        <v>11.3</v>
      </c>
      <c r="E1363" s="67">
        <v>46189</v>
      </c>
      <c r="F1363" s="64"/>
      <c r="G1363" s="67">
        <v>46190</v>
      </c>
      <c r="H1363" s="64"/>
      <c r="I1363" s="67">
        <v>46190</v>
      </c>
      <c r="J1363" s="64">
        <v>0</v>
      </c>
      <c r="K1363" s="67">
        <v>46175</v>
      </c>
      <c r="L1363" s="64">
        <v>0</v>
      </c>
      <c r="M1363" s="64">
        <v>0</v>
      </c>
      <c r="N1363" s="67">
        <v>46191</v>
      </c>
      <c r="O1363" s="64">
        <v>1</v>
      </c>
      <c r="P1363" s="64">
        <v>0</v>
      </c>
      <c r="Q1363" s="91" t="s">
        <v>2551</v>
      </c>
      <c r="R1363" s="64">
        <v>0</v>
      </c>
      <c r="S1363" s="67">
        <v>46193</v>
      </c>
      <c r="T1363" s="67">
        <v>46260</v>
      </c>
      <c r="U1363" s="64"/>
      <c r="V1363" s="66"/>
      <c r="W1363" s="66"/>
      <c r="X1363" s="93"/>
      <c r="Y1363" s="94"/>
      <c r="Z1363" s="91" t="str">
        <f t="shared" si="554"/>
        <v>100%</v>
      </c>
      <c r="AA1363" s="67"/>
      <c r="AB1363" s="473"/>
      <c r="AC1363" s="478" t="s">
        <v>2711</v>
      </c>
      <c r="AD1363" s="67"/>
      <c r="BA1363" t="s">
        <v>2613</v>
      </c>
    </row>
    <row r="1364" spans="2:60">
      <c r="B1364" s="64" t="s">
        <v>116</v>
      </c>
      <c r="C1364" s="65" t="s">
        <v>196</v>
      </c>
      <c r="D1364" s="66">
        <v>12.37</v>
      </c>
      <c r="E1364" s="67">
        <v>46214</v>
      </c>
      <c r="F1364" s="64"/>
      <c r="G1364" s="67">
        <v>46222</v>
      </c>
      <c r="H1364" s="64"/>
      <c r="I1364" s="67">
        <v>46222</v>
      </c>
      <c r="J1364" s="64">
        <v>0</v>
      </c>
      <c r="K1364" s="67">
        <v>46223</v>
      </c>
      <c r="L1364" s="64"/>
      <c r="M1364" s="64">
        <v>0</v>
      </c>
      <c r="N1364" s="67">
        <v>46224</v>
      </c>
      <c r="O1364" s="64">
        <v>1</v>
      </c>
      <c r="P1364" s="64">
        <v>0</v>
      </c>
      <c r="Q1364" s="91" t="s">
        <v>2551</v>
      </c>
      <c r="R1364" s="64">
        <v>0</v>
      </c>
      <c r="S1364" s="67">
        <v>46224</v>
      </c>
      <c r="T1364" s="67">
        <v>46260</v>
      </c>
      <c r="U1364" s="64"/>
      <c r="V1364" s="66"/>
      <c r="W1364" s="66"/>
      <c r="X1364" s="93"/>
      <c r="Y1364" s="94"/>
      <c r="Z1364" s="91" t="str">
        <f t="shared" si="554"/>
        <v>100%</v>
      </c>
      <c r="AA1364" s="67"/>
      <c r="AB1364" s="473"/>
      <c r="AC1364" s="478" t="s">
        <v>2711</v>
      </c>
      <c r="AD1364" s="67"/>
      <c r="BA1364" t="s">
        <v>2685</v>
      </c>
    </row>
    <row r="1365" spans="2:60">
      <c r="B1365" s="64" t="s">
        <v>113</v>
      </c>
      <c r="C1365" s="65" t="s">
        <v>695</v>
      </c>
      <c r="D1365" s="66">
        <v>5.43</v>
      </c>
      <c r="E1365" s="67">
        <v>46204</v>
      </c>
      <c r="F1365" s="64">
        <v>46192</v>
      </c>
      <c r="G1365" s="67">
        <v>46207</v>
      </c>
      <c r="H1365" s="64"/>
      <c r="I1365" s="67">
        <v>46207</v>
      </c>
      <c r="J1365" s="64">
        <v>0</v>
      </c>
      <c r="K1365" s="67">
        <v>46217</v>
      </c>
      <c r="L1365" s="64"/>
      <c r="M1365" s="64">
        <v>0</v>
      </c>
      <c r="N1365" s="67">
        <v>46218</v>
      </c>
      <c r="O1365" s="64">
        <v>1</v>
      </c>
      <c r="P1365" s="64">
        <v>0</v>
      </c>
      <c r="Q1365" s="91" t="s">
        <v>2551</v>
      </c>
      <c r="R1365" s="64">
        <v>0</v>
      </c>
      <c r="S1365" s="67">
        <v>46226</v>
      </c>
      <c r="T1365" s="67">
        <v>46259</v>
      </c>
      <c r="U1365" s="64"/>
      <c r="V1365" s="66"/>
      <c r="W1365" s="66"/>
      <c r="X1365" s="93"/>
      <c r="Y1365" s="94"/>
      <c r="Z1365" s="91" t="str">
        <f t="shared" si="554"/>
        <v>100%</v>
      </c>
      <c r="AA1365" s="67"/>
      <c r="AB1365" s="473"/>
      <c r="AC1365" s="478" t="s">
        <v>2711</v>
      </c>
      <c r="AD1365" s="67"/>
      <c r="BA1365" t="s">
        <v>2686</v>
      </c>
    </row>
    <row r="1366" spans="2:60">
      <c r="B1366" s="64" t="s">
        <v>111</v>
      </c>
      <c r="C1366" s="65" t="s">
        <v>684</v>
      </c>
      <c r="D1366" s="66">
        <v>9.67</v>
      </c>
      <c r="E1366" s="67">
        <v>46226</v>
      </c>
      <c r="F1366" s="64"/>
      <c r="G1366" s="67">
        <v>46227</v>
      </c>
      <c r="H1366" s="64"/>
      <c r="I1366" s="67">
        <v>46227</v>
      </c>
      <c r="J1366" s="64">
        <v>0</v>
      </c>
      <c r="K1366" s="67">
        <v>46228</v>
      </c>
      <c r="L1366" s="64">
        <v>0</v>
      </c>
      <c r="M1366" s="64">
        <v>0</v>
      </c>
      <c r="N1366" s="67">
        <v>46229</v>
      </c>
      <c r="O1366" s="64">
        <v>1</v>
      </c>
      <c r="P1366" s="64">
        <v>0</v>
      </c>
      <c r="Q1366" s="91" t="s">
        <v>2551</v>
      </c>
      <c r="R1366" s="64">
        <v>0</v>
      </c>
      <c r="S1366" s="67">
        <v>46229</v>
      </c>
      <c r="T1366" s="67">
        <v>46261</v>
      </c>
      <c r="U1366" s="64"/>
      <c r="V1366" s="66"/>
      <c r="W1366" s="66"/>
      <c r="X1366" s="93"/>
      <c r="Y1366" s="94"/>
      <c r="Z1366" s="91" t="str">
        <f t="shared" si="554"/>
        <v>100%</v>
      </c>
      <c r="AA1366" s="67"/>
      <c r="AB1366" s="473"/>
      <c r="AC1366" s="478" t="s">
        <v>2711</v>
      </c>
      <c r="AD1366" s="67"/>
      <c r="BA1366" t="s">
        <v>2693</v>
      </c>
    </row>
    <row r="1367" spans="2:60">
      <c r="B1367" s="64" t="s">
        <v>111</v>
      </c>
      <c r="C1367" s="65" t="s">
        <v>701</v>
      </c>
      <c r="D1367" s="66">
        <v>6.25</v>
      </c>
      <c r="E1367" s="67">
        <v>46224</v>
      </c>
      <c r="F1367" s="64"/>
      <c r="G1367" s="67">
        <v>46226</v>
      </c>
      <c r="H1367" s="64"/>
      <c r="I1367" s="67">
        <v>46226</v>
      </c>
      <c r="J1367" s="64">
        <v>0</v>
      </c>
      <c r="K1367" s="67">
        <v>46226</v>
      </c>
      <c r="L1367" s="64"/>
      <c r="M1367" s="64">
        <v>0</v>
      </c>
      <c r="N1367" s="67">
        <v>46227</v>
      </c>
      <c r="O1367" s="64">
        <v>1</v>
      </c>
      <c r="P1367" s="64">
        <v>0</v>
      </c>
      <c r="Q1367" s="91" t="s">
        <v>2551</v>
      </c>
      <c r="R1367" s="64">
        <v>0</v>
      </c>
      <c r="S1367" s="67">
        <v>46227</v>
      </c>
      <c r="T1367" s="67">
        <v>46261</v>
      </c>
      <c r="U1367" s="64"/>
      <c r="V1367" s="66"/>
      <c r="W1367" s="66"/>
      <c r="X1367" s="93"/>
      <c r="Y1367" s="94"/>
      <c r="Z1367" s="91" t="str">
        <f t="shared" si="554"/>
        <v>100%</v>
      </c>
      <c r="AA1367" s="67"/>
      <c r="AB1367" s="473"/>
      <c r="AC1367" s="478" t="s">
        <v>2711</v>
      </c>
      <c r="AD1367" s="67"/>
      <c r="BA1367" t="s">
        <v>2688</v>
      </c>
    </row>
    <row r="1368" spans="2:60">
      <c r="B1368" s="64" t="s">
        <v>107</v>
      </c>
      <c r="C1368" s="65" t="s">
        <v>289</v>
      </c>
      <c r="D1368" s="66">
        <v>3.19</v>
      </c>
      <c r="E1368" s="67">
        <v>46228</v>
      </c>
      <c r="F1368" s="64"/>
      <c r="G1368" s="67">
        <v>46236</v>
      </c>
      <c r="H1368" s="64"/>
      <c r="I1368" s="67">
        <v>46236</v>
      </c>
      <c r="J1368" s="64">
        <v>0</v>
      </c>
      <c r="K1368" s="67">
        <v>46239</v>
      </c>
      <c r="L1368" s="64"/>
      <c r="M1368" s="64">
        <v>0</v>
      </c>
      <c r="N1368" s="67">
        <v>46240</v>
      </c>
      <c r="O1368" s="64">
        <v>1</v>
      </c>
      <c r="P1368" s="64">
        <v>0</v>
      </c>
      <c r="Q1368" s="91" t="s">
        <v>2551</v>
      </c>
      <c r="R1368" s="64">
        <v>0</v>
      </c>
      <c r="S1368" s="67">
        <v>46247</v>
      </c>
      <c r="T1368" s="67">
        <v>46260</v>
      </c>
      <c r="U1368" s="64"/>
      <c r="V1368" s="66"/>
      <c r="W1368" s="66"/>
      <c r="X1368" s="93"/>
      <c r="Y1368" s="94"/>
      <c r="Z1368" s="91" t="str">
        <f t="shared" si="554"/>
        <v>100%</v>
      </c>
      <c r="AA1368" s="67"/>
      <c r="AB1368" s="473"/>
      <c r="AC1368" s="478" t="s">
        <v>2711</v>
      </c>
      <c r="AD1368" s="67"/>
      <c r="BA1368" t="s">
        <v>318</v>
      </c>
    </row>
    <row r="1369" spans="2:60">
      <c r="B1369" s="64" t="s">
        <v>107</v>
      </c>
      <c r="C1369" s="65" t="s">
        <v>704</v>
      </c>
      <c r="D1369" s="66">
        <v>7.07</v>
      </c>
      <c r="E1369" s="67">
        <v>46229</v>
      </c>
      <c r="F1369" s="64"/>
      <c r="G1369" s="67">
        <v>46236</v>
      </c>
      <c r="H1369" s="64"/>
      <c r="I1369" s="67">
        <v>46236</v>
      </c>
      <c r="J1369" s="64">
        <v>0</v>
      </c>
      <c r="K1369" s="67">
        <v>46239</v>
      </c>
      <c r="L1369" s="64"/>
      <c r="M1369" s="64">
        <v>0</v>
      </c>
      <c r="N1369" s="67">
        <v>46240</v>
      </c>
      <c r="O1369" s="64">
        <v>1</v>
      </c>
      <c r="P1369" s="64">
        <v>0</v>
      </c>
      <c r="Q1369" s="91" t="s">
        <v>2551</v>
      </c>
      <c r="R1369" s="64">
        <v>0</v>
      </c>
      <c r="S1369" s="67">
        <v>46241</v>
      </c>
      <c r="T1369" s="67">
        <v>46265</v>
      </c>
      <c r="U1369" s="64"/>
      <c r="V1369" s="66"/>
      <c r="W1369" s="66"/>
      <c r="X1369" s="93"/>
      <c r="Y1369" s="94"/>
      <c r="Z1369" s="91" t="str">
        <f t="shared" si="554"/>
        <v>100%</v>
      </c>
      <c r="AA1369" s="67"/>
      <c r="AB1369" s="473"/>
      <c r="AC1369" s="478" t="s">
        <v>2711</v>
      </c>
      <c r="AD1369" s="67"/>
      <c r="BA1369" t="s">
        <v>2709</v>
      </c>
    </row>
    <row r="1370" spans="2:60">
      <c r="B1370" s="64" t="s">
        <v>107</v>
      </c>
      <c r="C1370" s="65" t="s">
        <v>108</v>
      </c>
      <c r="D1370" s="66">
        <v>10.98</v>
      </c>
      <c r="E1370" s="67">
        <v>46228</v>
      </c>
      <c r="F1370" s="64"/>
      <c r="G1370" s="67">
        <v>46236</v>
      </c>
      <c r="H1370" s="64"/>
      <c r="I1370" s="67">
        <v>46236</v>
      </c>
      <c r="J1370" s="64">
        <v>0</v>
      </c>
      <c r="K1370" s="67">
        <v>46239</v>
      </c>
      <c r="L1370" s="64"/>
      <c r="M1370" s="64">
        <v>0</v>
      </c>
      <c r="N1370" s="67">
        <v>46240</v>
      </c>
      <c r="O1370" s="64">
        <v>1</v>
      </c>
      <c r="P1370" s="64">
        <v>0</v>
      </c>
      <c r="Q1370" s="91" t="s">
        <v>2551</v>
      </c>
      <c r="R1370" s="64">
        <v>0</v>
      </c>
      <c r="S1370" s="67">
        <v>46246</v>
      </c>
      <c r="T1370" s="67">
        <v>46265</v>
      </c>
      <c r="U1370" s="64"/>
      <c r="V1370" s="66"/>
      <c r="W1370" s="66"/>
      <c r="X1370" s="93"/>
      <c r="Y1370" s="94"/>
      <c r="Z1370" s="91" t="str">
        <f t="shared" si="554"/>
        <v>100%</v>
      </c>
      <c r="AA1370" s="67"/>
      <c r="AB1370" s="473"/>
      <c r="AC1370" s="478" t="s">
        <v>2711</v>
      </c>
      <c r="AD1370" s="67"/>
      <c r="BA1370" t="s">
        <v>2719</v>
      </c>
    </row>
    <row r="1371" spans="2:60">
      <c r="B1371" s="64" t="s">
        <v>113</v>
      </c>
      <c r="C1371" s="65" t="s">
        <v>329</v>
      </c>
      <c r="D1371" s="66">
        <v>6.85</v>
      </c>
      <c r="E1371" s="67">
        <v>46196</v>
      </c>
      <c r="F1371" s="64"/>
      <c r="G1371" s="67">
        <v>46199</v>
      </c>
      <c r="H1371" s="64"/>
      <c r="I1371" s="67">
        <v>46199</v>
      </c>
      <c r="J1371" s="64">
        <v>0</v>
      </c>
      <c r="K1371" s="67">
        <v>46205</v>
      </c>
      <c r="L1371" s="64">
        <v>0</v>
      </c>
      <c r="M1371" s="64">
        <v>0</v>
      </c>
      <c r="N1371" s="67">
        <v>46206</v>
      </c>
      <c r="O1371" s="64">
        <v>1</v>
      </c>
      <c r="P1371" s="64">
        <v>0</v>
      </c>
      <c r="Q1371" s="91" t="s">
        <v>2551</v>
      </c>
      <c r="R1371" s="64">
        <v>0</v>
      </c>
      <c r="S1371" s="67">
        <v>46208</v>
      </c>
      <c r="T1371" s="67">
        <v>46264</v>
      </c>
      <c r="U1371" s="64"/>
      <c r="V1371" s="66"/>
      <c r="W1371" s="66"/>
      <c r="X1371" s="93"/>
      <c r="Y1371" s="94"/>
      <c r="Z1371" s="91" t="str">
        <f t="shared" si="554"/>
        <v>100%</v>
      </c>
      <c r="AA1371" s="67"/>
      <c r="AB1371" s="473"/>
      <c r="AC1371" s="478" t="s">
        <v>2711</v>
      </c>
      <c r="AD1371" s="67"/>
      <c r="BA1371" t="s">
        <v>2671</v>
      </c>
    </row>
    <row r="1372" spans="2:60">
      <c r="B1372" s="64" t="s">
        <v>113</v>
      </c>
      <c r="C1372" s="65" t="s">
        <v>700</v>
      </c>
      <c r="D1372" s="66">
        <v>8.4700000000000006</v>
      </c>
      <c r="E1372" s="67">
        <v>46196</v>
      </c>
      <c r="F1372" s="64"/>
      <c r="G1372" s="67">
        <v>46199</v>
      </c>
      <c r="H1372" s="64"/>
      <c r="I1372" s="67">
        <v>46199</v>
      </c>
      <c r="J1372" s="64">
        <v>0</v>
      </c>
      <c r="K1372" s="67">
        <v>46205</v>
      </c>
      <c r="L1372" s="64">
        <v>0</v>
      </c>
      <c r="M1372" s="64">
        <v>0</v>
      </c>
      <c r="N1372" s="67">
        <v>46206</v>
      </c>
      <c r="O1372" s="64">
        <v>1</v>
      </c>
      <c r="P1372" s="64">
        <v>0</v>
      </c>
      <c r="Q1372" s="91" t="s">
        <v>2551</v>
      </c>
      <c r="R1372" s="64">
        <v>0</v>
      </c>
      <c r="S1372" s="67">
        <v>46207</v>
      </c>
      <c r="T1372" s="67">
        <v>46265</v>
      </c>
      <c r="U1372" s="64"/>
      <c r="V1372" s="66"/>
      <c r="W1372" s="66"/>
      <c r="X1372" s="93"/>
      <c r="Y1372" s="94"/>
      <c r="Z1372" s="91" t="str">
        <f t="shared" si="554"/>
        <v>100%</v>
      </c>
      <c r="AA1372" s="67"/>
      <c r="AB1372" s="473"/>
      <c r="AC1372" s="478" t="s">
        <v>2711</v>
      </c>
      <c r="AD1372" s="67"/>
      <c r="BA1372" t="s">
        <v>2670</v>
      </c>
    </row>
    <row r="1373" spans="2:60">
      <c r="B1373" s="64" t="s">
        <v>116</v>
      </c>
      <c r="C1373" s="65" t="s">
        <v>677</v>
      </c>
      <c r="D1373" s="66">
        <v>8.66</v>
      </c>
      <c r="E1373" s="67">
        <v>46182</v>
      </c>
      <c r="F1373" s="64">
        <v>1</v>
      </c>
      <c r="G1373" s="67">
        <v>46184</v>
      </c>
      <c r="H1373" s="64">
        <v>46174</v>
      </c>
      <c r="I1373" s="67">
        <v>46184</v>
      </c>
      <c r="J1373" s="64">
        <v>0</v>
      </c>
      <c r="K1373" s="67">
        <v>46185</v>
      </c>
      <c r="L1373" s="64">
        <v>0</v>
      </c>
      <c r="M1373" s="64">
        <v>0</v>
      </c>
      <c r="N1373" s="67">
        <v>46186</v>
      </c>
      <c r="O1373" s="64">
        <v>1</v>
      </c>
      <c r="P1373" s="64">
        <v>0</v>
      </c>
      <c r="Q1373" s="91" t="s">
        <v>2551</v>
      </c>
      <c r="R1373" s="64">
        <v>0</v>
      </c>
      <c r="S1373" s="67">
        <v>46197</v>
      </c>
      <c r="T1373" s="67">
        <v>46262</v>
      </c>
      <c r="U1373" s="64"/>
      <c r="V1373" s="66"/>
      <c r="W1373" s="66"/>
      <c r="X1373" s="93"/>
      <c r="Y1373" s="94"/>
      <c r="Z1373" s="91" t="str">
        <f t="shared" si="554"/>
        <v>100%</v>
      </c>
      <c r="AA1373" s="67"/>
      <c r="AB1373" s="473"/>
      <c r="AC1373" s="478" t="s">
        <v>2711</v>
      </c>
      <c r="AD1373" s="67"/>
      <c r="BA1373" t="s">
        <v>2652</v>
      </c>
    </row>
    <row r="1374" spans="2:60">
      <c r="B1374" s="64" t="s">
        <v>109</v>
      </c>
      <c r="C1374" s="65" t="s">
        <v>708</v>
      </c>
      <c r="D1374" s="66">
        <v>7.91</v>
      </c>
      <c r="E1374" s="67">
        <v>46217</v>
      </c>
      <c r="F1374" s="64"/>
      <c r="G1374" s="67">
        <v>46219</v>
      </c>
      <c r="H1374" s="67"/>
      <c r="I1374" s="323">
        <f t="shared" ref="I1374:I1384" si="555">+G1374</f>
        <v>46219</v>
      </c>
      <c r="J1374" s="64">
        <f t="shared" ref="J1374:J1384" si="556">IF(I1374&gt;0,0,1)</f>
        <v>0</v>
      </c>
      <c r="K1374" s="67">
        <v>46221</v>
      </c>
      <c r="L1374" s="64"/>
      <c r="M1374" s="64">
        <f t="shared" ref="M1374:M1384" si="557">IF(AND(J1374&gt;0,L1374&gt;0),1,0)</f>
        <v>0</v>
      </c>
      <c r="N1374" s="67">
        <f t="shared" ref="N1374:N1384" si="558">IF(AND(I1374&gt;0,K1374&gt;0),MAX(I1374:K1374)+1,"")</f>
        <v>46222</v>
      </c>
      <c r="O1374" s="64">
        <f t="shared" ref="O1374:O1384" si="559">IF(N1374&gt;0,1,0)</f>
        <v>1</v>
      </c>
      <c r="P1374" s="64">
        <f t="shared" ref="P1374:P1384" si="560">IF(O1374&gt;0,0,1)</f>
        <v>0</v>
      </c>
      <c r="Q1374" s="324" t="str">
        <f t="shared" ref="Q1374:Q1384" si="561">IF(T1374&gt;0,"Selesai","Proses")</f>
        <v>Selesai</v>
      </c>
      <c r="R1374" s="64">
        <f t="shared" ref="R1374:R1384" si="562">IF(Q1374="proses",1,0)</f>
        <v>0</v>
      </c>
      <c r="S1374" s="67">
        <v>46233</v>
      </c>
      <c r="T1374" s="67">
        <v>46267</v>
      </c>
      <c r="U1374" s="64"/>
      <c r="V1374" s="322">
        <f>D1374</f>
        <v>7.91</v>
      </c>
      <c r="W1374" s="93">
        <v>0</v>
      </c>
      <c r="X1374" s="93">
        <v>0</v>
      </c>
      <c r="Y1374" s="409" t="str">
        <f>VLOOKUP($C1374,[4]Nanas!$C$1336:$G$1405,5,0)</f>
        <v>RC</v>
      </c>
      <c r="Z1374" s="480">
        <f>1-X1374/D1374</f>
        <v>1</v>
      </c>
      <c r="AA1374" s="67">
        <f>INDEX([5]Nanas!$M$1336:$M$1444,MATCH($C1374,[5]Nanas!$C$1336:$C$1444,0))</f>
        <v>46139</v>
      </c>
      <c r="AB1374" s="471">
        <f>S1374-AA1374</f>
        <v>94</v>
      </c>
      <c r="AC1374" s="515" t="s">
        <v>2711</v>
      </c>
      <c r="AD1374" s="67"/>
      <c r="BA1374" s="406" t="s">
        <v>2707</v>
      </c>
      <c r="BH1374" s="36"/>
    </row>
    <row r="1375" spans="2:60">
      <c r="B1375" s="64" t="s">
        <v>113</v>
      </c>
      <c r="C1375" s="65" t="s">
        <v>121</v>
      </c>
      <c r="D1375" s="66">
        <v>4.9400000000000004</v>
      </c>
      <c r="E1375" s="67">
        <v>46196</v>
      </c>
      <c r="F1375" s="64"/>
      <c r="G1375" s="67">
        <v>46199</v>
      </c>
      <c r="H1375" s="67"/>
      <c r="I1375" s="67">
        <f t="shared" si="555"/>
        <v>46199</v>
      </c>
      <c r="J1375" s="64">
        <f t="shared" si="556"/>
        <v>0</v>
      </c>
      <c r="K1375" s="67">
        <v>46205</v>
      </c>
      <c r="L1375" s="64">
        <f>IF(K1375&gt;0,0,1)</f>
        <v>0</v>
      </c>
      <c r="M1375" s="64">
        <f t="shared" si="557"/>
        <v>0</v>
      </c>
      <c r="N1375" s="67">
        <f t="shared" si="558"/>
        <v>46206</v>
      </c>
      <c r="O1375" s="64">
        <f t="shared" si="559"/>
        <v>1</v>
      </c>
      <c r="P1375" s="64">
        <f t="shared" si="560"/>
        <v>0</v>
      </c>
      <c r="Q1375" s="91" t="str">
        <f t="shared" si="561"/>
        <v>Selesai</v>
      </c>
      <c r="R1375" s="64">
        <f t="shared" si="562"/>
        <v>0</v>
      </c>
      <c r="S1375" s="67">
        <v>46219</v>
      </c>
      <c r="T1375" s="67">
        <v>46269</v>
      </c>
      <c r="U1375" s="64"/>
      <c r="V1375" s="322">
        <f t="shared" ref="V1375:V1398" si="563">D1375</f>
        <v>4.9400000000000004</v>
      </c>
      <c r="W1375" s="93">
        <v>0</v>
      </c>
      <c r="X1375" s="93">
        <v>0</v>
      </c>
      <c r="Y1375" s="409" t="str">
        <f>VLOOKUP($C1375,[4]Nanas!$C$1336:$G$1405,5,0)</f>
        <v>RC</v>
      </c>
      <c r="Z1375" s="480">
        <f t="shared" ref="Z1375:Z1384" si="564">1-X1375/D1375</f>
        <v>1</v>
      </c>
      <c r="AA1375" s="67">
        <f>INDEX([5]Nanas!$M$1336:$M$1444,MATCH($C1375,[5]Nanas!$C$1336:$C$1444,0))</f>
        <v>46160</v>
      </c>
      <c r="AB1375" s="471">
        <f t="shared" ref="AB1375:AB1378" si="565">S1375-AA1375</f>
        <v>59</v>
      </c>
      <c r="AC1375" s="516" t="s">
        <v>2711</v>
      </c>
      <c r="AD1375" s="67"/>
      <c r="BA1375" s="377" t="s">
        <v>2679</v>
      </c>
      <c r="BH1375" s="36"/>
    </row>
    <row r="1376" spans="2:60">
      <c r="B1376" s="64" t="s">
        <v>109</v>
      </c>
      <c r="C1376" s="65" t="s">
        <v>244</v>
      </c>
      <c r="D1376" s="66">
        <v>11.18</v>
      </c>
      <c r="E1376" s="67">
        <v>46213</v>
      </c>
      <c r="F1376" s="64"/>
      <c r="G1376" s="67">
        <v>46213</v>
      </c>
      <c r="H1376" s="67"/>
      <c r="I1376" s="67">
        <f t="shared" si="555"/>
        <v>46213</v>
      </c>
      <c r="J1376" s="64">
        <f t="shared" si="556"/>
        <v>0</v>
      </c>
      <c r="K1376" s="67">
        <v>46213</v>
      </c>
      <c r="L1376" s="64"/>
      <c r="M1376" s="64">
        <f t="shared" si="557"/>
        <v>0</v>
      </c>
      <c r="N1376" s="67">
        <f t="shared" si="558"/>
        <v>46214</v>
      </c>
      <c r="O1376" s="64">
        <f t="shared" si="559"/>
        <v>1</v>
      </c>
      <c r="P1376" s="64">
        <f t="shared" si="560"/>
        <v>0</v>
      </c>
      <c r="Q1376" s="91" t="str">
        <f t="shared" si="561"/>
        <v>Selesai</v>
      </c>
      <c r="R1376" s="64">
        <f t="shared" si="562"/>
        <v>0</v>
      </c>
      <c r="S1376" s="67">
        <v>46221</v>
      </c>
      <c r="T1376" s="67">
        <v>46272</v>
      </c>
      <c r="U1376" s="64"/>
      <c r="V1376" s="322">
        <f t="shared" si="563"/>
        <v>11.18</v>
      </c>
      <c r="W1376" s="93">
        <v>0</v>
      </c>
      <c r="X1376" s="93">
        <v>0</v>
      </c>
      <c r="Y1376" s="409" t="str">
        <f>VLOOKUP($C1376,[4]Nanas!$C$1336:$G$1405,5,0)</f>
        <v>BB</v>
      </c>
      <c r="Z1376" s="480">
        <f t="shared" si="564"/>
        <v>1</v>
      </c>
      <c r="AA1376" s="67">
        <f>INDEX([5]Nanas!$M$1336:$M$1444,MATCH($C1376,[5]Nanas!$C$1336:$C$1444,0))</f>
        <v>46050</v>
      </c>
      <c r="AB1376" s="471">
        <f t="shared" si="565"/>
        <v>171</v>
      </c>
      <c r="AC1376" s="516" t="s">
        <v>2711</v>
      </c>
      <c r="AD1376" s="67"/>
      <c r="BA1376" s="378" t="s">
        <v>2682</v>
      </c>
      <c r="BH1376" s="36"/>
    </row>
    <row r="1377" spans="2:60">
      <c r="B1377" s="64" t="s">
        <v>111</v>
      </c>
      <c r="C1377" s="65" t="s">
        <v>680</v>
      </c>
      <c r="D1377" s="66">
        <v>5.46</v>
      </c>
      <c r="E1377" s="67">
        <v>46226</v>
      </c>
      <c r="F1377" s="64"/>
      <c r="G1377" s="67">
        <v>46227</v>
      </c>
      <c r="H1377" s="67"/>
      <c r="I1377" s="67">
        <f t="shared" si="555"/>
        <v>46227</v>
      </c>
      <c r="J1377" s="64">
        <f t="shared" si="556"/>
        <v>0</v>
      </c>
      <c r="K1377" s="67">
        <v>46228</v>
      </c>
      <c r="L1377" s="64"/>
      <c r="M1377" s="64">
        <f t="shared" si="557"/>
        <v>0</v>
      </c>
      <c r="N1377" s="67">
        <f t="shared" si="558"/>
        <v>46229</v>
      </c>
      <c r="O1377" s="64">
        <f t="shared" si="559"/>
        <v>1</v>
      </c>
      <c r="P1377" s="64">
        <f t="shared" si="560"/>
        <v>0</v>
      </c>
      <c r="Q1377" s="91" t="str">
        <f t="shared" si="561"/>
        <v>Selesai</v>
      </c>
      <c r="R1377" s="64">
        <f t="shared" si="562"/>
        <v>0</v>
      </c>
      <c r="S1377" s="67">
        <v>46233</v>
      </c>
      <c r="T1377" s="67">
        <v>46272</v>
      </c>
      <c r="U1377" s="64"/>
      <c r="V1377" s="322">
        <f t="shared" si="563"/>
        <v>5.46</v>
      </c>
      <c r="W1377" s="93">
        <v>0</v>
      </c>
      <c r="X1377" s="93">
        <v>0</v>
      </c>
      <c r="Y1377" s="409" t="str">
        <f>VLOOKUP($C1377,[4]Nanas!$C$1336:$G$1405,5,0)</f>
        <v>RC</v>
      </c>
      <c r="Z1377" s="480">
        <f t="shared" si="564"/>
        <v>1</v>
      </c>
      <c r="AA1377" s="67">
        <f>INDEX([5]Nanas!$M$1336:$M$1444,MATCH($C1377,[5]Nanas!$C$1336:$C$1444,0))</f>
        <v>46086</v>
      </c>
      <c r="AB1377" s="471">
        <f t="shared" si="565"/>
        <v>147</v>
      </c>
      <c r="AC1377" s="516" t="s">
        <v>2711</v>
      </c>
      <c r="AD1377" s="67"/>
      <c r="BA1377" s="388" t="s">
        <v>2696</v>
      </c>
      <c r="BH1377" s="36"/>
    </row>
    <row r="1378" spans="2:60">
      <c r="B1378" s="64" t="s">
        <v>109</v>
      </c>
      <c r="C1378" s="65" t="s">
        <v>710</v>
      </c>
      <c r="D1378" s="66">
        <v>8.77</v>
      </c>
      <c r="E1378" s="67">
        <v>46218</v>
      </c>
      <c r="F1378" s="64"/>
      <c r="G1378" s="67">
        <v>46230</v>
      </c>
      <c r="H1378" s="67"/>
      <c r="I1378" s="323">
        <f t="shared" si="555"/>
        <v>46230</v>
      </c>
      <c r="J1378" s="64">
        <f t="shared" si="556"/>
        <v>0</v>
      </c>
      <c r="K1378" s="319">
        <f>I1378+1</f>
        <v>46231</v>
      </c>
      <c r="L1378" s="64"/>
      <c r="M1378" s="64">
        <f t="shared" si="557"/>
        <v>0</v>
      </c>
      <c r="N1378" s="67">
        <f t="shared" si="558"/>
        <v>46232</v>
      </c>
      <c r="O1378" s="64">
        <f t="shared" si="559"/>
        <v>1</v>
      </c>
      <c r="P1378" s="64">
        <f t="shared" si="560"/>
        <v>0</v>
      </c>
      <c r="Q1378" s="324" t="str">
        <f t="shared" si="561"/>
        <v>Selesai</v>
      </c>
      <c r="R1378" s="64">
        <f t="shared" si="562"/>
        <v>0</v>
      </c>
      <c r="S1378" s="67">
        <v>46239</v>
      </c>
      <c r="T1378" s="67">
        <v>46273</v>
      </c>
      <c r="U1378" s="64"/>
      <c r="V1378" s="322">
        <f t="shared" si="563"/>
        <v>8.77</v>
      </c>
      <c r="W1378" s="93">
        <v>0</v>
      </c>
      <c r="X1378" s="93">
        <v>0</v>
      </c>
      <c r="Y1378" s="409" t="str">
        <f>VLOOKUP($C1378,[4]Nanas!$C$1336:$G$1405,5,0)</f>
        <v>BB</v>
      </c>
      <c r="Z1378" s="480">
        <f t="shared" si="564"/>
        <v>1</v>
      </c>
      <c r="AA1378" s="67">
        <f>INDEX([5]Nanas!$M$1336:$M$1444,MATCH($C1378,[5]Nanas!$C$1336:$C$1444,0))</f>
        <v>46139</v>
      </c>
      <c r="AB1378" s="471">
        <f t="shared" si="565"/>
        <v>100</v>
      </c>
      <c r="AC1378" s="515" t="s">
        <v>2711</v>
      </c>
      <c r="AD1378" s="67"/>
      <c r="BA1378" s="377" t="s">
        <v>2701</v>
      </c>
      <c r="BH1378" s="36"/>
    </row>
    <row r="1379" spans="2:60">
      <c r="B1379" s="64" t="s">
        <v>118</v>
      </c>
      <c r="C1379" s="65" t="s">
        <v>233</v>
      </c>
      <c r="D1379" s="66">
        <v>9.91</v>
      </c>
      <c r="E1379" s="67">
        <v>46230</v>
      </c>
      <c r="F1379" s="64"/>
      <c r="G1379" s="67">
        <v>46243</v>
      </c>
      <c r="H1379" s="67"/>
      <c r="I1379" s="67">
        <f t="shared" si="555"/>
        <v>46243</v>
      </c>
      <c r="J1379" s="64">
        <f t="shared" si="556"/>
        <v>0</v>
      </c>
      <c r="K1379" s="67">
        <v>46245</v>
      </c>
      <c r="L1379" s="64"/>
      <c r="M1379" s="64">
        <f t="shared" si="557"/>
        <v>0</v>
      </c>
      <c r="N1379" s="67">
        <f t="shared" si="558"/>
        <v>46246</v>
      </c>
      <c r="O1379" s="64">
        <f t="shared" si="559"/>
        <v>1</v>
      </c>
      <c r="P1379" s="64">
        <f t="shared" si="560"/>
        <v>0</v>
      </c>
      <c r="Q1379" s="91" t="str">
        <f t="shared" si="561"/>
        <v>Selesai</v>
      </c>
      <c r="R1379" s="64">
        <f t="shared" si="562"/>
        <v>0</v>
      </c>
      <c r="S1379" s="67">
        <v>46250</v>
      </c>
      <c r="T1379" s="67">
        <v>46273</v>
      </c>
      <c r="U1379" s="64"/>
      <c r="V1379" s="322">
        <f t="shared" si="563"/>
        <v>9.91</v>
      </c>
      <c r="W1379" s="93">
        <v>0</v>
      </c>
      <c r="X1379" s="93">
        <v>0</v>
      </c>
      <c r="Y1379" s="409" t="str">
        <f>VLOOKUP($C1379,[4]Nanas!$C$1336:$G$1405,5,0)</f>
        <v>RC</v>
      </c>
      <c r="Z1379" s="480">
        <f t="shared" si="564"/>
        <v>1</v>
      </c>
      <c r="AA1379" s="67">
        <f>INDEX([5]Nanas!$M$1336:$M$1444,MATCH($C1379,[5]Nanas!$C$1336:$C$1444,0))</f>
        <v>45976</v>
      </c>
      <c r="AB1379" s="471">
        <f>S1379-AA1379</f>
        <v>274</v>
      </c>
      <c r="AC1379" s="516" t="s">
        <v>2711</v>
      </c>
      <c r="AD1379" s="67"/>
      <c r="BA1379" s="437" t="s">
        <v>147</v>
      </c>
      <c r="BH1379" s="36"/>
    </row>
    <row r="1380" spans="2:60">
      <c r="B1380" s="64" t="s">
        <v>109</v>
      </c>
      <c r="C1380" s="65" t="s">
        <v>2647</v>
      </c>
      <c r="D1380" s="66">
        <v>6.12</v>
      </c>
      <c r="E1380" s="67">
        <v>46188</v>
      </c>
      <c r="F1380" s="64"/>
      <c r="G1380" s="67">
        <v>46189</v>
      </c>
      <c r="H1380" s="67"/>
      <c r="I1380" s="67">
        <f t="shared" si="555"/>
        <v>46189</v>
      </c>
      <c r="J1380" s="64">
        <f t="shared" si="556"/>
        <v>0</v>
      </c>
      <c r="K1380" s="67">
        <v>46192</v>
      </c>
      <c r="L1380" s="64">
        <f>IF(K1380&gt;0,0,1)</f>
        <v>0</v>
      </c>
      <c r="M1380" s="64">
        <f t="shared" si="557"/>
        <v>0</v>
      </c>
      <c r="N1380" s="67">
        <f t="shared" si="558"/>
        <v>46193</v>
      </c>
      <c r="O1380" s="64">
        <f t="shared" si="559"/>
        <v>1</v>
      </c>
      <c r="P1380" s="64">
        <f t="shared" si="560"/>
        <v>0</v>
      </c>
      <c r="Q1380" s="91" t="str">
        <f t="shared" si="561"/>
        <v>Selesai</v>
      </c>
      <c r="R1380" s="64">
        <f t="shared" si="562"/>
        <v>0</v>
      </c>
      <c r="S1380" s="67">
        <v>46237</v>
      </c>
      <c r="T1380" s="67">
        <v>46275</v>
      </c>
      <c r="U1380" s="64"/>
      <c r="V1380" s="322">
        <f t="shared" si="563"/>
        <v>6.12</v>
      </c>
      <c r="W1380" s="93">
        <v>0</v>
      </c>
      <c r="X1380" s="93">
        <v>0</v>
      </c>
      <c r="Y1380" s="409" t="str">
        <f>VLOOKUP($C1380,[4]Nanas!$C$1336:$G$1405,5,0)</f>
        <v>RC</v>
      </c>
      <c r="Z1380" s="480">
        <f t="shared" si="564"/>
        <v>1</v>
      </c>
      <c r="AA1380" s="67"/>
      <c r="AB1380" s="471"/>
      <c r="AC1380" s="515" t="s">
        <v>2711</v>
      </c>
      <c r="AD1380" s="67"/>
      <c r="BA1380" s="405" t="s">
        <v>2702</v>
      </c>
      <c r="BH1380" s="36"/>
    </row>
    <row r="1381" spans="2:60">
      <c r="B1381" s="64" t="s">
        <v>109</v>
      </c>
      <c r="C1381" s="65" t="s">
        <v>2646</v>
      </c>
      <c r="D1381" s="66">
        <v>8.41</v>
      </c>
      <c r="E1381" s="67">
        <v>46188</v>
      </c>
      <c r="F1381" s="64"/>
      <c r="G1381" s="67">
        <v>46189</v>
      </c>
      <c r="H1381" s="67"/>
      <c r="I1381" s="67">
        <f t="shared" si="555"/>
        <v>46189</v>
      </c>
      <c r="J1381" s="64">
        <f t="shared" si="556"/>
        <v>0</v>
      </c>
      <c r="K1381" s="67">
        <v>46192</v>
      </c>
      <c r="L1381" s="64">
        <f>IF(K1381&gt;0,0,1)</f>
        <v>0</v>
      </c>
      <c r="M1381" s="64">
        <f t="shared" si="557"/>
        <v>0</v>
      </c>
      <c r="N1381" s="67">
        <f t="shared" si="558"/>
        <v>46193</v>
      </c>
      <c r="O1381" s="64">
        <f t="shared" si="559"/>
        <v>1</v>
      </c>
      <c r="P1381" s="64">
        <f t="shared" si="560"/>
        <v>0</v>
      </c>
      <c r="Q1381" s="91" t="str">
        <f t="shared" si="561"/>
        <v>Selesai</v>
      </c>
      <c r="R1381" s="64">
        <f t="shared" si="562"/>
        <v>0</v>
      </c>
      <c r="S1381" s="67">
        <v>46248</v>
      </c>
      <c r="T1381" s="67">
        <v>46275</v>
      </c>
      <c r="U1381" s="64"/>
      <c r="V1381" s="322">
        <f t="shared" si="563"/>
        <v>8.41</v>
      </c>
      <c r="W1381" s="93">
        <v>0</v>
      </c>
      <c r="X1381" s="93">
        <v>0</v>
      </c>
      <c r="Y1381" s="409" t="str">
        <f>VLOOKUP($C1381,[4]Nanas!$C$1336:$G$1405,5,0)</f>
        <v>RC</v>
      </c>
      <c r="Z1381" s="480">
        <f t="shared" si="564"/>
        <v>1</v>
      </c>
      <c r="AA1381" s="67"/>
      <c r="AB1381" s="471"/>
      <c r="AC1381" s="515" t="s">
        <v>2711</v>
      </c>
      <c r="AD1381" s="67"/>
      <c r="BA1381" t="s">
        <v>2720</v>
      </c>
      <c r="BH1381" s="36"/>
    </row>
    <row r="1382" spans="2:60">
      <c r="B1382" s="64" t="s">
        <v>109</v>
      </c>
      <c r="C1382" s="65" t="s">
        <v>692</v>
      </c>
      <c r="D1382" s="66">
        <v>4.0999999999999996</v>
      </c>
      <c r="E1382" s="67">
        <v>46228</v>
      </c>
      <c r="F1382" s="64"/>
      <c r="G1382" s="67">
        <v>46234</v>
      </c>
      <c r="H1382" s="67"/>
      <c r="I1382" s="67">
        <f t="shared" si="555"/>
        <v>46234</v>
      </c>
      <c r="J1382" s="64">
        <f t="shared" si="556"/>
        <v>0</v>
      </c>
      <c r="K1382" s="67">
        <v>46239</v>
      </c>
      <c r="L1382" s="64"/>
      <c r="M1382" s="64">
        <f t="shared" si="557"/>
        <v>0</v>
      </c>
      <c r="N1382" s="67">
        <f t="shared" si="558"/>
        <v>46240</v>
      </c>
      <c r="O1382" s="64">
        <f t="shared" si="559"/>
        <v>1</v>
      </c>
      <c r="P1382" s="64">
        <f t="shared" si="560"/>
        <v>0</v>
      </c>
      <c r="Q1382" s="91" t="str">
        <f t="shared" si="561"/>
        <v>Selesai</v>
      </c>
      <c r="R1382" s="64">
        <f t="shared" si="562"/>
        <v>0</v>
      </c>
      <c r="S1382" s="67">
        <v>46245</v>
      </c>
      <c r="T1382" s="67">
        <v>46275</v>
      </c>
      <c r="U1382" s="64"/>
      <c r="V1382" s="322">
        <f t="shared" si="563"/>
        <v>4.0999999999999996</v>
      </c>
      <c r="W1382" s="93">
        <v>0</v>
      </c>
      <c r="X1382" s="93">
        <v>0</v>
      </c>
      <c r="Y1382" s="409" t="str">
        <f>VLOOKUP($C1382,[4]Nanas!$C$1336:$G$1405,5,0)</f>
        <v>RC</v>
      </c>
      <c r="Z1382" s="480">
        <f t="shared" si="564"/>
        <v>1</v>
      </c>
      <c r="AA1382" s="67">
        <f>INDEX([5]Nanas!$M$1336:$M$1444,MATCH($C1382,[5]Nanas!$C$1336:$C$1444,0))</f>
        <v>46010</v>
      </c>
      <c r="AB1382" s="471">
        <f>S1382-AA1382</f>
        <v>235</v>
      </c>
      <c r="AC1382" s="516" t="s">
        <v>2711</v>
      </c>
      <c r="AD1382" s="67"/>
      <c r="BA1382" t="s">
        <v>2716</v>
      </c>
      <c r="BH1382" s="36"/>
    </row>
    <row r="1383" spans="2:60">
      <c r="B1383" s="64" t="s">
        <v>105</v>
      </c>
      <c r="C1383" s="65" t="s">
        <v>2692</v>
      </c>
      <c r="D1383" s="66">
        <v>8.9600000000000009</v>
      </c>
      <c r="E1383" s="67">
        <v>46227</v>
      </c>
      <c r="F1383" s="64"/>
      <c r="G1383" s="67">
        <v>46229</v>
      </c>
      <c r="H1383" s="67"/>
      <c r="I1383" s="67">
        <f t="shared" si="555"/>
        <v>46229</v>
      </c>
      <c r="J1383" s="64">
        <f t="shared" si="556"/>
        <v>0</v>
      </c>
      <c r="K1383" s="67">
        <v>46228</v>
      </c>
      <c r="L1383" s="64"/>
      <c r="M1383" s="64">
        <f t="shared" si="557"/>
        <v>0</v>
      </c>
      <c r="N1383" s="67">
        <f t="shared" si="558"/>
        <v>46230</v>
      </c>
      <c r="O1383" s="64">
        <f t="shared" si="559"/>
        <v>1</v>
      </c>
      <c r="P1383" s="64">
        <f t="shared" si="560"/>
        <v>0</v>
      </c>
      <c r="Q1383" s="91" t="str">
        <f t="shared" si="561"/>
        <v>Selesai</v>
      </c>
      <c r="R1383" s="64">
        <f t="shared" si="562"/>
        <v>0</v>
      </c>
      <c r="S1383" s="67">
        <v>46238</v>
      </c>
      <c r="T1383" s="67">
        <v>46275</v>
      </c>
      <c r="U1383" s="64"/>
      <c r="V1383" s="322">
        <f t="shared" si="563"/>
        <v>8.9600000000000009</v>
      </c>
      <c r="W1383" s="93">
        <v>0</v>
      </c>
      <c r="X1383" s="93">
        <v>0</v>
      </c>
      <c r="Y1383" s="409" t="str">
        <f>VLOOKUP($C1383,[4]Nanas!$C$1336:$G$1405,5,0)</f>
        <v>BB</v>
      </c>
      <c r="Z1383" s="480">
        <f t="shared" si="564"/>
        <v>1</v>
      </c>
      <c r="AA1383" s="67"/>
      <c r="AB1383" s="471"/>
      <c r="AC1383" s="516" t="s">
        <v>2711</v>
      </c>
      <c r="AD1383" s="67"/>
      <c r="BA1383" s="405" t="s">
        <v>2705</v>
      </c>
      <c r="BH1383" s="36"/>
    </row>
    <row r="1384" spans="2:60">
      <c r="B1384" s="64" t="s">
        <v>105</v>
      </c>
      <c r="C1384" s="65" t="s">
        <v>2691</v>
      </c>
      <c r="D1384" s="66">
        <v>5.37</v>
      </c>
      <c r="E1384" s="67">
        <v>46227</v>
      </c>
      <c r="F1384" s="64"/>
      <c r="G1384" s="67">
        <v>46229</v>
      </c>
      <c r="H1384" s="67"/>
      <c r="I1384" s="67">
        <f t="shared" si="555"/>
        <v>46229</v>
      </c>
      <c r="J1384" s="64">
        <f t="shared" si="556"/>
        <v>0</v>
      </c>
      <c r="K1384" s="67">
        <v>46228</v>
      </c>
      <c r="L1384" s="64"/>
      <c r="M1384" s="64">
        <f t="shared" si="557"/>
        <v>0</v>
      </c>
      <c r="N1384" s="67">
        <f t="shared" si="558"/>
        <v>46230</v>
      </c>
      <c r="O1384" s="64">
        <f t="shared" si="559"/>
        <v>1</v>
      </c>
      <c r="P1384" s="64">
        <f t="shared" si="560"/>
        <v>0</v>
      </c>
      <c r="Q1384" s="91" t="str">
        <f t="shared" si="561"/>
        <v>Selesai</v>
      </c>
      <c r="R1384" s="64">
        <f t="shared" si="562"/>
        <v>0</v>
      </c>
      <c r="S1384" s="67">
        <v>46236</v>
      </c>
      <c r="T1384" s="67">
        <v>46276</v>
      </c>
      <c r="U1384" s="64"/>
      <c r="V1384" s="322">
        <f t="shared" si="563"/>
        <v>5.37</v>
      </c>
      <c r="W1384" s="93">
        <v>0</v>
      </c>
      <c r="X1384" s="93">
        <v>0</v>
      </c>
      <c r="Y1384" s="409" t="str">
        <f>VLOOKUP($C1384,[4]Nanas!$C$1336:$G$1405,5,0)</f>
        <v>BB</v>
      </c>
      <c r="Z1384" s="480">
        <f t="shared" si="564"/>
        <v>1</v>
      </c>
      <c r="AA1384" s="67"/>
      <c r="AB1384" s="471"/>
      <c r="AC1384" s="516" t="s">
        <v>2711</v>
      </c>
      <c r="AD1384" s="67"/>
      <c r="BA1384" s="405" t="s">
        <v>2703</v>
      </c>
      <c r="BH1384" s="36"/>
    </row>
    <row r="1385" spans="2:60">
      <c r="B1385" s="64" t="s">
        <v>105</v>
      </c>
      <c r="C1385" s="65" t="s">
        <v>234</v>
      </c>
      <c r="D1385" s="451">
        <v>6.18</v>
      </c>
      <c r="E1385" s="67">
        <v>46217</v>
      </c>
      <c r="F1385" s="64"/>
      <c r="G1385" s="67">
        <v>46218</v>
      </c>
      <c r="H1385" s="67"/>
      <c r="I1385" s="67">
        <f t="shared" ref="I1385" si="566">+G1385</f>
        <v>46218</v>
      </c>
      <c r="J1385" s="64">
        <f t="shared" ref="J1385" si="567">IF(I1385&gt;0,0,1)</f>
        <v>0</v>
      </c>
      <c r="K1385" s="376">
        <v>46221</v>
      </c>
      <c r="L1385" s="64"/>
      <c r="M1385" s="64">
        <f t="shared" ref="M1385" si="568">IF(AND(J1385&gt;0,L1385&gt;0),1,0)</f>
        <v>0</v>
      </c>
      <c r="N1385" s="67">
        <f t="shared" ref="N1385" si="569">IF(AND(I1385&gt;0,K1385&gt;0),MAX(I1385:K1385)+1,"")</f>
        <v>46222</v>
      </c>
      <c r="O1385" s="64">
        <f t="shared" ref="O1385" si="570">IF(N1385&gt;0,1,0)</f>
        <v>1</v>
      </c>
      <c r="P1385" s="64">
        <f t="shared" ref="P1385" si="571">IF(O1385&gt;0,0,1)</f>
        <v>0</v>
      </c>
      <c r="Q1385" s="91" t="str">
        <f t="shared" ref="Q1385" si="572">IF(T1385&gt;0,"Selesai","Proses")</f>
        <v>Selesai</v>
      </c>
      <c r="R1385" s="64">
        <f t="shared" ref="R1385" si="573">IF(Q1385="proses",1,0)</f>
        <v>0</v>
      </c>
      <c r="S1385" s="67">
        <v>46222</v>
      </c>
      <c r="T1385" s="67">
        <v>46277</v>
      </c>
      <c r="U1385" s="64"/>
      <c r="V1385" s="322">
        <f t="shared" si="563"/>
        <v>6.18</v>
      </c>
      <c r="W1385" s="93">
        <v>0</v>
      </c>
      <c r="X1385" s="93">
        <v>0</v>
      </c>
      <c r="Y1385" s="409" t="str">
        <f>VLOOKUP($C1385,[4]Nanas!$C$1336:$G$1405,5,0)</f>
        <v>RC</v>
      </c>
      <c r="Z1385" s="480">
        <f t="shared" ref="Z1385" si="574">1-X1385/D1385</f>
        <v>1</v>
      </c>
      <c r="AA1385" s="67">
        <f>INDEX([5]Nanas!$M$1336:$M$1444,MATCH($C1385,[5]Nanas!$C$1336:$C$1444,0))</f>
        <v>46014</v>
      </c>
      <c r="AB1385" s="471">
        <f>S1385-AA1385</f>
        <v>208</v>
      </c>
      <c r="AC1385" s="516" t="s">
        <v>2711</v>
      </c>
      <c r="AD1385" s="67"/>
      <c r="BA1385" s="378" t="s">
        <v>2681</v>
      </c>
      <c r="BH1385" s="36"/>
    </row>
    <row r="1386" spans="2:60">
      <c r="B1386" s="64" t="s">
        <v>107</v>
      </c>
      <c r="C1386" s="65" t="s">
        <v>2126</v>
      </c>
      <c r="D1386" s="465">
        <v>4.7699999999999996</v>
      </c>
      <c r="E1386" s="67">
        <v>46241</v>
      </c>
      <c r="F1386" s="64"/>
      <c r="G1386" s="67">
        <v>46252</v>
      </c>
      <c r="H1386" s="67"/>
      <c r="I1386" s="67">
        <f>+G1386</f>
        <v>46252</v>
      </c>
      <c r="J1386" s="64">
        <f t="shared" ref="J1386:J1396" si="575">IF(I1386&gt;0,0,1)</f>
        <v>0</v>
      </c>
      <c r="K1386" s="67">
        <v>46268</v>
      </c>
      <c r="L1386" s="64"/>
      <c r="M1386" s="64">
        <f t="shared" ref="M1386:M1396" si="576">IF(AND(J1386&gt;0,L1386&gt;0),1,0)</f>
        <v>0</v>
      </c>
      <c r="N1386" s="67">
        <f>IF(AND(I1386&gt;0,K1386&gt;0),MAX(I1386:K1386)+1,"")</f>
        <v>46269</v>
      </c>
      <c r="O1386" s="64">
        <f t="shared" ref="O1386:O1396" si="577">IF(N1386&gt;0,1,0)</f>
        <v>1</v>
      </c>
      <c r="P1386" s="64">
        <f t="shared" ref="P1386:P1396" si="578">IF(O1386&gt;0,0,1)</f>
        <v>0</v>
      </c>
      <c r="Q1386" s="91" t="str">
        <f>IF(T1386&gt;0,"Selesai","Proses")</f>
        <v>Selesai</v>
      </c>
      <c r="R1386" s="64">
        <f t="shared" ref="R1386:R1396" si="579">IF(Q1386="proses",1,0)</f>
        <v>0</v>
      </c>
      <c r="S1386" s="67">
        <v>46269</v>
      </c>
      <c r="T1386" s="67">
        <v>46282</v>
      </c>
      <c r="U1386" s="64"/>
      <c r="V1386" s="322">
        <f t="shared" si="563"/>
        <v>4.7699999999999996</v>
      </c>
      <c r="W1386" s="93">
        <v>0</v>
      </c>
      <c r="X1386" s="93">
        <v>0</v>
      </c>
      <c r="Y1386" s="409" t="str">
        <f>VLOOKUP($C1386,[4]Nanas!$C$1336:$G$1416,5,0)</f>
        <v>PY</v>
      </c>
      <c r="Z1386" s="481">
        <f t="shared" ref="Z1386:Z1390" si="580">1-X1386/D1386</f>
        <v>1</v>
      </c>
      <c r="AA1386" s="67"/>
      <c r="AB1386" s="471"/>
      <c r="AC1386" s="517" t="s">
        <v>2711</v>
      </c>
      <c r="AD1386" s="67"/>
      <c r="BA1386" s="452" t="s">
        <v>2732</v>
      </c>
      <c r="BH1386" s="36"/>
    </row>
    <row r="1387" spans="2:60">
      <c r="B1387" s="64" t="s">
        <v>118</v>
      </c>
      <c r="C1387" s="65" t="s">
        <v>336</v>
      </c>
      <c r="D1387" s="66">
        <v>3.85</v>
      </c>
      <c r="E1387" s="67">
        <v>46231</v>
      </c>
      <c r="F1387" s="64"/>
      <c r="G1387" s="67">
        <v>46241</v>
      </c>
      <c r="H1387" s="67"/>
      <c r="I1387" s="67">
        <f>+G1387</f>
        <v>46241</v>
      </c>
      <c r="J1387" s="64">
        <f t="shared" si="575"/>
        <v>0</v>
      </c>
      <c r="K1387" s="67">
        <v>46247</v>
      </c>
      <c r="L1387" s="64"/>
      <c r="M1387" s="64">
        <f t="shared" si="576"/>
        <v>0</v>
      </c>
      <c r="N1387" s="67">
        <f>IF(AND(I1387&gt;0,K1387&gt;0),MAX(I1387:K1387)+1,"")</f>
        <v>46248</v>
      </c>
      <c r="O1387" s="64">
        <f t="shared" si="577"/>
        <v>1</v>
      </c>
      <c r="P1387" s="64">
        <f t="shared" si="578"/>
        <v>0</v>
      </c>
      <c r="Q1387" s="91" t="str">
        <f>IF(T1387&gt;0,"Selesai","Proses")</f>
        <v>Selesai</v>
      </c>
      <c r="R1387" s="64">
        <f t="shared" si="579"/>
        <v>0</v>
      </c>
      <c r="S1387" s="67">
        <v>46259</v>
      </c>
      <c r="T1387" s="67">
        <v>46282</v>
      </c>
      <c r="U1387" s="64"/>
      <c r="V1387" s="322">
        <f t="shared" si="563"/>
        <v>3.85</v>
      </c>
      <c r="W1387" s="93">
        <v>0</v>
      </c>
      <c r="X1387" s="93">
        <v>0</v>
      </c>
      <c r="Y1387" s="409" t="str">
        <f>VLOOKUP($C1387,[4]Nanas!$C$1336:$G$1416,5,0)</f>
        <v>RC</v>
      </c>
      <c r="Z1387" s="480">
        <f t="shared" si="580"/>
        <v>1</v>
      </c>
      <c r="AA1387" s="67"/>
      <c r="AB1387" s="471"/>
      <c r="AC1387" s="518" t="s">
        <v>2711</v>
      </c>
      <c r="AD1387" s="67"/>
      <c r="BA1387" s="448" t="s">
        <v>2725</v>
      </c>
      <c r="BH1387" s="36"/>
    </row>
    <row r="1388" spans="2:60">
      <c r="B1388" s="64" t="s">
        <v>118</v>
      </c>
      <c r="C1388" s="65" t="s">
        <v>267</v>
      </c>
      <c r="D1388" s="467">
        <v>8.7200000000000006</v>
      </c>
      <c r="E1388" s="67">
        <v>46231</v>
      </c>
      <c r="F1388" s="64"/>
      <c r="G1388" s="67">
        <v>46240</v>
      </c>
      <c r="H1388" s="67"/>
      <c r="I1388" s="67">
        <f>+G1388</f>
        <v>46240</v>
      </c>
      <c r="J1388" s="64">
        <f t="shared" si="575"/>
        <v>0</v>
      </c>
      <c r="K1388" s="67">
        <v>46245</v>
      </c>
      <c r="L1388" s="64"/>
      <c r="M1388" s="64">
        <f t="shared" si="576"/>
        <v>0</v>
      </c>
      <c r="N1388" s="67">
        <f>IF(AND(I1388&gt;0,K1388&gt;0),MAX(I1388:K1388)+1,"")</f>
        <v>46246</v>
      </c>
      <c r="O1388" s="64">
        <f t="shared" si="577"/>
        <v>1</v>
      </c>
      <c r="P1388" s="64">
        <f t="shared" si="578"/>
        <v>0</v>
      </c>
      <c r="Q1388" s="91" t="str">
        <f>IF(T1388&gt;0,"Selesai","Proses")</f>
        <v>Selesai</v>
      </c>
      <c r="R1388" s="64">
        <f t="shared" si="579"/>
        <v>0</v>
      </c>
      <c r="S1388" s="67">
        <v>46263</v>
      </c>
      <c r="T1388" s="67">
        <v>46282</v>
      </c>
      <c r="U1388" s="64"/>
      <c r="V1388" s="322">
        <f t="shared" si="563"/>
        <v>8.7200000000000006</v>
      </c>
      <c r="W1388" s="93">
        <v>0</v>
      </c>
      <c r="X1388" s="93">
        <v>0</v>
      </c>
      <c r="Y1388" s="409" t="str">
        <f>VLOOKUP($C1388,[4]Nanas!$C$1336:$G$1405,5,0)</f>
        <v>RC</v>
      </c>
      <c r="Z1388" s="481">
        <f t="shared" si="580"/>
        <v>1</v>
      </c>
      <c r="AA1388" s="67"/>
      <c r="AB1388" s="471"/>
      <c r="AC1388" s="516" t="s">
        <v>2711</v>
      </c>
      <c r="AD1388" s="67"/>
      <c r="BA1388" s="449" t="s">
        <v>2727</v>
      </c>
      <c r="BH1388" s="36"/>
    </row>
    <row r="1389" spans="2:60">
      <c r="B1389" s="64" t="s">
        <v>118</v>
      </c>
      <c r="C1389" s="65" t="s">
        <v>285</v>
      </c>
      <c r="D1389" s="66">
        <v>12.6</v>
      </c>
      <c r="E1389" s="67">
        <v>46255</v>
      </c>
      <c r="F1389" s="64"/>
      <c r="G1389" s="67">
        <v>46257</v>
      </c>
      <c r="H1389" s="67"/>
      <c r="I1389" s="67">
        <f t="shared" ref="I1389" si="581">+G1389</f>
        <v>46257</v>
      </c>
      <c r="J1389" s="64">
        <f t="shared" si="575"/>
        <v>0</v>
      </c>
      <c r="K1389" s="67">
        <v>46270</v>
      </c>
      <c r="L1389" s="64"/>
      <c r="M1389" s="64">
        <f t="shared" si="576"/>
        <v>0</v>
      </c>
      <c r="N1389" s="67">
        <f t="shared" ref="N1389" si="582">IF(AND(I1389&gt;0,K1389&gt;0),MAX(I1389:K1389)+1,"")</f>
        <v>46271</v>
      </c>
      <c r="O1389" s="64">
        <f t="shared" si="577"/>
        <v>1</v>
      </c>
      <c r="P1389" s="64">
        <f t="shared" si="578"/>
        <v>0</v>
      </c>
      <c r="Q1389" s="91" t="str">
        <f t="shared" ref="Q1389" si="583">IF(T1389&gt;0,"Selesai","Proses")</f>
        <v>Selesai</v>
      </c>
      <c r="R1389" s="64">
        <f t="shared" si="579"/>
        <v>0</v>
      </c>
      <c r="S1389" s="67">
        <v>46271</v>
      </c>
      <c r="T1389" s="67">
        <v>46284</v>
      </c>
      <c r="U1389" s="64"/>
      <c r="V1389" s="322">
        <f t="shared" si="563"/>
        <v>12.6</v>
      </c>
      <c r="W1389" s="93">
        <v>0</v>
      </c>
      <c r="X1389" s="93">
        <v>0</v>
      </c>
      <c r="Y1389" s="409" t="str">
        <f>VLOOKUP($C1389,[14]Nanas!$C$1336:$G$1420,5,0)</f>
        <v>RC</v>
      </c>
      <c r="Z1389" s="481">
        <f t="shared" si="580"/>
        <v>1</v>
      </c>
      <c r="AA1389" s="67">
        <f>INDEX([5]Nanas!$M$1336:$M$1444,MATCH($C1389,[5]Nanas!$C$1336:$C$1444,0))</f>
        <v>46183</v>
      </c>
      <c r="AB1389" s="471">
        <f>S1389-AA1389</f>
        <v>88</v>
      </c>
      <c r="AC1389" s="516" t="s">
        <v>2711</v>
      </c>
      <c r="AD1389" s="67"/>
      <c r="BA1389" s="452" t="s">
        <v>2733</v>
      </c>
      <c r="BH1389" s="36"/>
    </row>
    <row r="1390" spans="2:60">
      <c r="B1390" s="64" t="s">
        <v>113</v>
      </c>
      <c r="C1390" s="65" t="s">
        <v>149</v>
      </c>
      <c r="D1390" s="66">
        <v>5.59</v>
      </c>
      <c r="E1390" s="67">
        <v>46243</v>
      </c>
      <c r="F1390" s="64"/>
      <c r="G1390" s="67">
        <v>46244</v>
      </c>
      <c r="H1390" s="67"/>
      <c r="I1390" s="67">
        <f t="shared" ref="I1390:I1396" si="584">+G1390</f>
        <v>46244</v>
      </c>
      <c r="J1390" s="64">
        <f t="shared" si="575"/>
        <v>0</v>
      </c>
      <c r="K1390" s="67">
        <v>46256</v>
      </c>
      <c r="L1390" s="64"/>
      <c r="M1390" s="64">
        <f t="shared" si="576"/>
        <v>0</v>
      </c>
      <c r="N1390" s="67">
        <f t="shared" ref="N1390:N1396" si="585">IF(AND(I1390&gt;0,K1390&gt;0),MAX(I1390:K1390)+1,"")</f>
        <v>46257</v>
      </c>
      <c r="O1390" s="64">
        <f t="shared" si="577"/>
        <v>1</v>
      </c>
      <c r="P1390" s="64">
        <f t="shared" si="578"/>
        <v>0</v>
      </c>
      <c r="Q1390" s="91" t="str">
        <f t="shared" ref="Q1390:Q1396" si="586">IF(T1390&gt;0,"Selesai","Proses")</f>
        <v>Selesai</v>
      </c>
      <c r="R1390" s="64">
        <f t="shared" si="579"/>
        <v>0</v>
      </c>
      <c r="S1390" s="67">
        <v>46259</v>
      </c>
      <c r="T1390" s="67">
        <v>46286</v>
      </c>
      <c r="U1390" s="64"/>
      <c r="V1390" s="322">
        <f t="shared" si="563"/>
        <v>5.59</v>
      </c>
      <c r="W1390" s="93">
        <v>0</v>
      </c>
      <c r="X1390" s="93">
        <v>0</v>
      </c>
      <c r="Y1390" s="409" t="str">
        <f>VLOOKUP($C1390,[4]Nanas!$C$1336:$G$1416,5,0)</f>
        <v>RC</v>
      </c>
      <c r="Z1390" s="480">
        <f t="shared" si="580"/>
        <v>1</v>
      </c>
      <c r="AA1390" s="67">
        <f>INDEX([5]Nanas!$M$1336:$M$1444,MATCH($C1390,[5]Nanas!$C$1336:$C$1444,0))</f>
        <v>46164</v>
      </c>
      <c r="AB1390" s="471">
        <f>S1390-AA1390</f>
        <v>95</v>
      </c>
      <c r="AC1390" s="516" t="s">
        <v>2711</v>
      </c>
      <c r="AD1390" s="67"/>
      <c r="BA1390" s="448" t="s">
        <v>2724</v>
      </c>
      <c r="BH1390" s="36"/>
    </row>
    <row r="1391" spans="2:60">
      <c r="B1391" s="64" t="s">
        <v>116</v>
      </c>
      <c r="C1391" s="65" t="s">
        <v>281</v>
      </c>
      <c r="D1391" s="66">
        <v>8.67</v>
      </c>
      <c r="E1391" s="67">
        <v>46237</v>
      </c>
      <c r="F1391" s="64"/>
      <c r="G1391" s="67">
        <v>46244</v>
      </c>
      <c r="H1391" s="67"/>
      <c r="I1391" s="323">
        <f t="shared" si="584"/>
        <v>46244</v>
      </c>
      <c r="J1391" s="64">
        <f>IF(I1391&gt;0,0,1)</f>
        <v>0</v>
      </c>
      <c r="K1391" s="67">
        <v>46249</v>
      </c>
      <c r="L1391" s="64"/>
      <c r="M1391" s="64">
        <f>IF(AND(J1391&gt;0,L1391&gt;0),1,0)</f>
        <v>0</v>
      </c>
      <c r="N1391" s="67">
        <f t="shared" si="585"/>
        <v>46250</v>
      </c>
      <c r="O1391" s="64">
        <f>IF(N1391&gt;0,1,0)</f>
        <v>1</v>
      </c>
      <c r="P1391" s="64">
        <f>IF(O1391&gt;0,0,1)</f>
        <v>0</v>
      </c>
      <c r="Q1391" s="324" t="str">
        <f t="shared" si="586"/>
        <v>Selesai</v>
      </c>
      <c r="R1391" s="64">
        <f>IF(Q1391="proses",1,0)</f>
        <v>0</v>
      </c>
      <c r="S1391" s="67">
        <v>46267</v>
      </c>
      <c r="T1391" s="67">
        <v>46287</v>
      </c>
      <c r="U1391" s="64"/>
      <c r="V1391" s="322">
        <f t="shared" si="563"/>
        <v>8.67</v>
      </c>
      <c r="W1391" s="93">
        <v>0</v>
      </c>
      <c r="X1391" s="93">
        <v>0</v>
      </c>
      <c r="Y1391" s="409" t="str">
        <f>VLOOKUP($C1391,[4]Nanas!$C$1336:$G$1416,5,0)</f>
        <v>RC</v>
      </c>
      <c r="Z1391" s="481">
        <f t="shared" ref="Z1391:Z1398" si="587">1-X1391/D1391</f>
        <v>1</v>
      </c>
      <c r="AA1391" s="67"/>
      <c r="AB1391" s="471"/>
      <c r="AC1391" s="516" t="s">
        <v>2711</v>
      </c>
      <c r="AD1391" s="67"/>
      <c r="BA1391" s="452" t="s">
        <v>2731</v>
      </c>
      <c r="BH1391" s="36"/>
    </row>
    <row r="1392" spans="2:60">
      <c r="B1392" s="64" t="s">
        <v>107</v>
      </c>
      <c r="C1392" s="65" t="s">
        <v>2127</v>
      </c>
      <c r="D1392" s="465">
        <v>6.54</v>
      </c>
      <c r="E1392" s="67">
        <v>46241</v>
      </c>
      <c r="F1392" s="64"/>
      <c r="G1392" s="67">
        <v>46252</v>
      </c>
      <c r="H1392" s="67"/>
      <c r="I1392" s="67">
        <f t="shared" si="584"/>
        <v>46252</v>
      </c>
      <c r="J1392" s="64">
        <f>IF(I1392&gt;0,0,1)</f>
        <v>0</v>
      </c>
      <c r="K1392" s="67">
        <v>46268</v>
      </c>
      <c r="L1392" s="64"/>
      <c r="M1392" s="64">
        <f>IF(AND(J1392&gt;0,L1392&gt;0),1,0)</f>
        <v>0</v>
      </c>
      <c r="N1392" s="67">
        <f t="shared" si="585"/>
        <v>46269</v>
      </c>
      <c r="O1392" s="64">
        <f>IF(N1392&gt;0,1,0)</f>
        <v>1</v>
      </c>
      <c r="P1392" s="64">
        <f>IF(O1392&gt;0,0,1)</f>
        <v>0</v>
      </c>
      <c r="Q1392" s="91" t="str">
        <f t="shared" si="586"/>
        <v>Selesai</v>
      </c>
      <c r="R1392" s="64">
        <f>IF(Q1392="proses",1,0)</f>
        <v>0</v>
      </c>
      <c r="S1392" s="67">
        <v>46269</v>
      </c>
      <c r="T1392" s="67">
        <v>46289</v>
      </c>
      <c r="U1392" s="64"/>
      <c r="V1392" s="322">
        <f t="shared" si="563"/>
        <v>6.54</v>
      </c>
      <c r="W1392" s="93">
        <v>0</v>
      </c>
      <c r="X1392" s="93">
        <v>0</v>
      </c>
      <c r="Y1392" s="409" t="str">
        <f>VLOOKUP($C1392,[4]Nanas!$C$1336:$G$1416,5,0)</f>
        <v>PY</v>
      </c>
      <c r="Z1392" s="481">
        <f t="shared" si="587"/>
        <v>1</v>
      </c>
      <c r="AA1392" s="67"/>
      <c r="AB1392" s="471"/>
      <c r="AC1392" s="517" t="s">
        <v>2711</v>
      </c>
      <c r="AD1392" s="67"/>
      <c r="BA1392" s="452" t="s">
        <v>2306</v>
      </c>
      <c r="BH1392" s="36"/>
    </row>
    <row r="1393" spans="2:60">
      <c r="B1393" s="64" t="s">
        <v>107</v>
      </c>
      <c r="C1393" s="65" t="s">
        <v>120</v>
      </c>
      <c r="D1393" s="66">
        <v>9.44</v>
      </c>
      <c r="E1393" s="67">
        <v>46233</v>
      </c>
      <c r="F1393" s="64"/>
      <c r="G1393" s="67">
        <v>46236</v>
      </c>
      <c r="H1393" s="67"/>
      <c r="I1393" s="67">
        <f t="shared" si="584"/>
        <v>46236</v>
      </c>
      <c r="J1393" s="64">
        <f t="shared" ref="J1393" si="588">IF(I1393&gt;0,0,1)</f>
        <v>0</v>
      </c>
      <c r="K1393" s="67">
        <v>46239</v>
      </c>
      <c r="L1393" s="64"/>
      <c r="M1393" s="64">
        <f t="shared" ref="M1393" si="589">IF(AND(J1393&gt;0,L1393&gt;0),1,0)</f>
        <v>0</v>
      </c>
      <c r="N1393" s="67">
        <f t="shared" si="585"/>
        <v>46240</v>
      </c>
      <c r="O1393" s="64">
        <f>IF(N1393&gt;0,1,0)</f>
        <v>1</v>
      </c>
      <c r="P1393" s="64">
        <f>IF(O1393&gt;0,0,1)</f>
        <v>0</v>
      </c>
      <c r="Q1393" s="91" t="str">
        <f t="shared" si="586"/>
        <v>Selesai</v>
      </c>
      <c r="R1393" s="64">
        <f>IF(Q1393="proses",1,0)</f>
        <v>0</v>
      </c>
      <c r="S1393" s="67">
        <v>46261</v>
      </c>
      <c r="T1393" s="67">
        <v>46290</v>
      </c>
      <c r="U1393" s="64"/>
      <c r="V1393" s="322">
        <f t="shared" si="563"/>
        <v>9.44</v>
      </c>
      <c r="W1393" s="93">
        <v>0</v>
      </c>
      <c r="X1393" s="93">
        <v>0</v>
      </c>
      <c r="Y1393" s="409" t="str">
        <f>VLOOKUP($C1393,[4]Nanas!$C$1336:$G$1405,5,0)</f>
        <v>BB</v>
      </c>
      <c r="Z1393" s="481">
        <f t="shared" si="587"/>
        <v>1</v>
      </c>
      <c r="AA1393" s="67">
        <f>INDEX([5]Nanas!$M$1336:$M$1444,MATCH($C1393,[5]Nanas!$C$1336:$C$1444,0))</f>
        <v>46144</v>
      </c>
      <c r="AB1393" s="471">
        <f>S1393-AA1393</f>
        <v>117</v>
      </c>
      <c r="AC1393" s="516" t="s">
        <v>2711</v>
      </c>
      <c r="AD1393" s="67"/>
      <c r="BA1393" t="s">
        <v>2726</v>
      </c>
      <c r="BH1393" s="36"/>
    </row>
    <row r="1394" spans="2:60">
      <c r="B1394" s="64" t="s">
        <v>116</v>
      </c>
      <c r="C1394" s="65" t="s">
        <v>278</v>
      </c>
      <c r="D1394" s="66">
        <v>7.22</v>
      </c>
      <c r="E1394" s="67">
        <v>46262</v>
      </c>
      <c r="F1394" s="64"/>
      <c r="G1394" s="67">
        <v>46263</v>
      </c>
      <c r="H1394" s="67"/>
      <c r="I1394" s="67">
        <f>+G1394</f>
        <v>46263</v>
      </c>
      <c r="J1394" s="64">
        <f>IF(I1394&gt;0,0,1)</f>
        <v>0</v>
      </c>
      <c r="K1394" s="67">
        <v>46270</v>
      </c>
      <c r="L1394" s="64"/>
      <c r="M1394" s="64">
        <f>IF(AND(J1394&gt;0,L1394&gt;0),1,0)</f>
        <v>0</v>
      </c>
      <c r="N1394" s="67">
        <f>IF(AND(I1394&gt;0,K1394&gt;0),MAX(I1394:K1394)+1,"")</f>
        <v>46271</v>
      </c>
      <c r="O1394" s="64">
        <f t="shared" ref="O1394" si="590">IF(N1394&gt;0,1,0)</f>
        <v>1</v>
      </c>
      <c r="P1394" s="64">
        <f t="shared" ref="P1394" si="591">IF(O1394&gt;0,0,1)</f>
        <v>0</v>
      </c>
      <c r="Q1394" s="91" t="str">
        <f>IF(T1394&gt;0,"Selesai","Proses")</f>
        <v>Selesai</v>
      </c>
      <c r="R1394" s="64">
        <f t="shared" ref="R1394" si="592">IF(Q1394="proses",1,0)</f>
        <v>0</v>
      </c>
      <c r="S1394" s="67">
        <v>46278</v>
      </c>
      <c r="T1394" s="67">
        <v>46294</v>
      </c>
      <c r="U1394" s="64"/>
      <c r="V1394" s="322">
        <f t="shared" si="563"/>
        <v>7.22</v>
      </c>
      <c r="W1394" s="93">
        <v>0</v>
      </c>
      <c r="X1394" s="93">
        <v>0</v>
      </c>
      <c r="Y1394" s="409" t="s">
        <v>2729</v>
      </c>
      <c r="Z1394" s="481">
        <f t="shared" si="587"/>
        <v>1</v>
      </c>
      <c r="AA1394" s="67">
        <f>INDEX([5]Nanas!$M$1336:$M$1444,MATCH($C1394,[5]Nanas!$C$1336:$C$1444,0))</f>
        <v>46230</v>
      </c>
      <c r="AB1394" s="471">
        <f>S1394-AA1394</f>
        <v>48</v>
      </c>
      <c r="AC1394" s="516" t="s">
        <v>2711</v>
      </c>
      <c r="AD1394" s="67"/>
      <c r="BA1394" s="469" t="s">
        <v>2736</v>
      </c>
      <c r="BH1394" s="36"/>
    </row>
    <row r="1395" spans="2:60">
      <c r="B1395" s="64" t="s">
        <v>107</v>
      </c>
      <c r="C1395" s="65" t="s">
        <v>679</v>
      </c>
      <c r="D1395" s="66">
        <v>2.85</v>
      </c>
      <c r="E1395" s="67">
        <v>46272</v>
      </c>
      <c r="F1395" s="64"/>
      <c r="G1395" s="67">
        <v>46273</v>
      </c>
      <c r="H1395" s="67"/>
      <c r="I1395" s="67">
        <f t="shared" si="584"/>
        <v>46273</v>
      </c>
      <c r="J1395" s="64">
        <f>IF(I1395&gt;0,0,1)</f>
        <v>0</v>
      </c>
      <c r="K1395" s="67">
        <v>46281</v>
      </c>
      <c r="L1395" s="64"/>
      <c r="M1395" s="64">
        <f>IF(AND(J1395&gt;0,L1395&gt;0),1,0)</f>
        <v>0</v>
      </c>
      <c r="N1395" s="67">
        <f t="shared" si="585"/>
        <v>46282</v>
      </c>
      <c r="O1395" s="64">
        <f>IF(N1395&gt;0,1,0)</f>
        <v>1</v>
      </c>
      <c r="P1395" s="64">
        <f>IF(O1395&gt;0,0,1)</f>
        <v>0</v>
      </c>
      <c r="Q1395" s="91" t="str">
        <f t="shared" si="586"/>
        <v>Selesai</v>
      </c>
      <c r="R1395" s="64">
        <f>IF(Q1395="proses",1,0)</f>
        <v>0</v>
      </c>
      <c r="S1395" s="67">
        <v>46287</v>
      </c>
      <c r="T1395" s="67">
        <v>46295</v>
      </c>
      <c r="U1395" s="64"/>
      <c r="V1395" s="322">
        <f t="shared" si="563"/>
        <v>2.85</v>
      </c>
      <c r="W1395" s="93">
        <v>0</v>
      </c>
      <c r="X1395" s="93">
        <v>0</v>
      </c>
      <c r="Y1395" s="409" t="s">
        <v>2728</v>
      </c>
      <c r="Z1395" s="481">
        <f t="shared" si="587"/>
        <v>1</v>
      </c>
      <c r="AA1395" s="67">
        <f>INDEX([5]Nanas!$M$1336:$M$1444,MATCH($C1395,[5]Nanas!$C$1336:$C$1444,0))</f>
        <v>46225</v>
      </c>
      <c r="AB1395" s="471">
        <f ca="1">$E$4-AA1395</f>
        <v>83.615133912040619</v>
      </c>
      <c r="AC1395" s="516" t="s">
        <v>2711</v>
      </c>
      <c r="AD1395" s="67"/>
      <c r="BA1395" s="520" t="s">
        <v>2743</v>
      </c>
      <c r="BH1395" s="36"/>
    </row>
    <row r="1396" spans="2:60">
      <c r="B1396" s="64" t="s">
        <v>107</v>
      </c>
      <c r="C1396" s="65" t="s">
        <v>693</v>
      </c>
      <c r="D1396" s="66">
        <v>7.44</v>
      </c>
      <c r="E1396" s="67">
        <v>46272</v>
      </c>
      <c r="F1396" s="64"/>
      <c r="G1396" s="67">
        <v>46273</v>
      </c>
      <c r="H1396" s="67"/>
      <c r="I1396" s="67">
        <f t="shared" si="584"/>
        <v>46273</v>
      </c>
      <c r="J1396" s="64">
        <f t="shared" si="575"/>
        <v>0</v>
      </c>
      <c r="K1396" s="67">
        <v>46281</v>
      </c>
      <c r="L1396" s="64"/>
      <c r="M1396" s="64">
        <f t="shared" si="576"/>
        <v>0</v>
      </c>
      <c r="N1396" s="67">
        <f t="shared" si="585"/>
        <v>46282</v>
      </c>
      <c r="O1396" s="64">
        <f t="shared" si="577"/>
        <v>1</v>
      </c>
      <c r="P1396" s="64">
        <f t="shared" si="578"/>
        <v>0</v>
      </c>
      <c r="Q1396" s="91" t="str">
        <f t="shared" si="586"/>
        <v>Selesai</v>
      </c>
      <c r="R1396" s="64">
        <f t="shared" si="579"/>
        <v>0</v>
      </c>
      <c r="S1396" s="67">
        <v>46284</v>
      </c>
      <c r="T1396" s="67">
        <v>46295</v>
      </c>
      <c r="U1396" s="64"/>
      <c r="V1396" s="322">
        <f t="shared" si="563"/>
        <v>7.44</v>
      </c>
      <c r="W1396" s="93">
        <v>0</v>
      </c>
      <c r="X1396" s="93">
        <v>0</v>
      </c>
      <c r="Y1396" s="409" t="s">
        <v>2728</v>
      </c>
      <c r="Z1396" s="481">
        <f t="shared" si="587"/>
        <v>1</v>
      </c>
      <c r="AA1396" s="67">
        <f>INDEX([5]Nanas!$M$1336:$M$1444,MATCH($C1396,[5]Nanas!$C$1336:$C$1444,0))</f>
        <v>46225</v>
      </c>
      <c r="AB1396" s="471">
        <f>S1396-AA1396</f>
        <v>59</v>
      </c>
      <c r="AC1396" s="516" t="s">
        <v>2711</v>
      </c>
      <c r="AD1396" s="67"/>
      <c r="BA1396" s="520" t="s">
        <v>2744</v>
      </c>
      <c r="BH1396" s="36"/>
    </row>
    <row r="1397" spans="2:60">
      <c r="B1397" s="64" t="s">
        <v>109</v>
      </c>
      <c r="C1397" s="65" t="s">
        <v>138</v>
      </c>
      <c r="D1397" s="66">
        <v>5.59</v>
      </c>
      <c r="E1397" s="67">
        <v>46272</v>
      </c>
      <c r="F1397" s="64"/>
      <c r="G1397" s="67">
        <v>46273</v>
      </c>
      <c r="H1397" s="67"/>
      <c r="I1397" s="67">
        <f>+G1397</f>
        <v>46273</v>
      </c>
      <c r="J1397" s="64">
        <f>IF(I1397&gt;0,0,1)</f>
        <v>0</v>
      </c>
      <c r="K1397" s="67">
        <v>46283</v>
      </c>
      <c r="L1397" s="64"/>
      <c r="M1397" s="64">
        <f>IF(AND(J1397&gt;0,L1397&gt;0),1,0)</f>
        <v>0</v>
      </c>
      <c r="N1397" s="67">
        <f>IF(AND(I1397&gt;0,K1397&gt;0),MAX(I1397:K1397)+1,"")</f>
        <v>46284</v>
      </c>
      <c r="O1397" s="64">
        <f>IF(N1397&gt;0,1,0)</f>
        <v>1</v>
      </c>
      <c r="P1397" s="64">
        <f>IF(O1397&gt;0,0,1)</f>
        <v>0</v>
      </c>
      <c r="Q1397" s="91" t="str">
        <f>IF(T1397&gt;0,"Selesai","Proses")</f>
        <v>Selesai</v>
      </c>
      <c r="R1397" s="64">
        <f>IF(Q1397="proses",1,0)</f>
        <v>0</v>
      </c>
      <c r="S1397" s="67">
        <v>46285</v>
      </c>
      <c r="T1397" s="67">
        <v>46295</v>
      </c>
      <c r="U1397" s="64"/>
      <c r="V1397" s="322">
        <f t="shared" si="563"/>
        <v>5.59</v>
      </c>
      <c r="W1397" s="93">
        <v>0</v>
      </c>
      <c r="X1397" s="93">
        <v>0</v>
      </c>
      <c r="Y1397" s="409" t="str">
        <f>INDEX([6]Nanas!$G$1429:$G$1436,MATCH($C1397,[6]Nanas!$C$1429:$C$1436,0))</f>
        <v>RC</v>
      </c>
      <c r="Z1397" s="481">
        <f t="shared" si="587"/>
        <v>1</v>
      </c>
      <c r="AA1397" s="67">
        <f>INDEX([5]Nanas!$M$1336:$M$1444,MATCH($C1397,[5]Nanas!$C$1336:$C$1444,0))</f>
        <v>46198</v>
      </c>
      <c r="AB1397" s="471">
        <f>S1397-AA1397</f>
        <v>87</v>
      </c>
      <c r="AC1397" s="516" t="s">
        <v>2711</v>
      </c>
      <c r="AD1397" s="67"/>
      <c r="BA1397" s="519" t="s">
        <v>2742</v>
      </c>
      <c r="BH1397" s="36"/>
    </row>
    <row r="1398" spans="2:60">
      <c r="B1398" s="64" t="s">
        <v>116</v>
      </c>
      <c r="C1398" s="65" t="s">
        <v>273</v>
      </c>
      <c r="D1398" s="66">
        <v>5.23</v>
      </c>
      <c r="E1398" s="67">
        <v>46255</v>
      </c>
      <c r="F1398" s="64"/>
      <c r="G1398" s="67">
        <v>46260</v>
      </c>
      <c r="H1398" s="67"/>
      <c r="I1398" s="67">
        <f>+G1398</f>
        <v>46260</v>
      </c>
      <c r="J1398" s="64">
        <f>IF(I1398&gt;0,0,1)</f>
        <v>0</v>
      </c>
      <c r="K1398" s="67">
        <v>46270</v>
      </c>
      <c r="L1398" s="64"/>
      <c r="M1398" s="64">
        <f>IF(AND(J1398&gt;0,L1398&gt;0),1,0)</f>
        <v>0</v>
      </c>
      <c r="N1398" s="67">
        <f>IF(AND(I1398&gt;0,K1398&gt;0),MAX(I1398:K1398)+1,"")</f>
        <v>46271</v>
      </c>
      <c r="O1398" s="64">
        <f>IF(N1398&gt;0,1,0)</f>
        <v>1</v>
      </c>
      <c r="P1398" s="64">
        <f>IF(O1398&gt;0,0,1)</f>
        <v>0</v>
      </c>
      <c r="Q1398" s="91" t="str">
        <f>IF(T1398&gt;0,"Selesai","Proses")</f>
        <v>Selesai</v>
      </c>
      <c r="R1398" s="64">
        <f>IF(Q1398="proses",1,0)</f>
        <v>0</v>
      </c>
      <c r="S1398" s="67">
        <v>46274</v>
      </c>
      <c r="T1398" s="67">
        <v>46295</v>
      </c>
      <c r="U1398" s="64"/>
      <c r="V1398" s="322">
        <f t="shared" si="563"/>
        <v>5.23</v>
      </c>
      <c r="W1398" s="93">
        <v>0</v>
      </c>
      <c r="X1398" s="93">
        <v>0</v>
      </c>
      <c r="Y1398" s="409" t="s">
        <v>2728</v>
      </c>
      <c r="Z1398" s="481">
        <f t="shared" si="587"/>
        <v>1</v>
      </c>
      <c r="AA1398" s="67"/>
      <c r="AB1398" s="471"/>
      <c r="AC1398" s="516" t="s">
        <v>2711</v>
      </c>
      <c r="AD1398" s="67"/>
      <c r="BA1398" s="466" t="s">
        <v>351</v>
      </c>
      <c r="BH1398" s="36"/>
    </row>
  </sheetData>
  <autoFilter ref="A14:AT1344" xr:uid="{00000000-0001-0000-0100-000000000000}"/>
  <sortState xmlns:xlrd2="http://schemas.microsoft.com/office/spreadsheetml/2017/richdata2" ref="A1374:BH1384">
    <sortCondition ref="AD1374:AD1384"/>
  </sortState>
  <mergeCells count="3">
    <mergeCell ref="AR9:AS9"/>
    <mergeCell ref="AU11:AV11"/>
    <mergeCell ref="AX11:AY11"/>
  </mergeCells>
  <conditionalFormatting sqref="Q918:Q928 Q933:Q938">
    <cfRule type="expression" dxfId="1" priority="5">
      <formula>$Q$922=0</formula>
    </cfRule>
  </conditionalFormatting>
  <conditionalFormatting sqref="AY1243:AY1244 AY1251 AY1239:AY1241 AY1228:AY1236">
    <cfRule type="colorScale" priority="10">
      <colorScale>
        <cfvo type="min"/>
        <cfvo type="max"/>
        <color rgb="FFFFFF00"/>
        <color rgb="FFFFFF00"/>
      </colorScale>
    </cfRule>
  </conditionalFormatting>
  <pageMargins left="0.15625" right="7.7777777777777807E-2" top="0.39305555555555599" bottom="1" header="0.196527777777778" footer="0.51180555555555596"/>
  <pageSetup paperSize="9" scale="1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65"/>
  <sheetViews>
    <sheetView showGridLines="0" zoomScaleNormal="100" workbookViewId="0">
      <pane xSplit="4" ySplit="4" topLeftCell="E5" activePane="bottomRight" state="frozen"/>
      <selection activeCell="I29" sqref="I29"/>
      <selection pane="topRight" activeCell="I29" sqref="I29"/>
      <selection pane="bottomLeft" activeCell="I29" sqref="I29"/>
      <selection pane="bottomRight" activeCell="I29" sqref="I29"/>
    </sheetView>
  </sheetViews>
  <sheetFormatPr defaultColWidth="9.109375" defaultRowHeight="14.4"/>
  <cols>
    <col min="1" max="1" width="3.6640625" customWidth="1"/>
    <col min="2" max="2" width="5.33203125" customWidth="1"/>
    <col min="3" max="3" width="7" customWidth="1"/>
    <col min="4" max="4" width="6.6640625" customWidth="1"/>
    <col min="5" max="8" width="9.6640625" customWidth="1"/>
    <col min="9" max="10" width="10" customWidth="1"/>
    <col min="11" max="11" width="10.88671875" customWidth="1"/>
    <col min="12" max="12" width="11" customWidth="1"/>
    <col min="13" max="14" width="8.88671875" customWidth="1"/>
    <col min="15" max="15" width="9.88671875" customWidth="1"/>
    <col min="16" max="16" width="11.88671875" customWidth="1"/>
    <col min="19" max="19" width="11" bestFit="1" customWidth="1"/>
  </cols>
  <sheetData>
    <row r="2" spans="2:18" ht="21">
      <c r="B2" s="614" t="s">
        <v>83</v>
      </c>
      <c r="C2" s="615"/>
      <c r="D2" s="615"/>
      <c r="E2" s="615"/>
      <c r="F2" s="616"/>
    </row>
    <row r="4" spans="2:18" ht="30" customHeight="1">
      <c r="B4" s="9" t="s">
        <v>93</v>
      </c>
      <c r="C4" s="10" t="s">
        <v>94</v>
      </c>
      <c r="D4" s="10" t="s">
        <v>95</v>
      </c>
      <c r="E4" s="11" t="s">
        <v>97</v>
      </c>
      <c r="F4" s="11" t="s">
        <v>98</v>
      </c>
      <c r="G4" s="11" t="s">
        <v>5</v>
      </c>
      <c r="H4" s="11" t="s">
        <v>0</v>
      </c>
      <c r="I4" s="28" t="s">
        <v>711</v>
      </c>
      <c r="J4" s="28" t="s">
        <v>712</v>
      </c>
      <c r="K4" s="28" t="s">
        <v>16</v>
      </c>
      <c r="L4" s="28" t="s">
        <v>713</v>
      </c>
      <c r="M4" s="28" t="s">
        <v>714</v>
      </c>
      <c r="N4" s="29" t="s">
        <v>715</v>
      </c>
      <c r="O4" s="29" t="s">
        <v>716</v>
      </c>
      <c r="P4" s="29" t="s">
        <v>65</v>
      </c>
    </row>
    <row r="5" spans="2:18" ht="15.6">
      <c r="B5" s="12" t="s">
        <v>717</v>
      </c>
      <c r="C5" s="13"/>
      <c r="D5" s="14"/>
      <c r="P5" s="30"/>
      <c r="R5">
        <f>+R6/4</f>
        <v>5</v>
      </c>
    </row>
    <row r="6" spans="2:18">
      <c r="B6" s="15" t="s">
        <v>107</v>
      </c>
      <c r="C6" s="16" t="s">
        <v>389</v>
      </c>
      <c r="D6" s="16">
        <v>4.9000000000000004</v>
      </c>
      <c r="E6" s="17">
        <v>44335</v>
      </c>
      <c r="F6" s="17">
        <f>VLOOKUP(C6,'Data Lokasi'!$C$203:$S$1681,9,0)</f>
        <v>44338</v>
      </c>
      <c r="G6" s="17">
        <f>VLOOKUP(C6,'Data Lokasi'!$C$203:$S$1681,7,0)</f>
        <v>44352</v>
      </c>
      <c r="H6" s="17">
        <f>MAX(F6:G6)+1</f>
        <v>44353</v>
      </c>
      <c r="I6" s="31" t="str">
        <f>VLOOKUP(C6,[15]Sheet1!$B$40:$F$71,4,0)</f>
        <v>Nursery</v>
      </c>
      <c r="J6" s="31" t="s">
        <v>718</v>
      </c>
      <c r="K6" s="17">
        <f>VLOOKUP(C6,'Data Lokasi'!$C$203:$S$1681,17,0)</f>
        <v>44343</v>
      </c>
      <c r="L6" s="32">
        <f>VLOOKUP(C6,'Data Lokasi'!$C$203:$X$1681,21,0)</f>
        <v>0</v>
      </c>
      <c r="M6" s="32">
        <f>VLOOKUP(C6,'Data Lokasi'!$C$203:$X$1681,22,0)</f>
        <v>0</v>
      </c>
      <c r="N6" s="33"/>
      <c r="O6" s="34"/>
      <c r="P6" s="35"/>
      <c r="R6">
        <v>20</v>
      </c>
    </row>
    <row r="7" spans="2:18">
      <c r="B7" s="15" t="s">
        <v>107</v>
      </c>
      <c r="C7" s="16" t="s">
        <v>387</v>
      </c>
      <c r="D7" s="16">
        <f>VLOOKUP(C7,'Data Lokasi'!$C$203:$D$1681,2,0)</f>
        <v>3.34</v>
      </c>
      <c r="E7" s="17">
        <f>VLOOKUP(C7,'Data Lokasi'!$C$203:$S$1681,5,0)</f>
        <v>44335</v>
      </c>
      <c r="F7" s="17">
        <f>VLOOKUP(C7,'Data Lokasi'!$C$203:$S$1681,9,0)</f>
        <v>44338</v>
      </c>
      <c r="G7" s="17">
        <f>VLOOKUP(C7,'Data Lokasi'!$C$203:$S$1681,7,0)</f>
        <v>44357</v>
      </c>
      <c r="H7" s="17">
        <f t="shared" ref="H7:H22" si="0">MAX(F7:G7)+1</f>
        <v>44358</v>
      </c>
      <c r="I7" s="31" t="str">
        <f>VLOOKUP(C7,[15]Sheet1!$B$40:$F$71,4,0)</f>
        <v>Crown</v>
      </c>
      <c r="J7" s="31" t="str">
        <f>VLOOKUP(C7,[15]Sheet1!$B$40:$F$71,5,0)</f>
        <v>Kecil</v>
      </c>
      <c r="K7" s="17">
        <f>VLOOKUP(C7,'Data Lokasi'!$C$203:$S$1681,17,0)</f>
        <v>44347</v>
      </c>
      <c r="L7" s="32">
        <f>VLOOKUP(C7,'Data Lokasi'!$C$203:$X$1681,21,0)</f>
        <v>0</v>
      </c>
      <c r="M7" s="32">
        <f>VLOOKUP(C7,'Data Lokasi'!$C$203:$X$1681,22,0)</f>
        <v>0</v>
      </c>
      <c r="N7" s="33"/>
      <c r="O7" s="34"/>
      <c r="P7" s="35"/>
      <c r="R7" s="36"/>
    </row>
    <row r="8" spans="2:18">
      <c r="B8" s="15" t="s">
        <v>107</v>
      </c>
      <c r="C8" s="16" t="s">
        <v>386</v>
      </c>
      <c r="D8" s="18">
        <v>10.3</v>
      </c>
      <c r="E8" s="17">
        <f>VLOOKUP(C8,'Data Lokasi'!$C$203:$S$1681,5,0)</f>
        <v>44310</v>
      </c>
      <c r="F8" s="17">
        <f>VLOOKUP(C8,'Data Lokasi'!$C$203:$S$1681,9,0)</f>
        <v>44317</v>
      </c>
      <c r="G8" s="17">
        <f>VLOOKUP(C8,'Data Lokasi'!$C$203:$S$1681,7,0)</f>
        <v>44357</v>
      </c>
      <c r="H8" s="17">
        <f t="shared" si="0"/>
        <v>44358</v>
      </c>
      <c r="I8" s="31" t="s">
        <v>719</v>
      </c>
      <c r="J8" s="31" t="str">
        <f>VLOOKUP(C8,[15]Sheet1!$B$40:$F$71,5,0)</f>
        <v>Besar</v>
      </c>
      <c r="K8" s="17">
        <f>VLOOKUP(C8,'Data Lokasi'!$C$203:$S$1681,17,0)</f>
        <v>44347</v>
      </c>
      <c r="L8" s="32">
        <f>VLOOKUP(C8,'Data Lokasi'!$C$203:$X$1681,21,0)</f>
        <v>0</v>
      </c>
      <c r="M8" s="32">
        <v>0</v>
      </c>
      <c r="N8" s="33"/>
      <c r="O8" s="34"/>
      <c r="P8" s="35"/>
    </row>
    <row r="9" spans="2:18">
      <c r="B9" s="15" t="s">
        <v>109</v>
      </c>
      <c r="C9" s="16" t="s">
        <v>404</v>
      </c>
      <c r="D9" s="16">
        <f>VLOOKUP(C9,'Data Lokasi'!$C$203:$D$1681,2,0)</f>
        <v>12.16</v>
      </c>
      <c r="E9" s="17">
        <f>VLOOKUP(C9,'Data Lokasi'!$C$203:$S$1681,5,0)</f>
        <v>44307</v>
      </c>
      <c r="F9" s="17">
        <f>VLOOKUP(C9,'Data Lokasi'!$C$203:$S$1681,9,0)</f>
        <v>44308</v>
      </c>
      <c r="G9" s="17">
        <f>VLOOKUP(C9,'Data Lokasi'!$C$203:$S$1681,7,0)</f>
        <v>44337</v>
      </c>
      <c r="H9" s="17">
        <f t="shared" si="0"/>
        <v>44338</v>
      </c>
      <c r="I9" s="31" t="str">
        <f>VLOOKUP(C9,[15]Sheet1!$B$40:$F$71,4,0)</f>
        <v>Sucker</v>
      </c>
      <c r="J9" s="31" t="str">
        <f>VLOOKUP(C9,[15]Sheet1!$B$40:$F$71,5,0)</f>
        <v>Sedang</v>
      </c>
      <c r="K9" s="17">
        <f>VLOOKUP(C9,'Data Lokasi'!$C$203:$S$1681,17,0)</f>
        <v>44347</v>
      </c>
      <c r="L9" s="32">
        <v>0</v>
      </c>
      <c r="M9" s="32">
        <f>VLOOKUP(C9,'Data Lokasi'!$C$203:$X$1681,22,0)</f>
        <v>0</v>
      </c>
      <c r="N9" s="33"/>
      <c r="O9" s="34"/>
      <c r="P9" s="35"/>
    </row>
    <row r="10" spans="2:18">
      <c r="B10" s="15" t="s">
        <v>113</v>
      </c>
      <c r="C10" s="16" t="s">
        <v>401</v>
      </c>
      <c r="D10" s="16">
        <f>VLOOKUP(C10,'Data Lokasi'!$C$203:$D$1681,2,0)</f>
        <v>5.7</v>
      </c>
      <c r="E10" s="17">
        <f>VLOOKUP(C10,'Data Lokasi'!$C$203:$S$1681,5,0)</f>
        <v>44305</v>
      </c>
      <c r="F10" s="17">
        <f>VLOOKUP(C10,'Data Lokasi'!$C$203:$S$1681,9,0)</f>
        <v>44309</v>
      </c>
      <c r="G10" s="17">
        <f>VLOOKUP(C10,'Data Lokasi'!$C$203:$S$1681,7,0)</f>
        <v>44356</v>
      </c>
      <c r="H10" s="17">
        <f t="shared" si="0"/>
        <v>44357</v>
      </c>
      <c r="I10" s="31" t="str">
        <f>VLOOKUP(C10,[15]Sheet1!$B$40:$F$71,4,0)</f>
        <v>Sucker</v>
      </c>
      <c r="J10" s="31" t="str">
        <f>VLOOKUP(C10,[15]Sheet1!$B$40:$F$71,5,0)</f>
        <v>Besar</v>
      </c>
      <c r="K10" s="17">
        <f>VLOOKUP(C10,'Data Lokasi'!$C$203:$S$1681,17,0)</f>
        <v>44362</v>
      </c>
      <c r="L10" s="32">
        <f>VLOOKUP(C10,'Data Lokasi'!$C$203:$X$1681,21,0)</f>
        <v>0</v>
      </c>
      <c r="M10" s="32">
        <f>VLOOKUP(C10,'Data Lokasi'!$C$203:$X$1681,22,0)</f>
        <v>0</v>
      </c>
      <c r="N10" s="33"/>
      <c r="O10" s="34"/>
      <c r="P10" s="35"/>
    </row>
    <row r="11" spans="2:18">
      <c r="B11" s="19" t="s">
        <v>109</v>
      </c>
      <c r="C11" s="20" t="s">
        <v>391</v>
      </c>
      <c r="D11" s="21">
        <f>VLOOKUP(C11,'Data Lokasi'!$C$203:$D$1681,2,0)</f>
        <v>13.48</v>
      </c>
      <c r="E11" s="17">
        <f>VLOOKUP(C11,'Data Lokasi'!$C$203:$S$1681,5,0)</f>
        <v>44312</v>
      </c>
      <c r="F11" s="17">
        <f>VLOOKUP(C11,'Data Lokasi'!$C$203:$S$1681,9,0)</f>
        <v>44322</v>
      </c>
      <c r="G11" s="17">
        <f>VLOOKUP(C11,'Data Lokasi'!$C$203:$S$1681,7,0)</f>
        <v>44352</v>
      </c>
      <c r="H11" s="17">
        <f t="shared" si="0"/>
        <v>44353</v>
      </c>
      <c r="I11" s="31" t="str">
        <f>VLOOKUP(C11,[15]Sheet1!$B$40:$F$71,4,0)</f>
        <v>Crown</v>
      </c>
      <c r="J11" s="31" t="str">
        <f>VLOOKUP(C11,[15]Sheet1!$B$40:$F$71,5,0)</f>
        <v>Kecil</v>
      </c>
      <c r="K11" s="17">
        <f>VLOOKUP(C11,'Data Lokasi'!$C$203:$S$1681,17,0)</f>
        <v>44337</v>
      </c>
      <c r="L11" s="32">
        <f>VLOOKUP(C11,'Data Lokasi'!$C$203:$X$1681,21,0)</f>
        <v>0</v>
      </c>
      <c r="M11" s="32">
        <v>0</v>
      </c>
      <c r="N11" s="33">
        <v>0.95</v>
      </c>
      <c r="O11" s="34"/>
      <c r="P11" s="35"/>
    </row>
    <row r="12" spans="2:18">
      <c r="B12" s="19" t="s">
        <v>109</v>
      </c>
      <c r="C12" s="20" t="s">
        <v>396</v>
      </c>
      <c r="D12" s="21">
        <f>VLOOKUP(C12,'Data Lokasi'!$C$203:$D$1681,2,0)</f>
        <v>8.1300000000000008</v>
      </c>
      <c r="E12" s="17">
        <f>VLOOKUP(C12,'Data Lokasi'!$C$203:$S$1681,5,0)</f>
        <v>44345</v>
      </c>
      <c r="F12" s="17">
        <f>VLOOKUP(C12,'Data Lokasi'!$C$203:$S$1681,9,0)</f>
        <v>44355</v>
      </c>
      <c r="G12" s="17">
        <f>VLOOKUP(C12,'Data Lokasi'!$C$203:$S$1681,7,0)</f>
        <v>44363</v>
      </c>
      <c r="H12" s="17">
        <f t="shared" si="0"/>
        <v>44364</v>
      </c>
      <c r="I12" s="31" t="str">
        <f>VLOOKUP(C12,[15]Sheet1!$B$40:$F$71,4,0)</f>
        <v>Nursery</v>
      </c>
      <c r="J12" s="31" t="str">
        <f>VLOOKUP(C12,[15]Sheet1!$B$40:$F$71,5,0)</f>
        <v>Sedang</v>
      </c>
      <c r="K12" s="17">
        <f>VLOOKUP(C12,'Data Lokasi'!$C$203:$S$1681,17,0)</f>
        <v>44358</v>
      </c>
      <c r="L12" s="32">
        <f>VLOOKUP(C12,'Data Lokasi'!$C$203:$X$1681,21,0)</f>
        <v>0</v>
      </c>
      <c r="M12" s="32">
        <f>VLOOKUP(C12,'Data Lokasi'!$C$203:$X$1681,22,0)</f>
        <v>0</v>
      </c>
      <c r="N12" s="33"/>
      <c r="O12" s="34"/>
      <c r="P12" s="35"/>
    </row>
    <row r="13" spans="2:18">
      <c r="B13" s="19" t="s">
        <v>109</v>
      </c>
      <c r="C13" s="20" t="s">
        <v>399</v>
      </c>
      <c r="D13" s="21">
        <f>VLOOKUP(C13,'Data Lokasi'!$C$203:$D$1681,2,0)</f>
        <v>7.7</v>
      </c>
      <c r="E13" s="17">
        <f>VLOOKUP(C13,'Data Lokasi'!$C$203:$S$1681,5,0)</f>
        <v>44340</v>
      </c>
      <c r="F13" s="17">
        <f>VLOOKUP(C13,'Data Lokasi'!$C$203:$S$1681,9,0)</f>
        <v>44355</v>
      </c>
      <c r="G13" s="17">
        <f>VLOOKUP(C13,'Data Lokasi'!$C$203:$S$1681,7,0)</f>
        <v>44367</v>
      </c>
      <c r="H13" s="17">
        <f t="shared" si="0"/>
        <v>44368</v>
      </c>
      <c r="I13" s="31" t="str">
        <f>VLOOKUP(C13,[15]Sheet1!$B$40:$F$71,4,0)</f>
        <v>Nursery</v>
      </c>
      <c r="J13" s="31" t="str">
        <f>VLOOKUP(C13,[15]Sheet1!$B$40:$F$71,5,0)</f>
        <v>Sedang</v>
      </c>
      <c r="K13" s="17">
        <f>VLOOKUP(C13,'Data Lokasi'!$C$203:$S$1681,17,0)</f>
        <v>44358</v>
      </c>
      <c r="L13" s="32">
        <f>VLOOKUP(C13,'Data Lokasi'!$C$203:$X$1681,21,0)</f>
        <v>0</v>
      </c>
      <c r="M13" s="32">
        <f>VLOOKUP(C13,'Data Lokasi'!$C$203:$X$1681,22,0)</f>
        <v>0</v>
      </c>
      <c r="N13" s="33">
        <v>0.05</v>
      </c>
      <c r="O13" s="34"/>
      <c r="P13" s="35"/>
    </row>
    <row r="14" spans="2:18">
      <c r="B14" s="19" t="s">
        <v>109</v>
      </c>
      <c r="C14" s="20" t="s">
        <v>385</v>
      </c>
      <c r="D14" s="21">
        <f>VLOOKUP(C14,'Data Lokasi'!$C$203:$D$1681,2,0)</f>
        <v>8.39</v>
      </c>
      <c r="E14" s="17">
        <f>VLOOKUP(C14,'Data Lokasi'!$C$203:$S$1681,5,0)</f>
        <v>44315</v>
      </c>
      <c r="F14" s="17">
        <f>VLOOKUP(C14,'Data Lokasi'!$C$203:$S$1681,9,0)</f>
        <v>44333</v>
      </c>
      <c r="G14" s="17">
        <f>VLOOKUP(C14,'Data Lokasi'!$C$203:$S$1681,7,0)</f>
        <v>44348</v>
      </c>
      <c r="H14" s="17">
        <f t="shared" si="0"/>
        <v>44349</v>
      </c>
      <c r="I14" s="31" t="str">
        <f>VLOOKUP(C14,[15]Sheet1!$B$40:$F$71,4,0)</f>
        <v>Crown</v>
      </c>
      <c r="J14" s="31" t="str">
        <f>VLOOKUP(C14,[15]Sheet1!$B$40:$F$71,5,0)</f>
        <v>Kecil</v>
      </c>
      <c r="K14" s="17">
        <f>VLOOKUP(C14,'Data Lokasi'!$C$203:$S$1681,17,0)</f>
        <v>44341</v>
      </c>
      <c r="L14" s="32">
        <f>VLOOKUP(C14,'Data Lokasi'!$C$203:$X$1681,21,0)</f>
        <v>0</v>
      </c>
      <c r="M14" s="32">
        <f>VLOOKUP(C14,'Data Lokasi'!$C$203:$X$1681,22,0)</f>
        <v>0</v>
      </c>
      <c r="N14" s="33"/>
      <c r="O14" s="34"/>
      <c r="P14" s="35"/>
    </row>
    <row r="15" spans="2:18">
      <c r="B15" s="19" t="s">
        <v>109</v>
      </c>
      <c r="C15" s="20" t="s">
        <v>390</v>
      </c>
      <c r="D15" s="21">
        <f>VLOOKUP(C15,'Data Lokasi'!$C$203:$D$1681,2,0)</f>
        <v>1.92</v>
      </c>
      <c r="E15" s="17">
        <f>VLOOKUP(C15,'Data Lokasi'!$C$203:$S$1681,5,0)</f>
        <v>44315</v>
      </c>
      <c r="F15" s="17">
        <f>VLOOKUP(C15,'Data Lokasi'!$C$203:$S$1681,9,0)</f>
        <v>44333</v>
      </c>
      <c r="G15" s="17">
        <f>VLOOKUP(C15,'Data Lokasi'!$C$203:$S$1681,7,0)</f>
        <v>44348</v>
      </c>
      <c r="H15" s="17">
        <f t="shared" si="0"/>
        <v>44349</v>
      </c>
      <c r="I15" s="31" t="str">
        <f>VLOOKUP(C15,[15]Sheet1!$B$40:$F$71,4,0)</f>
        <v>Crown</v>
      </c>
      <c r="J15" s="31" t="str">
        <f>VLOOKUP(C15,[15]Sheet1!$B$40:$F$71,5,0)</f>
        <v>Kecil</v>
      </c>
      <c r="K15" s="17">
        <f>VLOOKUP(C15,'Data Lokasi'!$C$203:$S$1681,17,0)</f>
        <v>44340</v>
      </c>
      <c r="L15" s="32">
        <f>VLOOKUP(C15,'Data Lokasi'!$C$203:$X$1681,21,0)</f>
        <v>0</v>
      </c>
      <c r="M15" s="32">
        <f>VLOOKUP(C15,'Data Lokasi'!$C$203:$X$1681,22,0)</f>
        <v>0</v>
      </c>
      <c r="N15" s="33"/>
      <c r="O15" s="34"/>
      <c r="P15" s="35"/>
    </row>
    <row r="16" spans="2:18">
      <c r="B16" s="19" t="s">
        <v>109</v>
      </c>
      <c r="C16" s="20" t="s">
        <v>406</v>
      </c>
      <c r="D16" s="21">
        <f>VLOOKUP(C16,'Data Lokasi'!$C$203:$D$1681,2,0)</f>
        <v>10.52</v>
      </c>
      <c r="E16" s="17">
        <f>VLOOKUP(C16,'Data Lokasi'!$C$203:$S$1681,5,0)</f>
        <v>44316</v>
      </c>
      <c r="F16" s="17">
        <f>VLOOKUP(C16,'Data Lokasi'!$C$203:$S$1681,9,0)</f>
        <v>44333</v>
      </c>
      <c r="G16" s="17">
        <f>VLOOKUP(C16,'Data Lokasi'!$C$203:$S$1681,7,0)</f>
        <v>44367</v>
      </c>
      <c r="H16" s="17">
        <f t="shared" si="0"/>
        <v>44368</v>
      </c>
      <c r="I16" s="31" t="str">
        <f>VLOOKUP(C16,[15]Sheet1!$B$40:$F$71,4,0)</f>
        <v>Crown</v>
      </c>
      <c r="J16" s="31" t="str">
        <f>VLOOKUP(C16,[15]Sheet1!$B$40:$F$71,5,0)</f>
        <v>Kecil</v>
      </c>
      <c r="K16" s="17">
        <f>VLOOKUP(C16,'Data Lokasi'!$C$203:$S$1681,17,0)</f>
        <v>44362</v>
      </c>
      <c r="L16" s="32">
        <f>VLOOKUP(C16,'Data Lokasi'!$C$203:$X$1681,21,0)</f>
        <v>0</v>
      </c>
      <c r="M16" s="32">
        <f>VLOOKUP(C16,'Data Lokasi'!$C$203:$X$1681,22,0)</f>
        <v>0</v>
      </c>
      <c r="N16" s="33">
        <v>0</v>
      </c>
      <c r="O16" s="34"/>
      <c r="P16" s="35"/>
    </row>
    <row r="17" spans="2:16">
      <c r="B17" s="19" t="s">
        <v>109</v>
      </c>
      <c r="C17" s="20" t="s">
        <v>379</v>
      </c>
      <c r="D17" s="21">
        <f>VLOOKUP(C17,'Data Lokasi'!$C$203:$D$1681,2,0)</f>
        <v>6.56</v>
      </c>
      <c r="E17" s="17">
        <f>VLOOKUP(C17,'Data Lokasi'!$C$203:$S$1681,5,0)</f>
        <v>44322</v>
      </c>
      <c r="F17" s="17">
        <f>VLOOKUP(C17,'Data Lokasi'!$C$203:$S$1681,9,0)</f>
        <v>44344</v>
      </c>
      <c r="G17" s="17">
        <f>VLOOKUP(C17,'Data Lokasi'!$C$203:$S$1681,7,0)</f>
        <v>44367</v>
      </c>
      <c r="H17" s="17">
        <f t="shared" si="0"/>
        <v>44368</v>
      </c>
      <c r="I17" s="31" t="str">
        <f>VLOOKUP(C17,[15]Sheet1!$B$40:$F$71,4,0)</f>
        <v>Crown</v>
      </c>
      <c r="J17" s="31" t="str">
        <f>VLOOKUP(C17,[15]Sheet1!$B$40:$F$71,5,0)</f>
        <v>Kecil</v>
      </c>
      <c r="K17" s="17">
        <f>VLOOKUP(C17,'Data Lokasi'!$C$203:$S$1681,17,0)</f>
        <v>44349</v>
      </c>
      <c r="L17" s="32">
        <f>VLOOKUP(C17,'Data Lokasi'!$C$203:$X$1681,21,0)</f>
        <v>0</v>
      </c>
      <c r="M17" s="32">
        <f>VLOOKUP(C17,'Data Lokasi'!$C$203:$X$1681,22,0)</f>
        <v>0</v>
      </c>
      <c r="N17" s="33">
        <v>0</v>
      </c>
      <c r="O17" s="34"/>
      <c r="P17" s="35"/>
    </row>
    <row r="18" spans="2:16">
      <c r="B18" s="19" t="s">
        <v>109</v>
      </c>
      <c r="C18" s="20" t="s">
        <v>380</v>
      </c>
      <c r="D18" s="21">
        <f>VLOOKUP(C18,'Data Lokasi'!$C$203:$D$1681,2,0)</f>
        <v>8.2799999999999994</v>
      </c>
      <c r="E18" s="17">
        <f>VLOOKUP(C18,'Data Lokasi'!$C$203:$S$1681,5,0)</f>
        <v>44324</v>
      </c>
      <c r="F18" s="17">
        <f>VLOOKUP(C18,'Data Lokasi'!$C$203:$S$1681,9,0)</f>
        <v>44344</v>
      </c>
      <c r="G18" s="17">
        <f>VLOOKUP(C18,'Data Lokasi'!$C$203:$S$1681,7,0)</f>
        <v>44367</v>
      </c>
      <c r="H18" s="17">
        <f t="shared" si="0"/>
        <v>44368</v>
      </c>
      <c r="I18" s="31" t="str">
        <f>VLOOKUP(C18,[15]Sheet1!$B$40:$F$71,4,0)</f>
        <v>Crown</v>
      </c>
      <c r="J18" s="31" t="str">
        <f>VLOOKUP(C18,[15]Sheet1!$B$40:$F$71,5,0)</f>
        <v>Kecil</v>
      </c>
      <c r="K18" s="17">
        <f>VLOOKUP(C18,'Data Lokasi'!$C$203:$S$1681,17,0)</f>
        <v>44357</v>
      </c>
      <c r="L18" s="32">
        <f>VLOOKUP(C18,'Data Lokasi'!$C$203:$X$1681,21,0)</f>
        <v>0</v>
      </c>
      <c r="M18" s="32">
        <f>VLOOKUP(C18,'Data Lokasi'!$C$203:$X$1681,22,0)</f>
        <v>0</v>
      </c>
      <c r="N18" s="33">
        <v>0</v>
      </c>
      <c r="O18" s="34"/>
      <c r="P18" s="35"/>
    </row>
    <row r="19" spans="2:16">
      <c r="B19" s="19" t="s">
        <v>109</v>
      </c>
      <c r="C19" s="20" t="s">
        <v>397</v>
      </c>
      <c r="D19" s="21">
        <f>VLOOKUP(C19,'Data Lokasi'!$C$203:$D$1681,2,0)</f>
        <v>11.91</v>
      </c>
      <c r="E19" s="17">
        <f>VLOOKUP(C19,'Data Lokasi'!$C$203:$S$1681,5,0)</f>
        <v>44320</v>
      </c>
      <c r="F19" s="17">
        <f>VLOOKUP(C19,'Data Lokasi'!$C$203:$S$1681,9,0)</f>
        <v>44340</v>
      </c>
      <c r="G19" s="17">
        <f>VLOOKUP(C19,'Data Lokasi'!$C$203:$S$1681,7,0)</f>
        <v>44365</v>
      </c>
      <c r="H19" s="17">
        <f t="shared" si="0"/>
        <v>44366</v>
      </c>
      <c r="I19" s="31" t="str">
        <f>VLOOKUP(C19,[15]Sheet1!$B$40:$F$71,4,0)</f>
        <v>Crown</v>
      </c>
      <c r="J19" s="31" t="str">
        <f>VLOOKUP(C19,[15]Sheet1!$B$40:$F$71,5,0)</f>
        <v>Kecil</v>
      </c>
      <c r="K19" s="17">
        <f>VLOOKUP(C19,'Data Lokasi'!$C$203:$S$1681,17,0)</f>
        <v>44345</v>
      </c>
      <c r="L19" s="32">
        <f>VLOOKUP(C19,'Data Lokasi'!$C$203:$X$1681,21,0)</f>
        <v>0</v>
      </c>
      <c r="M19" s="32">
        <f>VLOOKUP(C19,'Data Lokasi'!$C$203:$X$1681,22,0)</f>
        <v>0</v>
      </c>
      <c r="N19" s="33">
        <v>0.5</v>
      </c>
      <c r="O19" s="34"/>
      <c r="P19" s="35"/>
    </row>
    <row r="20" spans="2:16">
      <c r="B20" s="19" t="s">
        <v>105</v>
      </c>
      <c r="C20" s="20" t="s">
        <v>398</v>
      </c>
      <c r="D20" s="21">
        <f>VLOOKUP(C20,'Data Lokasi'!$C$203:$D$1681,2,0)</f>
        <v>8.2799999999999994</v>
      </c>
      <c r="E20" s="17">
        <f>VLOOKUP(C20,'Data Lokasi'!$C$203:$S$1681,5,0)</f>
        <v>44316</v>
      </c>
      <c r="F20" s="17">
        <f>VLOOKUP(C20,'Data Lokasi'!$C$203:$S$1681,9,0)</f>
        <v>44333</v>
      </c>
      <c r="G20" s="17">
        <f>VLOOKUP(C20,'Data Lokasi'!$C$203:$S$1681,7,0)</f>
        <v>44362</v>
      </c>
      <c r="H20" s="17">
        <f t="shared" si="0"/>
        <v>44363</v>
      </c>
      <c r="I20" s="31" t="str">
        <f>VLOOKUP(C20,[15]Sheet1!$B$40:$F$71,4,0)</f>
        <v>Sucker</v>
      </c>
      <c r="J20" s="31" t="str">
        <f>VLOOKUP(C20,[15]Sheet1!$B$40:$F$71,5,0)</f>
        <v>Besar</v>
      </c>
      <c r="K20" s="17">
        <f>VLOOKUP(C20,'Data Lokasi'!$C$203:$S$1681,17,0)</f>
        <v>44352</v>
      </c>
      <c r="L20" s="32">
        <f>VLOOKUP(C20,'Data Lokasi'!$C$203:$X$1681,21,0)</f>
        <v>0</v>
      </c>
      <c r="M20" s="32">
        <f>VLOOKUP(C20,'Data Lokasi'!$C$203:$X$1681,22,0)</f>
        <v>0</v>
      </c>
      <c r="N20" s="33"/>
      <c r="O20" s="34"/>
      <c r="P20" s="35"/>
    </row>
    <row r="21" spans="2:16">
      <c r="B21" s="19" t="s">
        <v>105</v>
      </c>
      <c r="C21" s="20" t="s">
        <v>388</v>
      </c>
      <c r="D21" s="21">
        <f>VLOOKUP(C21,'Data Lokasi'!$C$203:$D$1681,2,0)</f>
        <v>10.62</v>
      </c>
      <c r="E21" s="17">
        <f>VLOOKUP(C21,'Data Lokasi'!$C$203:$S$1681,5,0)</f>
        <v>44308</v>
      </c>
      <c r="F21" s="17">
        <f>VLOOKUP(C21,'Data Lokasi'!$C$203:$S$1681,9,0)</f>
        <v>44319</v>
      </c>
      <c r="G21" s="17">
        <f>VLOOKUP(C21,'Data Lokasi'!$C$203:$S$1681,7,0)</f>
        <v>44362</v>
      </c>
      <c r="H21" s="17">
        <f t="shared" si="0"/>
        <v>44363</v>
      </c>
      <c r="I21" s="31" t="str">
        <f>VLOOKUP(C21,[15]Sheet1!$B$40:$F$71,4,0)</f>
        <v>Nursery</v>
      </c>
      <c r="J21" s="31" t="str">
        <f>VLOOKUP(C21,[15]Sheet1!$B$40:$F$71,5,0)</f>
        <v>Kecil</v>
      </c>
      <c r="K21" s="17">
        <f>VLOOKUP(C21,'Data Lokasi'!$C$203:$S$1681,17,0)</f>
        <v>44339</v>
      </c>
      <c r="L21" s="32">
        <f>VLOOKUP(C21,'Data Lokasi'!$C$203:$X$1681,21,0)</f>
        <v>0</v>
      </c>
      <c r="M21" s="32">
        <f>VLOOKUP(C21,'Data Lokasi'!$C$203:$X$1681,22,0)</f>
        <v>0</v>
      </c>
      <c r="N21" s="33"/>
      <c r="O21" s="34"/>
      <c r="P21" s="35"/>
    </row>
    <row r="22" spans="2:16">
      <c r="B22" s="19" t="s">
        <v>105</v>
      </c>
      <c r="C22" s="20" t="s">
        <v>392</v>
      </c>
      <c r="D22" s="21">
        <f>VLOOKUP(C22,'Data Lokasi'!$C$203:$D$1681,2,0)</f>
        <v>12.38</v>
      </c>
      <c r="E22" s="17">
        <f>VLOOKUP(C22,'Data Lokasi'!$C$203:$S$1681,5,0)</f>
        <v>44296</v>
      </c>
      <c r="F22" s="17">
        <f>VLOOKUP(C22,'Data Lokasi'!$C$203:$S$1681,9,0)</f>
        <v>44305</v>
      </c>
      <c r="G22" s="17">
        <f>VLOOKUP(C22,'Data Lokasi'!$C$203:$S$1681,7,0)</f>
        <v>44314</v>
      </c>
      <c r="H22" s="17">
        <f t="shared" si="0"/>
        <v>44315</v>
      </c>
      <c r="I22" s="31" t="str">
        <f>VLOOKUP(C22,[15]Sheet1!$B$40:$F$71,4,0)</f>
        <v>Nursery</v>
      </c>
      <c r="J22" s="31" t="str">
        <f>VLOOKUP(C22,[15]Sheet1!$B$40:$F$71,5,0)</f>
        <v>Kecil</v>
      </c>
      <c r="K22" s="17">
        <f>VLOOKUP(C22,'Data Lokasi'!$C$203:$S$1681,17,0)</f>
        <v>44307</v>
      </c>
      <c r="L22" s="32">
        <f>VLOOKUP(C22,'Data Lokasi'!$C$203:$X$1681,21,0)</f>
        <v>0</v>
      </c>
      <c r="M22" s="32">
        <f>VLOOKUP(C22,'Data Lokasi'!$C$203:$X$1681,22,0)</f>
        <v>0</v>
      </c>
      <c r="N22" s="33"/>
      <c r="O22" s="34"/>
      <c r="P22" s="35"/>
    </row>
    <row r="23" spans="2:16">
      <c r="B23" s="22"/>
      <c r="C23" s="23"/>
      <c r="D23" s="22"/>
      <c r="E23" s="24"/>
      <c r="F23" s="24"/>
      <c r="G23" s="24"/>
      <c r="H23" s="24"/>
      <c r="I23" s="30"/>
      <c r="J23" s="30"/>
      <c r="K23" s="24"/>
      <c r="L23" s="36"/>
      <c r="M23" s="36"/>
      <c r="N23" s="36"/>
      <c r="O23" s="37"/>
      <c r="P23" s="30">
        <f>SUM(P11:P22)</f>
        <v>0</v>
      </c>
    </row>
    <row r="24" spans="2:16">
      <c r="E24" s="24"/>
      <c r="F24" s="24"/>
      <c r="G24" s="25"/>
      <c r="H24" s="25"/>
      <c r="O24" s="37"/>
      <c r="P24" s="30"/>
    </row>
    <row r="25" spans="2:16" ht="15.6">
      <c r="B25" s="12" t="s">
        <v>720</v>
      </c>
      <c r="C25" s="13"/>
      <c r="D25" s="14"/>
      <c r="E25" s="24"/>
      <c r="F25" s="24"/>
      <c r="G25" s="25"/>
      <c r="H25" s="25"/>
      <c r="O25" s="37"/>
      <c r="P25" s="30"/>
    </row>
    <row r="26" spans="2:16">
      <c r="B26" s="15" t="s">
        <v>107</v>
      </c>
      <c r="C26" s="16" t="s">
        <v>414</v>
      </c>
      <c r="D26" s="16">
        <f>VLOOKUP(C26,'Data Lokasi'!$C$203:$D$1681,2,0)</f>
        <v>5.05</v>
      </c>
      <c r="E26" s="17">
        <f>VLOOKUP(C26,'Data Lokasi'!$C$203:$S$1681,5,0)</f>
        <v>44350</v>
      </c>
      <c r="F26" s="17">
        <f>VLOOKUP(C26,'Data Lokasi'!$C$203:$S$1681,9,0)</f>
        <v>44358</v>
      </c>
      <c r="G26" s="17">
        <f>VLOOKUP(C26,'Data Lokasi'!$C$203:$S$1681,7,0)</f>
        <v>44356</v>
      </c>
      <c r="H26" s="17">
        <f>MAX(F26:G26)+1</f>
        <v>44359</v>
      </c>
      <c r="I26" s="31" t="s">
        <v>719</v>
      </c>
      <c r="J26" s="31"/>
      <c r="K26" s="17"/>
      <c r="L26" s="38"/>
      <c r="M26" s="38"/>
      <c r="N26" s="39"/>
      <c r="O26" s="34"/>
      <c r="P26" s="35"/>
    </row>
    <row r="27" spans="2:16">
      <c r="B27" s="15" t="s">
        <v>109</v>
      </c>
      <c r="C27" s="16" t="s">
        <v>404</v>
      </c>
      <c r="D27" s="16">
        <f>VLOOKUP(C27,'Data Lokasi'!$C$203:$D$1681,2,0)</f>
        <v>12.16</v>
      </c>
      <c r="E27" s="17">
        <f>VLOOKUP(C27,'Data Lokasi'!$C$203:$S$1681,5,0)</f>
        <v>44307</v>
      </c>
      <c r="F27" s="17">
        <f>VLOOKUP(C27,'Data Lokasi'!$C$203:$S$1681,9,0)</f>
        <v>44308</v>
      </c>
      <c r="G27" s="17">
        <f>VLOOKUP(C27,'Data Lokasi'!$C$203:$S$1681,7,0)</f>
        <v>44337</v>
      </c>
      <c r="H27" s="17">
        <f>MAX(F27:G27)+1</f>
        <v>44338</v>
      </c>
      <c r="I27" s="31" t="s">
        <v>719</v>
      </c>
      <c r="J27" s="31"/>
      <c r="K27" s="17"/>
      <c r="L27" s="38"/>
      <c r="M27" s="38"/>
      <c r="N27" s="39"/>
      <c r="O27" s="34"/>
      <c r="P27" s="35"/>
    </row>
    <row r="28" spans="2:16">
      <c r="E28" s="24"/>
      <c r="F28" s="24"/>
      <c r="G28" s="25"/>
      <c r="H28" s="25"/>
      <c r="I28" s="30"/>
      <c r="J28" s="30"/>
      <c r="O28" s="37"/>
      <c r="P28" s="30"/>
    </row>
    <row r="29" spans="2:16" ht="15.6">
      <c r="B29" s="12" t="s">
        <v>721</v>
      </c>
      <c r="C29" s="13"/>
      <c r="D29" s="14"/>
      <c r="E29" s="24"/>
      <c r="F29" s="24"/>
      <c r="G29" s="25"/>
      <c r="H29" s="25"/>
      <c r="I29" s="30"/>
      <c r="J29" s="30"/>
      <c r="N29" s="40"/>
      <c r="O29" s="37"/>
      <c r="P29" s="30"/>
    </row>
    <row r="30" spans="2:16">
      <c r="B30" s="15" t="s">
        <v>107</v>
      </c>
      <c r="C30" s="16" t="s">
        <v>408</v>
      </c>
      <c r="D30" s="16">
        <f>VLOOKUP(C30,'Data Lokasi'!$C$203:$D$1681,2,0)</f>
        <v>9.75</v>
      </c>
      <c r="E30" s="17">
        <f>VLOOKUP(C30,'Data Lokasi'!$C$203:$S$1681,5,0)</f>
        <v>44350</v>
      </c>
      <c r="F30" s="17">
        <f>VLOOKUP(C30,'Data Lokasi'!$C$203:$S$1681,9,0)</f>
        <v>44358</v>
      </c>
      <c r="G30" s="17"/>
      <c r="H30" s="17"/>
      <c r="I30" s="31"/>
      <c r="J30" s="31"/>
      <c r="K30" s="17"/>
      <c r="L30" s="38"/>
      <c r="M30" s="38"/>
      <c r="N30" s="39">
        <v>0.8</v>
      </c>
      <c r="O30" s="34"/>
      <c r="P30" s="35"/>
    </row>
    <row r="31" spans="2:16">
      <c r="B31" s="15" t="s">
        <v>107</v>
      </c>
      <c r="C31" s="16" t="s">
        <v>425</v>
      </c>
      <c r="D31" s="16">
        <f>VLOOKUP(C31,'Data Lokasi'!$C$203:$D$1681,2,0)</f>
        <v>8.85</v>
      </c>
      <c r="E31" s="17">
        <f>VLOOKUP(C31,'Data Lokasi'!$C$203:$S$1681,5,0)</f>
        <v>44360</v>
      </c>
      <c r="F31" s="17"/>
      <c r="G31" s="17"/>
      <c r="H31" s="17"/>
      <c r="I31" s="31"/>
      <c r="J31" s="31"/>
      <c r="K31" s="17"/>
      <c r="L31" s="38"/>
      <c r="M31" s="38"/>
      <c r="N31" s="39">
        <v>0.01</v>
      </c>
      <c r="O31" s="34"/>
      <c r="P31" s="35"/>
    </row>
    <row r="32" spans="2:16">
      <c r="B32" s="15" t="s">
        <v>107</v>
      </c>
      <c r="C32" s="16" t="s">
        <v>440</v>
      </c>
      <c r="D32" s="16">
        <f>VLOOKUP(C32,'Data Lokasi'!$C$203:$D$1681,2,0)</f>
        <v>11.33</v>
      </c>
      <c r="E32" s="17">
        <f>VLOOKUP(C32,'Data Lokasi'!$C$203:$S$1681,5,0)</f>
        <v>44356</v>
      </c>
      <c r="F32" s="17"/>
      <c r="G32" s="17"/>
      <c r="H32" s="17"/>
      <c r="I32" s="31"/>
      <c r="J32" s="31"/>
      <c r="K32" s="17"/>
      <c r="L32" s="38"/>
      <c r="M32" s="38"/>
      <c r="N32" s="39"/>
      <c r="O32" s="34"/>
      <c r="P32" s="35"/>
    </row>
    <row r="33" spans="2:16">
      <c r="B33" s="15" t="s">
        <v>109</v>
      </c>
      <c r="C33" s="16" t="s">
        <v>403</v>
      </c>
      <c r="D33" s="16">
        <f>VLOOKUP(C33,'Data Lokasi'!$C$203:$D$1681,2,0)</f>
        <v>5.5</v>
      </c>
      <c r="E33" s="17">
        <f>VLOOKUP(C33,'Data Lokasi'!$C$203:$S$1681,5,0)</f>
        <v>44359</v>
      </c>
      <c r="F33" s="17"/>
      <c r="G33" s="17"/>
      <c r="H33" s="17"/>
      <c r="I33" s="31"/>
      <c r="J33" s="31"/>
      <c r="K33" s="17"/>
      <c r="L33" s="38"/>
      <c r="M33" s="38"/>
      <c r="N33" s="39"/>
      <c r="O33" s="34"/>
      <c r="P33" s="35"/>
    </row>
    <row r="34" spans="2:16">
      <c r="B34" s="15" t="s">
        <v>109</v>
      </c>
      <c r="C34" s="16" t="s">
        <v>400</v>
      </c>
      <c r="D34" s="16">
        <f>VLOOKUP(C34,'Data Lokasi'!$C$203:$D$1681,2,0)</f>
        <v>8.18</v>
      </c>
      <c r="E34" s="17">
        <f>VLOOKUP(C34,'Data Lokasi'!$C$203:$S$1681,5,0)</f>
        <v>44359</v>
      </c>
      <c r="F34" s="17"/>
      <c r="G34" s="17"/>
      <c r="H34" s="17"/>
      <c r="I34" s="31"/>
      <c r="J34" s="31"/>
      <c r="K34" s="17"/>
      <c r="L34" s="38"/>
      <c r="M34" s="38"/>
      <c r="N34" s="39">
        <v>0.6</v>
      </c>
      <c r="O34" s="34"/>
      <c r="P34" s="35"/>
    </row>
    <row r="35" spans="2:16">
      <c r="B35" s="15" t="s">
        <v>113</v>
      </c>
      <c r="C35" s="16" t="s">
        <v>424</v>
      </c>
      <c r="D35" s="16">
        <f>VLOOKUP(C35,'Data Lokasi'!$C$203:$D$1681,2,0)</f>
        <v>8.09</v>
      </c>
      <c r="E35" s="17">
        <f>VLOOKUP(C35,'Data Lokasi'!$C$203:$S$1681,5,0)</f>
        <v>44360</v>
      </c>
      <c r="F35" s="17">
        <f>VLOOKUP(C35,'Data Lokasi'!$C$203:$S$1681,9,0)</f>
        <v>44362</v>
      </c>
      <c r="G35" s="17"/>
      <c r="H35" s="17"/>
      <c r="I35" s="31"/>
      <c r="J35" s="31"/>
      <c r="K35" s="17"/>
      <c r="L35" s="38"/>
      <c r="M35" s="38"/>
      <c r="N35" s="39"/>
      <c r="O35" s="34"/>
      <c r="P35" s="35"/>
    </row>
    <row r="36" spans="2:16">
      <c r="B36" s="15" t="s">
        <v>113</v>
      </c>
      <c r="C36" s="16" t="s">
        <v>405</v>
      </c>
      <c r="D36" s="16">
        <f>VLOOKUP(C36,'Data Lokasi'!$C$203:$D$1681,2,0)</f>
        <v>10.31</v>
      </c>
      <c r="E36" s="17">
        <f>VLOOKUP(C36,'Data Lokasi'!$C$203:$S$1681,5,0)</f>
        <v>44360</v>
      </c>
      <c r="F36" s="17">
        <f>VLOOKUP(C36,'Data Lokasi'!$C$203:$S$1681,9,0)</f>
        <v>44362</v>
      </c>
      <c r="G36" s="17"/>
      <c r="H36" s="17"/>
      <c r="I36" s="31"/>
      <c r="J36" s="31"/>
      <c r="K36" s="17"/>
      <c r="L36" s="38"/>
      <c r="M36" s="38"/>
      <c r="N36" s="39">
        <v>0.25</v>
      </c>
      <c r="O36" s="34"/>
      <c r="P36" s="35"/>
    </row>
    <row r="37" spans="2:16">
      <c r="B37" s="19" t="s">
        <v>109</v>
      </c>
      <c r="C37" s="20" t="s">
        <v>395</v>
      </c>
      <c r="D37" s="20">
        <f>VLOOKUP(C37,'Data Lokasi'!$C$203:$D$1681,2,0)</f>
        <v>6.32</v>
      </c>
      <c r="E37" s="17">
        <f>VLOOKUP(C37,'Data Lokasi'!$C$203:$S$1681,5,0)</f>
        <v>44337</v>
      </c>
      <c r="F37" s="17">
        <f>VLOOKUP(C37,'Data Lokasi'!$C$203:$S$1681,9,0)</f>
        <v>44355</v>
      </c>
      <c r="G37" s="17"/>
      <c r="H37" s="17"/>
      <c r="I37" s="31"/>
      <c r="J37" s="31"/>
      <c r="K37" s="17"/>
      <c r="L37" s="38"/>
      <c r="M37" s="38"/>
      <c r="N37" s="39"/>
      <c r="O37" s="34"/>
      <c r="P37" s="35"/>
    </row>
    <row r="38" spans="2:16">
      <c r="B38" s="19" t="s">
        <v>109</v>
      </c>
      <c r="C38" s="20" t="s">
        <v>413</v>
      </c>
      <c r="D38" s="20">
        <f>VLOOKUP(C38,'Data Lokasi'!$C$203:$D$1681,2,0)</f>
        <v>11.32</v>
      </c>
      <c r="E38" s="17">
        <f>VLOOKUP(C38,'Data Lokasi'!$C$203:$S$1681,5,0)</f>
        <v>44337</v>
      </c>
      <c r="F38" s="17">
        <f>VLOOKUP(C38,'Data Lokasi'!$C$203:$S$1681,9,0)</f>
        <v>44344</v>
      </c>
      <c r="G38" s="17"/>
      <c r="H38" s="17"/>
      <c r="I38" s="31"/>
      <c r="J38" s="31"/>
      <c r="K38" s="17"/>
      <c r="L38" s="38"/>
      <c r="M38" s="38"/>
      <c r="N38" s="39">
        <v>0.9</v>
      </c>
      <c r="O38" s="34"/>
      <c r="P38" s="35"/>
    </row>
    <row r="39" spans="2:16">
      <c r="B39" s="19" t="s">
        <v>109</v>
      </c>
      <c r="C39" s="20" t="s">
        <v>409</v>
      </c>
      <c r="D39" s="20">
        <f>VLOOKUP(C39,'Data Lokasi'!$C$203:$D$1681,2,0)</f>
        <v>8.83</v>
      </c>
      <c r="E39" s="17">
        <f>VLOOKUP(C39,'Data Lokasi'!$C$203:$S$1681,5,0)</f>
        <v>44336</v>
      </c>
      <c r="F39" s="17">
        <f>VLOOKUP(C39,'Data Lokasi'!$C$203:$S$1681,9,0)</f>
        <v>44344</v>
      </c>
      <c r="G39" s="17"/>
      <c r="H39" s="17"/>
      <c r="I39" s="31"/>
      <c r="J39" s="31"/>
      <c r="K39" s="17"/>
      <c r="L39" s="38"/>
      <c r="M39" s="38"/>
      <c r="N39" s="39"/>
      <c r="O39" s="34"/>
      <c r="P39" s="35"/>
    </row>
    <row r="40" spans="2:16">
      <c r="B40" s="19" t="s">
        <v>109</v>
      </c>
      <c r="C40" s="20" t="s">
        <v>420</v>
      </c>
      <c r="D40" s="20">
        <f>VLOOKUP(C40,'Data Lokasi'!$C$203:$D$1681,2,0)</f>
        <v>12.82</v>
      </c>
      <c r="E40" s="17">
        <f>VLOOKUP(C40,'Data Lokasi'!$C$203:$S$1681,5,0)</f>
        <v>44344</v>
      </c>
      <c r="F40" s="17">
        <f>VLOOKUP(C40,'Data Lokasi'!$C$203:$S$1681,9,0)</f>
        <v>44356</v>
      </c>
      <c r="G40" s="17"/>
      <c r="H40" s="17"/>
      <c r="I40" s="31"/>
      <c r="J40" s="31"/>
      <c r="K40" s="17"/>
      <c r="L40" s="38"/>
      <c r="M40" s="38"/>
      <c r="N40" s="39"/>
      <c r="O40" s="34"/>
      <c r="P40" s="35"/>
    </row>
    <row r="41" spans="2:16">
      <c r="B41" s="19" t="s">
        <v>109</v>
      </c>
      <c r="C41" s="20" t="s">
        <v>407</v>
      </c>
      <c r="D41" s="20">
        <f>VLOOKUP(C41,'Data Lokasi'!$C$203:$D$1681,2,0)</f>
        <v>6.02</v>
      </c>
      <c r="E41" s="17">
        <f>VLOOKUP(C41,'Data Lokasi'!$C$203:$S$1681,5,0)</f>
        <v>44336</v>
      </c>
      <c r="F41" s="17">
        <f>VLOOKUP(C41,'Data Lokasi'!$C$203:$S$1681,9,0)</f>
        <v>44344</v>
      </c>
      <c r="G41" s="17"/>
      <c r="H41" s="17"/>
      <c r="I41" s="31"/>
      <c r="J41" s="31"/>
      <c r="K41" s="17"/>
      <c r="L41" s="38"/>
      <c r="M41" s="38"/>
      <c r="N41" s="39"/>
      <c r="O41" s="34"/>
      <c r="P41" s="35"/>
    </row>
    <row r="42" spans="2:16">
      <c r="B42" s="19" t="s">
        <v>105</v>
      </c>
      <c r="C42" s="20" t="s">
        <v>411</v>
      </c>
      <c r="D42" s="20">
        <f>VLOOKUP(C42,'Data Lokasi'!$C$203:$D$1681,2,0)</f>
        <v>9.51</v>
      </c>
      <c r="E42" s="17">
        <f>VLOOKUP(C42,'Data Lokasi'!$C$203:$S$1681,5,0)</f>
        <v>44338</v>
      </c>
      <c r="F42" s="17">
        <f>VLOOKUP(C42,'Data Lokasi'!$C$203:$S$1681,9,0)</f>
        <v>44347</v>
      </c>
      <c r="G42" s="17"/>
      <c r="H42" s="17"/>
      <c r="I42" s="31"/>
      <c r="J42" s="31"/>
      <c r="K42" s="17"/>
      <c r="L42" s="38"/>
      <c r="M42" s="38"/>
      <c r="N42" s="39"/>
      <c r="O42" s="34"/>
      <c r="P42" s="35"/>
    </row>
    <row r="43" spans="2:16">
      <c r="B43" s="19" t="s">
        <v>105</v>
      </c>
      <c r="C43" s="20" t="s">
        <v>419</v>
      </c>
      <c r="D43" s="20">
        <f>VLOOKUP(C43,'Data Lokasi'!$C$203:$D$1681,2,0)</f>
        <v>12.31</v>
      </c>
      <c r="E43" s="17">
        <f>VLOOKUP(C43,'Data Lokasi'!$C$203:$S$1681,5,0)</f>
        <v>44355</v>
      </c>
      <c r="F43" s="17"/>
      <c r="G43" s="17"/>
      <c r="H43" s="17"/>
      <c r="I43" s="31"/>
      <c r="J43" s="31"/>
      <c r="K43" s="17"/>
      <c r="L43" s="38"/>
      <c r="M43" s="38"/>
      <c r="N43" s="39"/>
      <c r="O43" s="34"/>
      <c r="P43" s="35"/>
    </row>
    <row r="44" spans="2:16">
      <c r="P44" s="30"/>
    </row>
    <row r="45" spans="2:16" ht="15.6">
      <c r="B45" s="12" t="s">
        <v>722</v>
      </c>
      <c r="C45" s="13"/>
      <c r="D45" s="14"/>
      <c r="E45" s="24"/>
      <c r="F45" s="24"/>
      <c r="G45" s="25"/>
      <c r="H45" s="25"/>
      <c r="I45" s="30"/>
      <c r="J45" s="30"/>
      <c r="O45" s="37"/>
      <c r="P45" s="30"/>
    </row>
    <row r="46" spans="2:16">
      <c r="B46" s="15"/>
      <c r="C46" s="16"/>
      <c r="D46" s="16"/>
      <c r="E46" s="17"/>
      <c r="F46" s="17"/>
      <c r="G46" s="17"/>
      <c r="H46" s="17"/>
      <c r="I46" s="31"/>
      <c r="J46" s="31"/>
      <c r="K46" s="17"/>
      <c r="L46" s="38"/>
      <c r="M46" s="38"/>
      <c r="N46" s="39"/>
      <c r="O46" s="34"/>
      <c r="P46" s="35"/>
    </row>
    <row r="47" spans="2:16">
      <c r="B47" s="15"/>
      <c r="C47" s="16"/>
      <c r="D47" s="16"/>
      <c r="E47" s="17"/>
      <c r="F47" s="17"/>
      <c r="G47" s="17"/>
      <c r="H47" s="17"/>
      <c r="I47" s="31"/>
      <c r="J47" s="31"/>
      <c r="K47" s="17"/>
      <c r="L47" s="38"/>
      <c r="M47" s="38"/>
      <c r="N47" s="39"/>
      <c r="O47" s="34"/>
      <c r="P47" s="35"/>
    </row>
    <row r="48" spans="2:16">
      <c r="B48" s="15"/>
      <c r="C48" s="16"/>
      <c r="D48" s="16"/>
      <c r="E48" s="17"/>
      <c r="F48" s="17"/>
      <c r="G48" s="17"/>
      <c r="H48" s="17"/>
      <c r="I48" s="31"/>
      <c r="J48" s="31"/>
      <c r="K48" s="17"/>
      <c r="L48" s="38"/>
      <c r="M48" s="38"/>
      <c r="N48" s="39"/>
      <c r="O48" s="34"/>
      <c r="P48" s="35"/>
    </row>
    <row r="49" spans="2:16">
      <c r="B49" s="15"/>
      <c r="C49" s="16"/>
      <c r="D49" s="16"/>
      <c r="E49" s="17"/>
      <c r="F49" s="17"/>
      <c r="G49" s="17"/>
      <c r="H49" s="17"/>
      <c r="I49" s="31"/>
      <c r="J49" s="31"/>
      <c r="K49" s="17"/>
      <c r="L49" s="38"/>
      <c r="M49" s="38"/>
      <c r="N49" s="39"/>
      <c r="O49" s="34"/>
      <c r="P49" s="35"/>
    </row>
    <row r="50" spans="2:16">
      <c r="B50" s="15"/>
      <c r="C50" s="16"/>
      <c r="D50" s="16"/>
      <c r="E50" s="17"/>
      <c r="F50" s="17"/>
      <c r="G50" s="17"/>
      <c r="H50" s="17"/>
      <c r="I50" s="31"/>
      <c r="J50" s="31"/>
      <c r="K50" s="17"/>
      <c r="L50" s="38"/>
      <c r="M50" s="38"/>
      <c r="N50" s="39"/>
      <c r="O50" s="34"/>
      <c r="P50" s="35"/>
    </row>
    <row r="51" spans="2:16">
      <c r="B51" s="15"/>
      <c r="C51" s="16"/>
      <c r="D51" s="16"/>
      <c r="E51" s="17"/>
      <c r="F51" s="17"/>
      <c r="G51" s="17"/>
      <c r="H51" s="17"/>
      <c r="I51" s="31"/>
      <c r="J51" s="31"/>
      <c r="K51" s="17"/>
      <c r="L51" s="38"/>
      <c r="M51" s="38"/>
      <c r="N51" s="39"/>
      <c r="O51" s="34"/>
      <c r="P51" s="35"/>
    </row>
    <row r="52" spans="2:16">
      <c r="P52" s="30"/>
    </row>
    <row r="53" spans="2:16">
      <c r="P53" s="30"/>
    </row>
    <row r="54" spans="2:16">
      <c r="O54" t="s">
        <v>723</v>
      </c>
      <c r="P54" s="30"/>
    </row>
    <row r="55" spans="2:16" ht="15.6">
      <c r="B55" s="12" t="s">
        <v>724</v>
      </c>
      <c r="C55" s="13"/>
      <c r="D55" s="14"/>
      <c r="E55" s="24"/>
      <c r="F55" s="24"/>
      <c r="G55" s="25"/>
      <c r="H55" s="25"/>
      <c r="I55" s="30"/>
      <c r="J55" s="30"/>
      <c r="O55" s="37"/>
      <c r="P55" s="30"/>
    </row>
    <row r="56" spans="2:16" ht="30" customHeight="1">
      <c r="B56" s="9" t="s">
        <v>93</v>
      </c>
      <c r="C56" s="10" t="s">
        <v>94</v>
      </c>
      <c r="D56" s="10" t="s">
        <v>95</v>
      </c>
      <c r="E56" s="11" t="s">
        <v>725</v>
      </c>
      <c r="F56" s="11"/>
      <c r="G56" s="11"/>
      <c r="H56" s="11"/>
      <c r="I56" s="28"/>
      <c r="J56" s="28"/>
      <c r="K56" s="28"/>
      <c r="L56" s="28"/>
      <c r="M56" s="28"/>
      <c r="N56" s="28" t="s">
        <v>726</v>
      </c>
      <c r="O56" s="29" t="s">
        <v>716</v>
      </c>
      <c r="P56" s="29" t="s">
        <v>65</v>
      </c>
    </row>
    <row r="57" spans="2:16">
      <c r="B57" s="15"/>
      <c r="C57" s="16"/>
      <c r="D57" s="26"/>
      <c r="E57" s="17"/>
      <c r="F57" s="17"/>
      <c r="G57" s="17"/>
      <c r="H57" s="17"/>
      <c r="I57" s="31"/>
      <c r="J57" s="31"/>
      <c r="K57" s="17"/>
      <c r="L57" s="38"/>
      <c r="M57" s="39"/>
      <c r="N57" s="39"/>
      <c r="O57" s="34"/>
      <c r="P57" s="35"/>
    </row>
    <row r="58" spans="2:16">
      <c r="B58" s="15"/>
      <c r="C58" s="16"/>
      <c r="D58" s="26"/>
      <c r="E58" s="17"/>
      <c r="F58" s="17"/>
      <c r="G58" s="17"/>
      <c r="H58" s="17"/>
      <c r="I58" s="31"/>
      <c r="J58" s="31"/>
      <c r="K58" s="17"/>
      <c r="L58" s="38"/>
      <c r="M58" s="39"/>
      <c r="N58" s="39"/>
      <c r="O58" s="34"/>
      <c r="P58" s="35"/>
    </row>
    <row r="59" spans="2:16">
      <c r="B59" s="15"/>
      <c r="C59" s="16"/>
      <c r="D59" s="26"/>
      <c r="E59" s="17"/>
      <c r="F59" s="17"/>
      <c r="G59" s="17"/>
      <c r="H59" s="17"/>
      <c r="I59" s="31"/>
      <c r="J59" s="31"/>
      <c r="K59" s="17"/>
      <c r="L59" s="38"/>
      <c r="M59" s="39"/>
      <c r="N59" s="39"/>
      <c r="O59" s="34"/>
      <c r="P59" s="35"/>
    </row>
    <row r="60" spans="2:16">
      <c r="B60" s="19"/>
      <c r="C60" s="20"/>
      <c r="D60" s="27"/>
      <c r="E60" s="17"/>
      <c r="F60" s="17"/>
      <c r="G60" s="17"/>
      <c r="H60" s="17"/>
      <c r="I60" s="31"/>
      <c r="J60" s="31"/>
      <c r="K60" s="17"/>
      <c r="L60" s="38"/>
      <c r="M60" s="39"/>
      <c r="N60" s="39"/>
      <c r="O60" s="34"/>
      <c r="P60" s="35"/>
    </row>
    <row r="61" spans="2:16">
      <c r="B61" s="19"/>
      <c r="C61" s="20"/>
      <c r="D61" s="27"/>
      <c r="E61" s="17"/>
      <c r="F61" s="17"/>
      <c r="G61" s="17"/>
      <c r="H61" s="17"/>
      <c r="I61" s="31"/>
      <c r="J61" s="31"/>
      <c r="K61" s="17"/>
      <c r="L61" s="38"/>
      <c r="M61" s="39"/>
      <c r="N61" s="39"/>
      <c r="O61" s="34"/>
      <c r="P61" s="35"/>
    </row>
    <row r="62" spans="2:16">
      <c r="P62" s="30">
        <f>SUM(P57:P61)</f>
        <v>0</v>
      </c>
    </row>
    <row r="63" spans="2:16">
      <c r="P63" s="30"/>
    </row>
    <row r="64" spans="2:16">
      <c r="O64" s="41" t="s">
        <v>12</v>
      </c>
      <c r="P64" s="41">
        <f>P62+P54+P52+P23</f>
        <v>0</v>
      </c>
    </row>
    <row r="65" spans="16:16">
      <c r="P65" s="30"/>
    </row>
  </sheetData>
  <sortState xmlns:xlrd2="http://schemas.microsoft.com/office/spreadsheetml/2017/richdata2" ref="B30:P40">
    <sortCondition ref="C30:C40"/>
  </sortState>
  <mergeCells count="1">
    <mergeCell ref="B2:F2"/>
  </mergeCells>
  <pageMargins left="0.75" right="0.75" top="1" bottom="1" header="0.51180555555555596" footer="0.51180555555555596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7"/>
  <sheetViews>
    <sheetView zoomScale="85" zoomScaleNormal="85" workbookViewId="0">
      <selection activeCell="I29" sqref="I29"/>
    </sheetView>
  </sheetViews>
  <sheetFormatPr defaultColWidth="9.109375" defaultRowHeight="14.4"/>
  <cols>
    <col min="7" max="7" width="17.5546875" style="236" customWidth="1"/>
  </cols>
  <sheetData>
    <row r="2" spans="2:8">
      <c r="B2" s="8" t="s">
        <v>727</v>
      </c>
    </row>
    <row r="3" spans="2:8">
      <c r="G3" s="236" t="s">
        <v>728</v>
      </c>
      <c r="H3" t="s">
        <v>729</v>
      </c>
    </row>
    <row r="4" spans="2:8">
      <c r="B4" t="s">
        <v>113</v>
      </c>
      <c r="C4" t="s">
        <v>730</v>
      </c>
      <c r="D4" t="s">
        <v>731</v>
      </c>
      <c r="E4">
        <v>0.59</v>
      </c>
      <c r="F4">
        <v>0.59</v>
      </c>
    </row>
    <row r="5" spans="2:8">
      <c r="B5" t="s">
        <v>113</v>
      </c>
      <c r="C5" t="s">
        <v>732</v>
      </c>
      <c r="D5" t="s">
        <v>733</v>
      </c>
      <c r="E5">
        <v>2.15</v>
      </c>
      <c r="F5">
        <v>2.15</v>
      </c>
    </row>
    <row r="6" spans="2:8">
      <c r="B6" t="s">
        <v>113</v>
      </c>
      <c r="C6" t="s">
        <v>734</v>
      </c>
      <c r="D6" t="s">
        <v>733</v>
      </c>
      <c r="E6">
        <v>0.95</v>
      </c>
      <c r="F6">
        <v>0.95</v>
      </c>
    </row>
    <row r="7" spans="2:8">
      <c r="B7" t="s">
        <v>113</v>
      </c>
      <c r="C7" t="s">
        <v>735</v>
      </c>
      <c r="D7" t="s">
        <v>736</v>
      </c>
      <c r="E7">
        <v>1.7</v>
      </c>
      <c r="F7">
        <v>1.7</v>
      </c>
    </row>
    <row r="8" spans="2:8">
      <c r="F8" s="8">
        <f>SUM(F4:F7)</f>
        <v>5.39</v>
      </c>
    </row>
    <row r="10" spans="2:8">
      <c r="B10" t="s">
        <v>109</v>
      </c>
      <c r="C10" t="s">
        <v>737</v>
      </c>
      <c r="D10" t="s">
        <v>738</v>
      </c>
      <c r="E10">
        <v>0.7</v>
      </c>
      <c r="F10">
        <v>0.5</v>
      </c>
    </row>
    <row r="11" spans="2:8">
      <c r="B11" t="s">
        <v>109</v>
      </c>
      <c r="C11" t="s">
        <v>605</v>
      </c>
      <c r="D11" t="s">
        <v>739</v>
      </c>
      <c r="E11">
        <v>3.8</v>
      </c>
      <c r="F11">
        <v>3.3</v>
      </c>
    </row>
    <row r="12" spans="2:8">
      <c r="B12" t="s">
        <v>109</v>
      </c>
      <c r="C12" t="s">
        <v>740</v>
      </c>
      <c r="D12" t="s">
        <v>738</v>
      </c>
      <c r="E12">
        <v>1.1200000000000001</v>
      </c>
      <c r="F12">
        <v>1.1200000000000001</v>
      </c>
    </row>
    <row r="13" spans="2:8">
      <c r="B13" t="s">
        <v>109</v>
      </c>
      <c r="C13" t="s">
        <v>741</v>
      </c>
      <c r="D13" t="s">
        <v>738</v>
      </c>
      <c r="E13">
        <v>4</v>
      </c>
      <c r="F13">
        <v>3.74</v>
      </c>
    </row>
    <row r="14" spans="2:8">
      <c r="B14" t="s">
        <v>109</v>
      </c>
      <c r="C14" t="s">
        <v>742</v>
      </c>
      <c r="D14" t="s">
        <v>739</v>
      </c>
      <c r="E14">
        <v>9.7200000000000006</v>
      </c>
      <c r="F14">
        <v>8.42</v>
      </c>
    </row>
    <row r="15" spans="2:8">
      <c r="B15" t="s">
        <v>109</v>
      </c>
      <c r="C15" t="s">
        <v>743</v>
      </c>
      <c r="D15" t="s">
        <v>733</v>
      </c>
      <c r="E15">
        <v>1.5</v>
      </c>
      <c r="F15">
        <v>1.5</v>
      </c>
    </row>
    <row r="16" spans="2:8">
      <c r="B16" t="s">
        <v>109</v>
      </c>
      <c r="C16" t="s">
        <v>744</v>
      </c>
      <c r="D16" t="s">
        <v>733</v>
      </c>
      <c r="E16">
        <v>1.4</v>
      </c>
      <c r="F16">
        <v>1.3</v>
      </c>
    </row>
    <row r="17" spans="6:6">
      <c r="F17" s="8">
        <f>SUM(F10:F16)</f>
        <v>19.88</v>
      </c>
    </row>
  </sheetData>
  <sortState xmlns:xlrd2="http://schemas.microsoft.com/office/spreadsheetml/2017/richdata2" ref="B4:F14">
    <sortCondition ref="C4:C14"/>
  </sortState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103C-9947-4E93-8ECA-DB44FD77992B}">
  <sheetPr>
    <tabColor rgb="FF92D050"/>
  </sheetPr>
  <dimension ref="A1:AC38"/>
  <sheetViews>
    <sheetView showGridLines="0" workbookViewId="0">
      <selection activeCell="K28" sqref="K28"/>
    </sheetView>
  </sheetViews>
  <sheetFormatPr defaultRowHeight="14.4"/>
  <cols>
    <col min="1" max="1" width="2.6640625" customWidth="1"/>
    <col min="3" max="3" width="14.88671875" bestFit="1" customWidth="1"/>
    <col min="6" max="6" width="4.5546875" customWidth="1"/>
    <col min="7" max="8" width="9.5546875" customWidth="1"/>
    <col min="9" max="9" width="2.6640625" customWidth="1"/>
    <col min="10" max="10" width="11.6640625" customWidth="1"/>
    <col min="11" max="12" width="10.44140625" customWidth="1"/>
  </cols>
  <sheetData>
    <row r="1" spans="1:29" ht="6.75" customHeight="1">
      <c r="A1" s="331"/>
      <c r="B1" s="331"/>
      <c r="C1" s="331"/>
      <c r="D1" s="331"/>
      <c r="E1" s="331"/>
      <c r="F1" s="331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</row>
    <row r="2" spans="1:29">
      <c r="A2" s="331"/>
      <c r="B2" s="362" t="s">
        <v>2651</v>
      </c>
      <c r="C2" s="331"/>
      <c r="D2" s="331"/>
      <c r="E2" s="331"/>
      <c r="F2" s="357"/>
      <c r="G2" s="357"/>
      <c r="H2" s="35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</row>
    <row r="3" spans="1:29">
      <c r="A3" s="331"/>
      <c r="B3" s="287" t="s">
        <v>2649</v>
      </c>
      <c r="C3" s="287" t="s">
        <v>2642</v>
      </c>
      <c r="D3" s="287"/>
      <c r="E3" s="287"/>
      <c r="F3" s="357"/>
      <c r="G3" s="357"/>
      <c r="H3" s="35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</row>
    <row r="4" spans="1:29">
      <c r="A4" s="331"/>
      <c r="B4" s="267" t="s">
        <v>729</v>
      </c>
      <c r="C4" s="286">
        <v>46308</v>
      </c>
      <c r="F4" s="357"/>
      <c r="G4" s="357"/>
      <c r="H4" s="35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</row>
    <row r="5" spans="1:29">
      <c r="A5" s="331"/>
      <c r="B5" s="288" t="s">
        <v>2630</v>
      </c>
      <c r="C5" s="289" t="s">
        <v>2636</v>
      </c>
      <c r="D5" s="289" t="s">
        <v>2637</v>
      </c>
      <c r="E5" s="290" t="s">
        <v>2638</v>
      </c>
      <c r="F5" s="357"/>
      <c r="G5" s="357"/>
      <c r="H5" s="35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</row>
    <row r="6" spans="1:29">
      <c r="A6" s="331"/>
      <c r="B6" s="291" t="s">
        <v>2631</v>
      </c>
      <c r="C6" s="292" t="s">
        <v>719</v>
      </c>
      <c r="D6" s="293" t="s">
        <v>2623</v>
      </c>
      <c r="E6" s="309">
        <f>SUMIFS('Input Real Tanam&amp;Petik Nanas'!$G:$G,'Input Real Tanam&amp;Petik Nanas'!$B:$B,Resume!$C$4,'Input Real Tanam&amp;Petik Nanas'!$M:$M,Resume!$B$6,'Input Real Tanam&amp;Petik Nanas'!$E:$E,Resume!$C$3)</f>
        <v>0</v>
      </c>
      <c r="F6" s="357"/>
      <c r="G6" s="358" t="s">
        <v>2661</v>
      </c>
      <c r="H6" s="352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</row>
    <row r="7" spans="1:29" ht="21" customHeight="1">
      <c r="A7" s="331"/>
      <c r="B7" s="295"/>
      <c r="C7" s="293"/>
      <c r="D7" s="293" t="s">
        <v>2624</v>
      </c>
      <c r="E7" s="309">
        <f>SUMIFS('Input Real Tanam&amp;Petik Nanas'!$H:$H,'Input Real Tanam&amp;Petik Nanas'!$B:$B,Resume!$C$4,'Input Real Tanam&amp;Petik Nanas'!$M:$M,Resume!$B$6,'Input Real Tanam&amp;Petik Nanas'!$E:$E,Resume!$C$3)</f>
        <v>0.21</v>
      </c>
      <c r="F7" s="357"/>
      <c r="G7" s="359"/>
      <c r="H7" s="353"/>
      <c r="I7" s="332"/>
      <c r="J7" s="617" t="s">
        <v>2630</v>
      </c>
      <c r="K7" s="618" t="s">
        <v>94</v>
      </c>
      <c r="L7" s="619" t="s">
        <v>2656</v>
      </c>
      <c r="M7" s="343" t="s">
        <v>2626</v>
      </c>
      <c r="N7" s="343" t="s">
        <v>2658</v>
      </c>
      <c r="O7" s="343" t="s">
        <v>2636</v>
      </c>
      <c r="P7" s="344" t="s">
        <v>2659</v>
      </c>
      <c r="Q7" s="344"/>
      <c r="R7" s="344"/>
      <c r="S7" s="345"/>
      <c r="T7" s="331"/>
    </row>
    <row r="8" spans="1:29">
      <c r="A8" s="331"/>
      <c r="B8" s="295"/>
      <c r="C8" s="293"/>
      <c r="D8" s="293" t="s">
        <v>718</v>
      </c>
      <c r="E8" s="309">
        <f>SUMIFS('Input Real Tanam&amp;Petik Nanas'!$I:$I,'Input Real Tanam&amp;Petik Nanas'!$B:$B,Resume!$C$4,'Input Real Tanam&amp;Petik Nanas'!$M:$M,Resume!$B$6,'Input Real Tanam&amp;Petik Nanas'!$L:$L,"Sucker",'Input Real Tanam&amp;Petik Nanas'!$E:$E,Resume!$C$3)</f>
        <v>0</v>
      </c>
      <c r="F8" s="357"/>
      <c r="G8" s="360" t="str">
        <f>VLOOKUP($AB$8,$Z$8:$AA$14,2,0)</f>
        <v>W03</v>
      </c>
      <c r="H8" s="354"/>
      <c r="I8" s="333"/>
      <c r="J8" s="617"/>
      <c r="K8" s="618"/>
      <c r="L8" s="618"/>
      <c r="M8" s="343" t="s">
        <v>2657</v>
      </c>
      <c r="N8" s="343" t="s">
        <v>2633</v>
      </c>
      <c r="O8" s="343" t="s">
        <v>760</v>
      </c>
      <c r="P8" s="344" t="s">
        <v>712</v>
      </c>
      <c r="Q8" s="344"/>
      <c r="R8" s="344"/>
      <c r="S8" s="620"/>
      <c r="T8" s="331"/>
      <c r="V8" s="327" t="s">
        <v>2660</v>
      </c>
      <c r="Z8" s="301">
        <v>1</v>
      </c>
      <c r="AA8" s="301" t="s">
        <v>107</v>
      </c>
      <c r="AB8" s="301">
        <v>3</v>
      </c>
      <c r="AC8" s="301"/>
    </row>
    <row r="9" spans="1:29">
      <c r="A9" s="331"/>
      <c r="B9" s="295"/>
      <c r="C9" s="292" t="s">
        <v>2625</v>
      </c>
      <c r="D9" s="293" t="s">
        <v>718</v>
      </c>
      <c r="E9" s="309">
        <f>SUMIFS('Input Real Tanam&amp;Petik Nanas'!$I:$I,'Input Real Tanam&amp;Petik Nanas'!$B:$B,Resume!$C$4,'Input Real Tanam&amp;Petik Nanas'!$M:$M,Resume!$B$6,'Input Real Tanam&amp;Petik Nanas'!$L:$L,"Crown",'Input Real Tanam&amp;Petik Nanas'!$E:$E,Resume!$C$3)</f>
        <v>2.11</v>
      </c>
      <c r="F9" s="357"/>
      <c r="G9" s="357"/>
      <c r="H9" s="351"/>
      <c r="I9" s="331"/>
      <c r="J9" s="617"/>
      <c r="K9" s="618"/>
      <c r="L9" s="618"/>
      <c r="M9" s="343" t="s">
        <v>2633</v>
      </c>
      <c r="N9" s="350"/>
      <c r="O9" s="343"/>
      <c r="P9" s="335" t="s">
        <v>2623</v>
      </c>
      <c r="Q9" s="335" t="s">
        <v>2624</v>
      </c>
      <c r="R9" s="335" t="s">
        <v>718</v>
      </c>
      <c r="S9" s="620"/>
      <c r="T9" s="331"/>
      <c r="V9" s="328" t="s">
        <v>2623</v>
      </c>
      <c r="W9" s="329" t="s">
        <v>2624</v>
      </c>
      <c r="X9" s="328" t="s">
        <v>718</v>
      </c>
      <c r="Y9" s="330" t="s">
        <v>12</v>
      </c>
      <c r="Z9" s="301">
        <v>2</v>
      </c>
      <c r="AA9" s="301" t="s">
        <v>113</v>
      </c>
      <c r="AB9" s="301"/>
      <c r="AC9" s="301"/>
    </row>
    <row r="10" spans="1:29">
      <c r="A10" s="331"/>
      <c r="B10" s="296" t="s">
        <v>2639</v>
      </c>
      <c r="C10" s="297"/>
      <c r="D10" s="297"/>
      <c r="E10" s="303">
        <f>SUM(E6:E9)</f>
        <v>2.3199999999999998</v>
      </c>
      <c r="F10" s="357"/>
      <c r="G10" s="357"/>
      <c r="H10" s="351"/>
      <c r="I10" s="331"/>
      <c r="J10" s="336" t="str" cm="1">
        <f t="array" ref="J10:K14">_xlfn._xlws.FILTER('Data Lokasi'!B15:C31,'Data Lokasi'!B15:B31=Resume!$G$8)</f>
        <v>W03</v>
      </c>
      <c r="K10" s="337" t="str">
        <v>061E1</v>
      </c>
      <c r="L10" s="338">
        <f>IFERROR(INDEX('Data Lokasi'!$D:$D,MATCH(Resume!$K10,'Data Lokasi'!$C:$C,0)),"")</f>
        <v>3.85</v>
      </c>
      <c r="M10" s="338">
        <f>IFERROR(INDEX('Data Lokasi'!$V:$V,MATCH(Resume!$K10,'Data Lokasi'!$C:$C,0)),"")</f>
        <v>3.8499999999999996</v>
      </c>
      <c r="N10" s="369">
        <f>IF(ISERROR(M10/L10),"",(M10/L10))</f>
        <v>0.99999999999999989</v>
      </c>
      <c r="O10" s="339" t="str">
        <f>IFERROR(VLOOKUP($K10,'Jenis Bibit'!$C$3:$E$200,2,0),"")</f>
        <v>Crown</v>
      </c>
      <c r="P10" s="340">
        <f t="shared" ref="P10:P19" si="0">IF(ISERROR(V10/$Y10),"",(V10/$Y10))</f>
        <v>0</v>
      </c>
      <c r="Q10" s="340">
        <f t="shared" ref="Q10" si="1">IF(ISERROR(W10/$Y10),"",(W10/$Y10))</f>
        <v>0</v>
      </c>
      <c r="R10" s="340">
        <f t="shared" ref="R10:R19" si="2">IF(ISERROR(X10/$Y10),"",(X10/$Y10))</f>
        <v>1</v>
      </c>
      <c r="S10" s="341"/>
      <c r="T10" s="331"/>
      <c r="V10" s="64">
        <f>SUMIFS('Input Real Tanam&amp;Petik Nanas'!$G:$G,'Input Real Tanam&amp;Petik Nanas'!$C:$C,Resume!$K10)</f>
        <v>0</v>
      </c>
      <c r="W10" s="64">
        <f>SUMIFS('Input Real Tanam&amp;Petik Nanas'!$H:$H,'Input Real Tanam&amp;Petik Nanas'!$C:$C,Resume!$K10)</f>
        <v>0</v>
      </c>
      <c r="X10" s="64">
        <f>SUMIFS('Input Real Tanam&amp;Petik Nanas'!$I:$I,'Input Real Tanam&amp;Petik Nanas'!$C:$C,Resume!$K10)</f>
        <v>3.8499999999999996</v>
      </c>
      <c r="Y10" s="64">
        <f>SUM(V10:X10)</f>
        <v>3.8499999999999996</v>
      </c>
      <c r="Z10" s="301">
        <v>3</v>
      </c>
      <c r="AA10" s="301" t="s">
        <v>109</v>
      </c>
      <c r="AB10" s="301"/>
      <c r="AC10" s="301"/>
    </row>
    <row r="11" spans="1:29">
      <c r="A11" s="331"/>
      <c r="B11" s="291" t="s">
        <v>2634</v>
      </c>
      <c r="C11" s="292" t="s">
        <v>719</v>
      </c>
      <c r="D11" s="293" t="s">
        <v>2623</v>
      </c>
      <c r="E11" s="294">
        <f>SUMIFS('Input Real Tanam&amp;Petik Nanas'!$G:$G,'Input Real Tanam&amp;Petik Nanas'!$B:$B,Resume!$C$4,'Input Real Tanam&amp;Petik Nanas'!$M:$M,$B$11,'Input Real Tanam&amp;Petik Nanas'!$E:$E,Resume!$C$3)</f>
        <v>0</v>
      </c>
      <c r="F11" s="357"/>
      <c r="G11" s="357"/>
      <c r="H11" s="351"/>
      <c r="I11" s="331"/>
      <c r="J11" s="342" t="str">
        <v>W03</v>
      </c>
      <c r="K11" s="343" t="str">
        <v>061E2</v>
      </c>
      <c r="L11" s="348">
        <f>IFERROR(INDEX('Data Lokasi'!$D:$D,MATCH(Resume!$K11,'Data Lokasi'!$C:$C,0)),"")</f>
        <v>6.01</v>
      </c>
      <c r="M11" s="348">
        <f>IFERROR(INDEX('Data Lokasi'!$V:$V,MATCH(Resume!$K11,'Data Lokasi'!$C:$C,0)),"")</f>
        <v>6.0100000000000007</v>
      </c>
      <c r="N11" s="370">
        <f t="shared" ref="N11:N19" si="3">IF(ISERROR(M11/L11),"",(M11/L11))</f>
        <v>1.0000000000000002</v>
      </c>
      <c r="O11" s="349" t="str">
        <f>IFERROR(VLOOKUP($K11,'Jenis Bibit'!$C$3:$E$200,2,0),"")</f>
        <v>Crown</v>
      </c>
      <c r="P11" s="346">
        <f t="shared" si="0"/>
        <v>0</v>
      </c>
      <c r="Q11" s="346">
        <f>IF(ISERROR(W11/$Y11),"",(W11/$Y11))</f>
        <v>0</v>
      </c>
      <c r="R11" s="346">
        <f t="shared" si="2"/>
        <v>1</v>
      </c>
      <c r="S11" s="347"/>
      <c r="T11" s="331"/>
      <c r="V11" s="64">
        <f>SUMIFS('Input Real Tanam&amp;Petik Nanas'!$G:$G,'Input Real Tanam&amp;Petik Nanas'!$C:$C,Resume!$K11)</f>
        <v>0</v>
      </c>
      <c r="W11" s="64">
        <f>SUMIFS('Input Real Tanam&amp;Petik Nanas'!$H:$H,'Input Real Tanam&amp;Petik Nanas'!$C:$C,Resume!$K11)</f>
        <v>0</v>
      </c>
      <c r="X11" s="64">
        <f>SUMIFS('Input Real Tanam&amp;Petik Nanas'!$I:$I,'Input Real Tanam&amp;Petik Nanas'!$C:$C,Resume!$K11)</f>
        <v>7.72</v>
      </c>
      <c r="Y11" s="64">
        <f>SUM(V11:X11)</f>
        <v>7.72</v>
      </c>
      <c r="Z11" s="301">
        <v>4</v>
      </c>
      <c r="AA11" s="301" t="s">
        <v>105</v>
      </c>
      <c r="AB11" s="301"/>
      <c r="AC11" s="301"/>
    </row>
    <row r="12" spans="1:29">
      <c r="A12" s="331"/>
      <c r="B12" s="295"/>
      <c r="C12" s="293"/>
      <c r="D12" s="293" t="s">
        <v>2624</v>
      </c>
      <c r="E12" s="309">
        <f>SUMIFS('Input Real Tanam&amp;Petik Nanas'!$H:$H,'Input Real Tanam&amp;Petik Nanas'!$B:$B,Resume!$C$4,'Input Real Tanam&amp;Petik Nanas'!$M:$M,$B$11,'Input Real Tanam&amp;Petik Nanas'!$E:$E,Resume!$C$3)</f>
        <v>0</v>
      </c>
      <c r="F12" s="357"/>
      <c r="G12" s="357"/>
      <c r="H12" s="351"/>
      <c r="I12" s="331"/>
      <c r="J12" s="342" t="str">
        <v>W03</v>
      </c>
      <c r="K12" s="343" t="str">
        <v>063E</v>
      </c>
      <c r="L12" s="348">
        <f>IFERROR(INDEX('Data Lokasi'!$D:$D,MATCH(Resume!$K12,'Data Lokasi'!$C:$C,0)),"")</f>
        <v>6.45</v>
      </c>
      <c r="M12" s="348">
        <f>IFERROR(INDEX('Data Lokasi'!$V:$V,MATCH(Resume!$K12,'Data Lokasi'!$C:$C,0)),"")</f>
        <v>6.4500000000000011</v>
      </c>
      <c r="N12" s="370">
        <f t="shared" si="3"/>
        <v>1.0000000000000002</v>
      </c>
      <c r="O12" s="349" t="str">
        <f>IFERROR(VLOOKUP($K12,'Jenis Bibit'!$C$3:$E$200,2,0),"")</f>
        <v/>
      </c>
      <c r="P12" s="346">
        <f>IF(ISERROR(V12/$Y12),"",(V12/$Y12))</f>
        <v>0</v>
      </c>
      <c r="Q12" s="346">
        <f t="shared" ref="Q12:Q19" si="4">IF(ISERROR(W12/$Y12),"",(W12/$Y12))</f>
        <v>0</v>
      </c>
      <c r="R12" s="346">
        <f t="shared" si="2"/>
        <v>1</v>
      </c>
      <c r="S12" s="347"/>
      <c r="T12" s="331"/>
      <c r="V12" s="64">
        <f>SUMIFS('Input Real Tanam&amp;Petik Nanas'!$G:$G,'Input Real Tanam&amp;Petik Nanas'!$C:$C,Resume!$K12)</f>
        <v>0</v>
      </c>
      <c r="W12" s="64">
        <f>SUMIFS('Input Real Tanam&amp;Petik Nanas'!$H:$H,'Input Real Tanam&amp;Petik Nanas'!$C:$C,Resume!$K12)</f>
        <v>0</v>
      </c>
      <c r="X12" s="64">
        <f>SUMIFS('Input Real Tanam&amp;Petik Nanas'!$I:$I,'Input Real Tanam&amp;Petik Nanas'!$C:$C,Resume!$K12)</f>
        <v>6.4500000000000011</v>
      </c>
      <c r="Y12" s="64">
        <f t="shared" ref="Y12:Y19" si="5">SUM(V12:X12)</f>
        <v>6.4500000000000011</v>
      </c>
      <c r="Z12" s="301">
        <v>5</v>
      </c>
      <c r="AA12" s="301" t="s">
        <v>111</v>
      </c>
      <c r="AB12" s="301"/>
      <c r="AC12" s="301"/>
    </row>
    <row r="13" spans="1:29">
      <c r="A13" s="331"/>
      <c r="B13" s="295"/>
      <c r="C13" s="293"/>
      <c r="D13" s="293" t="s">
        <v>718</v>
      </c>
      <c r="E13" s="294">
        <f>SUMIFS('Input Real Tanam&amp;Petik Nanas'!$I:$I,'Input Real Tanam&amp;Petik Nanas'!$B:$B,Resume!$C$4,'Input Real Tanam&amp;Petik Nanas'!$M:$M,$B$11,'Input Real Tanam&amp;Petik Nanas'!$L:$L,"Sucker",'Input Real Tanam&amp;Petik Nanas'!$E:$E,Resume!$C$3)</f>
        <v>0.43</v>
      </c>
      <c r="F13" s="357"/>
      <c r="G13" s="357"/>
      <c r="H13" s="351"/>
      <c r="I13" s="331"/>
      <c r="J13" s="342" t="str">
        <v>W03</v>
      </c>
      <c r="K13" s="343" t="str">
        <v>064B</v>
      </c>
      <c r="L13" s="348">
        <f>IFERROR(INDEX('Data Lokasi'!$D:$D,MATCH(Resume!$K13,'Data Lokasi'!$C:$C,0)),"")</f>
        <v>4.1900000000000004</v>
      </c>
      <c r="M13" s="348">
        <f>IFERROR(INDEX('Data Lokasi'!$V:$V,MATCH(Resume!$K13,'Data Lokasi'!$C:$C,0)),"")</f>
        <v>4.1899999999999995</v>
      </c>
      <c r="N13" s="370">
        <f t="shared" si="3"/>
        <v>0.99999999999999978</v>
      </c>
      <c r="O13" s="349" t="str">
        <f>IFERROR(VLOOKUP($K13,'Jenis Bibit'!$C$3:$E$200,2,0),"")</f>
        <v>Crown</v>
      </c>
      <c r="P13" s="346">
        <f t="shared" si="0"/>
        <v>0</v>
      </c>
      <c r="Q13" s="346">
        <f t="shared" si="4"/>
        <v>0</v>
      </c>
      <c r="R13" s="346">
        <f t="shared" si="2"/>
        <v>1</v>
      </c>
      <c r="S13" s="347"/>
      <c r="T13" s="331"/>
      <c r="V13" s="64">
        <f>SUMIFS('Input Real Tanam&amp;Petik Nanas'!$G:$G,'Input Real Tanam&amp;Petik Nanas'!$C:$C,Resume!$K13)</f>
        <v>0</v>
      </c>
      <c r="W13" s="64">
        <f>SUMIFS('Input Real Tanam&amp;Petik Nanas'!$H:$H,'Input Real Tanam&amp;Petik Nanas'!$C:$C,Resume!$K13)</f>
        <v>0</v>
      </c>
      <c r="X13" s="64">
        <f>SUMIFS('Input Real Tanam&amp;Petik Nanas'!$I:$I,'Input Real Tanam&amp;Petik Nanas'!$C:$C,Resume!$K13)</f>
        <v>4.1899999999999995</v>
      </c>
      <c r="Y13" s="64">
        <f t="shared" si="5"/>
        <v>4.1899999999999995</v>
      </c>
      <c r="Z13" s="301">
        <v>6</v>
      </c>
      <c r="AA13" s="301" t="s">
        <v>116</v>
      </c>
      <c r="AB13" s="301"/>
      <c r="AC13" s="301"/>
    </row>
    <row r="14" spans="1:29">
      <c r="A14" s="331"/>
      <c r="B14" s="295"/>
      <c r="C14" s="292" t="s">
        <v>2625</v>
      </c>
      <c r="D14" s="293" t="s">
        <v>718</v>
      </c>
      <c r="E14" s="294">
        <f>SUMIFS('Input Real Tanam&amp;Petik Nanas'!$I:$I,'Input Real Tanam&amp;Petik Nanas'!$B:$B,Resume!$C$4,'Input Real Tanam&amp;Petik Nanas'!$M:$M,$B$11,'Input Real Tanam&amp;Petik Nanas'!$L:$L,"Crown",'Input Real Tanam&amp;Petik Nanas'!$E:$E,Resume!$C$3)</f>
        <v>0.95</v>
      </c>
      <c r="F14" s="357"/>
      <c r="G14" s="357"/>
      <c r="H14" s="351"/>
      <c r="I14" s="331"/>
      <c r="J14" s="342" t="str">
        <v>W03</v>
      </c>
      <c r="K14" s="343" t="str">
        <v>063A</v>
      </c>
      <c r="L14" s="348">
        <f>IFERROR(INDEX('Data Lokasi'!$D:$D,MATCH(Resume!$K14,'Data Lokasi'!$C:$C,0)),"")</f>
        <v>10.65</v>
      </c>
      <c r="M14" s="343">
        <f>IFERROR(INDEX('Data Lokasi'!$V:$V,MATCH(Resume!$K14,'Data Lokasi'!$C:$C,0)),"")</f>
        <v>10.52</v>
      </c>
      <c r="N14" s="370">
        <f t="shared" si="3"/>
        <v>0.98779342723004693</v>
      </c>
      <c r="O14" s="349" t="str">
        <f>IFERROR(VLOOKUP($K14,'Jenis Bibit'!$C$3:$E$200,2,0),"")</f>
        <v>Crown</v>
      </c>
      <c r="P14" s="346">
        <f t="shared" si="0"/>
        <v>6.6522534508564764E-4</v>
      </c>
      <c r="Q14" s="346">
        <f t="shared" si="4"/>
        <v>3.3094960918010979E-2</v>
      </c>
      <c r="R14" s="346">
        <f>IF(ISERROR(X14/$Y14),"",(X14/$Y14))</f>
        <v>0.96623981373690337</v>
      </c>
      <c r="S14" s="347"/>
      <c r="T14" s="331"/>
      <c r="V14" s="64">
        <f>SUMIFS('Input Real Tanam&amp;Petik Nanas'!$G:$G,'Input Real Tanam&amp;Petik Nanas'!$C:$C,Resume!$K14)</f>
        <v>8.0000000000000002E-3</v>
      </c>
      <c r="W14" s="64">
        <f>SUMIFS('Input Real Tanam&amp;Petik Nanas'!$H:$H,'Input Real Tanam&amp;Petik Nanas'!$C:$C,Resume!$K14)</f>
        <v>0.39800000000000008</v>
      </c>
      <c r="X14" s="64">
        <f>SUMIFS('Input Real Tanam&amp;Petik Nanas'!$I:$I,'Input Real Tanam&amp;Petik Nanas'!$C:$C,Resume!$K14)</f>
        <v>11.620000000000001</v>
      </c>
      <c r="Y14" s="64">
        <f t="shared" si="5"/>
        <v>12.026000000000002</v>
      </c>
      <c r="Z14" s="301">
        <v>7</v>
      </c>
      <c r="AA14" s="301" t="s">
        <v>118</v>
      </c>
      <c r="AB14" s="301"/>
      <c r="AC14" s="301"/>
    </row>
    <row r="15" spans="1:29">
      <c r="A15" s="331"/>
      <c r="B15" s="298" t="s">
        <v>2640</v>
      </c>
      <c r="C15" s="299"/>
      <c r="D15" s="299"/>
      <c r="E15" s="300">
        <f>SUM(E11:E14)</f>
        <v>1.38</v>
      </c>
      <c r="F15" s="357"/>
      <c r="G15" s="357"/>
      <c r="H15" s="351"/>
      <c r="I15" s="331"/>
      <c r="J15" s="342"/>
      <c r="K15" s="343"/>
      <c r="L15" s="348" t="str">
        <f>IFERROR(INDEX('Data Lokasi'!$D:$D,MATCH(Resume!$K15,'Data Lokasi'!$C:$C,0)),"")</f>
        <v/>
      </c>
      <c r="M15" s="343" t="str">
        <f>IFERROR(INDEX('Data Lokasi'!$V:$V,MATCH(Resume!$K15,'Data Lokasi'!$C:$C,0)),"")</f>
        <v/>
      </c>
      <c r="N15" s="370" t="str">
        <f t="shared" si="3"/>
        <v/>
      </c>
      <c r="O15" s="349" t="str">
        <f>IFERROR(VLOOKUP($K15,'Jenis Bibit'!$C$3:$E$200,2,0),"")</f>
        <v/>
      </c>
      <c r="P15" s="346" t="str">
        <f t="shared" si="0"/>
        <v/>
      </c>
      <c r="Q15" s="346" t="str">
        <f t="shared" si="4"/>
        <v/>
      </c>
      <c r="R15" s="346" t="str">
        <f t="shared" si="2"/>
        <v/>
      </c>
      <c r="S15" s="347"/>
      <c r="T15" s="331"/>
      <c r="V15" s="64">
        <f>SUMIFS('Input Real Tanam&amp;Petik Nanas'!$G:$G,'Input Real Tanam&amp;Petik Nanas'!$C:$C,Resume!$K15)</f>
        <v>0</v>
      </c>
      <c r="W15" s="64">
        <f>SUMIFS('Input Real Tanam&amp;Petik Nanas'!$H:$H,'Input Real Tanam&amp;Petik Nanas'!$C:$C,Resume!$K15)</f>
        <v>0</v>
      </c>
      <c r="X15" s="64">
        <f>SUMIFS('Input Real Tanam&amp;Petik Nanas'!$I:$I,'Input Real Tanam&amp;Petik Nanas'!$C:$C,Resume!$K15)</f>
        <v>0</v>
      </c>
      <c r="Y15" s="64">
        <f t="shared" si="5"/>
        <v>0</v>
      </c>
    </row>
    <row r="16" spans="1:29">
      <c r="A16" s="331"/>
      <c r="B16" s="285" t="s">
        <v>2635</v>
      </c>
      <c r="C16" s="285"/>
      <c r="D16" s="285"/>
      <c r="E16" s="302">
        <f>E10+E15</f>
        <v>3.6999999999999997</v>
      </c>
      <c r="F16" s="357"/>
      <c r="G16" s="357"/>
      <c r="H16" s="351"/>
      <c r="I16" s="331"/>
      <c r="J16" s="342"/>
      <c r="K16" s="343"/>
      <c r="L16" s="348" t="str">
        <f>IFERROR(INDEX('Data Lokasi'!$D:$D,MATCH(Resume!$K16,'Data Lokasi'!$C:$C,0)),"")</f>
        <v/>
      </c>
      <c r="M16" s="343" t="str">
        <f>IFERROR(INDEX('Data Lokasi'!$V:$V,MATCH(Resume!$K16,'Data Lokasi'!$C:$C,0)),"")</f>
        <v/>
      </c>
      <c r="N16" s="370" t="str">
        <f t="shared" si="3"/>
        <v/>
      </c>
      <c r="O16" s="349" t="str">
        <f>IFERROR(VLOOKUP($K16,'Jenis Bibit'!$C$3:$E$200,2,0),"")</f>
        <v/>
      </c>
      <c r="P16" s="346" t="str">
        <f t="shared" si="0"/>
        <v/>
      </c>
      <c r="Q16" s="346" t="str">
        <f t="shared" si="4"/>
        <v/>
      </c>
      <c r="R16" s="346" t="str">
        <f t="shared" si="2"/>
        <v/>
      </c>
      <c r="S16" s="347"/>
      <c r="T16" s="331"/>
      <c r="V16" s="64">
        <f>SUMIFS('Input Real Tanam&amp;Petik Nanas'!$G:$G,'Input Real Tanam&amp;Petik Nanas'!$C:$C,Resume!$K16)</f>
        <v>0</v>
      </c>
      <c r="W16" s="64">
        <f>SUMIFS('Input Real Tanam&amp;Petik Nanas'!$H:$H,'Input Real Tanam&amp;Petik Nanas'!$C:$C,Resume!$K16)</f>
        <v>0</v>
      </c>
      <c r="X16" s="64">
        <f>SUMIFS('Input Real Tanam&amp;Petik Nanas'!$I:$I,'Input Real Tanam&amp;Petik Nanas'!$C:$C,Resume!$K16)</f>
        <v>0</v>
      </c>
      <c r="Y16" s="64">
        <f t="shared" si="5"/>
        <v>0</v>
      </c>
    </row>
    <row r="17" spans="1:25">
      <c r="A17" s="331"/>
      <c r="C17" s="301" t="s">
        <v>2643</v>
      </c>
      <c r="F17" s="357"/>
      <c r="G17" s="357"/>
      <c r="H17" s="351"/>
      <c r="I17" s="331"/>
      <c r="J17" s="342"/>
      <c r="K17" s="343"/>
      <c r="L17" s="348" t="str">
        <f>IFERROR(INDEX('Data Lokasi'!$D:$D,MATCH(Resume!$K17,'Data Lokasi'!$C:$C,0)),"")</f>
        <v/>
      </c>
      <c r="M17" s="343" t="str">
        <f>IFERROR(INDEX('Data Lokasi'!$V:$V,MATCH(Resume!$K17,'Data Lokasi'!$C:$C,0)),"")</f>
        <v/>
      </c>
      <c r="N17" s="370" t="str">
        <f t="shared" si="3"/>
        <v/>
      </c>
      <c r="O17" s="349" t="str">
        <f>IFERROR(VLOOKUP($K17,'Jenis Bibit'!$C$3:$E$200,2,0),"")</f>
        <v/>
      </c>
      <c r="P17" s="346" t="str">
        <f t="shared" si="0"/>
        <v/>
      </c>
      <c r="Q17" s="346" t="str">
        <f t="shared" si="4"/>
        <v/>
      </c>
      <c r="R17" s="346" t="str">
        <f t="shared" si="2"/>
        <v/>
      </c>
      <c r="S17" s="347"/>
      <c r="T17" s="331"/>
      <c r="V17" s="64">
        <f>SUMIFS('Input Real Tanam&amp;Petik Nanas'!$G:$G,'Input Real Tanam&amp;Petik Nanas'!$C:$C,Resume!$K17)</f>
        <v>0</v>
      </c>
      <c r="W17" s="64">
        <f>SUMIFS('Input Real Tanam&amp;Petik Nanas'!$H:$H,'Input Real Tanam&amp;Petik Nanas'!$C:$C,Resume!$K17)</f>
        <v>0</v>
      </c>
      <c r="X17" s="64">
        <f>SUMIFS('Input Real Tanam&amp;Petik Nanas'!$I:$I,'Input Real Tanam&amp;Petik Nanas'!$C:$C,Resume!$K17)</f>
        <v>0</v>
      </c>
      <c r="Y17" s="64">
        <f t="shared" si="5"/>
        <v>0</v>
      </c>
    </row>
    <row r="18" spans="1:25">
      <c r="A18" s="331"/>
      <c r="B18" s="287" t="s">
        <v>2650</v>
      </c>
      <c r="C18" s="287" t="s">
        <v>2643</v>
      </c>
      <c r="D18" s="287"/>
      <c r="E18" s="287"/>
      <c r="F18" s="357"/>
      <c r="G18" s="357"/>
      <c r="H18" s="351"/>
      <c r="I18" s="331"/>
      <c r="J18" s="342"/>
      <c r="K18" s="343"/>
      <c r="L18" s="348" t="str">
        <f>IFERROR(INDEX('Data Lokasi'!$D:$D,MATCH(Resume!$K18,'Data Lokasi'!$C:$C,0)),"")</f>
        <v/>
      </c>
      <c r="M18" s="343" t="str">
        <f>IFERROR(INDEX('Data Lokasi'!$V:$V,MATCH(Resume!$K18,'Data Lokasi'!$C:$C,0)),"")</f>
        <v/>
      </c>
      <c r="N18" s="370" t="str">
        <f t="shared" si="3"/>
        <v/>
      </c>
      <c r="O18" s="349" t="str">
        <f>IFERROR(VLOOKUP($K18,'Jenis Bibit'!$C$3:$E$200,2,0),"")</f>
        <v/>
      </c>
      <c r="P18" s="346" t="str">
        <f t="shared" si="0"/>
        <v/>
      </c>
      <c r="Q18" s="346" t="str">
        <f t="shared" si="4"/>
        <v/>
      </c>
      <c r="R18" s="346" t="str">
        <f t="shared" si="2"/>
        <v/>
      </c>
      <c r="S18" s="347"/>
      <c r="T18" s="331"/>
      <c r="V18" s="64">
        <f>SUMIFS('Input Real Tanam&amp;Petik Nanas'!$G:$G,'Input Real Tanam&amp;Petik Nanas'!$C:$C,Resume!$K18)</f>
        <v>0</v>
      </c>
      <c r="W18" s="64">
        <f>SUMIFS('Input Real Tanam&amp;Petik Nanas'!$H:$H,'Input Real Tanam&amp;Petik Nanas'!$C:$C,Resume!$K18)</f>
        <v>0</v>
      </c>
      <c r="X18" s="64">
        <f>SUMIFS('Input Real Tanam&amp;Petik Nanas'!$I:$I,'Input Real Tanam&amp;Petik Nanas'!$C:$C,Resume!$K18)</f>
        <v>0</v>
      </c>
      <c r="Y18" s="64">
        <f t="shared" si="5"/>
        <v>0</v>
      </c>
    </row>
    <row r="19" spans="1:25">
      <c r="A19" s="331"/>
      <c r="B19" s="267" t="s">
        <v>729</v>
      </c>
      <c r="C19" s="286">
        <f>C4</f>
        <v>46308</v>
      </c>
      <c r="D19" s="301">
        <v>15</v>
      </c>
      <c r="F19" s="357"/>
      <c r="G19" s="357"/>
      <c r="H19" s="351"/>
      <c r="I19" s="331"/>
      <c r="J19" s="342"/>
      <c r="K19" s="343"/>
      <c r="L19" s="348" t="str">
        <f>IFERROR(INDEX('Data Lokasi'!$D:$D,MATCH(Resume!$K19,'Data Lokasi'!$C:$C,0)),"")</f>
        <v/>
      </c>
      <c r="M19" s="343" t="str">
        <f>IFERROR(INDEX('Data Lokasi'!$V:$V,MATCH(Resume!$K19,'Data Lokasi'!$C:$C,0)),"")</f>
        <v/>
      </c>
      <c r="N19" s="370" t="str">
        <f t="shared" si="3"/>
        <v/>
      </c>
      <c r="O19" s="349" t="str">
        <f>IFERROR(VLOOKUP($K19,'Jenis Bibit'!$C$3:$E$200,2,0),"")</f>
        <v/>
      </c>
      <c r="P19" s="346" t="str">
        <f t="shared" si="0"/>
        <v/>
      </c>
      <c r="Q19" s="346" t="str">
        <f t="shared" si="4"/>
        <v/>
      </c>
      <c r="R19" s="346" t="str">
        <f t="shared" si="2"/>
        <v/>
      </c>
      <c r="S19" s="347"/>
      <c r="T19" s="331"/>
      <c r="V19" s="64">
        <f>SUMIFS('Input Real Tanam&amp;Petik Nanas'!$G:$G,'Input Real Tanam&amp;Petik Nanas'!$C:$C,Resume!$K19)</f>
        <v>0</v>
      </c>
      <c r="W19" s="64">
        <f>SUMIFS('Input Real Tanam&amp;Petik Nanas'!$H:$H,'Input Real Tanam&amp;Petik Nanas'!$C:$C,Resume!$K19)</f>
        <v>0</v>
      </c>
      <c r="X19" s="64">
        <f>SUMIFS('Input Real Tanam&amp;Petik Nanas'!$I:$I,'Input Real Tanam&amp;Petik Nanas'!$C:$C,Resume!$K19)</f>
        <v>0</v>
      </c>
      <c r="Y19" s="64">
        <f t="shared" si="5"/>
        <v>0</v>
      </c>
    </row>
    <row r="20" spans="1:25">
      <c r="A20" s="331"/>
      <c r="B20" s="288" t="s">
        <v>2630</v>
      </c>
      <c r="C20" s="289" t="s">
        <v>2636</v>
      </c>
      <c r="D20" s="289" t="s">
        <v>2637</v>
      </c>
      <c r="E20" s="290" t="s">
        <v>2638</v>
      </c>
      <c r="F20" s="357"/>
      <c r="G20" s="357"/>
      <c r="H20" s="351"/>
      <c r="I20" s="331"/>
      <c r="J20" s="342"/>
      <c r="K20" s="343"/>
      <c r="L20" s="348" t="str">
        <f>IFERROR(INDEX('Data Lokasi'!$D:$D,MATCH(Resume!$K20,'Data Lokasi'!$C:$C,0)),"")</f>
        <v/>
      </c>
      <c r="M20" s="343" t="str">
        <f>IFERROR(INDEX('Data Lokasi'!$V:$V,MATCH(Resume!$K20,'Data Lokasi'!$C:$C,0)),"")</f>
        <v/>
      </c>
      <c r="N20" s="370" t="str">
        <f t="shared" ref="N20" si="6">IF(ISERROR(M20/L20),"",(M20/L20))</f>
        <v/>
      </c>
      <c r="O20" s="349" t="str">
        <f>IFERROR(VLOOKUP($K20,'Jenis Bibit'!$C$3:$E$200,2,0),"")</f>
        <v/>
      </c>
      <c r="P20" s="346" t="str">
        <f>IF(ISERROR(V20/$Y20),"",(V20/$Y20))</f>
        <v/>
      </c>
      <c r="Q20" s="346" t="str">
        <f t="shared" ref="Q20" si="7">IF(ISERROR(W20/$Y20),"",(W20/$Y20))</f>
        <v/>
      </c>
      <c r="R20" s="346" t="str">
        <f t="shared" ref="R20" si="8">IF(ISERROR(X20/$Y20),"",(X20/$Y20))</f>
        <v/>
      </c>
      <c r="S20" s="347"/>
      <c r="T20" s="331"/>
      <c r="V20" s="64">
        <f>SUMIFS('Input Real Tanam&amp;Petik Nanas'!$G:$G,'Input Real Tanam&amp;Petik Nanas'!$C:$C,Resume!$K20)</f>
        <v>0</v>
      </c>
      <c r="W20" s="64">
        <f>SUMIFS('Input Real Tanam&amp;Petik Nanas'!$H:$H,'Input Real Tanam&amp;Petik Nanas'!$C:$C,Resume!$K20)</f>
        <v>0</v>
      </c>
      <c r="X20" s="64">
        <f>SUMIFS('Input Real Tanam&amp;Petik Nanas'!$I:$I,'Input Real Tanam&amp;Petik Nanas'!$C:$C,Resume!$K20)</f>
        <v>0</v>
      </c>
      <c r="Y20" s="64">
        <f t="shared" ref="Y20" si="9">SUM(V20:X20)</f>
        <v>0</v>
      </c>
    </row>
    <row r="21" spans="1:25">
      <c r="A21" s="331"/>
      <c r="B21" s="291" t="s">
        <v>2631</v>
      </c>
      <c r="C21" s="292" t="s">
        <v>719</v>
      </c>
      <c r="D21" s="293" t="s">
        <v>2623</v>
      </c>
      <c r="E21" s="310">
        <f>SUMIFS('Input Real Tanam&amp;Petik Nanas'!$G:$G,'Input Real Tanam&amp;Petik Nanas'!$B:$B,$C$19,'Input Real Tanam&amp;Petik Nanas'!$M:$M,$B$21,'Input Real Tanam&amp;Petik Nanas'!$E:$E,$C$18)+C33</f>
        <v>0.01</v>
      </c>
      <c r="F21" s="357"/>
      <c r="G21" s="357"/>
      <c r="H21" s="351"/>
      <c r="I21" s="331"/>
      <c r="J21" s="333"/>
      <c r="K21" s="548"/>
      <c r="L21" s="549"/>
      <c r="M21" s="549"/>
      <c r="N21" s="549"/>
      <c r="O21" s="549"/>
      <c r="P21" s="549"/>
      <c r="Q21" s="549"/>
      <c r="R21" s="549"/>
      <c r="S21" s="331"/>
      <c r="T21" s="331"/>
      <c r="W21" s="325"/>
    </row>
    <row r="22" spans="1:25">
      <c r="A22" s="331"/>
      <c r="B22" s="295"/>
      <c r="C22" s="293"/>
      <c r="D22" s="293" t="s">
        <v>2624</v>
      </c>
      <c r="E22" s="294">
        <f>SUMIFS('Input Real Tanam&amp;Petik Nanas'!$H:$H,'Input Real Tanam&amp;Petik Nanas'!$B:$B,$C$19,'Input Real Tanam&amp;Petik Nanas'!$M:$M,$B$21,'Input Real Tanam&amp;Petik Nanas'!$E:$E,$C$18)</f>
        <v>0.11</v>
      </c>
      <c r="F22" s="357"/>
      <c r="G22" s="357"/>
      <c r="H22" s="351"/>
      <c r="I22" s="331"/>
      <c r="J22" s="334"/>
      <c r="K22" s="334"/>
      <c r="L22" s="331"/>
      <c r="M22" s="331"/>
      <c r="N22" s="331"/>
      <c r="O22" s="331"/>
      <c r="P22" s="331"/>
      <c r="Q22" s="331"/>
      <c r="R22" s="331"/>
      <c r="S22" s="331"/>
      <c r="T22" s="331"/>
      <c r="W22" s="325"/>
    </row>
    <row r="23" spans="1:25">
      <c r="A23" s="331"/>
      <c r="B23" s="295"/>
      <c r="C23" s="293"/>
      <c r="D23" s="293" t="s">
        <v>718</v>
      </c>
      <c r="E23" s="309">
        <f>SUMIFS('Input Real Tanam&amp;Petik Nanas'!$I:$I,'Input Real Tanam&amp;Petik Nanas'!$B:$B,$C$19,'Input Real Tanam&amp;Petik Nanas'!$M:$M,$B$21,'Input Real Tanam&amp;Petik Nanas'!$L:$L,"Sucker",'Input Real Tanam&amp;Petik Nanas'!$E:$E,$C$18)</f>
        <v>0</v>
      </c>
      <c r="F23" s="357"/>
      <c r="G23" s="357"/>
      <c r="H23" s="351"/>
      <c r="I23" s="331"/>
      <c r="J23" s="334"/>
      <c r="K23" s="334"/>
      <c r="L23" s="331"/>
      <c r="M23" s="331"/>
      <c r="N23" s="331"/>
      <c r="O23" s="331"/>
      <c r="P23" s="331"/>
      <c r="Q23" s="331"/>
      <c r="R23" s="331"/>
      <c r="S23" s="331"/>
      <c r="T23" s="331"/>
      <c r="W23" s="325"/>
    </row>
    <row r="24" spans="1:25">
      <c r="A24" s="331"/>
      <c r="B24" s="295"/>
      <c r="C24" s="292" t="s">
        <v>2625</v>
      </c>
      <c r="D24" s="293" t="s">
        <v>718</v>
      </c>
      <c r="E24" s="294">
        <f>SUMIFS('Input Real Tanam&amp;Petik Nanas'!$I:$I,'Input Real Tanam&amp;Petik Nanas'!$B:$B,$C$19,'Input Real Tanam&amp;Petik Nanas'!$M:$M,$B$21,'Input Real Tanam&amp;Petik Nanas'!$L:$L,"Crown",'Input Real Tanam&amp;Petik Nanas'!$E:$E,$C$18)</f>
        <v>0</v>
      </c>
      <c r="F24" s="357"/>
      <c r="G24" s="357"/>
      <c r="H24" s="351"/>
      <c r="I24" s="331"/>
      <c r="J24" s="334"/>
      <c r="K24" s="334"/>
      <c r="L24" s="331"/>
      <c r="M24" s="331"/>
      <c r="N24" s="331"/>
      <c r="O24" s="331"/>
      <c r="P24" s="331"/>
      <c r="Q24" s="331"/>
      <c r="R24" s="331"/>
      <c r="S24" s="331"/>
      <c r="T24" s="331"/>
      <c r="W24" s="325"/>
    </row>
    <row r="25" spans="1:25">
      <c r="A25" s="331"/>
      <c r="B25" s="296" t="s">
        <v>2639</v>
      </c>
      <c r="C25" s="297"/>
      <c r="D25" s="297"/>
      <c r="E25" s="303">
        <f>SUM(E21:E24)</f>
        <v>0.12</v>
      </c>
      <c r="F25" s="357"/>
      <c r="G25" s="361"/>
      <c r="H25" s="326"/>
      <c r="I25" s="326"/>
      <c r="J25" s="355"/>
      <c r="K25" s="355"/>
      <c r="L25" s="326"/>
      <c r="M25" s="326"/>
      <c r="N25" s="326"/>
      <c r="O25" s="326"/>
      <c r="P25" s="326"/>
      <c r="Q25" s="326"/>
      <c r="R25" s="326"/>
      <c r="S25" s="326"/>
      <c r="T25" s="326"/>
    </row>
    <row r="26" spans="1:25">
      <c r="A26" s="331"/>
      <c r="B26" s="291" t="s">
        <v>2634</v>
      </c>
      <c r="C26" s="292" t="s">
        <v>719</v>
      </c>
      <c r="D26" s="293" t="s">
        <v>2623</v>
      </c>
      <c r="E26" s="309">
        <f>SUMIFS('Input Real Tanam&amp;Petik Nanas'!$G:$G,'Input Real Tanam&amp;Petik Nanas'!$B:$B,$C$19,'Input Real Tanam&amp;Petik Nanas'!$M:$M,$B$26,'Input Real Tanam&amp;Petik Nanas'!$E:$E,$C$18)+C38</f>
        <v>0</v>
      </c>
      <c r="F26" s="357"/>
      <c r="G26" s="357"/>
      <c r="H26" s="331"/>
      <c r="I26" s="363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</row>
    <row r="27" spans="1:25">
      <c r="A27" s="331"/>
      <c r="B27" s="295"/>
      <c r="C27" s="293"/>
      <c r="D27" s="293" t="s">
        <v>2624</v>
      </c>
      <c r="E27" s="309">
        <f>SUMIFS('Input Real Tanam&amp;Petik Nanas'!$H:$H,'Input Real Tanam&amp;Petik Nanas'!$B:$B,$C$19,'Input Real Tanam&amp;Petik Nanas'!$M:$M,$B$26,'Input Real Tanam&amp;Petik Nanas'!$E:$E,$C$18)</f>
        <v>0.03</v>
      </c>
      <c r="F27" s="357"/>
      <c r="G27" s="357"/>
      <c r="H27" s="331"/>
      <c r="I27" s="363"/>
      <c r="J27" s="331"/>
      <c r="K27" s="331"/>
      <c r="L27" s="331"/>
      <c r="M27" s="331"/>
      <c r="N27" s="331"/>
      <c r="O27" s="331"/>
      <c r="P27" s="331"/>
      <c r="Q27" s="331"/>
      <c r="R27" s="331"/>
      <c r="S27" s="331"/>
      <c r="T27" s="331"/>
    </row>
    <row r="28" spans="1:25">
      <c r="A28" s="331"/>
      <c r="B28" s="295"/>
      <c r="C28" s="293"/>
      <c r="D28" s="293" t="s">
        <v>718</v>
      </c>
      <c r="E28" s="309">
        <f>SUMIFS('Input Real Tanam&amp;Petik Nanas'!$I:$I,'Input Real Tanam&amp;Petik Nanas'!$B:$B,$C$19,'Input Real Tanam&amp;Petik Nanas'!$M:$M,$B$26,'Input Real Tanam&amp;Petik Nanas'!$L:$L,"Sucker",'Input Real Tanam&amp;Petik Nanas'!$E:$E,$C$18)</f>
        <v>0.6</v>
      </c>
      <c r="F28" s="357"/>
      <c r="G28" s="357"/>
      <c r="H28" s="331"/>
      <c r="I28" s="331"/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1"/>
    </row>
    <row r="29" spans="1:25">
      <c r="A29" s="331"/>
      <c r="B29" s="295"/>
      <c r="C29" s="292" t="s">
        <v>2625</v>
      </c>
      <c r="D29" s="293" t="s">
        <v>718</v>
      </c>
      <c r="E29" s="309">
        <f>SUMIFS('Input Real Tanam&amp;Petik Nanas'!$I:$I,'Input Real Tanam&amp;Petik Nanas'!$B:$B,$C$19,'Input Real Tanam&amp;Petik Nanas'!$M:$M,$B$26,'Input Real Tanam&amp;Petik Nanas'!$L:$L,"Crown",'Input Real Tanam&amp;Petik Nanas'!$E:$E,$C$18)</f>
        <v>1.1000000000000001</v>
      </c>
      <c r="F29" s="357"/>
      <c r="G29" s="357"/>
      <c r="H29" s="331"/>
      <c r="I29" s="331"/>
      <c r="J29" s="334"/>
      <c r="K29" s="334"/>
      <c r="L29" s="331"/>
      <c r="M29" s="331"/>
      <c r="N29" s="331"/>
      <c r="O29" s="331"/>
      <c r="P29" s="331"/>
      <c r="Q29" s="331"/>
      <c r="R29" s="331"/>
      <c r="S29" s="331"/>
      <c r="T29" s="331"/>
    </row>
    <row r="30" spans="1:25">
      <c r="A30" s="331"/>
      <c r="B30" s="298" t="s">
        <v>2640</v>
      </c>
      <c r="C30" s="299"/>
      <c r="D30" s="299"/>
      <c r="E30" s="300">
        <f>SUM(E26:E29)</f>
        <v>1.73</v>
      </c>
      <c r="F30" s="357"/>
      <c r="G30" s="357"/>
      <c r="H30" s="331"/>
      <c r="I30" s="331"/>
      <c r="J30" s="334"/>
      <c r="K30" s="334"/>
      <c r="L30" s="331"/>
      <c r="M30" s="331"/>
      <c r="N30" s="331"/>
      <c r="O30" s="331"/>
      <c r="P30" s="331"/>
      <c r="Q30" s="331"/>
      <c r="R30" s="331"/>
      <c r="S30" s="331"/>
      <c r="T30" s="331"/>
    </row>
    <row r="31" spans="1:25">
      <c r="A31" s="331"/>
      <c r="B31" s="285" t="s">
        <v>2635</v>
      </c>
      <c r="C31" s="285"/>
      <c r="D31" s="285"/>
      <c r="E31" s="302">
        <f>E25+E30</f>
        <v>1.85</v>
      </c>
      <c r="F31" s="357"/>
      <c r="G31" s="357"/>
      <c r="H31" s="331"/>
      <c r="I31" s="331"/>
      <c r="J31" s="334"/>
      <c r="K31" s="334"/>
      <c r="L31" s="331"/>
      <c r="M31" s="331"/>
      <c r="N31" s="331"/>
      <c r="O31" s="331"/>
      <c r="P31" s="331"/>
      <c r="Q31" s="331"/>
      <c r="R31" s="331"/>
      <c r="S31" s="331"/>
      <c r="T31" s="331"/>
    </row>
    <row r="32" spans="1:25">
      <c r="A32" s="331"/>
      <c r="B32" s="331"/>
      <c r="C32" s="331"/>
      <c r="D32" s="331"/>
      <c r="E32" s="331"/>
      <c r="F32" s="357"/>
      <c r="G32" s="357"/>
      <c r="H32" s="331"/>
      <c r="I32" s="331"/>
      <c r="J32" s="334"/>
      <c r="K32" s="334"/>
      <c r="L32" s="331"/>
      <c r="M32" s="331"/>
      <c r="N32" s="331"/>
      <c r="O32" s="331"/>
      <c r="P32" s="331"/>
      <c r="Q32" s="331"/>
      <c r="R32" s="331"/>
      <c r="S32" s="331"/>
      <c r="T32" s="331"/>
    </row>
    <row r="33" spans="2:7">
      <c r="B33" s="356" t="s">
        <v>2653</v>
      </c>
      <c r="C33" s="356">
        <f>SUMIFS('Input Real Tanam&amp;Petik Nanas'!$F:$F,'Input Real Tanam&amp;Petik Nanas'!$E:$E,Resume!$C$18,'Input Real Tanam&amp;Petik Nanas'!$B:$B,Resume!$C$19,'Input Real Tanam&amp;Petik Nanas'!$M:$M,Resume!$B$21)</f>
        <v>0</v>
      </c>
      <c r="F33" s="356"/>
      <c r="G33" s="356"/>
    </row>
    <row r="34" spans="2:7">
      <c r="B34" s="356"/>
      <c r="C34" s="356"/>
      <c r="F34" s="356"/>
      <c r="G34" s="356"/>
    </row>
    <row r="35" spans="2:7">
      <c r="B35" s="356"/>
      <c r="C35" s="356"/>
    </row>
    <row r="36" spans="2:7">
      <c r="B36" s="356"/>
      <c r="C36" s="356"/>
    </row>
    <row r="37" spans="2:7">
      <c r="B37" s="356"/>
      <c r="C37" s="356"/>
    </row>
    <row r="38" spans="2:7">
      <c r="B38" s="356" t="s">
        <v>2653</v>
      </c>
      <c r="C38" s="356">
        <f>SUMIFS('Input Real Tanam&amp;Petik Nanas'!$F:$F,'Input Real Tanam&amp;Petik Nanas'!$E:$E,Resume!$C$18,'Input Real Tanam&amp;Petik Nanas'!$B:$B,Resume!$C$19,'Input Real Tanam&amp;Petik Nanas'!$M:$M,$B$26)</f>
        <v>0</v>
      </c>
    </row>
  </sheetData>
  <mergeCells count="4">
    <mergeCell ref="J7:J9"/>
    <mergeCell ref="K7:K9"/>
    <mergeCell ref="L7:L9"/>
    <mergeCell ref="S8:S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Drop Down 1">
              <controlPr defaultSize="0" autoLine="0" autoPict="0">
                <anchor moveWithCells="1">
                  <from>
                    <xdr:col>6</xdr:col>
                    <xdr:colOff>251460</xdr:colOff>
                    <xdr:row>6</xdr:row>
                    <xdr:rowOff>22860</xdr:rowOff>
                  </from>
                  <to>
                    <xdr:col>7</xdr:col>
                    <xdr:colOff>464820</xdr:colOff>
                    <xdr:row>7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757B-5E19-4AD4-9A45-CAE43AA4C2A6}">
  <sheetPr filterMode="1">
    <tabColor rgb="FFFFFF00"/>
  </sheetPr>
  <dimension ref="B1:AA2111"/>
  <sheetViews>
    <sheetView showGridLines="0" tabSelected="1" zoomScaleNormal="100" workbookViewId="0">
      <pane ySplit="7" topLeftCell="A1490" activePane="bottomLeft" state="frozen"/>
      <selection pane="bottomLeft" activeCell="J1491" sqref="J1491"/>
    </sheetView>
  </sheetViews>
  <sheetFormatPr defaultRowHeight="14.4"/>
  <cols>
    <col min="1" max="1" width="2.5546875" customWidth="1"/>
    <col min="2" max="2" width="16.109375" style="270" bestFit="1" customWidth="1"/>
    <col min="3" max="3" width="9.44140625" customWidth="1"/>
    <col min="4" max="4" width="11.44140625" style="275" customWidth="1"/>
    <col min="5" max="5" width="14" style="275" customWidth="1"/>
    <col min="6" max="6" width="10.109375" style="275" bestFit="1" customWidth="1"/>
    <col min="7" max="7" width="10.33203125" style="275" bestFit="1" customWidth="1"/>
    <col min="8" max="9" width="9.109375" style="275"/>
    <col min="10" max="10" width="10.109375" style="458" customWidth="1"/>
    <col min="11" max="11" width="10.109375" style="585" customWidth="1"/>
    <col min="12" max="12" width="12" customWidth="1"/>
    <col min="14" max="14" width="17.33203125" style="270" customWidth="1"/>
    <col min="15" max="15" width="15.109375" style="270" customWidth="1"/>
    <col min="16" max="16" width="15.109375" style="280" customWidth="1"/>
    <col min="17" max="17" width="12.44140625" style="284" customWidth="1"/>
    <col min="18" max="18" width="12.44140625" style="307" customWidth="1"/>
    <col min="19" max="19" width="3.109375" customWidth="1"/>
  </cols>
  <sheetData>
    <row r="1" spans="2:27" ht="10.5" customHeight="1" thickTop="1">
      <c r="B1" s="422"/>
      <c r="C1" s="423"/>
      <c r="D1" s="424"/>
      <c r="E1" s="424"/>
      <c r="F1" s="424"/>
      <c r="G1" s="424"/>
      <c r="H1" s="424"/>
      <c r="I1" s="424"/>
      <c r="J1" s="453"/>
      <c r="K1" s="580"/>
      <c r="L1" s="423"/>
      <c r="M1" s="423"/>
      <c r="N1" s="425"/>
      <c r="O1" s="425"/>
      <c r="P1" s="426"/>
      <c r="Q1" s="427"/>
      <c r="R1" s="428"/>
    </row>
    <row r="2" spans="2:27" ht="8.25" customHeight="1">
      <c r="B2" s="429"/>
      <c r="C2" s="430"/>
      <c r="D2" s="431"/>
      <c r="E2" s="431"/>
      <c r="F2" s="431"/>
      <c r="G2" s="431"/>
      <c r="H2" s="431"/>
      <c r="I2" s="431"/>
      <c r="J2" s="454"/>
      <c r="K2" s="581"/>
      <c r="L2" s="430"/>
      <c r="M2" s="430"/>
      <c r="N2" s="432"/>
      <c r="O2" s="432"/>
      <c r="P2" s="433"/>
      <c r="Q2" s="434"/>
      <c r="R2" s="435"/>
    </row>
    <row r="3" spans="2:27" ht="8.25" customHeight="1">
      <c r="B3" s="429"/>
      <c r="C3" s="430"/>
      <c r="D3" s="431"/>
      <c r="E3" s="431"/>
      <c r="F3" s="431"/>
      <c r="G3" s="431"/>
      <c r="H3" s="431"/>
      <c r="I3" s="431"/>
      <c r="J3" s="454"/>
      <c r="K3" s="581"/>
      <c r="L3" s="430"/>
      <c r="M3" s="430"/>
      <c r="N3" s="432"/>
      <c r="O3" s="432"/>
      <c r="P3" s="433"/>
      <c r="Q3" s="434"/>
      <c r="R3" s="435"/>
    </row>
    <row r="4" spans="2:27" ht="8.25" customHeight="1">
      <c r="B4" s="429"/>
      <c r="C4" s="430"/>
      <c r="D4" s="431"/>
      <c r="E4" s="431"/>
      <c r="F4" s="431"/>
      <c r="G4" s="431"/>
      <c r="H4" s="431"/>
      <c r="I4" s="431"/>
      <c r="J4" s="454"/>
      <c r="K4" s="581"/>
      <c r="L4" s="430"/>
      <c r="M4" s="430"/>
      <c r="N4" s="432"/>
      <c r="O4" s="432"/>
      <c r="P4" s="433"/>
      <c r="Q4" s="434"/>
      <c r="R4" s="435"/>
    </row>
    <row r="5" spans="2:27" ht="8.25" customHeight="1" thickBot="1">
      <c r="B5" s="429"/>
      <c r="C5" s="430"/>
      <c r="D5" s="431"/>
      <c r="E5" s="431"/>
      <c r="F5" s="431"/>
      <c r="G5" s="431"/>
      <c r="H5" s="431"/>
      <c r="I5" s="431"/>
      <c r="J5" s="454"/>
      <c r="K5" s="581"/>
      <c r="L5" s="430"/>
      <c r="M5" s="430"/>
      <c r="N5" s="432"/>
      <c r="O5" s="432"/>
      <c r="P5" s="433"/>
      <c r="Q5" s="434"/>
      <c r="R5" s="435"/>
    </row>
    <row r="6" spans="2:27" ht="15" thickTop="1">
      <c r="B6" s="623" t="s">
        <v>729</v>
      </c>
      <c r="C6" s="621" t="s">
        <v>94</v>
      </c>
      <c r="D6" s="271" t="s">
        <v>2626</v>
      </c>
      <c r="E6" s="629" t="s">
        <v>2641</v>
      </c>
      <c r="F6" s="279"/>
      <c r="G6" s="279" t="s">
        <v>712</v>
      </c>
      <c r="H6" s="279"/>
      <c r="I6" s="279"/>
      <c r="J6" s="627" t="s">
        <v>2770</v>
      </c>
      <c r="K6" s="631" t="s">
        <v>2771</v>
      </c>
      <c r="L6" s="621" t="s">
        <v>711</v>
      </c>
      <c r="M6" s="621" t="s">
        <v>2630</v>
      </c>
      <c r="N6" s="276" t="s">
        <v>729</v>
      </c>
      <c r="O6" s="276" t="s">
        <v>729</v>
      </c>
      <c r="P6" s="281" t="s">
        <v>2632</v>
      </c>
      <c r="Q6" s="625" t="s">
        <v>2628</v>
      </c>
      <c r="R6" s="305" t="s">
        <v>2644</v>
      </c>
    </row>
    <row r="7" spans="2:27" ht="15" thickBot="1">
      <c r="B7" s="624"/>
      <c r="C7" s="622"/>
      <c r="D7" s="272" t="s">
        <v>2627</v>
      </c>
      <c r="E7" s="630"/>
      <c r="F7" s="273" t="s">
        <v>2653</v>
      </c>
      <c r="G7" s="273" t="s">
        <v>2623</v>
      </c>
      <c r="H7" s="273" t="s">
        <v>2624</v>
      </c>
      <c r="I7" s="273" t="s">
        <v>718</v>
      </c>
      <c r="J7" s="628"/>
      <c r="K7" s="632"/>
      <c r="L7" s="622"/>
      <c r="M7" s="622"/>
      <c r="N7" s="277" t="s">
        <v>2629</v>
      </c>
      <c r="O7" s="277" t="s">
        <v>99</v>
      </c>
      <c r="P7" s="282" t="s">
        <v>2633</v>
      </c>
      <c r="Q7" s="626"/>
      <c r="R7" s="306" t="s">
        <v>2645</v>
      </c>
    </row>
    <row r="8" spans="2:27" ht="15" hidden="1" thickTop="1">
      <c r="B8" s="311">
        <v>46188</v>
      </c>
      <c r="C8" s="312" t="s">
        <v>689</v>
      </c>
      <c r="D8" s="313">
        <f>IFERROR(VLOOKUP(C8,'Data Lokasi'!C:D,2,0),"")</f>
        <v>7.2</v>
      </c>
      <c r="E8" s="313" t="s">
        <v>2642</v>
      </c>
      <c r="F8" s="313"/>
      <c r="G8" s="313"/>
      <c r="H8" s="313"/>
      <c r="I8" s="313">
        <v>1.89</v>
      </c>
      <c r="J8" s="455">
        <f>IF(SUM(F8:I8)=0,"",(SUM(F8:I8)))</f>
        <v>1.89</v>
      </c>
      <c r="K8" s="582"/>
      <c r="L8" s="312" t="s">
        <v>2625</v>
      </c>
      <c r="M8" s="312" t="s">
        <v>2631</v>
      </c>
      <c r="N8" s="314">
        <f>IFERROR(INDEX('Data Lokasi'!S:S,MATCH('Input Real Tanam&amp;Petik Nanas'!C8,'Data Lokasi'!C:C,0)),"")</f>
        <v>45132</v>
      </c>
      <c r="O8" s="314"/>
      <c r="P8" s="315">
        <f>IFERROR(INDEX('Data Lokasi'!V:V,MATCH(C8,'Data Lokasi'!C:C,0)),"")</f>
        <v>0</v>
      </c>
      <c r="Q8" s="316">
        <f t="shared" ref="Q8:Q39" si="0">IF(ISERROR(P8/D8),"",(P8/D8))</f>
        <v>0</v>
      </c>
      <c r="R8" s="308"/>
      <c r="Z8" s="24"/>
      <c r="AA8" s="24"/>
    </row>
    <row r="9" spans="2:27" ht="15" hidden="1" thickTop="1">
      <c r="B9" s="269">
        <v>46188</v>
      </c>
      <c r="C9" s="268" t="s">
        <v>702</v>
      </c>
      <c r="D9" s="274">
        <f>IFERROR(VLOOKUP(C9,'Data Lokasi'!C:D,2,0),"")</f>
        <v>4.7</v>
      </c>
      <c r="E9" s="274" t="s">
        <v>2642</v>
      </c>
      <c r="F9" s="274"/>
      <c r="G9" s="274"/>
      <c r="H9" s="274"/>
      <c r="I9" s="274">
        <v>0.18</v>
      </c>
      <c r="J9" s="456">
        <f t="shared" ref="J9:J72" si="1">IF(SUM(F9:I9)=0,"",(SUM(F9:I9)))</f>
        <v>0.18</v>
      </c>
      <c r="K9" s="583"/>
      <c r="L9" s="268" t="s">
        <v>2625</v>
      </c>
      <c r="M9" s="268" t="s">
        <v>2631</v>
      </c>
      <c r="N9" s="278">
        <f>IFERROR(INDEX('Data Lokasi'!S:S,MATCH('Input Real Tanam&amp;Petik Nanas'!C9,'Data Lokasi'!C:C,0)),"")</f>
        <v>45190</v>
      </c>
      <c r="O9" s="278"/>
      <c r="P9" s="283">
        <f>IFERROR(INDEX('Data Lokasi'!V:V,MATCH(C9,'Data Lokasi'!C:C,0)),"")</f>
        <v>0</v>
      </c>
      <c r="Q9" s="304">
        <f t="shared" si="0"/>
        <v>0</v>
      </c>
      <c r="R9" s="308"/>
      <c r="Z9" s="24"/>
    </row>
    <row r="10" spans="2:27" ht="15" hidden="1" thickTop="1">
      <c r="B10" s="269">
        <v>46188</v>
      </c>
      <c r="C10" s="268" t="s">
        <v>212</v>
      </c>
      <c r="D10" s="274">
        <f>IFERROR(VLOOKUP(C10,'Data Lokasi'!C:D,2,0),"")</f>
        <v>8.39</v>
      </c>
      <c r="E10" s="274" t="s">
        <v>2642</v>
      </c>
      <c r="F10" s="274"/>
      <c r="G10" s="274"/>
      <c r="H10" s="274"/>
      <c r="I10" s="274">
        <v>0.21</v>
      </c>
      <c r="J10" s="456">
        <f t="shared" si="1"/>
        <v>0.21</v>
      </c>
      <c r="K10" s="583"/>
      <c r="L10" s="268" t="s">
        <v>2625</v>
      </c>
      <c r="M10" s="268" t="s">
        <v>2631</v>
      </c>
      <c r="N10" s="278">
        <f>IFERROR(INDEX('Data Lokasi'!S:S,MATCH('Input Real Tanam&amp;Petik Nanas'!C10,'Data Lokasi'!C:C,0)),"")</f>
        <v>43988</v>
      </c>
      <c r="O10" s="278"/>
      <c r="P10" s="283">
        <f>IFERROR(INDEX('Data Lokasi'!V:V,MATCH(C10,'Data Lokasi'!C:C,0)),"")</f>
        <v>0</v>
      </c>
      <c r="Q10" s="304">
        <f t="shared" si="0"/>
        <v>0</v>
      </c>
      <c r="R10" s="308"/>
      <c r="Z10" s="24"/>
    </row>
    <row r="11" spans="2:27" ht="15" hidden="1" thickTop="1">
      <c r="B11" s="269">
        <v>46188</v>
      </c>
      <c r="C11" s="268" t="s">
        <v>682</v>
      </c>
      <c r="D11" s="274">
        <f>IFERROR(VLOOKUP(C11,'Data Lokasi'!C:D,2,0),"")</f>
        <v>6.22</v>
      </c>
      <c r="E11" s="274" t="s">
        <v>2642</v>
      </c>
      <c r="F11" s="274"/>
      <c r="G11" s="274"/>
      <c r="H11" s="274"/>
      <c r="I11" s="274">
        <v>0.23</v>
      </c>
      <c r="J11" s="456">
        <f t="shared" si="1"/>
        <v>0.23</v>
      </c>
      <c r="K11" s="583"/>
      <c r="L11" s="268" t="s">
        <v>2625</v>
      </c>
      <c r="M11" s="268" t="s">
        <v>2631</v>
      </c>
      <c r="N11" s="278">
        <f>IFERROR(INDEX('Data Lokasi'!S:S,MATCH('Input Real Tanam&amp;Petik Nanas'!C11,'Data Lokasi'!C:C,0)),"")</f>
        <v>45092</v>
      </c>
      <c r="O11" s="278"/>
      <c r="P11" s="283">
        <f>IFERROR(INDEX('Data Lokasi'!V:V,MATCH(C11,'Data Lokasi'!C:C,0)),"")</f>
        <v>0</v>
      </c>
      <c r="Q11" s="304">
        <f t="shared" si="0"/>
        <v>0</v>
      </c>
      <c r="R11" s="308"/>
      <c r="Z11" s="24"/>
    </row>
    <row r="12" spans="2:27" ht="15" hidden="1" thickTop="1">
      <c r="B12" s="269">
        <v>46188</v>
      </c>
      <c r="C12" s="268" t="s">
        <v>652</v>
      </c>
      <c r="D12" s="274">
        <f>IFERROR(VLOOKUP(C12,'Data Lokasi'!C:D,2,0),"")</f>
        <v>5.0599999999999996</v>
      </c>
      <c r="E12" s="274" t="s">
        <v>2642</v>
      </c>
      <c r="F12" s="274"/>
      <c r="G12" s="274"/>
      <c r="H12" s="274"/>
      <c r="I12" s="274">
        <v>0.05</v>
      </c>
      <c r="J12" s="456">
        <f t="shared" si="1"/>
        <v>0.05</v>
      </c>
      <c r="K12" s="583"/>
      <c r="L12" s="268" t="s">
        <v>2625</v>
      </c>
      <c r="M12" s="268" t="s">
        <v>2631</v>
      </c>
      <c r="N12" s="278">
        <f>IFERROR(INDEX('Data Lokasi'!S:S,MATCH('Input Real Tanam&amp;Petik Nanas'!C12,'Data Lokasi'!C:C,0)),"")</f>
        <v>45002</v>
      </c>
      <c r="O12" s="278"/>
      <c r="P12" s="283">
        <f>IFERROR(INDEX('Data Lokasi'!V:V,MATCH(C12,'Data Lokasi'!C:C,0)),"")</f>
        <v>0</v>
      </c>
      <c r="Q12" s="304">
        <f t="shared" si="0"/>
        <v>0</v>
      </c>
      <c r="R12" s="308"/>
      <c r="Z12" s="24"/>
    </row>
    <row r="13" spans="2:27" ht="15" hidden="1" thickTop="1">
      <c r="B13" s="269">
        <v>46188</v>
      </c>
      <c r="C13" s="268" t="s">
        <v>658</v>
      </c>
      <c r="D13" s="274">
        <f>IFERROR(VLOOKUP(C13,'Data Lokasi'!C:D,2,0),"")</f>
        <v>7.35</v>
      </c>
      <c r="E13" s="274" t="s">
        <v>2642</v>
      </c>
      <c r="F13" s="274"/>
      <c r="G13" s="274"/>
      <c r="H13" s="274"/>
      <c r="I13" s="274">
        <v>0.09</v>
      </c>
      <c r="J13" s="456">
        <f t="shared" si="1"/>
        <v>0.09</v>
      </c>
      <c r="K13" s="583"/>
      <c r="L13" s="268" t="s">
        <v>2625</v>
      </c>
      <c r="M13" s="268" t="s">
        <v>2631</v>
      </c>
      <c r="N13" s="278">
        <f>IFERROR(INDEX('Data Lokasi'!S:S,MATCH('Input Real Tanam&amp;Petik Nanas'!C13,'Data Lokasi'!C:C,0)),"")</f>
        <v>44995</v>
      </c>
      <c r="O13" s="278"/>
      <c r="P13" s="283">
        <f>IFERROR(INDEX('Data Lokasi'!V:V,MATCH(C13,'Data Lokasi'!C:C,0)),"")</f>
        <v>0</v>
      </c>
      <c r="Q13" s="304">
        <f t="shared" si="0"/>
        <v>0</v>
      </c>
      <c r="R13" s="308"/>
      <c r="Z13" s="24"/>
    </row>
    <row r="14" spans="2:27" ht="15" hidden="1" thickTop="1">
      <c r="B14" s="269">
        <v>46188</v>
      </c>
      <c r="C14" s="268" t="s">
        <v>691</v>
      </c>
      <c r="D14" s="274">
        <f>IFERROR(VLOOKUP(C14,'Data Lokasi'!C:D,2,0),"")</f>
        <v>6.77</v>
      </c>
      <c r="E14" s="274" t="s">
        <v>2642</v>
      </c>
      <c r="F14" s="274"/>
      <c r="G14" s="274"/>
      <c r="H14" s="274"/>
      <c r="I14" s="274">
        <v>0.12</v>
      </c>
      <c r="J14" s="456">
        <f t="shared" si="1"/>
        <v>0.12</v>
      </c>
      <c r="K14" s="583"/>
      <c r="L14" s="268" t="s">
        <v>2625</v>
      </c>
      <c r="M14" s="268" t="s">
        <v>2631</v>
      </c>
      <c r="N14" s="278">
        <f>IFERROR(INDEX('Data Lokasi'!S:S,MATCH('Input Real Tanam&amp;Petik Nanas'!C14,'Data Lokasi'!C:C,0)),"")</f>
        <v>44934</v>
      </c>
      <c r="O14" s="278"/>
      <c r="P14" s="283">
        <f>IFERROR(INDEX('Data Lokasi'!V:V,MATCH(C14,'Data Lokasi'!C:C,0)),"")</f>
        <v>0</v>
      </c>
      <c r="Q14" s="304">
        <f t="shared" si="0"/>
        <v>0</v>
      </c>
      <c r="R14" s="308"/>
      <c r="Z14" s="24"/>
    </row>
    <row r="15" spans="2:27" ht="15" hidden="1" thickTop="1">
      <c r="B15" s="269">
        <v>46188</v>
      </c>
      <c r="C15" s="268" t="s">
        <v>678</v>
      </c>
      <c r="D15" s="274">
        <f>IFERROR(VLOOKUP(C15,'Data Lokasi'!C:D,2,0),"")</f>
        <v>7.7</v>
      </c>
      <c r="E15" s="274" t="s">
        <v>2642</v>
      </c>
      <c r="F15" s="274"/>
      <c r="G15" s="274"/>
      <c r="H15" s="274">
        <v>0.25</v>
      </c>
      <c r="I15" s="274"/>
      <c r="J15" s="456">
        <f t="shared" si="1"/>
        <v>0.25</v>
      </c>
      <c r="K15" s="583"/>
      <c r="L15" s="268" t="s">
        <v>719</v>
      </c>
      <c r="M15" s="268" t="s">
        <v>2631</v>
      </c>
      <c r="N15" s="278">
        <f>IFERROR(INDEX('Data Lokasi'!S:S,MATCH('Input Real Tanam&amp;Petik Nanas'!C15,'Data Lokasi'!C:C,0)),"")</f>
        <v>45083</v>
      </c>
      <c r="O15" s="278"/>
      <c r="P15" s="283">
        <f>IFERROR(INDEX('Data Lokasi'!V:V,MATCH(C15,'Data Lokasi'!C:C,0)),"")</f>
        <v>0</v>
      </c>
      <c r="Q15" s="304">
        <f t="shared" si="0"/>
        <v>0</v>
      </c>
      <c r="R15" s="308"/>
      <c r="Z15" s="24"/>
    </row>
    <row r="16" spans="2:27" ht="15" hidden="1" thickTop="1">
      <c r="B16" s="269">
        <v>46188</v>
      </c>
      <c r="C16" s="268" t="s">
        <v>580</v>
      </c>
      <c r="D16" s="274">
        <f>IFERROR(VLOOKUP(C16,'Data Lokasi'!C:D,2,0),"")</f>
        <v>3.08</v>
      </c>
      <c r="E16" s="274" t="s">
        <v>2642</v>
      </c>
      <c r="F16" s="274"/>
      <c r="G16" s="274"/>
      <c r="H16" s="274"/>
      <c r="I16" s="274">
        <v>0.17</v>
      </c>
      <c r="J16" s="456">
        <f t="shared" si="1"/>
        <v>0.17</v>
      </c>
      <c r="K16" s="583"/>
      <c r="L16" s="268" t="s">
        <v>2625</v>
      </c>
      <c r="M16" s="268" t="s">
        <v>2634</v>
      </c>
      <c r="N16" s="278">
        <f>IFERROR(INDEX('Data Lokasi'!S:S,MATCH('Input Real Tanam&amp;Petik Nanas'!C16,'Data Lokasi'!C:C,0)),"")</f>
        <v>44781</v>
      </c>
      <c r="O16" s="278"/>
      <c r="P16" s="283">
        <f>IFERROR(INDEX('Data Lokasi'!V:V,MATCH(C16,'Data Lokasi'!C:C,0)),"")</f>
        <v>0</v>
      </c>
      <c r="Q16" s="304">
        <f t="shared" si="0"/>
        <v>0</v>
      </c>
      <c r="R16" s="308"/>
      <c r="Z16" s="24"/>
    </row>
    <row r="17" spans="2:26" ht="15" hidden="1" thickTop="1">
      <c r="B17" s="269">
        <v>46188</v>
      </c>
      <c r="C17" s="268" t="s">
        <v>263</v>
      </c>
      <c r="D17" s="274">
        <f>IFERROR(VLOOKUP(C17,'Data Lokasi'!C:D,2,0),"")</f>
        <v>7.7</v>
      </c>
      <c r="E17" s="274" t="s">
        <v>2642</v>
      </c>
      <c r="F17" s="274"/>
      <c r="G17" s="274"/>
      <c r="H17" s="274"/>
      <c r="I17" s="274">
        <v>1.28</v>
      </c>
      <c r="J17" s="456">
        <f t="shared" si="1"/>
        <v>1.28</v>
      </c>
      <c r="K17" s="583"/>
      <c r="L17" s="268" t="s">
        <v>2625</v>
      </c>
      <c r="M17" s="268" t="s">
        <v>2634</v>
      </c>
      <c r="N17" s="278">
        <f>IFERROR(INDEX('Data Lokasi'!S:S,MATCH('Input Real Tanam&amp;Petik Nanas'!C17,'Data Lokasi'!C:C,0)),"")</f>
        <v>44079</v>
      </c>
      <c r="O17" s="278"/>
      <c r="P17" s="283">
        <f>IFERROR(INDEX('Data Lokasi'!V:V,MATCH(C17,'Data Lokasi'!C:C,0)),"")</f>
        <v>0</v>
      </c>
      <c r="Q17" s="304">
        <f t="shared" si="0"/>
        <v>0</v>
      </c>
      <c r="R17" s="308"/>
      <c r="Z17" s="24"/>
    </row>
    <row r="18" spans="2:26" ht="15" hidden="1" thickTop="1">
      <c r="B18" s="269">
        <v>46188</v>
      </c>
      <c r="C18" s="268" t="s">
        <v>286</v>
      </c>
      <c r="D18" s="274">
        <f>IFERROR(VLOOKUP(C18,'Data Lokasi'!C:D,2,0),"")</f>
        <v>8.33</v>
      </c>
      <c r="E18" s="274" t="s">
        <v>2642</v>
      </c>
      <c r="F18" s="274"/>
      <c r="G18" s="274"/>
      <c r="H18" s="274"/>
      <c r="I18" s="274">
        <v>0.64</v>
      </c>
      <c r="J18" s="456">
        <f t="shared" si="1"/>
        <v>0.64</v>
      </c>
      <c r="K18" s="583"/>
      <c r="L18" s="268" t="s">
        <v>2625</v>
      </c>
      <c r="M18" s="268" t="s">
        <v>2634</v>
      </c>
      <c r="N18" s="278">
        <f>IFERROR(INDEX('Data Lokasi'!S:S,MATCH('Input Real Tanam&amp;Petik Nanas'!C18,'Data Lokasi'!C:C,0)),"")</f>
        <v>44125</v>
      </c>
      <c r="O18" s="278"/>
      <c r="P18" s="283">
        <f>IFERROR(INDEX('Data Lokasi'!V:V,MATCH(C18,'Data Lokasi'!C:C,0)),"")</f>
        <v>0</v>
      </c>
      <c r="Q18" s="304">
        <f t="shared" si="0"/>
        <v>0</v>
      </c>
      <c r="R18" s="308"/>
      <c r="Z18" s="24"/>
    </row>
    <row r="19" spans="2:26" ht="15" hidden="1" thickTop="1">
      <c r="B19" s="269">
        <v>46188</v>
      </c>
      <c r="C19" s="268" t="s">
        <v>366</v>
      </c>
      <c r="D19" s="274">
        <f>IFERROR(VLOOKUP(C19,'Data Lokasi'!C:D,2,0),"")</f>
        <v>5.88</v>
      </c>
      <c r="E19" s="274" t="s">
        <v>2642</v>
      </c>
      <c r="F19" s="274"/>
      <c r="G19" s="274">
        <v>0.04</v>
      </c>
      <c r="H19" s="274">
        <v>0.14000000000000001</v>
      </c>
      <c r="I19" s="274"/>
      <c r="J19" s="456">
        <f t="shared" si="1"/>
        <v>0.18000000000000002</v>
      </c>
      <c r="K19" s="583"/>
      <c r="L19" s="268" t="s">
        <v>719</v>
      </c>
      <c r="M19" s="268" t="s">
        <v>2634</v>
      </c>
      <c r="N19" s="278">
        <f>IFERROR(INDEX('Data Lokasi'!S:S,MATCH('Input Real Tanam&amp;Petik Nanas'!C19,'Data Lokasi'!C:C,0)),"")</f>
        <v>44300</v>
      </c>
      <c r="O19" s="278"/>
      <c r="P19" s="283">
        <f>IFERROR(INDEX('Data Lokasi'!V:V,MATCH(C19,'Data Lokasi'!C:C,0)),"")</f>
        <v>0</v>
      </c>
      <c r="Q19" s="304">
        <f t="shared" si="0"/>
        <v>0</v>
      </c>
      <c r="R19" s="308"/>
      <c r="Z19" s="24"/>
    </row>
    <row r="20" spans="2:26" ht="15" hidden="1" thickTop="1">
      <c r="B20" s="269">
        <v>46188</v>
      </c>
      <c r="C20" s="268" t="s">
        <v>229</v>
      </c>
      <c r="D20" s="274">
        <f>IFERROR(VLOOKUP(C20,'Data Lokasi'!C:D,2,0),"")</f>
        <v>6.97</v>
      </c>
      <c r="E20" s="274" t="s">
        <v>2642</v>
      </c>
      <c r="F20" s="274"/>
      <c r="G20" s="274"/>
      <c r="H20" s="274"/>
      <c r="I20" s="274">
        <v>0.35</v>
      </c>
      <c r="J20" s="456">
        <f t="shared" si="1"/>
        <v>0.35</v>
      </c>
      <c r="K20" s="583"/>
      <c r="L20" s="268" t="s">
        <v>2625</v>
      </c>
      <c r="M20" s="268" t="s">
        <v>2634</v>
      </c>
      <c r="N20" s="278">
        <f>IFERROR(INDEX('Data Lokasi'!S:S,MATCH('Input Real Tanam&amp;Petik Nanas'!C20,'Data Lokasi'!C:C,0)),"")</f>
        <v>44020</v>
      </c>
      <c r="O20" s="278"/>
      <c r="P20" s="283">
        <f>IFERROR(INDEX('Data Lokasi'!V:V,MATCH(C20,'Data Lokasi'!C:C,0)),"")</f>
        <v>0</v>
      </c>
      <c r="Q20" s="304">
        <f t="shared" si="0"/>
        <v>0</v>
      </c>
      <c r="R20" s="308"/>
      <c r="Z20" s="24"/>
    </row>
    <row r="21" spans="2:26" ht="15" hidden="1" thickTop="1">
      <c r="B21" s="269">
        <v>46188</v>
      </c>
      <c r="C21" s="268" t="s">
        <v>641</v>
      </c>
      <c r="D21" s="274">
        <f>IFERROR(VLOOKUP(C21,'Data Lokasi'!C:D,2,0),"")</f>
        <v>6.35</v>
      </c>
      <c r="E21" s="274" t="s">
        <v>2642</v>
      </c>
      <c r="F21" s="274"/>
      <c r="G21" s="274"/>
      <c r="H21" s="274"/>
      <c r="I21" s="274">
        <v>0.05</v>
      </c>
      <c r="J21" s="456">
        <f t="shared" si="1"/>
        <v>0.05</v>
      </c>
      <c r="K21" s="583"/>
      <c r="L21" s="268" t="s">
        <v>719</v>
      </c>
      <c r="M21" s="268" t="s">
        <v>2634</v>
      </c>
      <c r="N21" s="278">
        <f>IFERROR(INDEX('Data Lokasi'!S:S,MATCH('Input Real Tanam&amp;Petik Nanas'!C21,'Data Lokasi'!C:C,0)),"")</f>
        <v>44931</v>
      </c>
      <c r="O21" s="278"/>
      <c r="P21" s="283">
        <f>IFERROR(INDEX('Data Lokasi'!V:V,MATCH(C21,'Data Lokasi'!C:C,0)),"")</f>
        <v>0</v>
      </c>
      <c r="Q21" s="304">
        <f t="shared" si="0"/>
        <v>0</v>
      </c>
      <c r="R21" s="308"/>
      <c r="Z21" s="24"/>
    </row>
    <row r="22" spans="2:26" ht="15" hidden="1" thickTop="1">
      <c r="B22" s="269">
        <v>46188</v>
      </c>
      <c r="C22" s="268" t="s">
        <v>2614</v>
      </c>
      <c r="D22" s="274">
        <f>IFERROR(VLOOKUP(C22,'Data Lokasi'!C:D,2,0),"")</f>
        <v>3.83</v>
      </c>
      <c r="E22" s="274" t="s">
        <v>2642</v>
      </c>
      <c r="F22" s="274"/>
      <c r="G22" s="274">
        <v>0.04</v>
      </c>
      <c r="H22" s="274"/>
      <c r="I22" s="274"/>
      <c r="J22" s="456">
        <f t="shared" si="1"/>
        <v>0.04</v>
      </c>
      <c r="K22" s="583"/>
      <c r="L22" s="268" t="s">
        <v>719</v>
      </c>
      <c r="M22" s="268" t="s">
        <v>2634</v>
      </c>
      <c r="N22" s="278">
        <f>IFERROR(INDEX('Data Lokasi'!S:S,MATCH('Input Real Tanam&amp;Petik Nanas'!C22,'Data Lokasi'!C:C,0)),"")</f>
        <v>46151</v>
      </c>
      <c r="O22" s="278"/>
      <c r="P22" s="283">
        <f>IFERROR(INDEX('Data Lokasi'!V:V,MATCH(C22,'Data Lokasi'!C:C,0)),"")</f>
        <v>0</v>
      </c>
      <c r="Q22" s="304">
        <f t="shared" si="0"/>
        <v>0</v>
      </c>
      <c r="R22" s="308"/>
      <c r="Z22" s="24"/>
    </row>
    <row r="23" spans="2:26" ht="15" hidden="1" thickTop="1">
      <c r="B23" s="269">
        <v>46188</v>
      </c>
      <c r="C23" s="268" t="s">
        <v>250</v>
      </c>
      <c r="D23" s="274">
        <f>IFERROR(VLOOKUP(C23,'Data Lokasi'!C:D,2,0),"")</f>
        <v>9.2799999999999994</v>
      </c>
      <c r="E23" s="274" t="s">
        <v>2642</v>
      </c>
      <c r="F23" s="274"/>
      <c r="G23" s="274"/>
      <c r="H23" s="274"/>
      <c r="I23" s="274">
        <v>0.32</v>
      </c>
      <c r="J23" s="456">
        <f t="shared" si="1"/>
        <v>0.32</v>
      </c>
      <c r="K23" s="583"/>
      <c r="L23" s="268" t="s">
        <v>2625</v>
      </c>
      <c r="M23" s="268" t="s">
        <v>2634</v>
      </c>
      <c r="N23" s="278">
        <f>IFERROR(INDEX('Data Lokasi'!S:S,MATCH('Input Real Tanam&amp;Petik Nanas'!C23,'Data Lokasi'!C:C,0)),"")</f>
        <v>44064</v>
      </c>
      <c r="O23" s="278"/>
      <c r="P23" s="283">
        <f>IFERROR(INDEX('Data Lokasi'!V:V,MATCH(C23,'Data Lokasi'!C:C,0)),"")</f>
        <v>0</v>
      </c>
      <c r="Q23" s="304">
        <f t="shared" si="0"/>
        <v>0</v>
      </c>
      <c r="R23" s="308"/>
      <c r="Z23" s="24"/>
    </row>
    <row r="24" spans="2:26" ht="15" hidden="1" thickTop="1">
      <c r="B24" s="269">
        <v>46187</v>
      </c>
      <c r="C24" s="268" t="s">
        <v>652</v>
      </c>
      <c r="D24" s="274">
        <f>IFERROR(VLOOKUP(C24,'Data Lokasi'!C:D,2,0),"")</f>
        <v>5.0599999999999996</v>
      </c>
      <c r="E24" s="274" t="s">
        <v>2642</v>
      </c>
      <c r="F24" s="274"/>
      <c r="G24" s="274"/>
      <c r="H24" s="274"/>
      <c r="I24" s="274">
        <v>0.18</v>
      </c>
      <c r="J24" s="456">
        <f t="shared" si="1"/>
        <v>0.18</v>
      </c>
      <c r="K24" s="583"/>
      <c r="L24" s="268" t="s">
        <v>2625</v>
      </c>
      <c r="M24" s="268" t="s">
        <v>2631</v>
      </c>
      <c r="N24" s="278">
        <f>IFERROR(INDEX('Data Lokasi'!S:S,MATCH('Input Real Tanam&amp;Petik Nanas'!C24,'Data Lokasi'!C:C,0)),"")</f>
        <v>45002</v>
      </c>
      <c r="O24" s="278"/>
      <c r="P24" s="283">
        <f>IFERROR(INDEX('Data Lokasi'!V:V,MATCH(C24,'Data Lokasi'!C:C,0)),"")</f>
        <v>0</v>
      </c>
      <c r="Q24" s="304">
        <f t="shared" si="0"/>
        <v>0</v>
      </c>
      <c r="R24" s="308"/>
      <c r="Z24" s="24"/>
    </row>
    <row r="25" spans="2:26" ht="15" hidden="1" thickTop="1">
      <c r="B25" s="269">
        <v>46187</v>
      </c>
      <c r="C25" s="268" t="s">
        <v>658</v>
      </c>
      <c r="D25" s="274">
        <f>IFERROR(VLOOKUP(C25,'Data Lokasi'!C:D,2,0),"")</f>
        <v>7.35</v>
      </c>
      <c r="E25" s="274" t="s">
        <v>2642</v>
      </c>
      <c r="F25" s="274"/>
      <c r="G25" s="274"/>
      <c r="H25" s="274"/>
      <c r="I25" s="274">
        <v>0.08</v>
      </c>
      <c r="J25" s="456">
        <f t="shared" si="1"/>
        <v>0.08</v>
      </c>
      <c r="K25" s="583"/>
      <c r="L25" s="268" t="s">
        <v>2625</v>
      </c>
      <c r="M25" s="268" t="s">
        <v>2631</v>
      </c>
      <c r="N25" s="278">
        <f>IFERROR(INDEX('Data Lokasi'!S:S,MATCH('Input Real Tanam&amp;Petik Nanas'!C25,'Data Lokasi'!C:C,0)),"")</f>
        <v>44995</v>
      </c>
      <c r="O25" s="278"/>
      <c r="P25" s="283">
        <f>IFERROR(INDEX('Data Lokasi'!V:V,MATCH(C25,'Data Lokasi'!C:C,0)),"")</f>
        <v>0</v>
      </c>
      <c r="Q25" s="304">
        <f t="shared" si="0"/>
        <v>0</v>
      </c>
      <c r="R25" s="308"/>
      <c r="Z25" s="24"/>
    </row>
    <row r="26" spans="2:26" ht="15" hidden="1" thickTop="1">
      <c r="B26" s="269">
        <v>46187</v>
      </c>
      <c r="C26" s="268" t="s">
        <v>678</v>
      </c>
      <c r="D26" s="274">
        <f>IFERROR(VLOOKUP(C26,'Data Lokasi'!C:D,2,0),"")</f>
        <v>7.7</v>
      </c>
      <c r="E26" s="274" t="s">
        <v>2642</v>
      </c>
      <c r="F26" s="274"/>
      <c r="G26" s="274"/>
      <c r="H26" s="274"/>
      <c r="I26" s="274">
        <v>0.19</v>
      </c>
      <c r="J26" s="456">
        <f t="shared" si="1"/>
        <v>0.19</v>
      </c>
      <c r="K26" s="583"/>
      <c r="L26" s="268" t="s">
        <v>719</v>
      </c>
      <c r="M26" s="268" t="s">
        <v>2631</v>
      </c>
      <c r="N26" s="278">
        <f>IFERROR(INDEX('Data Lokasi'!S:S,MATCH('Input Real Tanam&amp;Petik Nanas'!C26,'Data Lokasi'!C:C,0)),"")</f>
        <v>45083</v>
      </c>
      <c r="O26" s="278"/>
      <c r="P26" s="283">
        <f>IFERROR(INDEX('Data Lokasi'!V:V,MATCH(C26,'Data Lokasi'!C:C,0)),"")</f>
        <v>0</v>
      </c>
      <c r="Q26" s="304">
        <f t="shared" si="0"/>
        <v>0</v>
      </c>
      <c r="R26" s="308"/>
      <c r="Z26" s="24"/>
    </row>
    <row r="27" spans="2:26" ht="15" hidden="1" thickTop="1">
      <c r="B27" s="269">
        <v>46187</v>
      </c>
      <c r="C27" s="268" t="s">
        <v>691</v>
      </c>
      <c r="D27" s="274">
        <f>IFERROR(VLOOKUP(C27,'Data Lokasi'!C:D,2,0),"")</f>
        <v>6.77</v>
      </c>
      <c r="E27" s="274" t="s">
        <v>2642</v>
      </c>
      <c r="F27" s="274"/>
      <c r="G27" s="274"/>
      <c r="H27" s="274"/>
      <c r="I27" s="274">
        <v>0.12</v>
      </c>
      <c r="J27" s="456">
        <f t="shared" si="1"/>
        <v>0.12</v>
      </c>
      <c r="K27" s="583"/>
      <c r="L27" s="268" t="s">
        <v>2625</v>
      </c>
      <c r="M27" s="268" t="s">
        <v>2631</v>
      </c>
      <c r="N27" s="278">
        <f>IFERROR(INDEX('Data Lokasi'!S:S,MATCH('Input Real Tanam&amp;Petik Nanas'!C27,'Data Lokasi'!C:C,0)),"")</f>
        <v>44934</v>
      </c>
      <c r="O27" s="278"/>
      <c r="P27" s="283">
        <f>IFERROR(INDEX('Data Lokasi'!V:V,MATCH(C27,'Data Lokasi'!C:C,0)),"")</f>
        <v>0</v>
      </c>
      <c r="Q27" s="304">
        <f t="shared" si="0"/>
        <v>0</v>
      </c>
      <c r="R27" s="308"/>
      <c r="Z27" s="24"/>
    </row>
    <row r="28" spans="2:26" ht="15" hidden="1" thickTop="1">
      <c r="B28" s="269">
        <v>46187</v>
      </c>
      <c r="C28" s="268" t="s">
        <v>2621</v>
      </c>
      <c r="D28" s="274">
        <f>IFERROR(VLOOKUP(C28,'Data Lokasi'!C:D,2,0),"")</f>
        <v>2</v>
      </c>
      <c r="E28" s="274" t="s">
        <v>2642</v>
      </c>
      <c r="F28" s="274"/>
      <c r="G28" s="274"/>
      <c r="H28" s="274"/>
      <c r="I28" s="274">
        <v>0.14000000000000001</v>
      </c>
      <c r="J28" s="456">
        <f t="shared" si="1"/>
        <v>0.14000000000000001</v>
      </c>
      <c r="K28" s="583"/>
      <c r="L28" s="268" t="s">
        <v>719</v>
      </c>
      <c r="M28" s="268" t="s">
        <v>2631</v>
      </c>
      <c r="N28" s="278">
        <f>IFERROR(INDEX('Data Lokasi'!S:S,MATCH('Input Real Tanam&amp;Petik Nanas'!C28,'Data Lokasi'!C:C,0)),"")</f>
        <v>46175</v>
      </c>
      <c r="O28" s="278"/>
      <c r="P28" s="283">
        <f>IFERROR(INDEX('Data Lokasi'!V:V,MATCH(C28,'Data Lokasi'!C:C,0)),"")</f>
        <v>0</v>
      </c>
      <c r="Q28" s="304">
        <f t="shared" si="0"/>
        <v>0</v>
      </c>
      <c r="R28" s="308"/>
      <c r="Z28" s="24"/>
    </row>
    <row r="29" spans="2:26" ht="15" hidden="1" thickTop="1">
      <c r="B29" s="269">
        <v>46187</v>
      </c>
      <c r="C29" s="268" t="s">
        <v>2420</v>
      </c>
      <c r="D29" s="274">
        <f>IFERROR(VLOOKUP(C29,'Data Lokasi'!C:D,2,0),"")</f>
        <v>7.19</v>
      </c>
      <c r="E29" s="274" t="s">
        <v>2642</v>
      </c>
      <c r="F29" s="274"/>
      <c r="G29" s="274">
        <v>0.31</v>
      </c>
      <c r="H29" s="274"/>
      <c r="I29" s="274"/>
      <c r="J29" s="456">
        <f t="shared" si="1"/>
        <v>0.31</v>
      </c>
      <c r="K29" s="583"/>
      <c r="L29" s="268" t="s">
        <v>719</v>
      </c>
      <c r="M29" s="268" t="s">
        <v>2631</v>
      </c>
      <c r="N29" s="278">
        <f>IFERROR(INDEX('Data Lokasi'!S:S,MATCH('Input Real Tanam&amp;Petik Nanas'!C29,'Data Lokasi'!C:C,0)),"")</f>
        <v>46177</v>
      </c>
      <c r="O29" s="278"/>
      <c r="P29" s="283">
        <f>IFERROR(INDEX('Data Lokasi'!V:V,MATCH(C29,'Data Lokasi'!C:C,0)),"")</f>
        <v>0</v>
      </c>
      <c r="Q29" s="304">
        <f t="shared" si="0"/>
        <v>0</v>
      </c>
      <c r="R29" s="308"/>
      <c r="Z29" s="24"/>
    </row>
    <row r="30" spans="2:26" ht="15" hidden="1" thickTop="1">
      <c r="B30" s="269">
        <v>46187</v>
      </c>
      <c r="C30" s="268" t="s">
        <v>682</v>
      </c>
      <c r="D30" s="274">
        <f>IFERROR(VLOOKUP(C30,'Data Lokasi'!C:D,2,0),"")</f>
        <v>6.22</v>
      </c>
      <c r="E30" s="274" t="s">
        <v>2642</v>
      </c>
      <c r="F30" s="274"/>
      <c r="G30" s="274"/>
      <c r="H30" s="274"/>
      <c r="I30" s="274">
        <v>0.1</v>
      </c>
      <c r="J30" s="456">
        <f t="shared" si="1"/>
        <v>0.1</v>
      </c>
      <c r="K30" s="583"/>
      <c r="L30" s="268" t="s">
        <v>2625</v>
      </c>
      <c r="M30" s="268" t="s">
        <v>2631</v>
      </c>
      <c r="N30" s="278">
        <f>IFERROR(INDEX('Data Lokasi'!S:S,MATCH('Input Real Tanam&amp;Petik Nanas'!C30,'Data Lokasi'!C:C,0)),"")</f>
        <v>45092</v>
      </c>
      <c r="O30" s="278"/>
      <c r="P30" s="283">
        <f>IFERROR(INDEX('Data Lokasi'!V:V,MATCH(C30,'Data Lokasi'!C:C,0)),"")</f>
        <v>0</v>
      </c>
      <c r="Q30" s="304">
        <f t="shared" si="0"/>
        <v>0</v>
      </c>
      <c r="R30" s="308"/>
      <c r="Z30" s="24"/>
    </row>
    <row r="31" spans="2:26" ht="15" hidden="1" thickTop="1">
      <c r="B31" s="269">
        <v>46187</v>
      </c>
      <c r="C31" s="268" t="s">
        <v>689</v>
      </c>
      <c r="D31" s="274">
        <f>IFERROR(VLOOKUP(C31,'Data Lokasi'!C:D,2,0),"")</f>
        <v>7.2</v>
      </c>
      <c r="E31" s="274" t="s">
        <v>2642</v>
      </c>
      <c r="F31" s="274"/>
      <c r="G31" s="274"/>
      <c r="H31" s="274"/>
      <c r="I31" s="274">
        <v>1.04</v>
      </c>
      <c r="J31" s="456">
        <f t="shared" si="1"/>
        <v>1.04</v>
      </c>
      <c r="K31" s="583"/>
      <c r="L31" s="268" t="s">
        <v>2625</v>
      </c>
      <c r="M31" s="268" t="s">
        <v>2631</v>
      </c>
      <c r="N31" s="278">
        <f>IFERROR(INDEX('Data Lokasi'!S:S,MATCH('Input Real Tanam&amp;Petik Nanas'!C31,'Data Lokasi'!C:C,0)),"")</f>
        <v>45132</v>
      </c>
      <c r="O31" s="278"/>
      <c r="P31" s="283">
        <f>IFERROR(INDEX('Data Lokasi'!V:V,MATCH(C31,'Data Lokasi'!C:C,0)),"")</f>
        <v>0</v>
      </c>
      <c r="Q31" s="304">
        <f t="shared" si="0"/>
        <v>0</v>
      </c>
      <c r="R31" s="308"/>
      <c r="Z31" s="24"/>
    </row>
    <row r="32" spans="2:26" ht="15" hidden="1" thickTop="1">
      <c r="B32" s="269">
        <v>46187</v>
      </c>
      <c r="C32" s="268" t="s">
        <v>580</v>
      </c>
      <c r="D32" s="274">
        <f>IFERROR(VLOOKUP(C32,'Data Lokasi'!C:D,2,0),"")</f>
        <v>3.08</v>
      </c>
      <c r="E32" s="274" t="s">
        <v>2642</v>
      </c>
      <c r="F32" s="274"/>
      <c r="G32" s="274"/>
      <c r="H32" s="274"/>
      <c r="I32" s="274">
        <v>0.28999999999999998</v>
      </c>
      <c r="J32" s="456">
        <f t="shared" si="1"/>
        <v>0.28999999999999998</v>
      </c>
      <c r="K32" s="583"/>
      <c r="L32" s="268" t="s">
        <v>2625</v>
      </c>
      <c r="M32" s="268" t="s">
        <v>2634</v>
      </c>
      <c r="N32" s="278">
        <f>IFERROR(INDEX('Data Lokasi'!S:S,MATCH('Input Real Tanam&amp;Petik Nanas'!C32,'Data Lokasi'!C:C,0)),"")</f>
        <v>44781</v>
      </c>
      <c r="O32" s="278"/>
      <c r="P32" s="283">
        <f>IFERROR(INDEX('Data Lokasi'!V:V,MATCH(C32,'Data Lokasi'!C:C,0)),"")</f>
        <v>0</v>
      </c>
      <c r="Q32" s="304">
        <f t="shared" si="0"/>
        <v>0</v>
      </c>
      <c r="R32" s="308"/>
      <c r="Z32" s="24"/>
    </row>
    <row r="33" spans="2:26" ht="15" hidden="1" thickTop="1">
      <c r="B33" s="269">
        <v>46187</v>
      </c>
      <c r="C33" s="268" t="s">
        <v>263</v>
      </c>
      <c r="D33" s="274">
        <f>IFERROR(VLOOKUP(C33,'Data Lokasi'!C:D,2,0),"")</f>
        <v>7.7</v>
      </c>
      <c r="E33" s="274" t="s">
        <v>2642</v>
      </c>
      <c r="F33" s="274"/>
      <c r="G33" s="274"/>
      <c r="H33" s="274"/>
      <c r="I33" s="274">
        <v>1.81</v>
      </c>
      <c r="J33" s="456">
        <f t="shared" si="1"/>
        <v>1.81</v>
      </c>
      <c r="K33" s="583"/>
      <c r="L33" s="268" t="s">
        <v>2625</v>
      </c>
      <c r="M33" s="268" t="s">
        <v>2634</v>
      </c>
      <c r="N33" s="278">
        <f>IFERROR(INDEX('Data Lokasi'!S:S,MATCH('Input Real Tanam&amp;Petik Nanas'!C33,'Data Lokasi'!C:C,0)),"")</f>
        <v>44079</v>
      </c>
      <c r="O33" s="278"/>
      <c r="P33" s="283">
        <f>IFERROR(INDEX('Data Lokasi'!V:V,MATCH(C33,'Data Lokasi'!C:C,0)),"")</f>
        <v>0</v>
      </c>
      <c r="Q33" s="304">
        <f t="shared" si="0"/>
        <v>0</v>
      </c>
      <c r="R33" s="308"/>
      <c r="Z33" s="24"/>
    </row>
    <row r="34" spans="2:26" ht="15" hidden="1" thickTop="1">
      <c r="B34" s="269">
        <v>46187</v>
      </c>
      <c r="C34" s="268" t="s">
        <v>250</v>
      </c>
      <c r="D34" s="274">
        <f>IFERROR(VLOOKUP(C34,'Data Lokasi'!C:D,2,0),"")</f>
        <v>9.2799999999999994</v>
      </c>
      <c r="E34" s="274" t="s">
        <v>2642</v>
      </c>
      <c r="F34" s="274"/>
      <c r="G34" s="274"/>
      <c r="H34" s="274"/>
      <c r="I34" s="274">
        <v>0.05</v>
      </c>
      <c r="J34" s="456">
        <f t="shared" si="1"/>
        <v>0.05</v>
      </c>
      <c r="K34" s="583"/>
      <c r="L34" s="268" t="s">
        <v>2625</v>
      </c>
      <c r="M34" s="268" t="s">
        <v>2634</v>
      </c>
      <c r="N34" s="278">
        <f>IFERROR(INDEX('Data Lokasi'!S:S,MATCH('Input Real Tanam&amp;Petik Nanas'!C34,'Data Lokasi'!C:C,0)),"")</f>
        <v>44064</v>
      </c>
      <c r="O34" s="278"/>
      <c r="P34" s="283">
        <f>IFERROR(INDEX('Data Lokasi'!V:V,MATCH(C34,'Data Lokasi'!C:C,0)),"")</f>
        <v>0</v>
      </c>
      <c r="Q34" s="304">
        <f t="shared" si="0"/>
        <v>0</v>
      </c>
      <c r="R34" s="308"/>
      <c r="Z34" s="24"/>
    </row>
    <row r="35" spans="2:26" ht="15" hidden="1" thickTop="1">
      <c r="B35" s="269">
        <v>46187</v>
      </c>
      <c r="C35" s="268" t="s">
        <v>366</v>
      </c>
      <c r="D35" s="274">
        <f>IFERROR(VLOOKUP(C35,'Data Lokasi'!C:D,2,0),"")</f>
        <v>5.88</v>
      </c>
      <c r="E35" s="274" t="s">
        <v>2642</v>
      </c>
      <c r="F35" s="274"/>
      <c r="G35" s="274">
        <v>0.06</v>
      </c>
      <c r="H35" s="274">
        <v>0.03</v>
      </c>
      <c r="I35" s="274"/>
      <c r="J35" s="456">
        <f t="shared" si="1"/>
        <v>0.09</v>
      </c>
      <c r="K35" s="583"/>
      <c r="L35" s="268" t="s">
        <v>719</v>
      </c>
      <c r="M35" s="268" t="s">
        <v>2634</v>
      </c>
      <c r="N35" s="278">
        <f>IFERROR(INDEX('Data Lokasi'!S:S,MATCH('Input Real Tanam&amp;Petik Nanas'!C35,'Data Lokasi'!C:C,0)),"")</f>
        <v>44300</v>
      </c>
      <c r="O35" s="278"/>
      <c r="P35" s="283">
        <f>IFERROR(INDEX('Data Lokasi'!V:V,MATCH(C35,'Data Lokasi'!C:C,0)),"")</f>
        <v>0</v>
      </c>
      <c r="Q35" s="304">
        <f t="shared" si="0"/>
        <v>0</v>
      </c>
      <c r="R35" s="308"/>
      <c r="Z35" s="24"/>
    </row>
    <row r="36" spans="2:26" ht="15" hidden="1" thickTop="1">
      <c r="B36" s="269">
        <v>46187</v>
      </c>
      <c r="C36" s="268" t="s">
        <v>650</v>
      </c>
      <c r="D36" s="274">
        <f>IFERROR(VLOOKUP(C36,'Data Lokasi'!C:D,2,0),"")</f>
        <v>8.02</v>
      </c>
      <c r="E36" s="274" t="s">
        <v>2642</v>
      </c>
      <c r="F36" s="274"/>
      <c r="G36" s="274"/>
      <c r="H36" s="274"/>
      <c r="I36" s="274">
        <v>0.08</v>
      </c>
      <c r="J36" s="456">
        <f t="shared" si="1"/>
        <v>0.08</v>
      </c>
      <c r="K36" s="583"/>
      <c r="L36" s="268" t="s">
        <v>2625</v>
      </c>
      <c r="M36" s="268" t="s">
        <v>2634</v>
      </c>
      <c r="N36" s="278">
        <f>IFERROR(INDEX('Data Lokasi'!S:S,MATCH('Input Real Tanam&amp;Petik Nanas'!C36,'Data Lokasi'!C:C,0)),"")</f>
        <v>44970</v>
      </c>
      <c r="O36" s="278"/>
      <c r="P36" s="283">
        <f>IFERROR(INDEX('Data Lokasi'!V:V,MATCH(C36,'Data Lokasi'!C:C,0)),"")</f>
        <v>0</v>
      </c>
      <c r="Q36" s="304">
        <f t="shared" si="0"/>
        <v>0</v>
      </c>
      <c r="R36" s="308"/>
      <c r="Z36" s="24"/>
    </row>
    <row r="37" spans="2:26" ht="15" hidden="1" thickTop="1">
      <c r="B37" s="269">
        <v>46187</v>
      </c>
      <c r="C37" s="268" t="s">
        <v>641</v>
      </c>
      <c r="D37" s="274">
        <f>IFERROR(VLOOKUP(C37,'Data Lokasi'!C:D,2,0),"")</f>
        <v>6.35</v>
      </c>
      <c r="E37" s="274" t="s">
        <v>2642</v>
      </c>
      <c r="F37" s="274"/>
      <c r="G37" s="274"/>
      <c r="H37" s="274"/>
      <c r="I37" s="274">
        <v>0.03</v>
      </c>
      <c r="J37" s="456">
        <f t="shared" si="1"/>
        <v>0.03</v>
      </c>
      <c r="K37" s="583"/>
      <c r="L37" s="268" t="s">
        <v>719</v>
      </c>
      <c r="M37" s="268" t="s">
        <v>2634</v>
      </c>
      <c r="N37" s="278">
        <f>IFERROR(INDEX('Data Lokasi'!S:S,MATCH('Input Real Tanam&amp;Petik Nanas'!C37,'Data Lokasi'!C:C,0)),"")</f>
        <v>44931</v>
      </c>
      <c r="O37" s="278"/>
      <c r="P37" s="283">
        <f>IFERROR(INDEX('Data Lokasi'!V:V,MATCH(C37,'Data Lokasi'!C:C,0)),"")</f>
        <v>0</v>
      </c>
      <c r="Q37" s="304">
        <f t="shared" si="0"/>
        <v>0</v>
      </c>
      <c r="R37" s="308"/>
      <c r="Z37" s="24"/>
    </row>
    <row r="38" spans="2:26" ht="15" hidden="1" thickTop="1">
      <c r="B38" s="269">
        <v>46187</v>
      </c>
      <c r="C38" s="268" t="s">
        <v>373</v>
      </c>
      <c r="D38" s="274">
        <f>IFERROR(VLOOKUP(C38,'Data Lokasi'!C:D,2,0),"")</f>
        <v>10.5</v>
      </c>
      <c r="E38" s="274" t="s">
        <v>2642</v>
      </c>
      <c r="F38" s="274"/>
      <c r="G38" s="274"/>
      <c r="H38" s="274">
        <v>0.18</v>
      </c>
      <c r="I38" s="274"/>
      <c r="J38" s="456">
        <f t="shared" si="1"/>
        <v>0.18</v>
      </c>
      <c r="K38" s="583"/>
      <c r="L38" s="268" t="s">
        <v>719</v>
      </c>
      <c r="M38" s="268" t="s">
        <v>2634</v>
      </c>
      <c r="N38" s="278">
        <f>IFERROR(INDEX('Data Lokasi'!S:S,MATCH('Input Real Tanam&amp;Petik Nanas'!C38,'Data Lokasi'!C:C,0)),"")</f>
        <v>44311</v>
      </c>
      <c r="O38" s="278"/>
      <c r="P38" s="283">
        <f>IFERROR(INDEX('Data Lokasi'!V:V,MATCH(C38,'Data Lokasi'!C:C,0)),"")</f>
        <v>0</v>
      </c>
      <c r="Q38" s="304">
        <f t="shared" si="0"/>
        <v>0</v>
      </c>
      <c r="R38" s="308"/>
      <c r="Z38" s="24"/>
    </row>
    <row r="39" spans="2:26" ht="15" hidden="1" thickTop="1">
      <c r="B39" s="269">
        <v>46186</v>
      </c>
      <c r="C39" s="268" t="s">
        <v>689</v>
      </c>
      <c r="D39" s="274">
        <f>IFERROR(VLOOKUP(C39,'Data Lokasi'!C:D,2,0),"")</f>
        <v>7.2</v>
      </c>
      <c r="E39" s="274" t="s">
        <v>2642</v>
      </c>
      <c r="F39" s="274"/>
      <c r="G39" s="274"/>
      <c r="H39" s="274"/>
      <c r="I39" s="274">
        <v>1.66</v>
      </c>
      <c r="J39" s="456">
        <f t="shared" si="1"/>
        <v>1.66</v>
      </c>
      <c r="K39" s="583"/>
      <c r="L39" s="268" t="s">
        <v>2625</v>
      </c>
      <c r="M39" s="268" t="s">
        <v>2631</v>
      </c>
      <c r="N39" s="278">
        <f>IFERROR(INDEX('Data Lokasi'!S:S,MATCH('Input Real Tanam&amp;Petik Nanas'!C39,'Data Lokasi'!C:C,0)),"")</f>
        <v>45132</v>
      </c>
      <c r="O39" s="278"/>
      <c r="P39" s="283">
        <f>IFERROR(INDEX('Data Lokasi'!V:V,MATCH(C39,'Data Lokasi'!C:C,0)),"")</f>
        <v>0</v>
      </c>
      <c r="Q39" s="304">
        <f t="shared" si="0"/>
        <v>0</v>
      </c>
      <c r="R39" s="308"/>
      <c r="Z39" s="24"/>
    </row>
    <row r="40" spans="2:26" ht="15" hidden="1" thickTop="1">
      <c r="B40" s="269">
        <v>46186</v>
      </c>
      <c r="C40" s="268" t="s">
        <v>2420</v>
      </c>
      <c r="D40" s="274">
        <f>IFERROR(VLOOKUP(C40,'Data Lokasi'!C:D,2,0),"")</f>
        <v>7.19</v>
      </c>
      <c r="E40" s="274" t="s">
        <v>2642</v>
      </c>
      <c r="F40" s="274"/>
      <c r="G40" s="274"/>
      <c r="H40" s="274">
        <v>0.39</v>
      </c>
      <c r="I40" s="274"/>
      <c r="J40" s="456">
        <f t="shared" si="1"/>
        <v>0.39</v>
      </c>
      <c r="K40" s="583"/>
      <c r="L40" s="268" t="s">
        <v>719</v>
      </c>
      <c r="M40" s="268" t="s">
        <v>2631</v>
      </c>
      <c r="N40" s="278">
        <f>IFERROR(INDEX('Data Lokasi'!S:S,MATCH('Input Real Tanam&amp;Petik Nanas'!C40,'Data Lokasi'!C:C,0)),"")</f>
        <v>46177</v>
      </c>
      <c r="O40" s="278"/>
      <c r="P40" s="283">
        <f>IFERROR(INDEX('Data Lokasi'!V:V,MATCH(C40,'Data Lokasi'!C:C,0)),"")</f>
        <v>0</v>
      </c>
      <c r="Q40" s="304">
        <f t="shared" ref="Q40:Q71" si="2">IF(ISERROR(P40/D40),"",(P40/D40))</f>
        <v>0</v>
      </c>
      <c r="R40" s="308"/>
      <c r="Z40" s="24"/>
    </row>
    <row r="41" spans="2:26" ht="15" hidden="1" thickTop="1">
      <c r="B41" s="269">
        <v>46186</v>
      </c>
      <c r="C41" s="268" t="s">
        <v>212</v>
      </c>
      <c r="D41" s="274">
        <f>IFERROR(VLOOKUP(C41,'Data Lokasi'!C:D,2,0),"")</f>
        <v>8.39</v>
      </c>
      <c r="E41" s="274" t="s">
        <v>2642</v>
      </c>
      <c r="F41" s="274"/>
      <c r="G41" s="274"/>
      <c r="H41" s="274"/>
      <c r="I41" s="274">
        <v>0.4</v>
      </c>
      <c r="J41" s="456">
        <f t="shared" si="1"/>
        <v>0.4</v>
      </c>
      <c r="K41" s="583"/>
      <c r="L41" s="268" t="s">
        <v>2625</v>
      </c>
      <c r="M41" s="268" t="s">
        <v>2631</v>
      </c>
      <c r="N41" s="278">
        <f>IFERROR(INDEX('Data Lokasi'!S:S,MATCH('Input Real Tanam&amp;Petik Nanas'!C41,'Data Lokasi'!C:C,0)),"")</f>
        <v>43988</v>
      </c>
      <c r="O41" s="278"/>
      <c r="P41" s="283">
        <f>IFERROR(INDEX('Data Lokasi'!V:V,MATCH(C41,'Data Lokasi'!C:C,0)),"")</f>
        <v>0</v>
      </c>
      <c r="Q41" s="304">
        <f t="shared" si="2"/>
        <v>0</v>
      </c>
      <c r="R41" s="308"/>
      <c r="Z41" s="24"/>
    </row>
    <row r="42" spans="2:26" ht="15" hidden="1" thickTop="1">
      <c r="B42" s="269">
        <v>46186</v>
      </c>
      <c r="C42" s="268" t="s">
        <v>652</v>
      </c>
      <c r="D42" s="274">
        <f>IFERROR(VLOOKUP(C42,'Data Lokasi'!C:D,2,0),"")</f>
        <v>5.0599999999999996</v>
      </c>
      <c r="E42" s="274" t="s">
        <v>2642</v>
      </c>
      <c r="F42" s="274"/>
      <c r="G42" s="274"/>
      <c r="H42" s="274"/>
      <c r="I42" s="274">
        <v>0.06</v>
      </c>
      <c r="J42" s="456">
        <f t="shared" si="1"/>
        <v>0.06</v>
      </c>
      <c r="K42" s="583"/>
      <c r="L42" s="268" t="s">
        <v>2625</v>
      </c>
      <c r="M42" s="268" t="s">
        <v>2631</v>
      </c>
      <c r="N42" s="278">
        <f>IFERROR(INDEX('Data Lokasi'!S:S,MATCH('Input Real Tanam&amp;Petik Nanas'!C42,'Data Lokasi'!C:C,0)),"")</f>
        <v>45002</v>
      </c>
      <c r="O42" s="278"/>
      <c r="P42" s="283">
        <f>IFERROR(INDEX('Data Lokasi'!V:V,MATCH(C42,'Data Lokasi'!C:C,0)),"")</f>
        <v>0</v>
      </c>
      <c r="Q42" s="304">
        <f t="shared" si="2"/>
        <v>0</v>
      </c>
      <c r="R42" s="308"/>
      <c r="Z42" s="24"/>
    </row>
    <row r="43" spans="2:26" ht="15" hidden="1" thickTop="1">
      <c r="B43" s="269">
        <v>46186</v>
      </c>
      <c r="C43" s="268" t="s">
        <v>678</v>
      </c>
      <c r="D43" s="274">
        <f>IFERROR(VLOOKUP(C43,'Data Lokasi'!C:D,2,0),"")</f>
        <v>7.7</v>
      </c>
      <c r="E43" s="274" t="s">
        <v>2642</v>
      </c>
      <c r="F43" s="274"/>
      <c r="G43" s="274"/>
      <c r="H43" s="274">
        <v>0.21</v>
      </c>
      <c r="I43" s="274"/>
      <c r="J43" s="456">
        <f t="shared" si="1"/>
        <v>0.21</v>
      </c>
      <c r="K43" s="583"/>
      <c r="L43" s="268" t="s">
        <v>719</v>
      </c>
      <c r="M43" s="268" t="s">
        <v>2631</v>
      </c>
      <c r="N43" s="278">
        <f>IFERROR(INDEX('Data Lokasi'!S:S,MATCH('Input Real Tanam&amp;Petik Nanas'!C43,'Data Lokasi'!C:C,0)),"")</f>
        <v>45083</v>
      </c>
      <c r="O43" s="278"/>
      <c r="P43" s="283">
        <f>IFERROR(INDEX('Data Lokasi'!V:V,MATCH(C43,'Data Lokasi'!C:C,0)),"")</f>
        <v>0</v>
      </c>
      <c r="Q43" s="304">
        <f t="shared" si="2"/>
        <v>0</v>
      </c>
      <c r="R43" s="308"/>
    </row>
    <row r="44" spans="2:26" ht="15" hidden="1" thickTop="1">
      <c r="B44" s="269">
        <v>46186</v>
      </c>
      <c r="C44" s="268" t="s">
        <v>682</v>
      </c>
      <c r="D44" s="274">
        <f>IFERROR(VLOOKUP(C44,'Data Lokasi'!C:D,2,0),"")</f>
        <v>6.22</v>
      </c>
      <c r="E44" s="274" t="s">
        <v>2642</v>
      </c>
      <c r="F44" s="274"/>
      <c r="G44" s="274"/>
      <c r="H44" s="274"/>
      <c r="I44" s="274">
        <v>0.21</v>
      </c>
      <c r="J44" s="456">
        <f t="shared" si="1"/>
        <v>0.21</v>
      </c>
      <c r="K44" s="583"/>
      <c r="L44" s="268" t="s">
        <v>2625</v>
      </c>
      <c r="M44" s="268" t="s">
        <v>2631</v>
      </c>
      <c r="N44" s="278">
        <f>IFERROR(INDEX('Data Lokasi'!S:S,MATCH('Input Real Tanam&amp;Petik Nanas'!C44,'Data Lokasi'!C:C,0)),"")</f>
        <v>45092</v>
      </c>
      <c r="O44" s="278"/>
      <c r="P44" s="283">
        <f>IFERROR(INDEX('Data Lokasi'!V:V,MATCH(C44,'Data Lokasi'!C:C,0)),"")</f>
        <v>0</v>
      </c>
      <c r="Q44" s="304">
        <f t="shared" si="2"/>
        <v>0</v>
      </c>
      <c r="R44" s="308"/>
    </row>
    <row r="45" spans="2:26" ht="15" hidden="1" thickTop="1">
      <c r="B45" s="269">
        <v>46186</v>
      </c>
      <c r="C45" s="268" t="s">
        <v>580</v>
      </c>
      <c r="D45" s="274">
        <f>IFERROR(VLOOKUP(C45,'Data Lokasi'!C:D,2,0),"")</f>
        <v>3.08</v>
      </c>
      <c r="E45" s="274" t="s">
        <v>2642</v>
      </c>
      <c r="F45" s="274"/>
      <c r="G45" s="274"/>
      <c r="H45" s="274"/>
      <c r="I45" s="274">
        <v>0.55000000000000004</v>
      </c>
      <c r="J45" s="456">
        <f t="shared" si="1"/>
        <v>0.55000000000000004</v>
      </c>
      <c r="K45" s="583"/>
      <c r="L45" s="268" t="s">
        <v>2625</v>
      </c>
      <c r="M45" s="268" t="s">
        <v>2634</v>
      </c>
      <c r="N45" s="278">
        <f>IFERROR(INDEX('Data Lokasi'!S:S,MATCH('Input Real Tanam&amp;Petik Nanas'!C45,'Data Lokasi'!C:C,0)),"")</f>
        <v>44781</v>
      </c>
      <c r="O45" s="278"/>
      <c r="P45" s="283">
        <f>IFERROR(INDEX('Data Lokasi'!V:V,MATCH(C45,'Data Lokasi'!C:C,0)),"")</f>
        <v>0</v>
      </c>
      <c r="Q45" s="304">
        <f t="shared" si="2"/>
        <v>0</v>
      </c>
      <c r="R45" s="308"/>
    </row>
    <row r="46" spans="2:26" ht="15" hidden="1" thickTop="1">
      <c r="B46" s="269">
        <v>46186</v>
      </c>
      <c r="C46" s="268" t="s">
        <v>263</v>
      </c>
      <c r="D46" s="274">
        <f>IFERROR(VLOOKUP(C46,'Data Lokasi'!C:D,2,0),"")</f>
        <v>7.7</v>
      </c>
      <c r="E46" s="274" t="s">
        <v>2642</v>
      </c>
      <c r="F46" s="274"/>
      <c r="G46" s="274"/>
      <c r="H46" s="274"/>
      <c r="I46" s="274">
        <v>1.7</v>
      </c>
      <c r="J46" s="456">
        <f t="shared" si="1"/>
        <v>1.7</v>
      </c>
      <c r="K46" s="583"/>
      <c r="L46" s="268" t="s">
        <v>2625</v>
      </c>
      <c r="M46" s="268" t="s">
        <v>2634</v>
      </c>
      <c r="N46" s="278">
        <f>IFERROR(INDEX('Data Lokasi'!S:S,MATCH('Input Real Tanam&amp;Petik Nanas'!C46,'Data Lokasi'!C:C,0)),"")</f>
        <v>44079</v>
      </c>
      <c r="O46" s="278"/>
      <c r="P46" s="283">
        <f>IFERROR(INDEX('Data Lokasi'!V:V,MATCH(C46,'Data Lokasi'!C:C,0)),"")</f>
        <v>0</v>
      </c>
      <c r="Q46" s="304">
        <f t="shared" si="2"/>
        <v>0</v>
      </c>
      <c r="R46" s="308"/>
    </row>
    <row r="47" spans="2:26" ht="15" hidden="1" thickTop="1">
      <c r="B47" s="269">
        <v>46186</v>
      </c>
      <c r="C47" s="268" t="s">
        <v>250</v>
      </c>
      <c r="D47" s="274">
        <f>IFERROR(VLOOKUP(C47,'Data Lokasi'!C:D,2,0),"")</f>
        <v>9.2799999999999994</v>
      </c>
      <c r="E47" s="274" t="s">
        <v>2642</v>
      </c>
      <c r="F47" s="274"/>
      <c r="G47" s="274"/>
      <c r="H47" s="274"/>
      <c r="I47" s="274">
        <v>0.2</v>
      </c>
      <c r="J47" s="456">
        <f t="shared" si="1"/>
        <v>0.2</v>
      </c>
      <c r="K47" s="583"/>
      <c r="L47" s="268" t="s">
        <v>2625</v>
      </c>
      <c r="M47" s="268" t="s">
        <v>2634</v>
      </c>
      <c r="N47" s="278">
        <f>IFERROR(INDEX('Data Lokasi'!S:S,MATCH('Input Real Tanam&amp;Petik Nanas'!C47,'Data Lokasi'!C:C,0)),"")</f>
        <v>44064</v>
      </c>
      <c r="O47" s="278"/>
      <c r="P47" s="283">
        <f>IFERROR(INDEX('Data Lokasi'!V:V,MATCH(C47,'Data Lokasi'!C:C,0)),"")</f>
        <v>0</v>
      </c>
      <c r="Q47" s="304">
        <f t="shared" si="2"/>
        <v>0</v>
      </c>
      <c r="R47" s="308"/>
    </row>
    <row r="48" spans="2:26" ht="15" hidden="1" thickTop="1">
      <c r="B48" s="269">
        <v>46186</v>
      </c>
      <c r="C48" s="268" t="s">
        <v>366</v>
      </c>
      <c r="D48" s="274">
        <f>IFERROR(VLOOKUP(C48,'Data Lokasi'!C:D,2,0),"")</f>
        <v>5.88</v>
      </c>
      <c r="E48" s="274" t="s">
        <v>2642</v>
      </c>
      <c r="F48" s="274"/>
      <c r="G48" s="274">
        <v>0.04</v>
      </c>
      <c r="H48" s="274">
        <v>0.18</v>
      </c>
      <c r="I48" s="274"/>
      <c r="J48" s="456">
        <f t="shared" si="1"/>
        <v>0.22</v>
      </c>
      <c r="K48" s="583"/>
      <c r="L48" s="268" t="s">
        <v>719</v>
      </c>
      <c r="M48" s="268" t="s">
        <v>2634</v>
      </c>
      <c r="N48" s="278">
        <f>IFERROR(INDEX('Data Lokasi'!S:S,MATCH('Input Real Tanam&amp;Petik Nanas'!C48,'Data Lokasi'!C:C,0)),"")</f>
        <v>44300</v>
      </c>
      <c r="O48" s="278"/>
      <c r="P48" s="283">
        <f>IFERROR(INDEX('Data Lokasi'!V:V,MATCH(C48,'Data Lokasi'!C:C,0)),"")</f>
        <v>0</v>
      </c>
      <c r="Q48" s="304">
        <f t="shared" si="2"/>
        <v>0</v>
      </c>
      <c r="R48" s="308"/>
    </row>
    <row r="49" spans="2:18" ht="15" hidden="1" thickTop="1">
      <c r="B49" s="269">
        <v>46186</v>
      </c>
      <c r="C49" s="268" t="s">
        <v>650</v>
      </c>
      <c r="D49" s="274">
        <f>IFERROR(VLOOKUP(C49,'Data Lokasi'!C:D,2,0),"")</f>
        <v>8.02</v>
      </c>
      <c r="E49" s="274" t="s">
        <v>2642</v>
      </c>
      <c r="F49" s="274"/>
      <c r="G49" s="274"/>
      <c r="H49" s="274"/>
      <c r="I49" s="274">
        <v>0.03</v>
      </c>
      <c r="J49" s="456">
        <f t="shared" si="1"/>
        <v>0.03</v>
      </c>
      <c r="K49" s="583"/>
      <c r="L49" s="268" t="s">
        <v>2625</v>
      </c>
      <c r="M49" s="268" t="s">
        <v>2634</v>
      </c>
      <c r="N49" s="278">
        <f>IFERROR(INDEX('Data Lokasi'!S:S,MATCH('Input Real Tanam&amp;Petik Nanas'!C49,'Data Lokasi'!C:C,0)),"")</f>
        <v>44970</v>
      </c>
      <c r="O49" s="278"/>
      <c r="P49" s="283">
        <f>IFERROR(INDEX('Data Lokasi'!V:V,MATCH(C49,'Data Lokasi'!C:C,0)),"")</f>
        <v>0</v>
      </c>
      <c r="Q49" s="304">
        <f t="shared" si="2"/>
        <v>0</v>
      </c>
      <c r="R49" s="308"/>
    </row>
    <row r="50" spans="2:18" ht="15" hidden="1" thickTop="1">
      <c r="B50" s="269">
        <v>46185</v>
      </c>
      <c r="C50" s="268" t="s">
        <v>689</v>
      </c>
      <c r="D50" s="274">
        <f>IFERROR(VLOOKUP(C50,'Data Lokasi'!C:D,2,0),"")</f>
        <v>7.2</v>
      </c>
      <c r="E50" s="274" t="s">
        <v>2642</v>
      </c>
      <c r="F50" s="274"/>
      <c r="G50" s="274"/>
      <c r="H50" s="274"/>
      <c r="I50" s="274">
        <v>1.28</v>
      </c>
      <c r="J50" s="456">
        <f t="shared" si="1"/>
        <v>1.28</v>
      </c>
      <c r="K50" s="583"/>
      <c r="L50" s="268" t="s">
        <v>2625</v>
      </c>
      <c r="M50" s="268" t="s">
        <v>2631</v>
      </c>
      <c r="N50" s="278">
        <f>IFERROR(INDEX('Data Lokasi'!S:S,MATCH('Input Real Tanam&amp;Petik Nanas'!C50,'Data Lokasi'!C:C,0)),"")</f>
        <v>45132</v>
      </c>
      <c r="O50" s="278"/>
      <c r="P50" s="283">
        <f>IFERROR(INDEX('Data Lokasi'!V:V,MATCH(C50,'Data Lokasi'!C:C,0)),"")</f>
        <v>0</v>
      </c>
      <c r="Q50" s="304">
        <f t="shared" si="2"/>
        <v>0</v>
      </c>
      <c r="R50" s="308"/>
    </row>
    <row r="51" spans="2:18" ht="15" hidden="1" thickTop="1">
      <c r="B51" s="269">
        <v>46188</v>
      </c>
      <c r="C51" s="268" t="s">
        <v>502</v>
      </c>
      <c r="D51" s="274">
        <f>IFERROR(VLOOKUP(C51,'Data Lokasi'!C:D,2,0),"")</f>
        <v>9.93</v>
      </c>
      <c r="E51" s="274" t="s">
        <v>2643</v>
      </c>
      <c r="F51" s="274"/>
      <c r="G51" s="274"/>
      <c r="H51" s="274"/>
      <c r="I51" s="274">
        <v>1.46</v>
      </c>
      <c r="J51" s="456">
        <f t="shared" si="1"/>
        <v>1.46</v>
      </c>
      <c r="K51" s="583"/>
      <c r="L51" s="268" t="s">
        <v>2625</v>
      </c>
      <c r="M51" s="268" t="s">
        <v>2631</v>
      </c>
      <c r="N51" s="278">
        <f>IFERROR(INDEX('Data Lokasi'!S:S,MATCH('Input Real Tanam&amp;Petik Nanas'!C51,'Data Lokasi'!C:C,0)),"")</f>
        <v>44574</v>
      </c>
      <c r="O51" s="278"/>
      <c r="P51" s="283">
        <f>IFERROR(INDEX('Data Lokasi'!V:V,MATCH(C51,'Data Lokasi'!C:C,0)),"")</f>
        <v>0</v>
      </c>
      <c r="Q51" s="304">
        <f t="shared" si="2"/>
        <v>0</v>
      </c>
      <c r="R51" s="308"/>
    </row>
    <row r="52" spans="2:18" ht="15" hidden="1" thickTop="1">
      <c r="B52" s="269">
        <v>46188</v>
      </c>
      <c r="C52" s="268" t="s">
        <v>381</v>
      </c>
      <c r="D52" s="274">
        <f>IFERROR(VLOOKUP(C52,'Data Lokasi'!C:D,2,0),"")</f>
        <v>8.18</v>
      </c>
      <c r="E52" s="274" t="s">
        <v>2643</v>
      </c>
      <c r="F52" s="274"/>
      <c r="G52" s="274">
        <v>0.15</v>
      </c>
      <c r="H52" s="274">
        <v>0.8</v>
      </c>
      <c r="I52" s="274"/>
      <c r="J52" s="456">
        <f t="shared" si="1"/>
        <v>0.95000000000000007</v>
      </c>
      <c r="K52" s="583"/>
      <c r="L52" s="268" t="s">
        <v>719</v>
      </c>
      <c r="M52" s="268" t="s">
        <v>2634</v>
      </c>
      <c r="N52" s="278">
        <f>IFERROR(INDEX('Data Lokasi'!S:S,MATCH('Input Real Tanam&amp;Petik Nanas'!C52,'Data Lokasi'!C:C,0)),"")</f>
        <v>44335</v>
      </c>
      <c r="O52" s="278"/>
      <c r="P52" s="283">
        <f>IFERROR(INDEX('Data Lokasi'!V:V,MATCH(C52,'Data Lokasi'!C:C,0)),"")</f>
        <v>0</v>
      </c>
      <c r="Q52" s="304">
        <f t="shared" si="2"/>
        <v>0</v>
      </c>
      <c r="R52" s="308"/>
    </row>
    <row r="53" spans="2:18" ht="15" hidden="1" thickTop="1">
      <c r="B53" s="269">
        <v>46188</v>
      </c>
      <c r="C53" s="268" t="s">
        <v>518</v>
      </c>
      <c r="D53" s="274">
        <f>IFERROR(VLOOKUP(C53,'Data Lokasi'!C:D,2,0),"")</f>
        <v>10.050000000000001</v>
      </c>
      <c r="E53" s="274" t="s">
        <v>2643</v>
      </c>
      <c r="F53" s="274"/>
      <c r="G53" s="274"/>
      <c r="H53" s="274"/>
      <c r="I53" s="274">
        <v>0.53</v>
      </c>
      <c r="J53" s="456">
        <f t="shared" si="1"/>
        <v>0.53</v>
      </c>
      <c r="K53" s="583"/>
      <c r="L53" s="268" t="s">
        <v>2625</v>
      </c>
      <c r="M53" s="268" t="s">
        <v>2631</v>
      </c>
      <c r="N53" s="278">
        <f>IFERROR(INDEX('Data Lokasi'!S:S,MATCH('Input Real Tanam&amp;Petik Nanas'!C53,'Data Lokasi'!C:C,0)),"")</f>
        <v>44604</v>
      </c>
      <c r="O53" s="278"/>
      <c r="P53" s="283">
        <f>IFERROR(INDEX('Data Lokasi'!V:V,MATCH(C53,'Data Lokasi'!C:C,0)),"")</f>
        <v>0</v>
      </c>
      <c r="Q53" s="304">
        <f t="shared" si="2"/>
        <v>0</v>
      </c>
      <c r="R53" s="308"/>
    </row>
    <row r="54" spans="2:18" ht="15" hidden="1" thickTop="1">
      <c r="B54" s="269">
        <v>46188</v>
      </c>
      <c r="C54" s="268" t="s">
        <v>127</v>
      </c>
      <c r="D54" s="274">
        <f>IFERROR(VLOOKUP(C54,'Data Lokasi'!C:D,2,0),"")</f>
        <v>9.93</v>
      </c>
      <c r="E54" s="274" t="s">
        <v>2643</v>
      </c>
      <c r="F54" s="274"/>
      <c r="G54" s="274"/>
      <c r="H54" s="274"/>
      <c r="I54" s="274">
        <v>2.5099999999999998</v>
      </c>
      <c r="J54" s="456">
        <f t="shared" si="1"/>
        <v>2.5099999999999998</v>
      </c>
      <c r="K54" s="583"/>
      <c r="L54" s="268" t="s">
        <v>2625</v>
      </c>
      <c r="M54" s="268" t="s">
        <v>2634</v>
      </c>
      <c r="N54" s="278">
        <f>IFERROR(INDEX('Data Lokasi'!S:S,MATCH('Input Real Tanam&amp;Petik Nanas'!C54,'Data Lokasi'!C:C,0)),"")</f>
        <v>0</v>
      </c>
      <c r="O54" s="278"/>
      <c r="P54" s="283">
        <f>IFERROR(INDEX('Data Lokasi'!V:V,MATCH(C54,'Data Lokasi'!C:C,0)),"")</f>
        <v>0</v>
      </c>
      <c r="Q54" s="304">
        <f t="shared" si="2"/>
        <v>0</v>
      </c>
      <c r="R54" s="308"/>
    </row>
    <row r="55" spans="2:18" ht="15" hidden="1" thickTop="1">
      <c r="B55" s="269">
        <v>46187</v>
      </c>
      <c r="C55" s="268" t="s">
        <v>518</v>
      </c>
      <c r="D55" s="274">
        <f>IFERROR(VLOOKUP(C55,'Data Lokasi'!C:D,2,0),"")</f>
        <v>10.050000000000001</v>
      </c>
      <c r="E55" s="274" t="s">
        <v>2643</v>
      </c>
      <c r="F55" s="274"/>
      <c r="G55" s="274"/>
      <c r="H55" s="274"/>
      <c r="I55" s="274">
        <v>1.19</v>
      </c>
      <c r="J55" s="456">
        <f t="shared" si="1"/>
        <v>1.19</v>
      </c>
      <c r="K55" s="583"/>
      <c r="L55" s="268" t="s">
        <v>2625</v>
      </c>
      <c r="M55" s="268" t="s">
        <v>2631</v>
      </c>
      <c r="N55" s="278">
        <f>IFERROR(INDEX('Data Lokasi'!S:S,MATCH('Input Real Tanam&amp;Petik Nanas'!C55,'Data Lokasi'!C:C,0)),"")</f>
        <v>44604</v>
      </c>
      <c r="O55" s="278"/>
      <c r="P55" s="283">
        <f>IFERROR(INDEX('Data Lokasi'!V:V,MATCH(C55,'Data Lokasi'!C:C,0)),"")</f>
        <v>0</v>
      </c>
      <c r="Q55" s="304">
        <f t="shared" si="2"/>
        <v>0</v>
      </c>
      <c r="R55" s="308"/>
    </row>
    <row r="56" spans="2:18" ht="15" hidden="1" thickTop="1">
      <c r="B56" s="269">
        <v>46187</v>
      </c>
      <c r="C56" s="268" t="s">
        <v>993</v>
      </c>
      <c r="D56" s="274">
        <f>IFERROR(VLOOKUP(C56,'Data Lokasi'!C:D,2,0),"")</f>
        <v>9.82</v>
      </c>
      <c r="E56" s="274" t="s">
        <v>2643</v>
      </c>
      <c r="F56" s="274"/>
      <c r="G56" s="274"/>
      <c r="H56" s="274"/>
      <c r="I56" s="274">
        <v>0.6</v>
      </c>
      <c r="J56" s="456">
        <f t="shared" si="1"/>
        <v>0.6</v>
      </c>
      <c r="K56" s="583"/>
      <c r="L56" s="268" t="s">
        <v>2625</v>
      </c>
      <c r="M56" s="268" t="s">
        <v>2634</v>
      </c>
      <c r="N56" s="278">
        <f>IFERROR(INDEX('Data Lokasi'!S:S,MATCH('Input Real Tanam&amp;Petik Nanas'!C56,'Data Lokasi'!C:C,0)),"")</f>
        <v>45564</v>
      </c>
      <c r="O56" s="278"/>
      <c r="P56" s="283">
        <f>IFERROR(INDEX('Data Lokasi'!V:V,MATCH(C56,'Data Lokasi'!C:C,0)),"")</f>
        <v>0</v>
      </c>
      <c r="Q56" s="304">
        <f t="shared" si="2"/>
        <v>0</v>
      </c>
      <c r="R56" s="308"/>
    </row>
    <row r="57" spans="2:18" ht="15" hidden="1" thickTop="1">
      <c r="B57" s="269">
        <v>46187</v>
      </c>
      <c r="C57" s="268" t="s">
        <v>991</v>
      </c>
      <c r="D57" s="274">
        <f>IFERROR(VLOOKUP(C57,'Data Lokasi'!C:D,2,0),"")</f>
        <v>9.24</v>
      </c>
      <c r="E57" s="274" t="s">
        <v>2643</v>
      </c>
      <c r="F57" s="274"/>
      <c r="G57" s="274"/>
      <c r="H57" s="274"/>
      <c r="I57" s="274">
        <v>0.99</v>
      </c>
      <c r="J57" s="456">
        <f t="shared" si="1"/>
        <v>0.99</v>
      </c>
      <c r="K57" s="583"/>
      <c r="L57" s="268" t="s">
        <v>2625</v>
      </c>
      <c r="M57" s="268" t="s">
        <v>2634</v>
      </c>
      <c r="N57" s="278">
        <f>IFERROR(INDEX('Data Lokasi'!S:S,MATCH('Input Real Tanam&amp;Petik Nanas'!C57,'Data Lokasi'!C:C,0)),"")</f>
        <v>45559</v>
      </c>
      <c r="O57" s="278"/>
      <c r="P57" s="283">
        <f>IFERROR(INDEX('Data Lokasi'!V:V,MATCH(C57,'Data Lokasi'!C:C,0)),"")</f>
        <v>0</v>
      </c>
      <c r="Q57" s="304">
        <f t="shared" si="2"/>
        <v>0</v>
      </c>
      <c r="R57" s="308"/>
    </row>
    <row r="58" spans="2:18" ht="15" hidden="1" thickTop="1">
      <c r="B58" s="269">
        <v>46187</v>
      </c>
      <c r="C58" s="268" t="s">
        <v>496</v>
      </c>
      <c r="D58" s="274">
        <f>IFERROR(VLOOKUP(C58,'Data Lokasi'!C:D,2,0),"")</f>
        <v>9.15</v>
      </c>
      <c r="E58" s="274" t="s">
        <v>2643</v>
      </c>
      <c r="F58" s="274"/>
      <c r="G58" s="274"/>
      <c r="H58" s="274"/>
      <c r="I58" s="274">
        <v>0.62</v>
      </c>
      <c r="J58" s="456">
        <f t="shared" si="1"/>
        <v>0.62</v>
      </c>
      <c r="K58" s="583"/>
      <c r="L58" s="268" t="s">
        <v>2625</v>
      </c>
      <c r="M58" s="268" t="s">
        <v>2631</v>
      </c>
      <c r="N58" s="278">
        <f>IFERROR(INDEX('Data Lokasi'!S:S,MATCH('Input Real Tanam&amp;Petik Nanas'!C58,'Data Lokasi'!C:C,0)),"")</f>
        <v>44568</v>
      </c>
      <c r="O58" s="278"/>
      <c r="P58" s="283">
        <f>IFERROR(INDEX('Data Lokasi'!V:V,MATCH(C58,'Data Lokasi'!C:C,0)),"")</f>
        <v>0</v>
      </c>
      <c r="Q58" s="304">
        <f t="shared" si="2"/>
        <v>0</v>
      </c>
      <c r="R58" s="308"/>
    </row>
    <row r="59" spans="2:18" ht="15" hidden="1" thickTop="1">
      <c r="B59" s="269">
        <v>46187</v>
      </c>
      <c r="C59" s="268" t="s">
        <v>502</v>
      </c>
      <c r="D59" s="274">
        <f>IFERROR(VLOOKUP(C59,'Data Lokasi'!C:D,2,0),"")</f>
        <v>9.93</v>
      </c>
      <c r="E59" s="274" t="s">
        <v>2643</v>
      </c>
      <c r="F59" s="274"/>
      <c r="G59" s="274"/>
      <c r="H59" s="274"/>
      <c r="I59" s="274">
        <v>0.84</v>
      </c>
      <c r="J59" s="456">
        <f t="shared" si="1"/>
        <v>0.84</v>
      </c>
      <c r="K59" s="583"/>
      <c r="L59" s="268" t="s">
        <v>2625</v>
      </c>
      <c r="M59" s="268" t="s">
        <v>2631</v>
      </c>
      <c r="N59" s="278">
        <f>IFERROR(INDEX('Data Lokasi'!S:S,MATCH('Input Real Tanam&amp;Petik Nanas'!C59,'Data Lokasi'!C:C,0)),"")</f>
        <v>44574</v>
      </c>
      <c r="O59" s="278"/>
      <c r="P59" s="283">
        <f>IFERROR(INDEX('Data Lokasi'!V:V,MATCH(C59,'Data Lokasi'!C:C,0)),"")</f>
        <v>0</v>
      </c>
      <c r="Q59" s="304">
        <f t="shared" si="2"/>
        <v>0</v>
      </c>
      <c r="R59" s="308"/>
    </row>
    <row r="60" spans="2:18" ht="15" hidden="1" thickTop="1">
      <c r="B60" s="269">
        <v>46187</v>
      </c>
      <c r="C60" s="268" t="s">
        <v>339</v>
      </c>
      <c r="D60" s="274">
        <f>IFERROR(VLOOKUP(C60,'Data Lokasi'!C:D,2,0),"")</f>
        <v>7.68</v>
      </c>
      <c r="E60" s="274" t="s">
        <v>2643</v>
      </c>
      <c r="F60" s="274"/>
      <c r="G60" s="274"/>
      <c r="H60" s="274">
        <v>0.05</v>
      </c>
      <c r="I60" s="274">
        <f>0.13+0.21</f>
        <v>0.33999999999999997</v>
      </c>
      <c r="J60" s="456">
        <f t="shared" si="1"/>
        <v>0.38999999999999996</v>
      </c>
      <c r="K60" s="583"/>
      <c r="L60" s="268" t="s">
        <v>719</v>
      </c>
      <c r="M60" s="268" t="s">
        <v>2634</v>
      </c>
      <c r="N60" s="278">
        <f>IFERROR(INDEX('Data Lokasi'!S:S,MATCH('Input Real Tanam&amp;Petik Nanas'!C60,'Data Lokasi'!C:C,0)),"")</f>
        <v>44252</v>
      </c>
      <c r="O60" s="278"/>
      <c r="P60" s="283">
        <f>IFERROR(INDEX('Data Lokasi'!V:V,MATCH(C60,'Data Lokasi'!C:C,0)),"")</f>
        <v>0</v>
      </c>
      <c r="Q60" s="304">
        <f t="shared" si="2"/>
        <v>0</v>
      </c>
      <c r="R60" s="308"/>
    </row>
    <row r="61" spans="2:18" ht="15" hidden="1" thickTop="1">
      <c r="B61" s="269">
        <v>46187</v>
      </c>
      <c r="C61" s="268" t="s">
        <v>381</v>
      </c>
      <c r="D61" s="274">
        <f>IFERROR(VLOOKUP(C61,'Data Lokasi'!C:D,2,0),"")</f>
        <v>8.18</v>
      </c>
      <c r="E61" s="274" t="s">
        <v>2643</v>
      </c>
      <c r="F61" s="274"/>
      <c r="G61" s="274">
        <v>0.03</v>
      </c>
      <c r="H61" s="274">
        <f>0.12+0.2</f>
        <v>0.32</v>
      </c>
      <c r="I61" s="274"/>
      <c r="J61" s="456">
        <f t="shared" si="1"/>
        <v>0.35</v>
      </c>
      <c r="K61" s="583"/>
      <c r="L61" s="268" t="s">
        <v>719</v>
      </c>
      <c r="M61" s="268" t="s">
        <v>2634</v>
      </c>
      <c r="N61" s="278">
        <f>IFERROR(INDEX('Data Lokasi'!S:S,MATCH('Input Real Tanam&amp;Petik Nanas'!C61,'Data Lokasi'!C:C,0)),"")</f>
        <v>44335</v>
      </c>
      <c r="O61" s="278"/>
      <c r="P61" s="283">
        <f>IFERROR(INDEX('Data Lokasi'!V:V,MATCH(C61,'Data Lokasi'!C:C,0)),"")</f>
        <v>0</v>
      </c>
      <c r="Q61" s="304">
        <f t="shared" si="2"/>
        <v>0</v>
      </c>
      <c r="R61" s="308"/>
    </row>
    <row r="62" spans="2:18" ht="15" hidden="1" thickTop="1">
      <c r="B62" s="269">
        <v>46187</v>
      </c>
      <c r="C62" s="268" t="s">
        <v>127</v>
      </c>
      <c r="D62" s="274">
        <f>IFERROR(VLOOKUP(C62,'Data Lokasi'!C:D,2,0),"")</f>
        <v>9.93</v>
      </c>
      <c r="E62" s="274" t="s">
        <v>2643</v>
      </c>
      <c r="F62" s="274"/>
      <c r="G62" s="274"/>
      <c r="H62" s="274"/>
      <c r="I62" s="274">
        <v>0.44</v>
      </c>
      <c r="J62" s="456">
        <f t="shared" si="1"/>
        <v>0.44</v>
      </c>
      <c r="K62" s="583"/>
      <c r="L62" s="268" t="s">
        <v>2625</v>
      </c>
      <c r="M62" s="268" t="s">
        <v>2634</v>
      </c>
      <c r="N62" s="278">
        <f>IFERROR(INDEX('Data Lokasi'!S:S,MATCH('Input Real Tanam&amp;Petik Nanas'!C62,'Data Lokasi'!C:C,0)),"")</f>
        <v>0</v>
      </c>
      <c r="O62" s="278"/>
      <c r="P62" s="283">
        <f>IFERROR(INDEX('Data Lokasi'!V:V,MATCH(C62,'Data Lokasi'!C:C,0)),"")</f>
        <v>0</v>
      </c>
      <c r="Q62" s="304">
        <f t="shared" si="2"/>
        <v>0</v>
      </c>
      <c r="R62" s="308"/>
    </row>
    <row r="63" spans="2:18" ht="15" hidden="1" thickTop="1">
      <c r="B63" s="269">
        <v>46186</v>
      </c>
      <c r="C63" s="268" t="s">
        <v>496</v>
      </c>
      <c r="D63" s="274">
        <f>IFERROR(VLOOKUP(C63,'Data Lokasi'!C:D,2,0),"")</f>
        <v>9.15</v>
      </c>
      <c r="E63" s="274" t="s">
        <v>2643</v>
      </c>
      <c r="F63" s="274"/>
      <c r="G63" s="274"/>
      <c r="H63" s="274"/>
      <c r="I63" s="274">
        <v>2</v>
      </c>
      <c r="J63" s="456">
        <f t="shared" si="1"/>
        <v>2</v>
      </c>
      <c r="K63" s="583"/>
      <c r="L63" s="268" t="s">
        <v>2625</v>
      </c>
      <c r="M63" s="268" t="s">
        <v>2631</v>
      </c>
      <c r="N63" s="278">
        <f>IFERROR(INDEX('Data Lokasi'!S:S,MATCH('Input Real Tanam&amp;Petik Nanas'!C63,'Data Lokasi'!C:C,0)),"")</f>
        <v>44568</v>
      </c>
      <c r="O63" s="278"/>
      <c r="P63" s="283">
        <f>IFERROR(INDEX('Data Lokasi'!V:V,MATCH(C63,'Data Lokasi'!C:C,0)),"")</f>
        <v>0</v>
      </c>
      <c r="Q63" s="304">
        <f t="shared" si="2"/>
        <v>0</v>
      </c>
      <c r="R63" s="308"/>
    </row>
    <row r="64" spans="2:18" ht="15" hidden="1" thickTop="1">
      <c r="B64" s="269">
        <v>46186</v>
      </c>
      <c r="C64" s="268" t="s">
        <v>518</v>
      </c>
      <c r="D64" s="274">
        <f>IFERROR(VLOOKUP(C64,'Data Lokasi'!C:D,2,0),"")</f>
        <v>10.050000000000001</v>
      </c>
      <c r="E64" s="274" t="s">
        <v>2643</v>
      </c>
      <c r="F64" s="274"/>
      <c r="G64" s="274"/>
      <c r="H64" s="274"/>
      <c r="I64" s="274">
        <v>1.36</v>
      </c>
      <c r="J64" s="456">
        <f t="shared" si="1"/>
        <v>1.36</v>
      </c>
      <c r="K64" s="583"/>
      <c r="L64" s="268" t="s">
        <v>2625</v>
      </c>
      <c r="M64" s="268" t="s">
        <v>2631</v>
      </c>
      <c r="N64" s="278">
        <f>IFERROR(INDEX('Data Lokasi'!S:S,MATCH('Input Real Tanam&amp;Petik Nanas'!C64,'Data Lokasi'!C:C,0)),"")</f>
        <v>44604</v>
      </c>
      <c r="O64" s="278"/>
      <c r="P64" s="283">
        <f>IFERROR(INDEX('Data Lokasi'!V:V,MATCH(C64,'Data Lokasi'!C:C,0)),"")</f>
        <v>0</v>
      </c>
      <c r="Q64" s="304">
        <f t="shared" si="2"/>
        <v>0</v>
      </c>
      <c r="R64" s="308"/>
    </row>
    <row r="65" spans="2:18" ht="15" hidden="1" thickTop="1">
      <c r="B65" s="269">
        <v>46186</v>
      </c>
      <c r="C65" s="268" t="s">
        <v>993</v>
      </c>
      <c r="D65" s="274">
        <f>IFERROR(VLOOKUP(C65,'Data Lokasi'!C:D,2,0),"")</f>
        <v>9.82</v>
      </c>
      <c r="E65" s="274" t="s">
        <v>2643</v>
      </c>
      <c r="F65" s="274"/>
      <c r="G65" s="274"/>
      <c r="H65" s="274"/>
      <c r="I65" s="274">
        <v>0.5</v>
      </c>
      <c r="J65" s="456">
        <f t="shared" si="1"/>
        <v>0.5</v>
      </c>
      <c r="K65" s="583"/>
      <c r="L65" s="268" t="s">
        <v>2625</v>
      </c>
      <c r="M65" s="268" t="s">
        <v>2634</v>
      </c>
      <c r="N65" s="278">
        <f>IFERROR(INDEX('Data Lokasi'!S:S,MATCH('Input Real Tanam&amp;Petik Nanas'!C65,'Data Lokasi'!C:C,0)),"")</f>
        <v>45564</v>
      </c>
      <c r="O65" s="278"/>
      <c r="P65" s="283">
        <f>IFERROR(INDEX('Data Lokasi'!V:V,MATCH(C65,'Data Lokasi'!C:C,0)),"")</f>
        <v>0</v>
      </c>
      <c r="Q65" s="304">
        <f t="shared" si="2"/>
        <v>0</v>
      </c>
      <c r="R65" s="308"/>
    </row>
    <row r="66" spans="2:18" ht="15" hidden="1" thickTop="1">
      <c r="B66" s="269">
        <v>46186</v>
      </c>
      <c r="C66" s="268" t="s">
        <v>991</v>
      </c>
      <c r="D66" s="274">
        <f>IFERROR(VLOOKUP(C66,'Data Lokasi'!C:D,2,0),"")</f>
        <v>9.24</v>
      </c>
      <c r="E66" s="274" t="s">
        <v>2643</v>
      </c>
      <c r="F66" s="274"/>
      <c r="G66" s="274"/>
      <c r="H66" s="274"/>
      <c r="I66" s="274">
        <v>1.32</v>
      </c>
      <c r="J66" s="456">
        <f t="shared" si="1"/>
        <v>1.32</v>
      </c>
      <c r="K66" s="583"/>
      <c r="L66" s="268" t="s">
        <v>2625</v>
      </c>
      <c r="M66" s="268" t="s">
        <v>2634</v>
      </c>
      <c r="N66" s="278">
        <f>IFERROR(INDEX('Data Lokasi'!S:S,MATCH('Input Real Tanam&amp;Petik Nanas'!C66,'Data Lokasi'!C:C,0)),"")</f>
        <v>45559</v>
      </c>
      <c r="O66" s="278"/>
      <c r="P66" s="283">
        <f>IFERROR(INDEX('Data Lokasi'!V:V,MATCH(C66,'Data Lokasi'!C:C,0)),"")</f>
        <v>0</v>
      </c>
      <c r="Q66" s="304">
        <f t="shared" si="2"/>
        <v>0</v>
      </c>
      <c r="R66" s="308"/>
    </row>
    <row r="67" spans="2:18" ht="15" hidden="1" thickTop="1">
      <c r="B67" s="269">
        <v>46186</v>
      </c>
      <c r="C67" s="268" t="s">
        <v>339</v>
      </c>
      <c r="D67" s="274">
        <f>IFERROR(VLOOKUP(C67,'Data Lokasi'!C:D,2,0),"")</f>
        <v>7.68</v>
      </c>
      <c r="E67" s="274" t="s">
        <v>2643</v>
      </c>
      <c r="F67" s="274"/>
      <c r="G67" s="274"/>
      <c r="H67" s="274">
        <v>0.05</v>
      </c>
      <c r="I67" s="274">
        <f>0.11+0.27</f>
        <v>0.38</v>
      </c>
      <c r="J67" s="456">
        <f t="shared" si="1"/>
        <v>0.43</v>
      </c>
      <c r="K67" s="583"/>
      <c r="L67" s="268" t="s">
        <v>719</v>
      </c>
      <c r="M67" s="268" t="s">
        <v>2634</v>
      </c>
      <c r="N67" s="278">
        <f>IFERROR(INDEX('Data Lokasi'!S:S,MATCH('Input Real Tanam&amp;Petik Nanas'!C67,'Data Lokasi'!C:C,0)),"")</f>
        <v>44252</v>
      </c>
      <c r="O67" s="278"/>
      <c r="P67" s="283">
        <f>IFERROR(INDEX('Data Lokasi'!V:V,MATCH(C67,'Data Lokasi'!C:C,0)),"")</f>
        <v>0</v>
      </c>
      <c r="Q67" s="304">
        <f t="shared" si="2"/>
        <v>0</v>
      </c>
      <c r="R67" s="308"/>
    </row>
    <row r="68" spans="2:18" ht="15" hidden="1" thickTop="1">
      <c r="B68" s="269">
        <v>46186</v>
      </c>
      <c r="C68" s="268" t="s">
        <v>127</v>
      </c>
      <c r="D68" s="274">
        <f>IFERROR(VLOOKUP(C68,'Data Lokasi'!C:D,2,0),"")</f>
        <v>9.93</v>
      </c>
      <c r="E68" s="274" t="s">
        <v>2643</v>
      </c>
      <c r="F68" s="274"/>
      <c r="G68" s="274"/>
      <c r="H68" s="274"/>
      <c r="I68" s="274">
        <v>1.93</v>
      </c>
      <c r="J68" s="456">
        <f t="shared" si="1"/>
        <v>1.93</v>
      </c>
      <c r="K68" s="583"/>
      <c r="L68" s="268" t="s">
        <v>2625</v>
      </c>
      <c r="M68" s="268" t="s">
        <v>2634</v>
      </c>
      <c r="N68" s="278">
        <f>IFERROR(INDEX('Data Lokasi'!S:S,MATCH('Input Real Tanam&amp;Petik Nanas'!C68,'Data Lokasi'!C:C,0)),"")</f>
        <v>0</v>
      </c>
      <c r="O68" s="278"/>
      <c r="P68" s="283">
        <f>IFERROR(INDEX('Data Lokasi'!V:V,MATCH(C68,'Data Lokasi'!C:C,0)),"")</f>
        <v>0</v>
      </c>
      <c r="Q68" s="304">
        <f t="shared" si="2"/>
        <v>0</v>
      </c>
      <c r="R68" s="308"/>
    </row>
    <row r="69" spans="2:18" ht="15" hidden="1" thickTop="1">
      <c r="B69" s="269">
        <v>46185</v>
      </c>
      <c r="C69" s="268" t="s">
        <v>498</v>
      </c>
      <c r="D69" s="274">
        <f>IFERROR(VLOOKUP(C69,'Data Lokasi'!C:D,2,0),"")</f>
        <v>7.82</v>
      </c>
      <c r="E69" s="274" t="s">
        <v>2643</v>
      </c>
      <c r="F69" s="274"/>
      <c r="G69" s="274"/>
      <c r="H69" s="274"/>
      <c r="I69" s="274">
        <v>2.59</v>
      </c>
      <c r="J69" s="456">
        <f t="shared" si="1"/>
        <v>2.59</v>
      </c>
      <c r="K69" s="583"/>
      <c r="L69" s="268" t="s">
        <v>2625</v>
      </c>
      <c r="M69" s="268" t="s">
        <v>2631</v>
      </c>
      <c r="N69" s="278">
        <f>IFERROR(INDEX('Data Lokasi'!S:S,MATCH('Input Real Tanam&amp;Petik Nanas'!C69,'Data Lokasi'!C:C,0)),"")</f>
        <v>44568</v>
      </c>
      <c r="O69" s="278"/>
      <c r="P69" s="283">
        <f>IFERROR(INDEX('Data Lokasi'!V:V,MATCH(C69,'Data Lokasi'!C:C,0)),"")</f>
        <v>0</v>
      </c>
      <c r="Q69" s="304">
        <f t="shared" si="2"/>
        <v>0</v>
      </c>
      <c r="R69" s="308"/>
    </row>
    <row r="70" spans="2:18" ht="15" hidden="1" thickTop="1">
      <c r="B70" s="269">
        <v>46185</v>
      </c>
      <c r="C70" s="268" t="s">
        <v>518</v>
      </c>
      <c r="D70" s="274">
        <f>IFERROR(VLOOKUP(C70,'Data Lokasi'!C:D,2,0),"")</f>
        <v>10.050000000000001</v>
      </c>
      <c r="E70" s="274" t="s">
        <v>2643</v>
      </c>
      <c r="F70" s="274"/>
      <c r="G70" s="274"/>
      <c r="H70" s="274"/>
      <c r="I70" s="274">
        <v>0.56999999999999995</v>
      </c>
      <c r="J70" s="456">
        <f t="shared" si="1"/>
        <v>0.56999999999999995</v>
      </c>
      <c r="K70" s="583"/>
      <c r="L70" s="268" t="s">
        <v>2625</v>
      </c>
      <c r="M70" s="268" t="s">
        <v>2631</v>
      </c>
      <c r="N70" s="278">
        <f>IFERROR(INDEX('Data Lokasi'!S:S,MATCH('Input Real Tanam&amp;Petik Nanas'!C70,'Data Lokasi'!C:C,0)),"")</f>
        <v>44604</v>
      </c>
      <c r="O70" s="278"/>
      <c r="P70" s="283">
        <f>IFERROR(INDEX('Data Lokasi'!V:V,MATCH(C70,'Data Lokasi'!C:C,0)),"")</f>
        <v>0</v>
      </c>
      <c r="Q70" s="304">
        <f t="shared" si="2"/>
        <v>0</v>
      </c>
      <c r="R70" s="308"/>
    </row>
    <row r="71" spans="2:18" ht="15" hidden="1" thickTop="1">
      <c r="B71" s="269">
        <v>46185</v>
      </c>
      <c r="C71" s="268" t="s">
        <v>496</v>
      </c>
      <c r="D71" s="274">
        <f>IFERROR(VLOOKUP(C71,'Data Lokasi'!C:D,2,0),"")</f>
        <v>9.15</v>
      </c>
      <c r="E71" s="274" t="s">
        <v>2643</v>
      </c>
      <c r="F71" s="274"/>
      <c r="G71" s="274"/>
      <c r="H71" s="274"/>
      <c r="I71" s="274">
        <v>2.5299999999999998</v>
      </c>
      <c r="J71" s="456">
        <f t="shared" si="1"/>
        <v>2.5299999999999998</v>
      </c>
      <c r="K71" s="583"/>
      <c r="L71" s="268" t="s">
        <v>2625</v>
      </c>
      <c r="M71" s="268" t="s">
        <v>2631</v>
      </c>
      <c r="N71" s="278">
        <f>IFERROR(INDEX('Data Lokasi'!S:S,MATCH('Input Real Tanam&amp;Petik Nanas'!C71,'Data Lokasi'!C:C,0)),"")</f>
        <v>44568</v>
      </c>
      <c r="O71" s="278"/>
      <c r="P71" s="283">
        <f>IFERROR(INDEX('Data Lokasi'!V:V,MATCH(C71,'Data Lokasi'!C:C,0)),"")</f>
        <v>0</v>
      </c>
      <c r="Q71" s="304">
        <f t="shared" si="2"/>
        <v>0</v>
      </c>
      <c r="R71" s="308"/>
    </row>
    <row r="72" spans="2:18" ht="15" hidden="1" thickTop="1">
      <c r="B72" s="269">
        <v>46185</v>
      </c>
      <c r="C72" s="268" t="s">
        <v>467</v>
      </c>
      <c r="D72" s="274">
        <f>IFERROR(VLOOKUP(C72,'Data Lokasi'!C:D,2,0),"")</f>
        <v>5.1100000000000003</v>
      </c>
      <c r="E72" s="274" t="s">
        <v>2643</v>
      </c>
      <c r="F72" s="274"/>
      <c r="G72" s="274"/>
      <c r="H72" s="274"/>
      <c r="I72" s="274">
        <v>1.04</v>
      </c>
      <c r="J72" s="456">
        <f t="shared" si="1"/>
        <v>1.04</v>
      </c>
      <c r="K72" s="583"/>
      <c r="L72" s="268" t="s">
        <v>2625</v>
      </c>
      <c r="M72" s="268" t="s">
        <v>2634</v>
      </c>
      <c r="N72" s="278">
        <f>IFERROR(INDEX('Data Lokasi'!S:S,MATCH('Input Real Tanam&amp;Petik Nanas'!C72,'Data Lokasi'!C:C,0)),"")</f>
        <v>44503</v>
      </c>
      <c r="O72" s="278"/>
      <c r="P72" s="283">
        <f>IFERROR(INDEX('Data Lokasi'!V:V,MATCH(C72,'Data Lokasi'!C:C,0)),"")</f>
        <v>0</v>
      </c>
      <c r="Q72" s="304">
        <f t="shared" ref="Q72:Q103" si="3">IF(ISERROR(P72/D72),"",(P72/D72))</f>
        <v>0</v>
      </c>
      <c r="R72" s="308"/>
    </row>
    <row r="73" spans="2:18" ht="15" hidden="1" thickTop="1">
      <c r="B73" s="269">
        <v>46185</v>
      </c>
      <c r="C73" s="268" t="s">
        <v>497</v>
      </c>
      <c r="D73" s="274">
        <f>IFERROR(VLOOKUP(C73,'Data Lokasi'!C:D,2,0),"")</f>
        <v>9.98</v>
      </c>
      <c r="E73" s="274" t="s">
        <v>2643</v>
      </c>
      <c r="F73" s="274"/>
      <c r="G73" s="274"/>
      <c r="H73" s="274"/>
      <c r="I73" s="274">
        <v>0.88</v>
      </c>
      <c r="J73" s="456">
        <f t="shared" ref="J73:J136" si="4">IF(SUM(F73:I73)=0,"",(SUM(F73:I73)))</f>
        <v>0.88</v>
      </c>
      <c r="K73" s="583"/>
      <c r="L73" s="268" t="s">
        <v>2625</v>
      </c>
      <c r="M73" s="268" t="s">
        <v>2634</v>
      </c>
      <c r="N73" s="278">
        <f>IFERROR(INDEX('Data Lokasi'!S:S,MATCH('Input Real Tanam&amp;Petik Nanas'!C73,'Data Lokasi'!C:C,0)),"")</f>
        <v>44557</v>
      </c>
      <c r="O73" s="278"/>
      <c r="P73" s="283">
        <f>IFERROR(INDEX('Data Lokasi'!V:V,MATCH(C73,'Data Lokasi'!C:C,0)),"")</f>
        <v>0</v>
      </c>
      <c r="Q73" s="304">
        <f t="shared" si="3"/>
        <v>0</v>
      </c>
      <c r="R73" s="308"/>
    </row>
    <row r="74" spans="2:18" ht="15" hidden="1" thickTop="1">
      <c r="B74" s="269">
        <v>46185</v>
      </c>
      <c r="C74" s="317" t="s">
        <v>469</v>
      </c>
      <c r="D74" s="274">
        <f>IFERROR(VLOOKUP(C74,'Data Lokasi'!C:D,2,0),"")</f>
        <v>3.92</v>
      </c>
      <c r="E74" s="274" t="s">
        <v>2643</v>
      </c>
      <c r="F74" s="274"/>
      <c r="G74" s="274"/>
      <c r="H74" s="274"/>
      <c r="I74" s="274">
        <v>2.11</v>
      </c>
      <c r="J74" s="456">
        <f t="shared" si="4"/>
        <v>2.11</v>
      </c>
      <c r="K74" s="583"/>
      <c r="L74" s="268" t="s">
        <v>2625</v>
      </c>
      <c r="M74" s="268" t="s">
        <v>2634</v>
      </c>
      <c r="N74" s="278">
        <f>IFERROR(INDEX('Data Lokasi'!S:S,MATCH('Input Real Tanam&amp;Petik Nanas'!C74,'Data Lokasi'!C:C,0)),"")</f>
        <v>44507</v>
      </c>
      <c r="O74" s="278"/>
      <c r="P74" s="283">
        <f>IFERROR(INDEX('Data Lokasi'!V:V,MATCH(C74,'Data Lokasi'!C:C,0)),"")</f>
        <v>0</v>
      </c>
      <c r="Q74" s="304">
        <f t="shared" si="3"/>
        <v>0</v>
      </c>
      <c r="R74" s="308"/>
    </row>
    <row r="75" spans="2:18" ht="15" hidden="1" thickTop="1">
      <c r="B75" s="269">
        <v>46184</v>
      </c>
      <c r="C75" s="268" t="s">
        <v>337</v>
      </c>
      <c r="D75" s="274">
        <f>IFERROR(VLOOKUP(C75,'Data Lokasi'!C:D,2,0),"")</f>
        <v>9.17</v>
      </c>
      <c r="E75" s="274" t="s">
        <v>2643</v>
      </c>
      <c r="F75" s="274"/>
      <c r="G75" s="274">
        <v>7.0000000000000007E-2</v>
      </c>
      <c r="H75" s="274"/>
      <c r="I75" s="274"/>
      <c r="J75" s="456">
        <f t="shared" si="4"/>
        <v>7.0000000000000007E-2</v>
      </c>
      <c r="K75" s="583"/>
      <c r="L75" s="268" t="s">
        <v>719</v>
      </c>
      <c r="M75" s="268" t="s">
        <v>2631</v>
      </c>
      <c r="N75" s="278">
        <f>IFERROR(INDEX('Data Lokasi'!S:S,MATCH('Input Real Tanam&amp;Petik Nanas'!C75,'Data Lokasi'!C:C,0)),"")</f>
        <v>44250</v>
      </c>
      <c r="O75" s="278"/>
      <c r="P75" s="283">
        <f>IFERROR(INDEX('Data Lokasi'!V:V,MATCH(C75,'Data Lokasi'!C:C,0)),"")</f>
        <v>0</v>
      </c>
      <c r="Q75" s="304">
        <f t="shared" si="3"/>
        <v>0</v>
      </c>
      <c r="R75" s="308"/>
    </row>
    <row r="76" spans="2:18" ht="15" hidden="1" thickTop="1">
      <c r="B76" s="269">
        <v>46184</v>
      </c>
      <c r="C76" s="268" t="s">
        <v>534</v>
      </c>
      <c r="D76" s="274">
        <f>IFERROR(VLOOKUP(C76,'Data Lokasi'!C:D,2,0),"")</f>
        <v>6.6</v>
      </c>
      <c r="E76" s="274" t="s">
        <v>2643</v>
      </c>
      <c r="F76" s="274"/>
      <c r="G76" s="274">
        <v>0.01</v>
      </c>
      <c r="H76" s="274">
        <v>0.08</v>
      </c>
      <c r="I76" s="274"/>
      <c r="J76" s="456">
        <f t="shared" si="4"/>
        <v>0.09</v>
      </c>
      <c r="K76" s="583"/>
      <c r="L76" s="268" t="s">
        <v>719</v>
      </c>
      <c r="M76" s="268" t="s">
        <v>2631</v>
      </c>
      <c r="N76" s="278">
        <f>IFERROR(INDEX('Data Lokasi'!S:S,MATCH('Input Real Tanam&amp;Petik Nanas'!C76,'Data Lokasi'!C:C,0)),"")</f>
        <v>44639</v>
      </c>
      <c r="O76" s="278"/>
      <c r="P76" s="283">
        <f>IFERROR(INDEX('Data Lokasi'!V:V,MATCH(C76,'Data Lokasi'!C:C,0)),"")</f>
        <v>0</v>
      </c>
      <c r="Q76" s="304">
        <f t="shared" si="3"/>
        <v>0</v>
      </c>
      <c r="R76" s="308"/>
    </row>
    <row r="77" spans="2:18" ht="15" hidden="1" thickTop="1">
      <c r="B77" s="269">
        <v>46184</v>
      </c>
      <c r="C77" s="268" t="s">
        <v>498</v>
      </c>
      <c r="D77" s="274">
        <f>IFERROR(VLOOKUP(C77,'Data Lokasi'!C:D,2,0),"")</f>
        <v>7.82</v>
      </c>
      <c r="E77" s="274" t="s">
        <v>2643</v>
      </c>
      <c r="F77" s="274"/>
      <c r="G77" s="274"/>
      <c r="H77" s="274"/>
      <c r="I77" s="274">
        <v>0.36</v>
      </c>
      <c r="J77" s="456">
        <f t="shared" si="4"/>
        <v>0.36</v>
      </c>
      <c r="K77" s="583"/>
      <c r="L77" s="268" t="s">
        <v>2625</v>
      </c>
      <c r="M77" s="268" t="s">
        <v>2631</v>
      </c>
      <c r="N77" s="278">
        <f>IFERROR(INDEX('Data Lokasi'!S:S,MATCH('Input Real Tanam&amp;Petik Nanas'!C77,'Data Lokasi'!C:C,0)),"")</f>
        <v>44568</v>
      </c>
      <c r="O77" s="278"/>
      <c r="P77" s="283">
        <f>IFERROR(INDEX('Data Lokasi'!V:V,MATCH(C77,'Data Lokasi'!C:C,0)),"")</f>
        <v>0</v>
      </c>
      <c r="Q77" s="304">
        <f t="shared" si="3"/>
        <v>0</v>
      </c>
      <c r="R77" s="308"/>
    </row>
    <row r="78" spans="2:18" ht="15" hidden="1" thickTop="1">
      <c r="B78" s="269">
        <v>46184</v>
      </c>
      <c r="C78" s="268" t="s">
        <v>518</v>
      </c>
      <c r="D78" s="274">
        <f>IFERROR(VLOOKUP(C78,'Data Lokasi'!C:D,2,0),"")</f>
        <v>10.050000000000001</v>
      </c>
      <c r="E78" s="274" t="s">
        <v>2643</v>
      </c>
      <c r="F78" s="274"/>
      <c r="G78" s="274"/>
      <c r="H78" s="274"/>
      <c r="I78" s="274">
        <v>1.52</v>
      </c>
      <c r="J78" s="456">
        <f t="shared" si="4"/>
        <v>1.52</v>
      </c>
      <c r="K78" s="583"/>
      <c r="L78" s="268" t="s">
        <v>2625</v>
      </c>
      <c r="M78" s="268" t="s">
        <v>2631</v>
      </c>
      <c r="N78" s="278">
        <f>IFERROR(INDEX('Data Lokasi'!S:S,MATCH('Input Real Tanam&amp;Petik Nanas'!C78,'Data Lokasi'!C:C,0)),"")</f>
        <v>44604</v>
      </c>
      <c r="O78" s="278"/>
      <c r="P78" s="283">
        <f>IFERROR(INDEX('Data Lokasi'!V:V,MATCH(C78,'Data Lokasi'!C:C,0)),"")</f>
        <v>0</v>
      </c>
      <c r="Q78" s="304">
        <f t="shared" si="3"/>
        <v>0</v>
      </c>
      <c r="R78" s="308"/>
    </row>
    <row r="79" spans="2:18" ht="15" hidden="1" thickTop="1">
      <c r="B79" s="269">
        <v>46184</v>
      </c>
      <c r="C79" s="268" t="s">
        <v>314</v>
      </c>
      <c r="D79" s="274">
        <f>IFERROR(VLOOKUP(C79,'Data Lokasi'!C:D,2,0),"")</f>
        <v>8.92</v>
      </c>
      <c r="E79" s="274" t="s">
        <v>2643</v>
      </c>
      <c r="F79" s="274"/>
      <c r="G79" s="274">
        <v>0.04</v>
      </c>
      <c r="H79" s="274">
        <f>0.08+0.12</f>
        <v>0.2</v>
      </c>
      <c r="I79" s="274">
        <f>0.08+0.07</f>
        <v>0.15000000000000002</v>
      </c>
      <c r="J79" s="456">
        <f t="shared" si="4"/>
        <v>0.39</v>
      </c>
      <c r="K79" s="583"/>
      <c r="L79" s="268" t="s">
        <v>719</v>
      </c>
      <c r="M79" s="268" t="s">
        <v>2634</v>
      </c>
      <c r="N79" s="278">
        <f>IFERROR(INDEX('Data Lokasi'!S:S,MATCH('Input Real Tanam&amp;Petik Nanas'!C79,'Data Lokasi'!C:C,0)),"")</f>
        <v>44161</v>
      </c>
      <c r="O79" s="278"/>
      <c r="P79" s="283">
        <f>IFERROR(INDEX('Data Lokasi'!V:V,MATCH(C79,'Data Lokasi'!C:C,0)),"")</f>
        <v>0</v>
      </c>
      <c r="Q79" s="304">
        <f t="shared" si="3"/>
        <v>0</v>
      </c>
      <c r="R79" s="308"/>
    </row>
    <row r="80" spans="2:18" ht="15" hidden="1" thickTop="1">
      <c r="B80" s="269">
        <v>46184</v>
      </c>
      <c r="C80" s="268" t="s">
        <v>467</v>
      </c>
      <c r="D80" s="274">
        <f>IFERROR(VLOOKUP(C80,'Data Lokasi'!C:D,2,0),"")</f>
        <v>5.1100000000000003</v>
      </c>
      <c r="E80" s="274" t="s">
        <v>2643</v>
      </c>
      <c r="F80" s="274"/>
      <c r="G80" s="274"/>
      <c r="H80" s="274"/>
      <c r="I80" s="274">
        <v>1.72</v>
      </c>
      <c r="J80" s="456">
        <f t="shared" si="4"/>
        <v>1.72</v>
      </c>
      <c r="K80" s="583"/>
      <c r="L80" s="268" t="s">
        <v>2625</v>
      </c>
      <c r="M80" s="268" t="s">
        <v>2634</v>
      </c>
      <c r="N80" s="278">
        <f>IFERROR(INDEX('Data Lokasi'!S:S,MATCH('Input Real Tanam&amp;Petik Nanas'!C80,'Data Lokasi'!C:C,0)),"")</f>
        <v>44503</v>
      </c>
      <c r="O80" s="278"/>
      <c r="P80" s="283">
        <f>IFERROR(INDEX('Data Lokasi'!V:V,MATCH(C80,'Data Lokasi'!C:C,0)),"")</f>
        <v>0</v>
      </c>
      <c r="Q80" s="304">
        <f t="shared" si="3"/>
        <v>0</v>
      </c>
      <c r="R80" s="308"/>
    </row>
    <row r="81" spans="2:18" ht="15" hidden="1" thickTop="1">
      <c r="B81" s="269">
        <v>46184</v>
      </c>
      <c r="C81" s="268" t="s">
        <v>874</v>
      </c>
      <c r="D81" s="274">
        <f>IFERROR(VLOOKUP(C81,'Data Lokasi'!C:D,2,0),"")</f>
        <v>5.43</v>
      </c>
      <c r="E81" s="274" t="s">
        <v>2643</v>
      </c>
      <c r="F81" s="274"/>
      <c r="G81" s="274"/>
      <c r="H81" s="274"/>
      <c r="I81" s="274">
        <v>1.64</v>
      </c>
      <c r="J81" s="456">
        <f t="shared" si="4"/>
        <v>1.64</v>
      </c>
      <c r="K81" s="583"/>
      <c r="L81" s="268" t="s">
        <v>2625</v>
      </c>
      <c r="M81" s="268" t="s">
        <v>2631</v>
      </c>
      <c r="N81" s="278">
        <f>IFERROR(INDEX('Data Lokasi'!S:S,MATCH('Input Real Tanam&amp;Petik Nanas'!C81,'Data Lokasi'!C:C,0)),"")</f>
        <v>45650</v>
      </c>
      <c r="O81" s="278"/>
      <c r="P81" s="283">
        <f>IFERROR(INDEX('Data Lokasi'!V:V,MATCH(C81,'Data Lokasi'!C:C,0)),"")</f>
        <v>0</v>
      </c>
      <c r="Q81" s="304">
        <f t="shared" si="3"/>
        <v>0</v>
      </c>
      <c r="R81" s="308"/>
    </row>
    <row r="82" spans="2:18" ht="15" hidden="1" thickTop="1">
      <c r="B82" s="269">
        <v>46189</v>
      </c>
      <c r="C82" s="268" t="s">
        <v>263</v>
      </c>
      <c r="D82" s="274">
        <f>IFERROR(VLOOKUP(C82,'Data Lokasi'!C:D,2,0),"")</f>
        <v>7.7</v>
      </c>
      <c r="E82" s="274" t="s">
        <v>2642</v>
      </c>
      <c r="F82" s="274"/>
      <c r="G82" s="274"/>
      <c r="H82" s="274"/>
      <c r="I82" s="274">
        <v>0.34</v>
      </c>
      <c r="J82" s="456">
        <f t="shared" si="4"/>
        <v>0.34</v>
      </c>
      <c r="K82" s="583"/>
      <c r="L82" s="268" t="s">
        <v>2625</v>
      </c>
      <c r="M82" s="268" t="s">
        <v>2634</v>
      </c>
      <c r="N82" s="278">
        <f>IFERROR(INDEX('Data Lokasi'!S:S,MATCH('Input Real Tanam&amp;Petik Nanas'!C82,'Data Lokasi'!C:C,0)),"")</f>
        <v>44079</v>
      </c>
      <c r="O82" s="278"/>
      <c r="P82" s="283">
        <f>IFERROR(INDEX('Data Lokasi'!V:V,MATCH(C82,'Data Lokasi'!C:C,0)),"")</f>
        <v>0</v>
      </c>
      <c r="Q82" s="304">
        <f t="shared" si="3"/>
        <v>0</v>
      </c>
      <c r="R82" s="308"/>
    </row>
    <row r="83" spans="2:18" ht="15" hidden="1" thickTop="1">
      <c r="B83" s="269">
        <v>46189</v>
      </c>
      <c r="C83" s="268" t="s">
        <v>286</v>
      </c>
      <c r="D83" s="274">
        <f>IFERROR(VLOOKUP(C83,'Data Lokasi'!C:D,2,0),"")</f>
        <v>8.33</v>
      </c>
      <c r="E83" s="274" t="s">
        <v>2642</v>
      </c>
      <c r="F83" s="274"/>
      <c r="G83" s="274"/>
      <c r="H83" s="274"/>
      <c r="I83" s="274">
        <v>1.39</v>
      </c>
      <c r="J83" s="456">
        <f t="shared" si="4"/>
        <v>1.39</v>
      </c>
      <c r="K83" s="583"/>
      <c r="L83" s="268" t="s">
        <v>2625</v>
      </c>
      <c r="M83" s="268" t="s">
        <v>2634</v>
      </c>
      <c r="N83" s="278">
        <f>IFERROR(INDEX('Data Lokasi'!S:S,MATCH('Input Real Tanam&amp;Petik Nanas'!C83,'Data Lokasi'!C:C,0)),"")</f>
        <v>44125</v>
      </c>
      <c r="O83" s="278"/>
      <c r="P83" s="283">
        <f>IFERROR(INDEX('Data Lokasi'!V:V,MATCH(C83,'Data Lokasi'!C:C,0)),"")</f>
        <v>0</v>
      </c>
      <c r="Q83" s="304">
        <f t="shared" si="3"/>
        <v>0</v>
      </c>
      <c r="R83" s="308"/>
    </row>
    <row r="84" spans="2:18" ht="15" hidden="1" thickTop="1">
      <c r="B84" s="269">
        <v>46189</v>
      </c>
      <c r="C84" s="268" t="s">
        <v>366</v>
      </c>
      <c r="D84" s="274">
        <f>IFERROR(VLOOKUP(C84,'Data Lokasi'!C:D,2,0),"")</f>
        <v>5.88</v>
      </c>
      <c r="E84" s="274" t="s">
        <v>2642</v>
      </c>
      <c r="F84" s="274"/>
      <c r="G84" s="274">
        <v>0.03</v>
      </c>
      <c r="H84" s="274">
        <v>0.17</v>
      </c>
      <c r="I84" s="274"/>
      <c r="J84" s="456">
        <f t="shared" si="4"/>
        <v>0.2</v>
      </c>
      <c r="K84" s="583"/>
      <c r="L84" s="268" t="s">
        <v>719</v>
      </c>
      <c r="M84" s="268" t="s">
        <v>2634</v>
      </c>
      <c r="N84" s="278">
        <f>IFERROR(INDEX('Data Lokasi'!S:S,MATCH('Input Real Tanam&amp;Petik Nanas'!C84,'Data Lokasi'!C:C,0)),"")</f>
        <v>44300</v>
      </c>
      <c r="O84" s="278"/>
      <c r="P84" s="283">
        <f>IFERROR(INDEX('Data Lokasi'!V:V,MATCH(C84,'Data Lokasi'!C:C,0)),"")</f>
        <v>0</v>
      </c>
      <c r="Q84" s="304">
        <f t="shared" si="3"/>
        <v>0</v>
      </c>
      <c r="R84" s="308"/>
    </row>
    <row r="85" spans="2:18" ht="15" hidden="1" thickTop="1">
      <c r="B85" s="269">
        <v>46189</v>
      </c>
      <c r="C85" s="268" t="s">
        <v>229</v>
      </c>
      <c r="D85" s="274">
        <f>IFERROR(VLOOKUP(C85,'Data Lokasi'!C:D,2,0),"")</f>
        <v>6.97</v>
      </c>
      <c r="E85" s="274" t="s">
        <v>2642</v>
      </c>
      <c r="F85" s="274"/>
      <c r="G85" s="274"/>
      <c r="H85" s="274"/>
      <c r="I85" s="274">
        <v>1.1499999999999999</v>
      </c>
      <c r="J85" s="456">
        <f t="shared" si="4"/>
        <v>1.1499999999999999</v>
      </c>
      <c r="K85" s="583"/>
      <c r="L85" s="268" t="s">
        <v>2625</v>
      </c>
      <c r="M85" s="268" t="s">
        <v>2634</v>
      </c>
      <c r="N85" s="278">
        <f>IFERROR(INDEX('Data Lokasi'!S:S,MATCH('Input Real Tanam&amp;Petik Nanas'!C85,'Data Lokasi'!C:C,0)),"")</f>
        <v>44020</v>
      </c>
      <c r="O85" s="278"/>
      <c r="P85" s="283">
        <f>IFERROR(INDEX('Data Lokasi'!V:V,MATCH(C85,'Data Lokasi'!C:C,0)),"")</f>
        <v>0</v>
      </c>
      <c r="Q85" s="304">
        <f t="shared" si="3"/>
        <v>0</v>
      </c>
      <c r="R85" s="308"/>
    </row>
    <row r="86" spans="2:18" ht="15" hidden="1" thickTop="1">
      <c r="B86" s="269">
        <v>46189</v>
      </c>
      <c r="C86" s="268" t="s">
        <v>641</v>
      </c>
      <c r="D86" s="274">
        <f>IFERROR(VLOOKUP(C86,'Data Lokasi'!C:D,2,0),"")</f>
        <v>6.35</v>
      </c>
      <c r="E86" s="274" t="s">
        <v>2642</v>
      </c>
      <c r="F86" s="274"/>
      <c r="G86" s="274"/>
      <c r="H86" s="274"/>
      <c r="I86" s="274">
        <v>0.03</v>
      </c>
      <c r="J86" s="456">
        <f t="shared" si="4"/>
        <v>0.03</v>
      </c>
      <c r="K86" s="583"/>
      <c r="L86" s="268" t="s">
        <v>719</v>
      </c>
      <c r="M86" s="268" t="s">
        <v>2634</v>
      </c>
      <c r="N86" s="278">
        <f>IFERROR(INDEX('Data Lokasi'!S:S,MATCH('Input Real Tanam&amp;Petik Nanas'!C86,'Data Lokasi'!C:C,0)),"")</f>
        <v>44931</v>
      </c>
      <c r="O86" s="278"/>
      <c r="P86" s="283">
        <f>IFERROR(INDEX('Data Lokasi'!V:V,MATCH(C86,'Data Lokasi'!C:C,0)),"")</f>
        <v>0</v>
      </c>
      <c r="Q86" s="304">
        <f t="shared" si="3"/>
        <v>0</v>
      </c>
      <c r="R86" s="308"/>
    </row>
    <row r="87" spans="2:18" ht="15" hidden="1" thickTop="1">
      <c r="B87" s="269">
        <v>46189</v>
      </c>
      <c r="C87" s="268" t="s">
        <v>689</v>
      </c>
      <c r="D87" s="274">
        <f>IFERROR(VLOOKUP(C87,'Data Lokasi'!C:D,2,0),"")</f>
        <v>7.2</v>
      </c>
      <c r="E87" s="274" t="s">
        <v>2642</v>
      </c>
      <c r="F87" s="274"/>
      <c r="G87" s="274"/>
      <c r="H87" s="274"/>
      <c r="I87" s="274">
        <v>0.15</v>
      </c>
      <c r="J87" s="456">
        <f t="shared" si="4"/>
        <v>0.15</v>
      </c>
      <c r="K87" s="583"/>
      <c r="L87" s="268" t="s">
        <v>2625</v>
      </c>
      <c r="M87" s="268" t="s">
        <v>2631</v>
      </c>
      <c r="N87" s="278">
        <f>IFERROR(INDEX('Data Lokasi'!S:S,MATCH('Input Real Tanam&amp;Petik Nanas'!C87,'Data Lokasi'!C:C,0)),"")</f>
        <v>45132</v>
      </c>
      <c r="O87" s="278"/>
      <c r="P87" s="283">
        <f>IFERROR(INDEX('Data Lokasi'!V:V,MATCH(C87,'Data Lokasi'!C:C,0)),"")</f>
        <v>0</v>
      </c>
      <c r="Q87" s="304">
        <f t="shared" si="3"/>
        <v>0</v>
      </c>
      <c r="R87" s="308"/>
    </row>
    <row r="88" spans="2:18" ht="15" hidden="1" thickTop="1">
      <c r="B88" s="269">
        <v>46189</v>
      </c>
      <c r="C88" s="268" t="s">
        <v>2420</v>
      </c>
      <c r="D88" s="274">
        <f>IFERROR(VLOOKUP(C88,'Data Lokasi'!C:D,2,0),"")</f>
        <v>7.19</v>
      </c>
      <c r="E88" s="274" t="s">
        <v>2642</v>
      </c>
      <c r="F88" s="274"/>
      <c r="G88" s="274"/>
      <c r="H88" s="274">
        <v>0.15</v>
      </c>
      <c r="I88" s="274"/>
      <c r="J88" s="456">
        <f t="shared" si="4"/>
        <v>0.15</v>
      </c>
      <c r="K88" s="583"/>
      <c r="L88" s="268" t="s">
        <v>719</v>
      </c>
      <c r="M88" s="268" t="s">
        <v>2631</v>
      </c>
      <c r="N88" s="278">
        <f>IFERROR(INDEX('Data Lokasi'!S:S,MATCH('Input Real Tanam&amp;Petik Nanas'!C88,'Data Lokasi'!C:C,0)),"")</f>
        <v>46177</v>
      </c>
      <c r="O88" s="278"/>
      <c r="P88" s="283">
        <f>IFERROR(INDEX('Data Lokasi'!V:V,MATCH(C88,'Data Lokasi'!C:C,0)),"")</f>
        <v>0</v>
      </c>
      <c r="Q88" s="304">
        <f t="shared" si="3"/>
        <v>0</v>
      </c>
      <c r="R88" s="308"/>
    </row>
    <row r="89" spans="2:18" ht="15" hidden="1" thickTop="1">
      <c r="B89" s="269">
        <v>46189</v>
      </c>
      <c r="C89" s="268" t="s">
        <v>652</v>
      </c>
      <c r="D89" s="274">
        <f>IFERROR(VLOOKUP(C89,'Data Lokasi'!C:D,2,0),"")</f>
        <v>5.0599999999999996</v>
      </c>
      <c r="E89" s="274" t="s">
        <v>2642</v>
      </c>
      <c r="F89" s="274"/>
      <c r="G89" s="274"/>
      <c r="H89" s="274"/>
      <c r="I89" s="274">
        <v>0.06</v>
      </c>
      <c r="J89" s="456">
        <f t="shared" si="4"/>
        <v>0.06</v>
      </c>
      <c r="K89" s="583"/>
      <c r="L89" s="268" t="s">
        <v>2625</v>
      </c>
      <c r="M89" s="268" t="s">
        <v>2631</v>
      </c>
      <c r="N89" s="278">
        <f>IFERROR(INDEX('Data Lokasi'!S:S,MATCH('Input Real Tanam&amp;Petik Nanas'!C89,'Data Lokasi'!C:C,0)),"")</f>
        <v>45002</v>
      </c>
      <c r="O89" s="278"/>
      <c r="P89" s="283">
        <f>IFERROR(INDEX('Data Lokasi'!V:V,MATCH(C89,'Data Lokasi'!C:C,0)),"")</f>
        <v>0</v>
      </c>
      <c r="Q89" s="304">
        <f t="shared" si="3"/>
        <v>0</v>
      </c>
      <c r="R89" s="308"/>
    </row>
    <row r="90" spans="2:18" ht="15" hidden="1" thickTop="1">
      <c r="B90" s="269">
        <v>46189</v>
      </c>
      <c r="C90" s="268" t="s">
        <v>678</v>
      </c>
      <c r="D90" s="274">
        <f>IFERROR(VLOOKUP(C90,'Data Lokasi'!C:D,2,0),"")</f>
        <v>7.7</v>
      </c>
      <c r="E90" s="274" t="s">
        <v>2642</v>
      </c>
      <c r="F90" s="274"/>
      <c r="G90" s="274"/>
      <c r="H90" s="274">
        <v>0.14000000000000001</v>
      </c>
      <c r="I90" s="274"/>
      <c r="J90" s="456">
        <f t="shared" si="4"/>
        <v>0.14000000000000001</v>
      </c>
      <c r="K90" s="583"/>
      <c r="L90" s="268" t="s">
        <v>719</v>
      </c>
      <c r="M90" s="268" t="s">
        <v>2631</v>
      </c>
      <c r="N90" s="278">
        <f>IFERROR(INDEX('Data Lokasi'!S:S,MATCH('Input Real Tanam&amp;Petik Nanas'!C90,'Data Lokasi'!C:C,0)),"")</f>
        <v>45083</v>
      </c>
      <c r="O90" s="278"/>
      <c r="P90" s="283">
        <f>IFERROR(INDEX('Data Lokasi'!V:V,MATCH(C90,'Data Lokasi'!C:C,0)),"")</f>
        <v>0</v>
      </c>
      <c r="Q90" s="304">
        <f t="shared" si="3"/>
        <v>0</v>
      </c>
      <c r="R90" s="308"/>
    </row>
    <row r="91" spans="2:18" ht="15" hidden="1" thickTop="1">
      <c r="B91" s="269">
        <v>46189</v>
      </c>
      <c r="C91" s="268" t="s">
        <v>682</v>
      </c>
      <c r="D91" s="274">
        <f>IFERROR(VLOOKUP(C91,'Data Lokasi'!C:D,2,0),"")</f>
        <v>6.22</v>
      </c>
      <c r="E91" s="274" t="s">
        <v>2642</v>
      </c>
      <c r="F91" s="274"/>
      <c r="G91" s="274"/>
      <c r="H91" s="274"/>
      <c r="I91" s="274">
        <v>0.22</v>
      </c>
      <c r="J91" s="456">
        <f t="shared" si="4"/>
        <v>0.22</v>
      </c>
      <c r="K91" s="583"/>
      <c r="L91" s="268" t="s">
        <v>2625</v>
      </c>
      <c r="M91" s="268" t="s">
        <v>2631</v>
      </c>
      <c r="N91" s="278">
        <f>IFERROR(INDEX('Data Lokasi'!S:S,MATCH('Input Real Tanam&amp;Petik Nanas'!C91,'Data Lokasi'!C:C,0)),"")</f>
        <v>45092</v>
      </c>
      <c r="O91" s="278"/>
      <c r="P91" s="283">
        <f>IFERROR(INDEX('Data Lokasi'!V:V,MATCH(C91,'Data Lokasi'!C:C,0)),"")</f>
        <v>0</v>
      </c>
      <c r="Q91" s="304">
        <f t="shared" si="3"/>
        <v>0</v>
      </c>
      <c r="R91" s="308"/>
    </row>
    <row r="92" spans="2:18" ht="15" hidden="1" thickTop="1">
      <c r="B92" s="269">
        <v>46189</v>
      </c>
      <c r="C92" s="268" t="s">
        <v>286</v>
      </c>
      <c r="D92" s="274">
        <f>IFERROR(VLOOKUP(C92,'Data Lokasi'!C:D,2,0),"")</f>
        <v>8.33</v>
      </c>
      <c r="E92" s="274" t="s">
        <v>2642</v>
      </c>
      <c r="F92" s="274"/>
      <c r="G92" s="274"/>
      <c r="H92" s="274"/>
      <c r="I92" s="274">
        <f>1+1.28</f>
        <v>2.2800000000000002</v>
      </c>
      <c r="J92" s="456">
        <f t="shared" si="4"/>
        <v>2.2800000000000002</v>
      </c>
      <c r="K92" s="583"/>
      <c r="L92" s="268" t="s">
        <v>2625</v>
      </c>
      <c r="M92" s="268" t="s">
        <v>2631</v>
      </c>
      <c r="N92" s="278">
        <f>IFERROR(INDEX('Data Lokasi'!S:S,MATCH('Input Real Tanam&amp;Petik Nanas'!C92,'Data Lokasi'!C:C,0)),"")</f>
        <v>44125</v>
      </c>
      <c r="O92" s="278"/>
      <c r="P92" s="283">
        <f>IFERROR(INDEX('Data Lokasi'!V:V,MATCH(C92,'Data Lokasi'!C:C,0)),"")</f>
        <v>0</v>
      </c>
      <c r="Q92" s="304">
        <f t="shared" si="3"/>
        <v>0</v>
      </c>
      <c r="R92" s="308"/>
    </row>
    <row r="93" spans="2:18" ht="15" hidden="1" thickTop="1">
      <c r="B93" s="269">
        <v>46189</v>
      </c>
      <c r="C93" s="268" t="s">
        <v>441</v>
      </c>
      <c r="D93" s="274">
        <f>IFERROR(VLOOKUP(C93,'Data Lokasi'!C:D,2,0),"")</f>
        <v>11.2</v>
      </c>
      <c r="E93" s="274" t="s">
        <v>2643</v>
      </c>
      <c r="F93" s="274"/>
      <c r="G93" s="274">
        <f>0.18+0.28+0.3</f>
        <v>0.76</v>
      </c>
      <c r="H93" s="274">
        <f>0.2+0.08</f>
        <v>0.28000000000000003</v>
      </c>
      <c r="I93" s="274"/>
      <c r="J93" s="456">
        <f t="shared" si="4"/>
        <v>1.04</v>
      </c>
      <c r="K93" s="583"/>
      <c r="L93" s="268" t="s">
        <v>719</v>
      </c>
      <c r="M93" s="268" t="s">
        <v>2631</v>
      </c>
      <c r="N93" s="278">
        <f>IFERROR(INDEX('Data Lokasi'!S:S,MATCH('Input Real Tanam&amp;Petik Nanas'!C93,'Data Lokasi'!C:C,0)),"")</f>
        <v>44429</v>
      </c>
      <c r="O93" s="278"/>
      <c r="P93" s="283">
        <f>IFERROR(INDEX('Data Lokasi'!V:V,MATCH(C93,'Data Lokasi'!C:C,0)),"")</f>
        <v>0</v>
      </c>
      <c r="Q93" s="304">
        <f t="shared" si="3"/>
        <v>0</v>
      </c>
      <c r="R93" s="308">
        <v>2</v>
      </c>
    </row>
    <row r="94" spans="2:18" ht="15" hidden="1" thickTop="1">
      <c r="B94" s="269">
        <v>46190</v>
      </c>
      <c r="C94" s="268" t="s">
        <v>409</v>
      </c>
      <c r="D94" s="274">
        <f>IFERROR(VLOOKUP(C94,'Data Lokasi'!C:D,2,0),"")</f>
        <v>8.83</v>
      </c>
      <c r="E94" s="274" t="s">
        <v>2643</v>
      </c>
      <c r="F94" s="274"/>
      <c r="G94" s="274">
        <v>0.04</v>
      </c>
      <c r="H94" s="274">
        <f>0.09+0.15</f>
        <v>0.24</v>
      </c>
      <c r="I94" s="274"/>
      <c r="J94" s="456">
        <f t="shared" si="4"/>
        <v>0.27999999999999997</v>
      </c>
      <c r="K94" s="583"/>
      <c r="L94" s="268" t="s">
        <v>719</v>
      </c>
      <c r="M94" s="268" t="s">
        <v>2634</v>
      </c>
      <c r="N94" s="278">
        <f>IFERROR(INDEX('Data Lokasi'!S:S,MATCH('Input Real Tanam&amp;Petik Nanas'!C94,'Data Lokasi'!C:C,0)),"")</f>
        <v>44365</v>
      </c>
      <c r="O94" s="278"/>
      <c r="P94" s="283">
        <f>IFERROR(INDEX('Data Lokasi'!V:V,MATCH(C94,'Data Lokasi'!C:C,0)),"")</f>
        <v>0</v>
      </c>
      <c r="Q94" s="304">
        <f t="shared" si="3"/>
        <v>0</v>
      </c>
      <c r="R94" s="308">
        <v>4</v>
      </c>
    </row>
    <row r="95" spans="2:18" ht="15" hidden="1" thickTop="1">
      <c r="B95" s="269">
        <v>46190</v>
      </c>
      <c r="C95" s="268" t="s">
        <v>381</v>
      </c>
      <c r="D95" s="274">
        <f>IFERROR(VLOOKUP(C95,'Data Lokasi'!C:D,2,0),"")</f>
        <v>8.18</v>
      </c>
      <c r="E95" s="274" t="s">
        <v>2643</v>
      </c>
      <c r="F95" s="274"/>
      <c r="G95" s="274">
        <v>7.0000000000000007E-2</v>
      </c>
      <c r="H95" s="274">
        <f>0.18+0.34</f>
        <v>0.52</v>
      </c>
      <c r="I95" s="274"/>
      <c r="J95" s="456">
        <f t="shared" si="4"/>
        <v>0.59000000000000008</v>
      </c>
      <c r="K95" s="583"/>
      <c r="L95" s="268" t="s">
        <v>719</v>
      </c>
      <c r="M95" s="268" t="s">
        <v>2634</v>
      </c>
      <c r="N95" s="278">
        <f>IFERROR(INDEX('Data Lokasi'!S:S,MATCH('Input Real Tanam&amp;Petik Nanas'!C95,'Data Lokasi'!C:C,0)),"")</f>
        <v>44335</v>
      </c>
      <c r="O95" s="278"/>
      <c r="P95" s="283">
        <f>IFERROR(INDEX('Data Lokasi'!V:V,MATCH(C95,'Data Lokasi'!C:C,0)),"")</f>
        <v>0</v>
      </c>
      <c r="Q95" s="304">
        <f t="shared" si="3"/>
        <v>0</v>
      </c>
      <c r="R95" s="308">
        <v>4</v>
      </c>
    </row>
    <row r="96" spans="2:18" ht="15" hidden="1" thickTop="1">
      <c r="B96" s="269">
        <v>46190</v>
      </c>
      <c r="C96" s="268" t="s">
        <v>2438</v>
      </c>
      <c r="D96" s="274">
        <f>IFERROR(VLOOKUP(C96,'Data Lokasi'!C:D,2,0),"")</f>
        <v>6.34</v>
      </c>
      <c r="E96" s="274" t="s">
        <v>2643</v>
      </c>
      <c r="F96" s="274"/>
      <c r="G96" s="274"/>
      <c r="H96" s="274"/>
      <c r="I96" s="274">
        <v>2.85</v>
      </c>
      <c r="J96" s="456">
        <f t="shared" si="4"/>
        <v>2.85</v>
      </c>
      <c r="K96" s="583"/>
      <c r="L96" s="268" t="s">
        <v>2625</v>
      </c>
      <c r="M96" s="268" t="s">
        <v>2631</v>
      </c>
      <c r="N96" s="278">
        <f>IFERROR(INDEX('Data Lokasi'!S:S,MATCH('Input Real Tanam&amp;Petik Nanas'!C96,'Data Lokasi'!C:C,0)),"")</f>
        <v>45672</v>
      </c>
      <c r="O96" s="278"/>
      <c r="P96" s="283">
        <f>IFERROR(INDEX('Data Lokasi'!V:V,MATCH(C96,'Data Lokasi'!C:C,0)),"")</f>
        <v>0</v>
      </c>
      <c r="Q96" s="304">
        <f t="shared" si="3"/>
        <v>0</v>
      </c>
      <c r="R96" s="308"/>
    </row>
    <row r="97" spans="2:18" ht="15" hidden="1" thickTop="1">
      <c r="B97" s="269">
        <v>46190</v>
      </c>
      <c r="C97" s="268" t="s">
        <v>441</v>
      </c>
      <c r="D97" s="274">
        <f>IFERROR(VLOOKUP(C97,'Data Lokasi'!C:D,2,0),"")</f>
        <v>11.2</v>
      </c>
      <c r="E97" s="274" t="s">
        <v>2643</v>
      </c>
      <c r="F97" s="274"/>
      <c r="G97" s="274">
        <v>0.13</v>
      </c>
      <c r="H97" s="274">
        <v>0.06</v>
      </c>
      <c r="I97" s="274"/>
      <c r="J97" s="456">
        <f t="shared" si="4"/>
        <v>0.19</v>
      </c>
      <c r="K97" s="583"/>
      <c r="L97" s="268" t="s">
        <v>719</v>
      </c>
      <c r="M97" s="268" t="s">
        <v>2631</v>
      </c>
      <c r="N97" s="278">
        <f>IFERROR(INDEX('Data Lokasi'!S:S,MATCH('Input Real Tanam&amp;Petik Nanas'!C97,'Data Lokasi'!C:C,0)),"")</f>
        <v>44429</v>
      </c>
      <c r="O97" s="278"/>
      <c r="P97" s="283">
        <f>IFERROR(INDEX('Data Lokasi'!V:V,MATCH(C97,'Data Lokasi'!C:C,0)),"")</f>
        <v>0</v>
      </c>
      <c r="Q97" s="304">
        <f t="shared" si="3"/>
        <v>0</v>
      </c>
      <c r="R97" s="308">
        <v>2</v>
      </c>
    </row>
    <row r="98" spans="2:18" ht="15" hidden="1" thickTop="1">
      <c r="B98" s="269">
        <v>46190</v>
      </c>
      <c r="C98" s="268" t="s">
        <v>502</v>
      </c>
      <c r="D98" s="274">
        <f>IFERROR(VLOOKUP(C98,'Data Lokasi'!C:D,2,0),"")</f>
        <v>9.93</v>
      </c>
      <c r="E98" s="274" t="s">
        <v>2643</v>
      </c>
      <c r="F98" s="274"/>
      <c r="G98" s="274"/>
      <c r="H98" s="274"/>
      <c r="I98" s="274">
        <v>1.41</v>
      </c>
      <c r="J98" s="456">
        <f t="shared" si="4"/>
        <v>1.41</v>
      </c>
      <c r="K98" s="583"/>
      <c r="L98" s="268" t="s">
        <v>2625</v>
      </c>
      <c r="M98" s="268" t="s">
        <v>2631</v>
      </c>
      <c r="N98" s="278">
        <f>IFERROR(INDEX('Data Lokasi'!S:S,MATCH('Input Real Tanam&amp;Petik Nanas'!C98,'Data Lokasi'!C:C,0)),"")</f>
        <v>44574</v>
      </c>
      <c r="O98" s="278"/>
      <c r="P98" s="283">
        <f>IFERROR(INDEX('Data Lokasi'!V:V,MATCH(C98,'Data Lokasi'!C:C,0)),"")</f>
        <v>0</v>
      </c>
      <c r="Q98" s="304">
        <f t="shared" si="3"/>
        <v>0</v>
      </c>
      <c r="R98" s="308"/>
    </row>
    <row r="99" spans="2:18" ht="15" hidden="1" thickTop="1">
      <c r="B99" s="269">
        <v>46190</v>
      </c>
      <c r="C99" s="268" t="s">
        <v>691</v>
      </c>
      <c r="D99" s="274">
        <f>IFERROR(VLOOKUP(C99,'Data Lokasi'!C:D,2,0),"")</f>
        <v>6.77</v>
      </c>
      <c r="E99" s="274" t="s">
        <v>2642</v>
      </c>
      <c r="F99" s="274"/>
      <c r="G99" s="274"/>
      <c r="H99" s="274"/>
      <c r="I99" s="274">
        <v>0.06</v>
      </c>
      <c r="J99" s="456">
        <f t="shared" si="4"/>
        <v>0.06</v>
      </c>
      <c r="K99" s="583"/>
      <c r="L99" s="268" t="s">
        <v>2625</v>
      </c>
      <c r="M99" s="268" t="s">
        <v>2631</v>
      </c>
      <c r="N99" s="278">
        <f>IFERROR(INDEX('Data Lokasi'!S:S,MATCH('Input Real Tanam&amp;Petik Nanas'!C99,'Data Lokasi'!C:C,0)),"")</f>
        <v>44934</v>
      </c>
      <c r="O99" s="278"/>
      <c r="P99" s="283">
        <f>IFERROR(INDEX('Data Lokasi'!V:V,MATCH(C99,'Data Lokasi'!C:C,0)),"")</f>
        <v>0</v>
      </c>
      <c r="Q99" s="304">
        <f t="shared" si="3"/>
        <v>0</v>
      </c>
      <c r="R99" s="308"/>
    </row>
    <row r="100" spans="2:18" ht="15" hidden="1" thickTop="1">
      <c r="B100" s="269">
        <v>46190</v>
      </c>
      <c r="C100" s="268" t="s">
        <v>689</v>
      </c>
      <c r="D100" s="274">
        <f>IFERROR(VLOOKUP(C100,'Data Lokasi'!C:D,2,0),"")</f>
        <v>7.2</v>
      </c>
      <c r="E100" s="274" t="s">
        <v>2642</v>
      </c>
      <c r="F100" s="274"/>
      <c r="G100" s="274"/>
      <c r="H100" s="274"/>
      <c r="I100" s="274">
        <v>0.23</v>
      </c>
      <c r="J100" s="456">
        <f t="shared" si="4"/>
        <v>0.23</v>
      </c>
      <c r="K100" s="583"/>
      <c r="L100" s="268" t="s">
        <v>2625</v>
      </c>
      <c r="M100" s="268" t="s">
        <v>2631</v>
      </c>
      <c r="N100" s="278">
        <f>IFERROR(INDEX('Data Lokasi'!S:S,MATCH('Input Real Tanam&amp;Petik Nanas'!C100,'Data Lokasi'!C:C,0)),"")</f>
        <v>45132</v>
      </c>
      <c r="O100" s="278"/>
      <c r="P100" s="283">
        <f>IFERROR(INDEX('Data Lokasi'!V:V,MATCH(C100,'Data Lokasi'!C:C,0)),"")</f>
        <v>0</v>
      </c>
      <c r="Q100" s="304">
        <f t="shared" si="3"/>
        <v>0</v>
      </c>
      <c r="R100" s="308"/>
    </row>
    <row r="101" spans="2:18" ht="15" hidden="1" thickTop="1">
      <c r="B101" s="269">
        <v>46190</v>
      </c>
      <c r="C101" s="268" t="s">
        <v>212</v>
      </c>
      <c r="D101" s="274">
        <f>IFERROR(VLOOKUP(C101,'Data Lokasi'!C:D,2,0),"")</f>
        <v>8.39</v>
      </c>
      <c r="E101" s="274" t="s">
        <v>2642</v>
      </c>
      <c r="F101" s="274"/>
      <c r="G101" s="274"/>
      <c r="H101" s="274"/>
      <c r="I101" s="274">
        <v>0.09</v>
      </c>
      <c r="J101" s="456">
        <f t="shared" si="4"/>
        <v>0.09</v>
      </c>
      <c r="K101" s="583"/>
      <c r="L101" s="268" t="s">
        <v>719</v>
      </c>
      <c r="M101" s="268" t="s">
        <v>2631</v>
      </c>
      <c r="N101" s="278">
        <f>IFERROR(INDEX('Data Lokasi'!S:S,MATCH('Input Real Tanam&amp;Petik Nanas'!C101,'Data Lokasi'!C:C,0)),"")</f>
        <v>43988</v>
      </c>
      <c r="O101" s="278"/>
      <c r="P101" s="283">
        <f>IFERROR(INDEX('Data Lokasi'!V:V,MATCH(C101,'Data Lokasi'!C:C,0)),"")</f>
        <v>0</v>
      </c>
      <c r="Q101" s="304">
        <f t="shared" si="3"/>
        <v>0</v>
      </c>
      <c r="R101" s="308"/>
    </row>
    <row r="102" spans="2:18" ht="15" hidden="1" thickTop="1">
      <c r="B102" s="269">
        <v>46190</v>
      </c>
      <c r="C102" s="268" t="s">
        <v>658</v>
      </c>
      <c r="D102" s="274">
        <f>IFERROR(VLOOKUP(C102,'Data Lokasi'!C:D,2,0),"")</f>
        <v>7.35</v>
      </c>
      <c r="E102" s="274" t="s">
        <v>2642</v>
      </c>
      <c r="F102" s="274"/>
      <c r="G102" s="274"/>
      <c r="H102" s="274"/>
      <c r="I102" s="274">
        <v>0.08</v>
      </c>
      <c r="J102" s="456">
        <f t="shared" si="4"/>
        <v>0.08</v>
      </c>
      <c r="K102" s="583"/>
      <c r="L102" s="268" t="s">
        <v>2625</v>
      </c>
      <c r="M102" s="268" t="s">
        <v>2631</v>
      </c>
      <c r="N102" s="278">
        <f>IFERROR(INDEX('Data Lokasi'!S:S,MATCH('Input Real Tanam&amp;Petik Nanas'!C102,'Data Lokasi'!C:C,0)),"")</f>
        <v>44995</v>
      </c>
      <c r="O102" s="278"/>
      <c r="P102" s="283">
        <f>IFERROR(INDEX('Data Lokasi'!V:V,MATCH(C102,'Data Lokasi'!C:C,0)),"")</f>
        <v>0</v>
      </c>
      <c r="Q102" s="304">
        <f t="shared" si="3"/>
        <v>0</v>
      </c>
      <c r="R102" s="308"/>
    </row>
    <row r="103" spans="2:18" ht="15" hidden="1" thickTop="1">
      <c r="B103" s="269">
        <v>46190</v>
      </c>
      <c r="C103" s="268" t="s">
        <v>678</v>
      </c>
      <c r="D103" s="274">
        <f>IFERROR(VLOOKUP(C103,'Data Lokasi'!C:D,2,0),"")</f>
        <v>7.7</v>
      </c>
      <c r="E103" s="274" t="s">
        <v>2642</v>
      </c>
      <c r="F103" s="274"/>
      <c r="G103" s="274"/>
      <c r="H103" s="274">
        <v>0.08</v>
      </c>
      <c r="I103" s="274"/>
      <c r="J103" s="456">
        <f t="shared" si="4"/>
        <v>0.08</v>
      </c>
      <c r="K103" s="583"/>
      <c r="L103" s="268" t="s">
        <v>719</v>
      </c>
      <c r="M103" s="268" t="s">
        <v>2631</v>
      </c>
      <c r="N103" s="278">
        <f>IFERROR(INDEX('Data Lokasi'!S:S,MATCH('Input Real Tanam&amp;Petik Nanas'!C103,'Data Lokasi'!C:C,0)),"")</f>
        <v>45083</v>
      </c>
      <c r="O103" s="278"/>
      <c r="P103" s="283">
        <f>IFERROR(INDEX('Data Lokasi'!V:V,MATCH(C103,'Data Lokasi'!C:C,0)),"")</f>
        <v>0</v>
      </c>
      <c r="Q103" s="304">
        <f t="shared" si="3"/>
        <v>0</v>
      </c>
      <c r="R103" s="308"/>
    </row>
    <row r="104" spans="2:18" ht="15" hidden="1" thickTop="1">
      <c r="B104" s="269">
        <v>46190</v>
      </c>
      <c r="C104" s="268" t="s">
        <v>348</v>
      </c>
      <c r="D104" s="274">
        <f>IFERROR(VLOOKUP(C104,'Data Lokasi'!C:D,2,0),"")</f>
        <v>7.28</v>
      </c>
      <c r="E104" s="274" t="s">
        <v>2642</v>
      </c>
      <c r="F104" s="274"/>
      <c r="G104" s="274">
        <v>0.09</v>
      </c>
      <c r="H104" s="274"/>
      <c r="I104" s="274"/>
      <c r="J104" s="456">
        <f t="shared" si="4"/>
        <v>0.09</v>
      </c>
      <c r="K104" s="583"/>
      <c r="L104" s="268" t="s">
        <v>719</v>
      </c>
      <c r="M104" s="268" t="s">
        <v>2631</v>
      </c>
      <c r="N104" s="278">
        <f>IFERROR(INDEX('Data Lokasi'!S:S,MATCH('Input Real Tanam&amp;Petik Nanas'!C104,'Data Lokasi'!C:C,0)),"")</f>
        <v>44273</v>
      </c>
      <c r="O104" s="278"/>
      <c r="P104" s="283">
        <f>IFERROR(INDEX('Data Lokasi'!V:V,MATCH(C104,'Data Lokasi'!C:C,0)),"")</f>
        <v>0</v>
      </c>
      <c r="Q104" s="304">
        <f t="shared" ref="Q104:Q135" si="5">IF(ISERROR(P104/D104),"",(P104/D104))</f>
        <v>0</v>
      </c>
      <c r="R104" s="308"/>
    </row>
    <row r="105" spans="2:18" ht="15" hidden="1" thickTop="1">
      <c r="B105" s="269">
        <v>46190</v>
      </c>
      <c r="C105" s="268" t="s">
        <v>702</v>
      </c>
      <c r="D105" s="274">
        <f>IFERROR(VLOOKUP(C105,'Data Lokasi'!C:D,2,0),"")</f>
        <v>4.7</v>
      </c>
      <c r="E105" s="274" t="s">
        <v>2642</v>
      </c>
      <c r="F105" s="274"/>
      <c r="G105" s="274"/>
      <c r="H105" s="274"/>
      <c r="I105" s="274">
        <v>0.09</v>
      </c>
      <c r="J105" s="456">
        <f t="shared" si="4"/>
        <v>0.09</v>
      </c>
      <c r="K105" s="583"/>
      <c r="L105" s="268" t="s">
        <v>2625</v>
      </c>
      <c r="M105" s="268" t="s">
        <v>2631</v>
      </c>
      <c r="N105" s="278">
        <f>IFERROR(INDEX('Data Lokasi'!S:S,MATCH('Input Real Tanam&amp;Petik Nanas'!C105,'Data Lokasi'!C:C,0)),"")</f>
        <v>45190</v>
      </c>
      <c r="O105" s="278"/>
      <c r="P105" s="283">
        <f>IFERROR(INDEX('Data Lokasi'!V:V,MATCH(C105,'Data Lokasi'!C:C,0)),"")</f>
        <v>0</v>
      </c>
      <c r="Q105" s="304">
        <f t="shared" si="5"/>
        <v>0</v>
      </c>
      <c r="R105" s="308"/>
    </row>
    <row r="106" spans="2:18" ht="15" hidden="1" thickTop="1">
      <c r="B106" s="269">
        <v>46190</v>
      </c>
      <c r="C106" s="268" t="s">
        <v>182</v>
      </c>
      <c r="D106" s="274">
        <f>IFERROR(VLOOKUP(C106,'Data Lokasi'!C:D,2,0),"")</f>
        <v>8.7200000000000006</v>
      </c>
      <c r="E106" s="274" t="s">
        <v>2642</v>
      </c>
      <c r="F106" s="274"/>
      <c r="G106" s="274"/>
      <c r="H106" s="274"/>
      <c r="I106" s="274">
        <v>0.52</v>
      </c>
      <c r="J106" s="456">
        <f t="shared" si="4"/>
        <v>0.52</v>
      </c>
      <c r="K106" s="583"/>
      <c r="L106" s="268" t="s">
        <v>2625</v>
      </c>
      <c r="M106" s="268" t="s">
        <v>2631</v>
      </c>
      <c r="N106" s="278">
        <f>IFERROR(INDEX('Data Lokasi'!S:S,MATCH('Input Real Tanam&amp;Petik Nanas'!C106,'Data Lokasi'!C:C,0)),"")</f>
        <v>43935</v>
      </c>
      <c r="O106" s="278"/>
      <c r="P106" s="283">
        <f>IFERROR(INDEX('Data Lokasi'!V:V,MATCH(C106,'Data Lokasi'!C:C,0)),"")</f>
        <v>0</v>
      </c>
      <c r="Q106" s="304">
        <f t="shared" si="5"/>
        <v>0</v>
      </c>
      <c r="R106" s="308"/>
    </row>
    <row r="107" spans="2:18" ht="15" hidden="1" thickTop="1">
      <c r="B107" s="269">
        <v>46190</v>
      </c>
      <c r="C107" s="268" t="s">
        <v>286</v>
      </c>
      <c r="D107" s="274">
        <f>IFERROR(VLOOKUP(C107,'Data Lokasi'!C:D,2,0),"")</f>
        <v>8.33</v>
      </c>
      <c r="E107" s="274" t="s">
        <v>2642</v>
      </c>
      <c r="F107" s="274"/>
      <c r="G107" s="274"/>
      <c r="H107" s="274"/>
      <c r="I107" s="274">
        <v>1.76</v>
      </c>
      <c r="J107" s="456">
        <f t="shared" si="4"/>
        <v>1.76</v>
      </c>
      <c r="K107" s="583"/>
      <c r="L107" s="268" t="s">
        <v>2625</v>
      </c>
      <c r="M107" s="268" t="s">
        <v>2631</v>
      </c>
      <c r="N107" s="278">
        <f>IFERROR(INDEX('Data Lokasi'!S:S,MATCH('Input Real Tanam&amp;Petik Nanas'!C107,'Data Lokasi'!C:C,0)),"")</f>
        <v>44125</v>
      </c>
      <c r="O107" s="278"/>
      <c r="P107" s="283">
        <f>IFERROR(INDEX('Data Lokasi'!V:V,MATCH(C107,'Data Lokasi'!C:C,0)),"")</f>
        <v>0</v>
      </c>
      <c r="Q107" s="304">
        <f t="shared" si="5"/>
        <v>0</v>
      </c>
      <c r="R107" s="308"/>
    </row>
    <row r="108" spans="2:18" ht="15" hidden="1" thickTop="1">
      <c r="B108" s="269">
        <v>46190</v>
      </c>
      <c r="C108" s="268" t="s">
        <v>580</v>
      </c>
      <c r="D108" s="274">
        <f>IFERROR(VLOOKUP(C108,'Data Lokasi'!C:D,2,0),"")</f>
        <v>3.08</v>
      </c>
      <c r="E108" s="274" t="s">
        <v>2642</v>
      </c>
      <c r="F108" s="274"/>
      <c r="G108" s="274"/>
      <c r="H108" s="274"/>
      <c r="I108" s="274">
        <v>0.17</v>
      </c>
      <c r="J108" s="456">
        <f t="shared" si="4"/>
        <v>0.17</v>
      </c>
      <c r="K108" s="583"/>
      <c r="L108" s="268" t="s">
        <v>2625</v>
      </c>
      <c r="M108" s="268" t="s">
        <v>2634</v>
      </c>
      <c r="N108" s="278">
        <f>IFERROR(INDEX('Data Lokasi'!S:S,MATCH('Input Real Tanam&amp;Petik Nanas'!C108,'Data Lokasi'!C:C,0)),"")</f>
        <v>44781</v>
      </c>
      <c r="O108" s="278"/>
      <c r="P108" s="283">
        <f>IFERROR(INDEX('Data Lokasi'!V:V,MATCH(C108,'Data Lokasi'!C:C,0)),"")</f>
        <v>0</v>
      </c>
      <c r="Q108" s="304">
        <f t="shared" si="5"/>
        <v>0</v>
      </c>
      <c r="R108" s="308"/>
    </row>
    <row r="109" spans="2:18" ht="15" hidden="1" thickTop="1">
      <c r="B109" s="269">
        <v>46190</v>
      </c>
      <c r="C109" s="268" t="s">
        <v>263</v>
      </c>
      <c r="D109" s="274">
        <f>IFERROR(VLOOKUP(C109,'Data Lokasi'!C:D,2,0),"")</f>
        <v>7.7</v>
      </c>
      <c r="E109" s="274" t="s">
        <v>2642</v>
      </c>
      <c r="F109" s="274"/>
      <c r="G109" s="274"/>
      <c r="H109" s="274"/>
      <c r="I109" s="274">
        <v>0.22</v>
      </c>
      <c r="J109" s="456">
        <f t="shared" si="4"/>
        <v>0.22</v>
      </c>
      <c r="K109" s="583"/>
      <c r="L109" s="268" t="s">
        <v>2625</v>
      </c>
      <c r="M109" s="268" t="s">
        <v>2634</v>
      </c>
      <c r="N109" s="278">
        <f>IFERROR(INDEX('Data Lokasi'!S:S,MATCH('Input Real Tanam&amp;Petik Nanas'!C109,'Data Lokasi'!C:C,0)),"")</f>
        <v>44079</v>
      </c>
      <c r="O109" s="278"/>
      <c r="P109" s="283">
        <f>IFERROR(INDEX('Data Lokasi'!V:V,MATCH(C109,'Data Lokasi'!C:C,0)),"")</f>
        <v>0</v>
      </c>
      <c r="Q109" s="304">
        <f t="shared" si="5"/>
        <v>0</v>
      </c>
      <c r="R109" s="308"/>
    </row>
    <row r="110" spans="2:18" ht="15" hidden="1" thickTop="1">
      <c r="B110" s="269">
        <v>46190</v>
      </c>
      <c r="C110" s="268" t="s">
        <v>286</v>
      </c>
      <c r="D110" s="274">
        <f>IFERROR(VLOOKUP(C110,'Data Lokasi'!C:D,2,0),"")</f>
        <v>8.33</v>
      </c>
      <c r="E110" s="274" t="s">
        <v>2642</v>
      </c>
      <c r="F110" s="274"/>
      <c r="G110" s="274"/>
      <c r="H110" s="274"/>
      <c r="I110" s="274">
        <v>0.97</v>
      </c>
      <c r="J110" s="456">
        <f t="shared" si="4"/>
        <v>0.97</v>
      </c>
      <c r="K110" s="583"/>
      <c r="L110" s="268" t="s">
        <v>2625</v>
      </c>
      <c r="M110" s="268" t="s">
        <v>2634</v>
      </c>
      <c r="N110" s="278">
        <f>IFERROR(INDEX('Data Lokasi'!S:S,MATCH('Input Real Tanam&amp;Petik Nanas'!C110,'Data Lokasi'!C:C,0)),"")</f>
        <v>44125</v>
      </c>
      <c r="O110" s="278"/>
      <c r="P110" s="283">
        <f>IFERROR(INDEX('Data Lokasi'!V:V,MATCH(C110,'Data Lokasi'!C:C,0)),"")</f>
        <v>0</v>
      </c>
      <c r="Q110" s="304">
        <f t="shared" si="5"/>
        <v>0</v>
      </c>
      <c r="R110" s="308"/>
    </row>
    <row r="111" spans="2:18" ht="15" hidden="1" thickTop="1">
      <c r="B111" s="269">
        <v>46190</v>
      </c>
      <c r="C111" s="268" t="s">
        <v>366</v>
      </c>
      <c r="D111" s="274">
        <f>IFERROR(VLOOKUP(C111,'Data Lokasi'!C:D,2,0),"")</f>
        <v>5.88</v>
      </c>
      <c r="E111" s="274" t="s">
        <v>2642</v>
      </c>
      <c r="F111" s="274"/>
      <c r="G111" s="274">
        <v>0.09</v>
      </c>
      <c r="H111" s="274"/>
      <c r="I111" s="274"/>
      <c r="J111" s="456">
        <f t="shared" si="4"/>
        <v>0.09</v>
      </c>
      <c r="K111" s="583"/>
      <c r="L111" s="268" t="s">
        <v>719</v>
      </c>
      <c r="M111" s="268" t="s">
        <v>2634</v>
      </c>
      <c r="N111" s="278">
        <f>IFERROR(INDEX('Data Lokasi'!S:S,MATCH('Input Real Tanam&amp;Petik Nanas'!C111,'Data Lokasi'!C:C,0)),"")</f>
        <v>44300</v>
      </c>
      <c r="O111" s="278"/>
      <c r="P111" s="283">
        <f>IFERROR(INDEX('Data Lokasi'!V:V,MATCH(C111,'Data Lokasi'!C:C,0)),"")</f>
        <v>0</v>
      </c>
      <c r="Q111" s="304">
        <f t="shared" si="5"/>
        <v>0</v>
      </c>
      <c r="R111" s="308"/>
    </row>
    <row r="112" spans="2:18" ht="15" hidden="1" thickTop="1">
      <c r="B112" s="269">
        <v>46190</v>
      </c>
      <c r="C112" s="268" t="s">
        <v>229</v>
      </c>
      <c r="D112" s="274">
        <f>IFERROR(VLOOKUP(C112,'Data Lokasi'!C:D,2,0),"")</f>
        <v>6.97</v>
      </c>
      <c r="E112" s="274" t="s">
        <v>2642</v>
      </c>
      <c r="F112" s="274"/>
      <c r="G112" s="274"/>
      <c r="H112" s="274"/>
      <c r="I112" s="274">
        <v>1.52</v>
      </c>
      <c r="J112" s="456">
        <f t="shared" si="4"/>
        <v>1.52</v>
      </c>
      <c r="K112" s="583"/>
      <c r="L112" s="268" t="s">
        <v>2625</v>
      </c>
      <c r="M112" s="268" t="s">
        <v>2634</v>
      </c>
      <c r="N112" s="278">
        <f>IFERROR(INDEX('Data Lokasi'!S:S,MATCH('Input Real Tanam&amp;Petik Nanas'!C112,'Data Lokasi'!C:C,0)),"")</f>
        <v>44020</v>
      </c>
      <c r="O112" s="278"/>
      <c r="P112" s="283">
        <f>IFERROR(INDEX('Data Lokasi'!V:V,MATCH(C112,'Data Lokasi'!C:C,0)),"")</f>
        <v>0</v>
      </c>
      <c r="Q112" s="304">
        <f t="shared" si="5"/>
        <v>0</v>
      </c>
      <c r="R112" s="308"/>
    </row>
    <row r="113" spans="2:18" ht="15" hidden="1" thickTop="1">
      <c r="B113" s="269">
        <v>46190</v>
      </c>
      <c r="C113" s="268" t="s">
        <v>650</v>
      </c>
      <c r="D113" s="274">
        <f>IFERROR(VLOOKUP(C113,'Data Lokasi'!C:D,2,0),"")</f>
        <v>8.02</v>
      </c>
      <c r="E113" s="274" t="s">
        <v>2642</v>
      </c>
      <c r="F113" s="274"/>
      <c r="G113" s="274"/>
      <c r="H113" s="274"/>
      <c r="I113" s="274">
        <v>0.04</v>
      </c>
      <c r="J113" s="456">
        <f t="shared" si="4"/>
        <v>0.04</v>
      </c>
      <c r="K113" s="583"/>
      <c r="L113" s="268" t="s">
        <v>719</v>
      </c>
      <c r="M113" s="268" t="s">
        <v>2634</v>
      </c>
      <c r="N113" s="278">
        <f>IFERROR(INDEX('Data Lokasi'!S:S,MATCH('Input Real Tanam&amp;Petik Nanas'!C113,'Data Lokasi'!C:C,0)),"")</f>
        <v>44970</v>
      </c>
      <c r="O113" s="278"/>
      <c r="P113" s="283">
        <f>IFERROR(INDEX('Data Lokasi'!V:V,MATCH(C113,'Data Lokasi'!C:C,0)),"")</f>
        <v>0</v>
      </c>
      <c r="Q113" s="304">
        <f t="shared" si="5"/>
        <v>0</v>
      </c>
      <c r="R113" s="308"/>
    </row>
    <row r="114" spans="2:18" ht="15" hidden="1" thickTop="1">
      <c r="B114" s="269">
        <v>46191</v>
      </c>
      <c r="C114" s="268" t="s">
        <v>286</v>
      </c>
      <c r="D114" s="274">
        <f>IFERROR(VLOOKUP(C114,'Data Lokasi'!C:D,2,0),"")</f>
        <v>8.33</v>
      </c>
      <c r="E114" s="274" t="s">
        <v>2642</v>
      </c>
      <c r="F114" s="274"/>
      <c r="G114" s="274"/>
      <c r="H114" s="274"/>
      <c r="I114" s="274">
        <v>0.27</v>
      </c>
      <c r="J114" s="456">
        <f t="shared" si="4"/>
        <v>0.27</v>
      </c>
      <c r="K114" s="583"/>
      <c r="L114" s="268" t="s">
        <v>2625</v>
      </c>
      <c r="M114" s="268" t="s">
        <v>2634</v>
      </c>
      <c r="N114" s="278">
        <f>IFERROR(INDEX('Data Lokasi'!S:S,MATCH('Input Real Tanam&amp;Petik Nanas'!C114,'Data Lokasi'!C:C,0)),"")</f>
        <v>44125</v>
      </c>
      <c r="O114" s="278"/>
      <c r="P114" s="283">
        <f>IFERROR(INDEX('Data Lokasi'!V:V,MATCH(C114,'Data Lokasi'!C:C,0)),"")</f>
        <v>0</v>
      </c>
      <c r="Q114" s="304">
        <f t="shared" si="5"/>
        <v>0</v>
      </c>
      <c r="R114" s="308"/>
    </row>
    <row r="115" spans="2:18" ht="15" hidden="1" thickTop="1">
      <c r="B115" s="269">
        <v>46191</v>
      </c>
      <c r="C115" s="268" t="s">
        <v>620</v>
      </c>
      <c r="D115" s="274">
        <f>IFERROR(VLOOKUP(C115,'Data Lokasi'!C:D,2,0),"")</f>
        <v>5.59</v>
      </c>
      <c r="E115" s="274" t="s">
        <v>2642</v>
      </c>
      <c r="F115" s="274"/>
      <c r="G115" s="274"/>
      <c r="H115" s="274"/>
      <c r="I115" s="274">
        <v>1.29</v>
      </c>
      <c r="J115" s="456">
        <f t="shared" si="4"/>
        <v>1.29</v>
      </c>
      <c r="K115" s="583"/>
      <c r="L115" s="268" t="s">
        <v>2625</v>
      </c>
      <c r="M115" s="268" t="s">
        <v>2634</v>
      </c>
      <c r="N115" s="278">
        <f>IFERROR(INDEX('Data Lokasi'!S:S,MATCH('Input Real Tanam&amp;Petik Nanas'!C115,'Data Lokasi'!C:C,0)),"")</f>
        <v>44859</v>
      </c>
      <c r="O115" s="278"/>
      <c r="P115" s="283">
        <f>IFERROR(INDEX('Data Lokasi'!V:V,MATCH(C115,'Data Lokasi'!C:C,0)),"")</f>
        <v>0</v>
      </c>
      <c r="Q115" s="304">
        <f t="shared" si="5"/>
        <v>0</v>
      </c>
      <c r="R115" s="308"/>
    </row>
    <row r="116" spans="2:18" ht="15" hidden="1" thickTop="1">
      <c r="B116" s="269">
        <v>46191</v>
      </c>
      <c r="C116" s="268" t="s">
        <v>366</v>
      </c>
      <c r="D116" s="274">
        <f>IFERROR(VLOOKUP(C116,'Data Lokasi'!C:D,2,0),"")</f>
        <v>5.88</v>
      </c>
      <c r="E116" s="274" t="s">
        <v>2642</v>
      </c>
      <c r="F116" s="274"/>
      <c r="G116" s="274">
        <v>0.05</v>
      </c>
      <c r="H116" s="274">
        <v>0.13</v>
      </c>
      <c r="I116" s="274"/>
      <c r="J116" s="456">
        <f t="shared" si="4"/>
        <v>0.18</v>
      </c>
      <c r="K116" s="583"/>
      <c r="L116" s="268" t="s">
        <v>719</v>
      </c>
      <c r="M116" s="268" t="s">
        <v>2634</v>
      </c>
      <c r="N116" s="278">
        <f>IFERROR(INDEX('Data Lokasi'!S:S,MATCH('Input Real Tanam&amp;Petik Nanas'!C116,'Data Lokasi'!C:C,0)),"")</f>
        <v>44300</v>
      </c>
      <c r="O116" s="278"/>
      <c r="P116" s="283">
        <f>IFERROR(INDEX('Data Lokasi'!V:V,MATCH(C116,'Data Lokasi'!C:C,0)),"")</f>
        <v>0</v>
      </c>
      <c r="Q116" s="304">
        <f t="shared" si="5"/>
        <v>0</v>
      </c>
      <c r="R116" s="308"/>
    </row>
    <row r="117" spans="2:18" ht="15" hidden="1" thickTop="1">
      <c r="B117" s="269">
        <v>46191</v>
      </c>
      <c r="C117" s="268" t="s">
        <v>373</v>
      </c>
      <c r="D117" s="274">
        <f>IFERROR(VLOOKUP(C117,'Data Lokasi'!C:D,2,0),"")</f>
        <v>10.5</v>
      </c>
      <c r="E117" s="274" t="s">
        <v>2642</v>
      </c>
      <c r="F117" s="274"/>
      <c r="G117" s="274">
        <v>0.02</v>
      </c>
      <c r="H117" s="274"/>
      <c r="I117" s="274"/>
      <c r="J117" s="456">
        <f t="shared" si="4"/>
        <v>0.02</v>
      </c>
      <c r="K117" s="583"/>
      <c r="L117" s="268" t="s">
        <v>719</v>
      </c>
      <c r="M117" s="268" t="s">
        <v>2634</v>
      </c>
      <c r="N117" s="278">
        <f>IFERROR(INDEX('Data Lokasi'!S:S,MATCH('Input Real Tanam&amp;Petik Nanas'!C117,'Data Lokasi'!C:C,0)),"")</f>
        <v>44311</v>
      </c>
      <c r="O117" s="278"/>
      <c r="P117" s="283">
        <f>IFERROR(INDEX('Data Lokasi'!V:V,MATCH(C117,'Data Lokasi'!C:C,0)),"")</f>
        <v>0</v>
      </c>
      <c r="Q117" s="304">
        <f t="shared" si="5"/>
        <v>0</v>
      </c>
      <c r="R117" s="308"/>
    </row>
    <row r="118" spans="2:18" ht="15" hidden="1" thickTop="1">
      <c r="B118" s="269">
        <v>46191</v>
      </c>
      <c r="C118" s="268" t="s">
        <v>641</v>
      </c>
      <c r="D118" s="274">
        <f>IFERROR(VLOOKUP(C118,'Data Lokasi'!C:D,2,0),"")</f>
        <v>6.35</v>
      </c>
      <c r="E118" s="274" t="s">
        <v>2642</v>
      </c>
      <c r="F118" s="274"/>
      <c r="G118" s="274"/>
      <c r="H118" s="274"/>
      <c r="I118" s="274">
        <v>0.04</v>
      </c>
      <c r="J118" s="456">
        <f t="shared" si="4"/>
        <v>0.04</v>
      </c>
      <c r="K118" s="583"/>
      <c r="L118" s="268" t="s">
        <v>719</v>
      </c>
      <c r="M118" s="268" t="s">
        <v>2634</v>
      </c>
      <c r="N118" s="278">
        <f>IFERROR(INDEX('Data Lokasi'!S:S,MATCH('Input Real Tanam&amp;Petik Nanas'!C118,'Data Lokasi'!C:C,0)),"")</f>
        <v>44931</v>
      </c>
      <c r="O118" s="278"/>
      <c r="P118" s="283">
        <f>IFERROR(INDEX('Data Lokasi'!V:V,MATCH(C118,'Data Lokasi'!C:C,0)),"")</f>
        <v>0</v>
      </c>
      <c r="Q118" s="304">
        <f t="shared" si="5"/>
        <v>0</v>
      </c>
      <c r="R118" s="308"/>
    </row>
    <row r="119" spans="2:18" ht="15" hidden="1" thickTop="1">
      <c r="B119" s="269">
        <v>46191</v>
      </c>
      <c r="C119" s="268" t="s">
        <v>229</v>
      </c>
      <c r="D119" s="274">
        <f>IFERROR(VLOOKUP(C119,'Data Lokasi'!C:D,2,0),"")</f>
        <v>6.97</v>
      </c>
      <c r="E119" s="274" t="s">
        <v>2642</v>
      </c>
      <c r="F119" s="274"/>
      <c r="G119" s="274"/>
      <c r="H119" s="274"/>
      <c r="I119" s="274">
        <v>0.94</v>
      </c>
      <c r="J119" s="456">
        <f t="shared" si="4"/>
        <v>0.94</v>
      </c>
      <c r="K119" s="583"/>
      <c r="L119" s="268" t="s">
        <v>2625</v>
      </c>
      <c r="M119" s="268" t="s">
        <v>2634</v>
      </c>
      <c r="N119" s="278">
        <f>IFERROR(INDEX('Data Lokasi'!S:S,MATCH('Input Real Tanam&amp;Petik Nanas'!C119,'Data Lokasi'!C:C,0)),"")</f>
        <v>44020</v>
      </c>
      <c r="O119" s="278"/>
      <c r="P119" s="283">
        <f>IFERROR(INDEX('Data Lokasi'!V:V,MATCH(C119,'Data Lokasi'!C:C,0)),"")</f>
        <v>0</v>
      </c>
      <c r="Q119" s="304">
        <f t="shared" si="5"/>
        <v>0</v>
      </c>
      <c r="R119" s="308"/>
    </row>
    <row r="120" spans="2:18" ht="15" hidden="1" thickTop="1">
      <c r="B120" s="269">
        <v>46191</v>
      </c>
      <c r="C120" s="268" t="s">
        <v>552</v>
      </c>
      <c r="D120" s="274">
        <f>IFERROR(VLOOKUP(C120,'Data Lokasi'!C:D,2,0),"")</f>
        <v>13.36</v>
      </c>
      <c r="E120" s="274" t="s">
        <v>2642</v>
      </c>
      <c r="F120" s="274"/>
      <c r="G120" s="274"/>
      <c r="H120" s="274"/>
      <c r="I120" s="274">
        <v>0.02</v>
      </c>
      <c r="J120" s="456">
        <f t="shared" si="4"/>
        <v>0.02</v>
      </c>
      <c r="K120" s="583"/>
      <c r="L120" s="268" t="s">
        <v>2625</v>
      </c>
      <c r="M120" s="268" t="s">
        <v>2634</v>
      </c>
      <c r="N120" s="278">
        <f>IFERROR(INDEX('Data Lokasi'!S:S,MATCH('Input Real Tanam&amp;Petik Nanas'!C120,'Data Lokasi'!C:C,0)),"")</f>
        <v>44655</v>
      </c>
      <c r="O120" s="278"/>
      <c r="P120" s="283">
        <f>IFERROR(INDEX('Data Lokasi'!V:V,MATCH(C120,'Data Lokasi'!C:C,0)),"")</f>
        <v>0</v>
      </c>
      <c r="Q120" s="304">
        <f t="shared" si="5"/>
        <v>0</v>
      </c>
      <c r="R120" s="308"/>
    </row>
    <row r="121" spans="2:18" ht="15" hidden="1" thickTop="1">
      <c r="B121" s="269">
        <v>46191</v>
      </c>
      <c r="C121" s="268" t="s">
        <v>2612</v>
      </c>
      <c r="D121" s="274">
        <f>IFERROR(VLOOKUP(C121,'Data Lokasi'!C:D,2,0),"")</f>
        <v>5.7</v>
      </c>
      <c r="E121" s="274" t="s">
        <v>2642</v>
      </c>
      <c r="F121" s="274"/>
      <c r="G121" s="274"/>
      <c r="H121" s="274">
        <v>0.3</v>
      </c>
      <c r="I121" s="274"/>
      <c r="J121" s="456">
        <f t="shared" si="4"/>
        <v>0.3</v>
      </c>
      <c r="K121" s="583"/>
      <c r="L121" s="268" t="s">
        <v>719</v>
      </c>
      <c r="M121" s="268" t="s">
        <v>2631</v>
      </c>
      <c r="N121" s="278">
        <f>IFERROR(INDEX('Data Lokasi'!S:S,MATCH('Input Real Tanam&amp;Petik Nanas'!C121,'Data Lokasi'!C:C,0)),"")</f>
        <v>46141</v>
      </c>
      <c r="O121" s="278"/>
      <c r="P121" s="283">
        <f>IFERROR(INDEX('Data Lokasi'!V:V,MATCH(C121,'Data Lokasi'!C:C,0)),"")</f>
        <v>0</v>
      </c>
      <c r="Q121" s="304">
        <f t="shared" si="5"/>
        <v>0</v>
      </c>
      <c r="R121" s="308"/>
    </row>
    <row r="122" spans="2:18" ht="15" hidden="1" thickTop="1">
      <c r="B122" s="269">
        <v>46191</v>
      </c>
      <c r="C122" s="268" t="s">
        <v>2612</v>
      </c>
      <c r="D122" s="274">
        <f>IFERROR(VLOOKUP(C122,'Data Lokasi'!C:D,2,0),"")</f>
        <v>5.7</v>
      </c>
      <c r="E122" s="274" t="s">
        <v>2642</v>
      </c>
      <c r="F122" s="274"/>
      <c r="G122" s="274"/>
      <c r="H122" s="274"/>
      <c r="I122" s="274">
        <v>0.24</v>
      </c>
      <c r="J122" s="456">
        <f t="shared" si="4"/>
        <v>0.24</v>
      </c>
      <c r="K122" s="583"/>
      <c r="L122" s="268" t="s">
        <v>2625</v>
      </c>
      <c r="M122" s="268" t="s">
        <v>2631</v>
      </c>
      <c r="N122" s="278">
        <f>IFERROR(INDEX('Data Lokasi'!S:S,MATCH('Input Real Tanam&amp;Petik Nanas'!C122,'Data Lokasi'!C:C,0)),"")</f>
        <v>46141</v>
      </c>
      <c r="O122" s="278"/>
      <c r="P122" s="283">
        <f>IFERROR(INDEX('Data Lokasi'!V:V,MATCH(C122,'Data Lokasi'!C:C,0)),"")</f>
        <v>0</v>
      </c>
      <c r="Q122" s="304">
        <f t="shared" si="5"/>
        <v>0</v>
      </c>
      <c r="R122" s="308"/>
    </row>
    <row r="123" spans="2:18" ht="15" hidden="1" thickTop="1">
      <c r="B123" s="269">
        <v>46191</v>
      </c>
      <c r="C123" s="268" t="s">
        <v>2420</v>
      </c>
      <c r="D123" s="274">
        <f>IFERROR(VLOOKUP(C123,'Data Lokasi'!C:D,2,0),"")</f>
        <v>7.19</v>
      </c>
      <c r="E123" s="274" t="s">
        <v>2642</v>
      </c>
      <c r="F123" s="274"/>
      <c r="G123" s="274">
        <v>0.12</v>
      </c>
      <c r="H123" s="274"/>
      <c r="I123" s="274"/>
      <c r="J123" s="456">
        <f t="shared" si="4"/>
        <v>0.12</v>
      </c>
      <c r="K123" s="583"/>
      <c r="L123" s="268" t="s">
        <v>719</v>
      </c>
      <c r="M123" s="268" t="s">
        <v>2631</v>
      </c>
      <c r="N123" s="278">
        <f>IFERROR(INDEX('Data Lokasi'!S:S,MATCH('Input Real Tanam&amp;Petik Nanas'!C123,'Data Lokasi'!C:C,0)),"")</f>
        <v>46177</v>
      </c>
      <c r="O123" s="278"/>
      <c r="P123" s="283">
        <f>IFERROR(INDEX('Data Lokasi'!V:V,MATCH(C123,'Data Lokasi'!C:C,0)),"")</f>
        <v>0</v>
      </c>
      <c r="Q123" s="304">
        <f t="shared" si="5"/>
        <v>0</v>
      </c>
      <c r="R123" s="308"/>
    </row>
    <row r="124" spans="2:18" ht="15" hidden="1" thickTop="1">
      <c r="B124" s="269">
        <v>46191</v>
      </c>
      <c r="C124" s="268" t="s">
        <v>620</v>
      </c>
      <c r="D124" s="274">
        <f>IFERROR(VLOOKUP(C124,'Data Lokasi'!C:D,2,0),"")</f>
        <v>5.59</v>
      </c>
      <c r="E124" s="274" t="s">
        <v>2642</v>
      </c>
      <c r="F124" s="274"/>
      <c r="G124" s="274"/>
      <c r="H124" s="274"/>
      <c r="I124" s="274">
        <v>1.17</v>
      </c>
      <c r="J124" s="456">
        <f t="shared" si="4"/>
        <v>1.17</v>
      </c>
      <c r="K124" s="583"/>
      <c r="L124" s="268" t="s">
        <v>2625</v>
      </c>
      <c r="M124" s="268" t="s">
        <v>2631</v>
      </c>
      <c r="N124" s="278">
        <f>IFERROR(INDEX('Data Lokasi'!S:S,MATCH('Input Real Tanam&amp;Petik Nanas'!C124,'Data Lokasi'!C:C,0)),"")</f>
        <v>44859</v>
      </c>
      <c r="O124" s="278"/>
      <c r="P124" s="283">
        <f>IFERROR(INDEX('Data Lokasi'!V:V,MATCH(C124,'Data Lokasi'!C:C,0)),"")</f>
        <v>0</v>
      </c>
      <c r="Q124" s="304">
        <f t="shared" si="5"/>
        <v>0</v>
      </c>
      <c r="R124" s="308"/>
    </row>
    <row r="125" spans="2:18" ht="15" hidden="1" thickTop="1">
      <c r="B125" s="269">
        <v>46191</v>
      </c>
      <c r="C125" s="268" t="s">
        <v>2611</v>
      </c>
      <c r="D125" s="274">
        <f>IFERROR(VLOOKUP(C125,'Data Lokasi'!C:D,2,0),"")</f>
        <v>7.53</v>
      </c>
      <c r="E125" s="274" t="s">
        <v>2642</v>
      </c>
      <c r="F125" s="274"/>
      <c r="G125" s="274"/>
      <c r="H125" s="274"/>
      <c r="I125" s="274">
        <v>0.97</v>
      </c>
      <c r="J125" s="456">
        <f t="shared" si="4"/>
        <v>0.97</v>
      </c>
      <c r="K125" s="583"/>
      <c r="L125" s="268" t="s">
        <v>2625</v>
      </c>
      <c r="M125" s="268" t="s">
        <v>2631</v>
      </c>
      <c r="N125" s="278">
        <f>IFERROR(INDEX('Data Lokasi'!S:S,MATCH('Input Real Tanam&amp;Petik Nanas'!C125,'Data Lokasi'!C:C,0)),"")</f>
        <v>46140</v>
      </c>
      <c r="O125" s="278"/>
      <c r="P125" s="283">
        <f>IFERROR(INDEX('Data Lokasi'!V:V,MATCH(C125,'Data Lokasi'!C:C,0)),"")</f>
        <v>0</v>
      </c>
      <c r="Q125" s="304">
        <f t="shared" si="5"/>
        <v>0</v>
      </c>
      <c r="R125" s="308"/>
    </row>
    <row r="126" spans="2:18" ht="15" hidden="1" thickTop="1">
      <c r="B126" s="269">
        <v>46191</v>
      </c>
      <c r="C126" s="268" t="s">
        <v>409</v>
      </c>
      <c r="D126" s="274">
        <f>IFERROR(VLOOKUP(C126,'Data Lokasi'!C:D,2,0),"")</f>
        <v>8.83</v>
      </c>
      <c r="E126" s="274" t="s">
        <v>2643</v>
      </c>
      <c r="F126" s="274"/>
      <c r="G126" s="274">
        <v>0.1</v>
      </c>
      <c r="H126" s="274">
        <f>0.29+0.47</f>
        <v>0.76</v>
      </c>
      <c r="I126" s="274"/>
      <c r="J126" s="456">
        <f t="shared" si="4"/>
        <v>0.86</v>
      </c>
      <c r="K126" s="583"/>
      <c r="L126" s="268" t="s">
        <v>719</v>
      </c>
      <c r="M126" s="268" t="s">
        <v>2634</v>
      </c>
      <c r="N126" s="278">
        <f>IFERROR(INDEX('Data Lokasi'!S:S,MATCH('Input Real Tanam&amp;Petik Nanas'!C126,'Data Lokasi'!C:C,0)),"")</f>
        <v>44365</v>
      </c>
      <c r="O126" s="278"/>
      <c r="P126" s="283">
        <f>IFERROR(INDEX('Data Lokasi'!V:V,MATCH(C126,'Data Lokasi'!C:C,0)),"")</f>
        <v>0</v>
      </c>
      <c r="Q126" s="304">
        <f t="shared" si="5"/>
        <v>0</v>
      </c>
      <c r="R126" s="308">
        <v>4</v>
      </c>
    </row>
    <row r="127" spans="2:18" ht="15" hidden="1" thickTop="1">
      <c r="B127" s="269">
        <v>46191</v>
      </c>
      <c r="C127" s="268" t="s">
        <v>2438</v>
      </c>
      <c r="D127" s="274">
        <f>IFERROR(VLOOKUP(C127,'Data Lokasi'!C:D,2,0),"")</f>
        <v>6.34</v>
      </c>
      <c r="E127" s="274" t="s">
        <v>2643</v>
      </c>
      <c r="F127" s="274"/>
      <c r="G127" s="274"/>
      <c r="H127" s="274"/>
      <c r="I127" s="274">
        <f>0.97+1.76</f>
        <v>2.73</v>
      </c>
      <c r="J127" s="456">
        <f t="shared" si="4"/>
        <v>2.73</v>
      </c>
      <c r="K127" s="583"/>
      <c r="L127" s="268" t="s">
        <v>2625</v>
      </c>
      <c r="M127" s="268" t="s">
        <v>2631</v>
      </c>
      <c r="N127" s="278">
        <f>IFERROR(INDEX('Data Lokasi'!S:S,MATCH('Input Real Tanam&amp;Petik Nanas'!C127,'Data Lokasi'!C:C,0)),"")</f>
        <v>45672</v>
      </c>
      <c r="O127" s="278"/>
      <c r="P127" s="283">
        <f>IFERROR(INDEX('Data Lokasi'!V:V,MATCH(C127,'Data Lokasi'!C:C,0)),"")</f>
        <v>0</v>
      </c>
      <c r="Q127" s="304">
        <f t="shared" si="5"/>
        <v>0</v>
      </c>
      <c r="R127" s="308"/>
    </row>
    <row r="128" spans="2:18" ht="15" hidden="1" thickTop="1">
      <c r="B128" s="269">
        <v>46191</v>
      </c>
      <c r="C128" s="268" t="s">
        <v>441</v>
      </c>
      <c r="D128" s="274">
        <f>IFERROR(VLOOKUP(C128,'Data Lokasi'!C:D,2,0),"")</f>
        <v>11.2</v>
      </c>
      <c r="E128" s="274" t="s">
        <v>2643</v>
      </c>
      <c r="F128" s="274"/>
      <c r="G128" s="274">
        <f>0.03+0.04+0.07</f>
        <v>0.14000000000000001</v>
      </c>
      <c r="H128" s="274">
        <f>0.06+0.03</f>
        <v>0.09</v>
      </c>
      <c r="I128" s="274"/>
      <c r="J128" s="456">
        <f t="shared" si="4"/>
        <v>0.23</v>
      </c>
      <c r="K128" s="583"/>
      <c r="L128" s="268" t="s">
        <v>719</v>
      </c>
      <c r="M128" s="268" t="s">
        <v>2631</v>
      </c>
      <c r="N128" s="278">
        <f>IFERROR(INDEX('Data Lokasi'!S:S,MATCH('Input Real Tanam&amp;Petik Nanas'!C128,'Data Lokasi'!C:C,0)),"")</f>
        <v>44429</v>
      </c>
      <c r="O128" s="278"/>
      <c r="P128" s="283">
        <f>IFERROR(INDEX('Data Lokasi'!V:V,MATCH(C128,'Data Lokasi'!C:C,0)),"")</f>
        <v>0</v>
      </c>
      <c r="Q128" s="304">
        <f t="shared" si="5"/>
        <v>0</v>
      </c>
      <c r="R128" s="308">
        <v>2</v>
      </c>
    </row>
    <row r="129" spans="2:18" ht="15" hidden="1" thickTop="1">
      <c r="B129" s="269">
        <v>46191</v>
      </c>
      <c r="C129" s="268" t="s">
        <v>502</v>
      </c>
      <c r="D129" s="274">
        <f>IFERROR(VLOOKUP(C129,'Data Lokasi'!C:D,2,0),"")</f>
        <v>9.93</v>
      </c>
      <c r="E129" s="274" t="s">
        <v>2643</v>
      </c>
      <c r="F129" s="274"/>
      <c r="G129" s="274"/>
      <c r="H129" s="274"/>
      <c r="I129" s="274">
        <v>1.31</v>
      </c>
      <c r="J129" s="456">
        <f t="shared" si="4"/>
        <v>1.31</v>
      </c>
      <c r="K129" s="583"/>
      <c r="L129" s="268" t="s">
        <v>2625</v>
      </c>
      <c r="M129" s="268" t="s">
        <v>2631</v>
      </c>
      <c r="N129" s="278">
        <f>IFERROR(INDEX('Data Lokasi'!S:S,MATCH('Input Real Tanam&amp;Petik Nanas'!C129,'Data Lokasi'!C:C,0)),"")</f>
        <v>44574</v>
      </c>
      <c r="O129" s="278"/>
      <c r="P129" s="283">
        <f>IFERROR(INDEX('Data Lokasi'!V:V,MATCH(C129,'Data Lokasi'!C:C,0)),"")</f>
        <v>0</v>
      </c>
      <c r="Q129" s="304">
        <f t="shared" si="5"/>
        <v>0</v>
      </c>
      <c r="R129" s="308"/>
    </row>
    <row r="130" spans="2:18" ht="15" hidden="1" thickTop="1">
      <c r="B130" s="269">
        <v>46192</v>
      </c>
      <c r="C130" s="268" t="s">
        <v>151</v>
      </c>
      <c r="D130" s="274">
        <f>IFERROR(VLOOKUP(C130,'Data Lokasi'!C:D,2,0),"")</f>
        <v>11.1</v>
      </c>
      <c r="E130" s="274" t="s">
        <v>2643</v>
      </c>
      <c r="F130" s="274"/>
      <c r="G130" s="274"/>
      <c r="H130" s="274"/>
      <c r="I130" s="274">
        <v>3.2</v>
      </c>
      <c r="J130" s="456">
        <f t="shared" si="4"/>
        <v>3.2</v>
      </c>
      <c r="K130" s="583"/>
      <c r="L130" s="268" t="s">
        <v>2625</v>
      </c>
      <c r="M130" s="268" t="s">
        <v>2634</v>
      </c>
      <c r="N130" s="278">
        <f>IFERROR(INDEX('Data Lokasi'!S:S,MATCH('Input Real Tanam&amp;Petik Nanas'!C130,'Data Lokasi'!C:C,0)),"")</f>
        <v>0</v>
      </c>
      <c r="O130" s="278"/>
      <c r="P130" s="283">
        <f>IFERROR(INDEX('Data Lokasi'!V:V,MATCH(C130,'Data Lokasi'!C:C,0)),"")</f>
        <v>0</v>
      </c>
      <c r="Q130" s="304">
        <f t="shared" si="5"/>
        <v>0</v>
      </c>
      <c r="R130" s="308"/>
    </row>
    <row r="131" spans="2:18" ht="15" hidden="1" thickTop="1">
      <c r="B131" s="269">
        <v>46192</v>
      </c>
      <c r="C131" s="268" t="s">
        <v>409</v>
      </c>
      <c r="D131" s="274">
        <f>IFERROR(VLOOKUP(C131,'Data Lokasi'!C:D,2,0),"")</f>
        <v>8.83</v>
      </c>
      <c r="E131" s="274" t="s">
        <v>2643</v>
      </c>
      <c r="F131" s="274"/>
      <c r="G131" s="274">
        <v>0.04</v>
      </c>
      <c r="H131" s="274">
        <f>0.12+0.22</f>
        <v>0.33999999999999997</v>
      </c>
      <c r="I131" s="274"/>
      <c r="J131" s="456">
        <f t="shared" si="4"/>
        <v>0.37999999999999995</v>
      </c>
      <c r="K131" s="583"/>
      <c r="L131" s="268" t="s">
        <v>719</v>
      </c>
      <c r="M131" s="268" t="s">
        <v>2634</v>
      </c>
      <c r="N131" s="278">
        <f>IFERROR(INDEX('Data Lokasi'!S:S,MATCH('Input Real Tanam&amp;Petik Nanas'!C131,'Data Lokasi'!C:C,0)),"")</f>
        <v>44365</v>
      </c>
      <c r="O131" s="278"/>
      <c r="P131" s="283">
        <f>IFERROR(INDEX('Data Lokasi'!V:V,MATCH(C131,'Data Lokasi'!C:C,0)),"")</f>
        <v>0</v>
      </c>
      <c r="Q131" s="304">
        <f t="shared" si="5"/>
        <v>0</v>
      </c>
      <c r="R131" s="308">
        <v>4</v>
      </c>
    </row>
    <row r="132" spans="2:18" ht="15" hidden="1" thickTop="1">
      <c r="B132" s="269">
        <v>46192</v>
      </c>
      <c r="C132" s="268" t="s">
        <v>151</v>
      </c>
      <c r="D132" s="274">
        <f>IFERROR(VLOOKUP(C132,'Data Lokasi'!C:D,2,0),"")</f>
        <v>11.1</v>
      </c>
      <c r="E132" s="274" t="s">
        <v>2643</v>
      </c>
      <c r="F132" s="274"/>
      <c r="G132" s="274"/>
      <c r="H132" s="274"/>
      <c r="I132" s="274">
        <v>1.43</v>
      </c>
      <c r="J132" s="456">
        <f t="shared" si="4"/>
        <v>1.43</v>
      </c>
      <c r="K132" s="583"/>
      <c r="L132" s="268" t="s">
        <v>2625</v>
      </c>
      <c r="M132" s="268" t="s">
        <v>2634</v>
      </c>
      <c r="N132" s="278">
        <f>IFERROR(INDEX('Data Lokasi'!S:S,MATCH('Input Real Tanam&amp;Petik Nanas'!C132,'Data Lokasi'!C:C,0)),"")</f>
        <v>0</v>
      </c>
      <c r="O132" s="278"/>
      <c r="P132" s="283">
        <f>IFERROR(INDEX('Data Lokasi'!V:V,MATCH(C132,'Data Lokasi'!C:C,0)),"")</f>
        <v>0</v>
      </c>
      <c r="Q132" s="304">
        <f t="shared" si="5"/>
        <v>0</v>
      </c>
      <c r="R132" s="308"/>
    </row>
    <row r="133" spans="2:18" ht="15" hidden="1" thickTop="1">
      <c r="B133" s="269">
        <v>46192</v>
      </c>
      <c r="C133" s="268" t="s">
        <v>2612</v>
      </c>
      <c r="D133" s="274">
        <f>IFERROR(VLOOKUP(C133,'Data Lokasi'!C:D,2,0),"")</f>
        <v>5.7</v>
      </c>
      <c r="E133" s="274" t="s">
        <v>2642</v>
      </c>
      <c r="F133" s="274"/>
      <c r="G133" s="274"/>
      <c r="H133" s="274">
        <v>0.18</v>
      </c>
      <c r="I133" s="274"/>
      <c r="J133" s="456">
        <f t="shared" si="4"/>
        <v>0.18</v>
      </c>
      <c r="K133" s="583"/>
      <c r="L133" s="268" t="s">
        <v>719</v>
      </c>
      <c r="M133" s="268" t="s">
        <v>2631</v>
      </c>
      <c r="N133" s="278">
        <f>IFERROR(INDEX('Data Lokasi'!S:S,MATCH('Input Real Tanam&amp;Petik Nanas'!C133,'Data Lokasi'!C:C,0)),"")</f>
        <v>46141</v>
      </c>
      <c r="O133" s="278"/>
      <c r="P133" s="283">
        <f>IFERROR(INDEX('Data Lokasi'!V:V,MATCH(C133,'Data Lokasi'!C:C,0)),"")</f>
        <v>0</v>
      </c>
      <c r="Q133" s="304">
        <f t="shared" si="5"/>
        <v>0</v>
      </c>
      <c r="R133" s="308"/>
    </row>
    <row r="134" spans="2:18" ht="15" hidden="1" thickTop="1">
      <c r="B134" s="269">
        <v>46192</v>
      </c>
      <c r="C134" s="268" t="s">
        <v>678</v>
      </c>
      <c r="D134" s="274">
        <f>IFERROR(VLOOKUP(C134,'Data Lokasi'!C:D,2,0),"")</f>
        <v>7.7</v>
      </c>
      <c r="E134" s="274" t="s">
        <v>2642</v>
      </c>
      <c r="F134" s="274"/>
      <c r="G134" s="274"/>
      <c r="H134" s="274">
        <v>0.12</v>
      </c>
      <c r="I134" s="274"/>
      <c r="J134" s="456">
        <f t="shared" si="4"/>
        <v>0.12</v>
      </c>
      <c r="K134" s="583"/>
      <c r="L134" s="268" t="s">
        <v>719</v>
      </c>
      <c r="M134" s="268" t="s">
        <v>2631</v>
      </c>
      <c r="N134" s="278">
        <f>IFERROR(INDEX('Data Lokasi'!S:S,MATCH('Input Real Tanam&amp;Petik Nanas'!C134,'Data Lokasi'!C:C,0)),"")</f>
        <v>45083</v>
      </c>
      <c r="O134" s="278"/>
      <c r="P134" s="283">
        <f>IFERROR(INDEX('Data Lokasi'!V:V,MATCH(C134,'Data Lokasi'!C:C,0)),"")</f>
        <v>0</v>
      </c>
      <c r="Q134" s="304">
        <f t="shared" si="5"/>
        <v>0</v>
      </c>
      <c r="R134" s="308"/>
    </row>
    <row r="135" spans="2:18" ht="15" hidden="1" thickTop="1">
      <c r="B135" s="269">
        <v>46192</v>
      </c>
      <c r="C135" s="268" t="s">
        <v>682</v>
      </c>
      <c r="D135" s="274">
        <f>IFERROR(VLOOKUP(C135,'Data Lokasi'!C:D,2,0),"")</f>
        <v>6.22</v>
      </c>
      <c r="E135" s="274" t="s">
        <v>2642</v>
      </c>
      <c r="F135" s="274"/>
      <c r="G135" s="274"/>
      <c r="H135" s="274"/>
      <c r="I135" s="274">
        <v>0.04</v>
      </c>
      <c r="J135" s="456">
        <f t="shared" si="4"/>
        <v>0.04</v>
      </c>
      <c r="K135" s="583"/>
      <c r="L135" s="268" t="s">
        <v>2625</v>
      </c>
      <c r="M135" s="268" t="s">
        <v>2631</v>
      </c>
      <c r="N135" s="278">
        <f>IFERROR(INDEX('Data Lokasi'!S:S,MATCH('Input Real Tanam&amp;Petik Nanas'!C135,'Data Lokasi'!C:C,0)),"")</f>
        <v>45092</v>
      </c>
      <c r="O135" s="278"/>
      <c r="P135" s="283">
        <f>IFERROR(INDEX('Data Lokasi'!V:V,MATCH(C135,'Data Lokasi'!C:C,0)),"")</f>
        <v>0</v>
      </c>
      <c r="Q135" s="304">
        <f t="shared" si="5"/>
        <v>0</v>
      </c>
      <c r="R135" s="308"/>
    </row>
    <row r="136" spans="2:18" ht="15" hidden="1" thickTop="1">
      <c r="B136" s="269">
        <v>46192</v>
      </c>
      <c r="C136" s="268" t="s">
        <v>702</v>
      </c>
      <c r="D136" s="274">
        <f>IFERROR(VLOOKUP(C136,'Data Lokasi'!C:D,2,0),"")</f>
        <v>4.7</v>
      </c>
      <c r="E136" s="274" t="s">
        <v>2642</v>
      </c>
      <c r="F136" s="274"/>
      <c r="G136" s="274"/>
      <c r="H136" s="274"/>
      <c r="I136" s="274">
        <v>0.06</v>
      </c>
      <c r="J136" s="456">
        <f t="shared" si="4"/>
        <v>0.06</v>
      </c>
      <c r="K136" s="583"/>
      <c r="L136" s="268" t="s">
        <v>2625</v>
      </c>
      <c r="M136" s="268" t="s">
        <v>2631</v>
      </c>
      <c r="N136" s="278">
        <f>IFERROR(INDEX('Data Lokasi'!S:S,MATCH('Input Real Tanam&amp;Petik Nanas'!C136,'Data Lokasi'!C:C,0)),"")</f>
        <v>45190</v>
      </c>
      <c r="O136" s="278"/>
      <c r="P136" s="283">
        <f>IFERROR(INDEX('Data Lokasi'!V:V,MATCH(C136,'Data Lokasi'!C:C,0)),"")</f>
        <v>0</v>
      </c>
      <c r="Q136" s="304">
        <f t="shared" ref="Q136:Q153" si="6">IF(ISERROR(P136/D136),"",(P136/D136))</f>
        <v>0</v>
      </c>
      <c r="R136" s="308"/>
    </row>
    <row r="137" spans="2:18" ht="15" hidden="1" thickTop="1">
      <c r="B137" s="269">
        <v>46192</v>
      </c>
      <c r="C137" s="268" t="s">
        <v>620</v>
      </c>
      <c r="D137" s="274">
        <f>IFERROR(VLOOKUP(C137,'Data Lokasi'!C:D,2,0),"")</f>
        <v>5.59</v>
      </c>
      <c r="E137" s="274" t="s">
        <v>2642</v>
      </c>
      <c r="F137" s="274"/>
      <c r="G137" s="274"/>
      <c r="H137" s="274"/>
      <c r="I137" s="274">
        <v>2.16</v>
      </c>
      <c r="J137" s="456">
        <f t="shared" ref="J137:J153" si="7">IF(SUM(F137:I137)=0,"",(SUM(F137:I137)))</f>
        <v>2.16</v>
      </c>
      <c r="K137" s="583"/>
      <c r="L137" s="268" t="s">
        <v>2625</v>
      </c>
      <c r="M137" s="268" t="s">
        <v>2631</v>
      </c>
      <c r="N137" s="278">
        <f>IFERROR(INDEX('Data Lokasi'!S:S,MATCH('Input Real Tanam&amp;Petik Nanas'!C137,'Data Lokasi'!C:C,0)),"")</f>
        <v>44859</v>
      </c>
      <c r="O137" s="278"/>
      <c r="P137" s="283">
        <f>IFERROR(INDEX('Data Lokasi'!V:V,MATCH(C137,'Data Lokasi'!C:C,0)),"")</f>
        <v>0</v>
      </c>
      <c r="Q137" s="304">
        <f t="shared" si="6"/>
        <v>0</v>
      </c>
      <c r="R137" s="308"/>
    </row>
    <row r="138" spans="2:18" ht="15" hidden="1" thickTop="1">
      <c r="B138" s="269">
        <v>46192</v>
      </c>
      <c r="C138" s="268" t="s">
        <v>2420</v>
      </c>
      <c r="D138" s="274">
        <f>IFERROR(VLOOKUP(C138,'Data Lokasi'!C:D,2,0),"")</f>
        <v>7.19</v>
      </c>
      <c r="E138" s="274" t="s">
        <v>2642</v>
      </c>
      <c r="F138" s="274"/>
      <c r="G138" s="274">
        <v>0.33</v>
      </c>
      <c r="H138" s="274"/>
      <c r="I138" s="274"/>
      <c r="J138" s="456">
        <f t="shared" si="7"/>
        <v>0.33</v>
      </c>
      <c r="K138" s="583"/>
      <c r="L138" s="268" t="s">
        <v>719</v>
      </c>
      <c r="M138" s="268" t="s">
        <v>2631</v>
      </c>
      <c r="N138" s="278">
        <f>IFERROR(INDEX('Data Lokasi'!S:S,MATCH('Input Real Tanam&amp;Petik Nanas'!C138,'Data Lokasi'!C:C,0)),"")</f>
        <v>46177</v>
      </c>
      <c r="O138" s="278"/>
      <c r="P138" s="283">
        <f>IFERROR(INDEX('Data Lokasi'!V:V,MATCH(C138,'Data Lokasi'!C:C,0)),"")</f>
        <v>0</v>
      </c>
      <c r="Q138" s="304">
        <f t="shared" si="6"/>
        <v>0</v>
      </c>
      <c r="R138" s="308"/>
    </row>
    <row r="139" spans="2:18" ht="15" hidden="1" thickTop="1">
      <c r="B139" s="269">
        <v>46192</v>
      </c>
      <c r="C139" s="268" t="s">
        <v>263</v>
      </c>
      <c r="D139" s="274">
        <f>IFERROR(VLOOKUP(C139,'Data Lokasi'!C:D,2,0),"")</f>
        <v>7.7</v>
      </c>
      <c r="E139" s="274" t="s">
        <v>2642</v>
      </c>
      <c r="F139" s="274"/>
      <c r="G139" s="274"/>
      <c r="H139" s="274"/>
      <c r="I139" s="274">
        <v>0.15</v>
      </c>
      <c r="J139" s="456">
        <f t="shared" si="7"/>
        <v>0.15</v>
      </c>
      <c r="K139" s="583"/>
      <c r="L139" s="268" t="s">
        <v>2625</v>
      </c>
      <c r="M139" s="268" t="s">
        <v>2634</v>
      </c>
      <c r="N139" s="278">
        <f>IFERROR(INDEX('Data Lokasi'!S:S,MATCH('Input Real Tanam&amp;Petik Nanas'!C139,'Data Lokasi'!C:C,0)),"")</f>
        <v>44079</v>
      </c>
      <c r="O139" s="278"/>
      <c r="P139" s="283">
        <f>IFERROR(INDEX('Data Lokasi'!V:V,MATCH(C139,'Data Lokasi'!C:C,0)),"")</f>
        <v>0</v>
      </c>
      <c r="Q139" s="304">
        <f t="shared" si="6"/>
        <v>0</v>
      </c>
      <c r="R139" s="308"/>
    </row>
    <row r="140" spans="2:18" ht="15" hidden="1" thickTop="1">
      <c r="B140" s="269">
        <v>46192</v>
      </c>
      <c r="C140" s="268" t="s">
        <v>623</v>
      </c>
      <c r="D140" s="274">
        <f>IFERROR(VLOOKUP(C140,'Data Lokasi'!C:D,2,0),"")</f>
        <v>4.07</v>
      </c>
      <c r="E140" s="274" t="s">
        <v>2642</v>
      </c>
      <c r="F140" s="274"/>
      <c r="G140" s="274"/>
      <c r="H140" s="274"/>
      <c r="I140" s="274">
        <v>1.88</v>
      </c>
      <c r="J140" s="456">
        <f t="shared" si="7"/>
        <v>1.88</v>
      </c>
      <c r="K140" s="583"/>
      <c r="L140" s="268" t="s">
        <v>2625</v>
      </c>
      <c r="M140" s="268" t="s">
        <v>2634</v>
      </c>
      <c r="N140" s="278">
        <f>IFERROR(INDEX('Data Lokasi'!S:S,MATCH('Input Real Tanam&amp;Petik Nanas'!C140,'Data Lokasi'!C:C,0)),"")</f>
        <v>44863</v>
      </c>
      <c r="O140" s="278"/>
      <c r="P140" s="283">
        <f>IFERROR(INDEX('Data Lokasi'!V:V,MATCH(C140,'Data Lokasi'!C:C,0)),"")</f>
        <v>0</v>
      </c>
      <c r="Q140" s="304">
        <f t="shared" si="6"/>
        <v>0</v>
      </c>
      <c r="R140" s="308"/>
    </row>
    <row r="141" spans="2:18" ht="15" hidden="1" thickTop="1">
      <c r="B141" s="269">
        <v>46192</v>
      </c>
      <c r="C141" s="268" t="s">
        <v>366</v>
      </c>
      <c r="D141" s="274">
        <f>IFERROR(VLOOKUP(C141,'Data Lokasi'!C:D,2,0),"")</f>
        <v>5.88</v>
      </c>
      <c r="E141" s="274" t="s">
        <v>2642</v>
      </c>
      <c r="F141" s="274"/>
      <c r="G141" s="274"/>
      <c r="H141" s="274">
        <v>0.12</v>
      </c>
      <c r="I141" s="274"/>
      <c r="J141" s="456">
        <f t="shared" si="7"/>
        <v>0.12</v>
      </c>
      <c r="K141" s="583"/>
      <c r="L141" s="268" t="s">
        <v>719</v>
      </c>
      <c r="M141" s="268" t="s">
        <v>2634</v>
      </c>
      <c r="N141" s="278">
        <f>IFERROR(INDEX('Data Lokasi'!S:S,MATCH('Input Real Tanam&amp;Petik Nanas'!C141,'Data Lokasi'!C:C,0)),"")</f>
        <v>44300</v>
      </c>
      <c r="O141" s="278"/>
      <c r="P141" s="283">
        <f>IFERROR(INDEX('Data Lokasi'!V:V,MATCH(C141,'Data Lokasi'!C:C,0)),"")</f>
        <v>0</v>
      </c>
      <c r="Q141" s="304">
        <f t="shared" si="6"/>
        <v>0</v>
      </c>
      <c r="R141" s="308"/>
    </row>
    <row r="142" spans="2:18" ht="15" hidden="1" thickTop="1">
      <c r="B142" s="269">
        <v>46192</v>
      </c>
      <c r="C142" s="268" t="s">
        <v>229</v>
      </c>
      <c r="D142" s="274">
        <f>IFERROR(VLOOKUP(C142,'Data Lokasi'!C:D,2,0),"")</f>
        <v>6.97</v>
      </c>
      <c r="E142" s="274" t="s">
        <v>2642</v>
      </c>
      <c r="F142" s="274"/>
      <c r="G142" s="274"/>
      <c r="H142" s="274"/>
      <c r="I142" s="274">
        <v>0.66</v>
      </c>
      <c r="J142" s="456">
        <f t="shared" si="7"/>
        <v>0.66</v>
      </c>
      <c r="K142" s="583"/>
      <c r="L142" s="268" t="s">
        <v>2625</v>
      </c>
      <c r="M142" s="268" t="s">
        <v>2634</v>
      </c>
      <c r="N142" s="278">
        <f>IFERROR(INDEX('Data Lokasi'!S:S,MATCH('Input Real Tanam&amp;Petik Nanas'!C142,'Data Lokasi'!C:C,0)),"")</f>
        <v>44020</v>
      </c>
      <c r="O142" s="278"/>
      <c r="P142" s="283">
        <f>IFERROR(INDEX('Data Lokasi'!V:V,MATCH(C142,'Data Lokasi'!C:C,0)),"")</f>
        <v>0</v>
      </c>
      <c r="Q142" s="304">
        <f t="shared" si="6"/>
        <v>0</v>
      </c>
      <c r="R142" s="308"/>
    </row>
    <row r="143" spans="2:18" ht="15" hidden="1" thickTop="1">
      <c r="B143" s="269">
        <v>46192</v>
      </c>
      <c r="C143" s="268" t="s">
        <v>441</v>
      </c>
      <c r="D143" s="274">
        <f>IFERROR(VLOOKUP(C143,'Data Lokasi'!C:D,2,0),"")</f>
        <v>11.2</v>
      </c>
      <c r="E143" s="274" t="s">
        <v>2643</v>
      </c>
      <c r="F143" s="274"/>
      <c r="G143" s="274">
        <f>0.04+0.05+0.11</f>
        <v>0.2</v>
      </c>
      <c r="H143" s="274">
        <v>0.18</v>
      </c>
      <c r="I143" s="274"/>
      <c r="J143" s="456">
        <f t="shared" si="7"/>
        <v>0.38</v>
      </c>
      <c r="K143" s="583"/>
      <c r="L143" s="268" t="s">
        <v>719</v>
      </c>
      <c r="M143" s="268" t="s">
        <v>2631</v>
      </c>
      <c r="N143" s="278">
        <f>IFERROR(INDEX('Data Lokasi'!S:S,MATCH('Input Real Tanam&amp;Petik Nanas'!C143,'Data Lokasi'!C:C,0)),"")</f>
        <v>44429</v>
      </c>
      <c r="O143" s="278"/>
      <c r="P143" s="283">
        <f>IFERROR(INDEX('Data Lokasi'!V:V,MATCH(C143,'Data Lokasi'!C:C,0)),"")</f>
        <v>0</v>
      </c>
      <c r="Q143" s="304">
        <f t="shared" si="6"/>
        <v>0</v>
      </c>
      <c r="R143" s="308">
        <v>2</v>
      </c>
    </row>
    <row r="144" spans="2:18" ht="15" hidden="1" thickTop="1">
      <c r="B144" s="269">
        <v>46192</v>
      </c>
      <c r="C144" s="268" t="s">
        <v>502</v>
      </c>
      <c r="D144" s="274">
        <f>IFERROR(VLOOKUP(C144,'Data Lokasi'!C:D,2,0),"")</f>
        <v>9.93</v>
      </c>
      <c r="E144" s="274" t="s">
        <v>2643</v>
      </c>
      <c r="F144" s="274"/>
      <c r="G144" s="274"/>
      <c r="H144" s="274"/>
      <c r="I144" s="274">
        <v>1.71</v>
      </c>
      <c r="J144" s="456">
        <f t="shared" si="7"/>
        <v>1.71</v>
      </c>
      <c r="K144" s="583"/>
      <c r="L144" s="268" t="s">
        <v>2625</v>
      </c>
      <c r="M144" s="268" t="s">
        <v>2631</v>
      </c>
      <c r="N144" s="278">
        <f>IFERROR(INDEX('Data Lokasi'!S:S,MATCH('Input Real Tanam&amp;Petik Nanas'!C144,'Data Lokasi'!C:C,0)),"")</f>
        <v>44574</v>
      </c>
      <c r="O144" s="278"/>
      <c r="P144" s="283">
        <f>IFERROR(INDEX('Data Lokasi'!V:V,MATCH(C144,'Data Lokasi'!C:C,0)),"")</f>
        <v>0</v>
      </c>
      <c r="Q144" s="304">
        <f t="shared" si="6"/>
        <v>0</v>
      </c>
      <c r="R144" s="308"/>
    </row>
    <row r="145" spans="2:18" ht="15" hidden="1" thickTop="1">
      <c r="B145" s="269">
        <v>46193</v>
      </c>
      <c r="C145" s="268" t="s">
        <v>354</v>
      </c>
      <c r="D145" s="274">
        <f>IFERROR(VLOOKUP(C145,'Data Lokasi'!C:D,2,0),"")</f>
        <v>12.94</v>
      </c>
      <c r="E145" s="274" t="s">
        <v>2643</v>
      </c>
      <c r="F145" s="274"/>
      <c r="G145" s="274"/>
      <c r="H145" s="274">
        <f>0.03+0.09</f>
        <v>0.12</v>
      </c>
      <c r="I145" s="274">
        <v>0.16</v>
      </c>
      <c r="J145" s="456">
        <f t="shared" si="7"/>
        <v>0.28000000000000003</v>
      </c>
      <c r="K145" s="583"/>
      <c r="L145" s="268" t="s">
        <v>719</v>
      </c>
      <c r="M145" s="268" t="s">
        <v>2631</v>
      </c>
      <c r="N145" s="278">
        <f>IFERROR(INDEX('Data Lokasi'!S:S,MATCH('Input Real Tanam&amp;Petik Nanas'!C145,'Data Lokasi'!C:C,0)),"")</f>
        <v>44279</v>
      </c>
      <c r="O145" s="278"/>
      <c r="P145" s="283">
        <f>IFERROR(INDEX('Data Lokasi'!V:V,MATCH(C145,'Data Lokasi'!C:C,0)),"")</f>
        <v>0</v>
      </c>
      <c r="Q145" s="304">
        <f t="shared" si="6"/>
        <v>0</v>
      </c>
      <c r="R145" s="308">
        <v>6</v>
      </c>
    </row>
    <row r="146" spans="2:18" ht="15" hidden="1" thickTop="1">
      <c r="B146" s="269">
        <v>46193</v>
      </c>
      <c r="C146" s="268" t="s">
        <v>2438</v>
      </c>
      <c r="D146" s="274">
        <f>IFERROR(VLOOKUP(C146,'Data Lokasi'!C:D,2,0),"")</f>
        <v>6.34</v>
      </c>
      <c r="E146" s="274" t="s">
        <v>2643</v>
      </c>
      <c r="F146" s="274"/>
      <c r="G146" s="274"/>
      <c r="H146" s="274"/>
      <c r="I146" s="274">
        <v>0.72</v>
      </c>
      <c r="J146" s="456">
        <f t="shared" si="7"/>
        <v>0.72</v>
      </c>
      <c r="K146" s="583"/>
      <c r="L146" s="268" t="s">
        <v>2625</v>
      </c>
      <c r="M146" s="268" t="s">
        <v>2631</v>
      </c>
      <c r="N146" s="278">
        <f>IFERROR(INDEX('Data Lokasi'!S:S,MATCH('Input Real Tanam&amp;Petik Nanas'!C146,'Data Lokasi'!C:C,0)),"")</f>
        <v>45672</v>
      </c>
      <c r="O146" s="278"/>
      <c r="P146" s="283">
        <f>IFERROR(INDEX('Data Lokasi'!V:V,MATCH(C146,'Data Lokasi'!C:C,0)),"")</f>
        <v>0</v>
      </c>
      <c r="Q146" s="304">
        <f t="shared" si="6"/>
        <v>0</v>
      </c>
      <c r="R146" s="308"/>
    </row>
    <row r="147" spans="2:18" ht="15" hidden="1" thickTop="1">
      <c r="B147" s="269">
        <v>46193</v>
      </c>
      <c r="C147" s="268" t="s">
        <v>2439</v>
      </c>
      <c r="D147" s="274">
        <f>IFERROR(VLOOKUP(C147,'Data Lokasi'!C:D,2,0),"")</f>
        <v>4.72</v>
      </c>
      <c r="E147" s="274" t="s">
        <v>2643</v>
      </c>
      <c r="F147" s="274"/>
      <c r="G147" s="274"/>
      <c r="H147" s="274"/>
      <c r="I147" s="274">
        <v>0.76</v>
      </c>
      <c r="J147" s="456">
        <f t="shared" si="7"/>
        <v>0.76</v>
      </c>
      <c r="K147" s="583"/>
      <c r="L147" s="268" t="s">
        <v>2625</v>
      </c>
      <c r="M147" s="268" t="s">
        <v>2631</v>
      </c>
      <c r="N147" s="278">
        <f>IFERROR(INDEX('Data Lokasi'!S:S,MATCH('Input Real Tanam&amp;Petik Nanas'!C147,'Data Lokasi'!C:C,0)),"")</f>
        <v>45673</v>
      </c>
      <c r="O147" s="278"/>
      <c r="P147" s="283">
        <f>IFERROR(INDEX('Data Lokasi'!V:V,MATCH(C147,'Data Lokasi'!C:C,0)),"")</f>
        <v>0</v>
      </c>
      <c r="Q147" s="304">
        <f t="shared" si="6"/>
        <v>0</v>
      </c>
      <c r="R147" s="308"/>
    </row>
    <row r="148" spans="2:18" ht="15" hidden="1" thickTop="1">
      <c r="B148" s="269">
        <v>46193</v>
      </c>
      <c r="C148" s="268" t="s">
        <v>409</v>
      </c>
      <c r="D148" s="274">
        <f>IFERROR(VLOOKUP(C148,'Data Lokasi'!C:D,2,0),"")</f>
        <v>8.83</v>
      </c>
      <c r="E148" s="274" t="s">
        <v>2643</v>
      </c>
      <c r="F148" s="274"/>
      <c r="G148" s="274">
        <v>0.06</v>
      </c>
      <c r="H148" s="274">
        <f>0.21+0.36</f>
        <v>0.56999999999999995</v>
      </c>
      <c r="I148" s="274"/>
      <c r="J148" s="456">
        <f t="shared" si="7"/>
        <v>0.62999999999999989</v>
      </c>
      <c r="K148" s="583"/>
      <c r="L148" s="268" t="s">
        <v>719</v>
      </c>
      <c r="M148" s="268" t="s">
        <v>2634</v>
      </c>
      <c r="N148" s="278">
        <f>IFERROR(INDEX('Data Lokasi'!S:S,MATCH('Input Real Tanam&amp;Petik Nanas'!C148,'Data Lokasi'!C:C,0)),"")</f>
        <v>44365</v>
      </c>
      <c r="O148" s="278"/>
      <c r="P148" s="283">
        <f>IFERROR(INDEX('Data Lokasi'!V:V,MATCH(C148,'Data Lokasi'!C:C,0)),"")</f>
        <v>0</v>
      </c>
      <c r="Q148" s="304">
        <f t="shared" si="6"/>
        <v>0</v>
      </c>
      <c r="R148" s="308">
        <v>4</v>
      </c>
    </row>
    <row r="149" spans="2:18" ht="15" hidden="1" thickTop="1">
      <c r="B149" s="269">
        <v>46193</v>
      </c>
      <c r="C149" s="268" t="s">
        <v>151</v>
      </c>
      <c r="D149" s="274">
        <f>IFERROR(VLOOKUP(C149,'Data Lokasi'!C:D,2,0),"")</f>
        <v>11.1</v>
      </c>
      <c r="E149" s="274" t="s">
        <v>2643</v>
      </c>
      <c r="F149" s="274"/>
      <c r="G149" s="274"/>
      <c r="H149" s="274"/>
      <c r="I149" s="274">
        <v>1.1599999999999999</v>
      </c>
      <c r="J149" s="456">
        <f t="shared" si="7"/>
        <v>1.1599999999999999</v>
      </c>
      <c r="K149" s="583"/>
      <c r="L149" s="268" t="s">
        <v>2625</v>
      </c>
      <c r="M149" s="268" t="s">
        <v>2634</v>
      </c>
      <c r="N149" s="278">
        <f>IFERROR(INDEX('Data Lokasi'!S:S,MATCH('Input Real Tanam&amp;Petik Nanas'!C149,'Data Lokasi'!C:C,0)),"")</f>
        <v>0</v>
      </c>
      <c r="O149" s="278"/>
      <c r="P149" s="283">
        <f>IFERROR(INDEX('Data Lokasi'!V:V,MATCH(C149,'Data Lokasi'!C:C,0)),"")</f>
        <v>0</v>
      </c>
      <c r="Q149" s="304">
        <f t="shared" si="6"/>
        <v>0</v>
      </c>
      <c r="R149" s="308"/>
    </row>
    <row r="150" spans="2:18" ht="15" hidden="1" thickTop="1">
      <c r="B150" s="269">
        <v>46193</v>
      </c>
      <c r="C150" s="268" t="s">
        <v>306</v>
      </c>
      <c r="D150" s="274">
        <f>IFERROR(VLOOKUP(C150,'Data Lokasi'!C:D,2,0),"")</f>
        <v>6.68</v>
      </c>
      <c r="E150" s="274" t="s">
        <v>2643</v>
      </c>
      <c r="F150" s="274"/>
      <c r="G150" s="274"/>
      <c r="H150" s="274"/>
      <c r="I150" s="274">
        <v>0.89</v>
      </c>
      <c r="J150" s="456">
        <f t="shared" si="7"/>
        <v>0.89</v>
      </c>
      <c r="K150" s="583"/>
      <c r="L150" s="268" t="s">
        <v>2625</v>
      </c>
      <c r="M150" s="268" t="s">
        <v>2631</v>
      </c>
      <c r="N150" s="278">
        <f>IFERROR(INDEX('Data Lokasi'!S:S,MATCH('Input Real Tanam&amp;Petik Nanas'!C150,'Data Lokasi'!C:C,0)),"")</f>
        <v>46306</v>
      </c>
      <c r="O150" s="278"/>
      <c r="P150" s="283">
        <f>IFERROR(INDEX('Data Lokasi'!V:V,MATCH(C150,'Data Lokasi'!C:C,0)),"")</f>
        <v>0.58000000000000007</v>
      </c>
      <c r="Q150" s="304">
        <f t="shared" si="6"/>
        <v>8.682634730538924E-2</v>
      </c>
      <c r="R150" s="308"/>
    </row>
    <row r="151" spans="2:18" ht="15" hidden="1" thickTop="1">
      <c r="B151" s="269">
        <v>46193</v>
      </c>
      <c r="C151" s="268" t="s">
        <v>441</v>
      </c>
      <c r="D151" s="274">
        <f>IFERROR(VLOOKUP(C151,'Data Lokasi'!C:D,2,0),"")</f>
        <v>11.2</v>
      </c>
      <c r="E151" s="274" t="s">
        <v>2643</v>
      </c>
      <c r="F151" s="274">
        <v>0.1</v>
      </c>
      <c r="G151" s="274">
        <f>0.09+0.18</f>
        <v>0.27</v>
      </c>
      <c r="H151" s="274">
        <f>0.15+0.08</f>
        <v>0.22999999999999998</v>
      </c>
      <c r="I151" s="274"/>
      <c r="J151" s="456">
        <f t="shared" si="7"/>
        <v>0.6</v>
      </c>
      <c r="K151" s="583"/>
      <c r="L151" s="268" t="s">
        <v>719</v>
      </c>
      <c r="M151" s="268" t="s">
        <v>2631</v>
      </c>
      <c r="N151" s="278">
        <f>IFERROR(INDEX('Data Lokasi'!S:S,MATCH('Input Real Tanam&amp;Petik Nanas'!C151,'Data Lokasi'!C:C,0)),"")</f>
        <v>44429</v>
      </c>
      <c r="O151" s="278"/>
      <c r="P151" s="283">
        <f>IFERROR(INDEX('Data Lokasi'!V:V,MATCH(C151,'Data Lokasi'!C:C,0)),"")</f>
        <v>0</v>
      </c>
      <c r="Q151" s="304">
        <f t="shared" si="6"/>
        <v>0</v>
      </c>
      <c r="R151" s="308">
        <v>2</v>
      </c>
    </row>
    <row r="152" spans="2:18" ht="15" hidden="1" thickTop="1">
      <c r="B152" s="269">
        <v>46193</v>
      </c>
      <c r="C152" s="268" t="s">
        <v>623</v>
      </c>
      <c r="D152" s="274">
        <f>IFERROR(VLOOKUP(C152,'Data Lokasi'!C:D,2,0),"")</f>
        <v>4.07</v>
      </c>
      <c r="E152" s="274" t="s">
        <v>2642</v>
      </c>
      <c r="F152" s="274"/>
      <c r="G152" s="274"/>
      <c r="H152" s="274"/>
      <c r="I152" s="274">
        <v>0.27</v>
      </c>
      <c r="J152" s="456">
        <f t="shared" si="7"/>
        <v>0.27</v>
      </c>
      <c r="K152" s="583"/>
      <c r="L152" s="268" t="s">
        <v>2625</v>
      </c>
      <c r="M152" s="268" t="s">
        <v>2634</v>
      </c>
      <c r="N152" s="278">
        <f>IFERROR(INDEX('Data Lokasi'!S:S,MATCH('Input Real Tanam&amp;Petik Nanas'!C152,'Data Lokasi'!C:C,0)),"")</f>
        <v>44863</v>
      </c>
      <c r="O152" s="278"/>
      <c r="P152" s="283">
        <f>IFERROR(INDEX('Data Lokasi'!V:V,MATCH(C152,'Data Lokasi'!C:C,0)),"")</f>
        <v>0</v>
      </c>
      <c r="Q152" s="304">
        <f t="shared" si="6"/>
        <v>0</v>
      </c>
      <c r="R152" s="308"/>
    </row>
    <row r="153" spans="2:18" ht="15" hidden="1" thickTop="1">
      <c r="B153" s="269">
        <v>46193</v>
      </c>
      <c r="C153" s="268" t="s">
        <v>552</v>
      </c>
      <c r="D153" s="274">
        <f>IFERROR(VLOOKUP(C153,'Data Lokasi'!C:D,2,0),"")</f>
        <v>13.36</v>
      </c>
      <c r="E153" s="274" t="s">
        <v>2642</v>
      </c>
      <c r="F153" s="274"/>
      <c r="G153" s="274"/>
      <c r="H153" s="274"/>
      <c r="I153" s="274">
        <v>0.93</v>
      </c>
      <c r="J153" s="456">
        <f t="shared" si="7"/>
        <v>0.93</v>
      </c>
      <c r="K153" s="583"/>
      <c r="L153" s="268" t="s">
        <v>2625</v>
      </c>
      <c r="M153" s="268" t="s">
        <v>2634</v>
      </c>
      <c r="N153" s="278">
        <f>IFERROR(INDEX('Data Lokasi'!S:S,MATCH('Input Real Tanam&amp;Petik Nanas'!C153,'Data Lokasi'!C:C,0)),"")</f>
        <v>44655</v>
      </c>
      <c r="O153" s="278"/>
      <c r="P153" s="283">
        <f>IFERROR(INDEX('Data Lokasi'!V:V,MATCH(C153,'Data Lokasi'!C:C,0)),"")</f>
        <v>0</v>
      </c>
      <c r="Q153" s="304">
        <f t="shared" si="6"/>
        <v>0</v>
      </c>
      <c r="R153" s="308"/>
    </row>
    <row r="154" spans="2:18" ht="15" hidden="1" thickTop="1">
      <c r="B154" s="269">
        <v>46193</v>
      </c>
      <c r="C154" s="268" t="s">
        <v>251</v>
      </c>
      <c r="D154" s="274">
        <f>IFERROR(VLOOKUP(C154,'Data Lokasi'!C:D,2,0),"")</f>
        <v>7.72</v>
      </c>
      <c r="E154" s="274" t="s">
        <v>2642</v>
      </c>
      <c r="F154" s="274"/>
      <c r="G154" s="274"/>
      <c r="H154" s="274"/>
      <c r="I154" s="274">
        <v>1.07</v>
      </c>
      <c r="J154" s="456">
        <f t="shared" ref="J154:J217" si="8">IF(SUM(F154:I154)=0,"",(SUM(F154:I154)))</f>
        <v>1.07</v>
      </c>
      <c r="K154" s="583"/>
      <c r="L154" s="268" t="s">
        <v>2625</v>
      </c>
      <c r="M154" s="268" t="s">
        <v>2634</v>
      </c>
      <c r="N154" s="278">
        <f>IFERROR(INDEX('Data Lokasi'!S:S,MATCH('Input Real Tanam&amp;Petik Nanas'!C154,'Data Lokasi'!C:C,0)),"")</f>
        <v>44067</v>
      </c>
      <c r="O154" s="278"/>
      <c r="P154" s="283">
        <f>IFERROR(INDEX('Data Lokasi'!V:V,MATCH(C154,'Data Lokasi'!C:C,0)),"")</f>
        <v>0</v>
      </c>
      <c r="Q154" s="304">
        <f t="shared" ref="Q154:Q217" si="9">IF(ISERROR(P154/D154),"",(P154/D154))</f>
        <v>0</v>
      </c>
      <c r="R154" s="308"/>
    </row>
    <row r="155" spans="2:18" ht="15" hidden="1" thickTop="1">
      <c r="B155" s="269">
        <v>46193</v>
      </c>
      <c r="C155" s="268" t="s">
        <v>687</v>
      </c>
      <c r="D155" s="274">
        <f>IFERROR(VLOOKUP(C155,'Data Lokasi'!C:D,2,0),"")</f>
        <v>10.58</v>
      </c>
      <c r="E155" s="274" t="s">
        <v>2642</v>
      </c>
      <c r="F155" s="274"/>
      <c r="G155" s="274"/>
      <c r="H155" s="274"/>
      <c r="I155" s="274">
        <v>0.1</v>
      </c>
      <c r="J155" s="456">
        <f t="shared" si="8"/>
        <v>0.1</v>
      </c>
      <c r="K155" s="583"/>
      <c r="L155" s="268" t="s">
        <v>2625</v>
      </c>
      <c r="M155" s="268" t="s">
        <v>2634</v>
      </c>
      <c r="N155" s="278">
        <f>IFERROR(INDEX('Data Lokasi'!S:S,MATCH('Input Real Tanam&amp;Petik Nanas'!C155,'Data Lokasi'!C:C,0)),"")</f>
        <v>45105</v>
      </c>
      <c r="O155" s="278"/>
      <c r="P155" s="283">
        <f>IFERROR(INDEX('Data Lokasi'!V:V,MATCH(C155,'Data Lokasi'!C:C,0)),"")</f>
        <v>0</v>
      </c>
      <c r="Q155" s="304">
        <f t="shared" si="9"/>
        <v>0</v>
      </c>
      <c r="R155" s="308"/>
    </row>
    <row r="156" spans="2:18" ht="15" hidden="1" thickTop="1">
      <c r="B156" s="269">
        <v>46193</v>
      </c>
      <c r="C156" s="268" t="s">
        <v>687</v>
      </c>
      <c r="D156" s="274">
        <f>IFERROR(VLOOKUP(C156,'Data Lokasi'!C:D,2,0),"")</f>
        <v>10.58</v>
      </c>
      <c r="E156" s="274" t="s">
        <v>2642</v>
      </c>
      <c r="F156" s="274"/>
      <c r="G156" s="274"/>
      <c r="H156" s="274">
        <v>0.61</v>
      </c>
      <c r="I156" s="274"/>
      <c r="J156" s="456">
        <f t="shared" si="8"/>
        <v>0.61</v>
      </c>
      <c r="K156" s="583"/>
      <c r="L156" s="268" t="s">
        <v>719</v>
      </c>
      <c r="M156" s="268" t="s">
        <v>2634</v>
      </c>
      <c r="N156" s="278">
        <f>IFERROR(INDEX('Data Lokasi'!S:S,MATCH('Input Real Tanam&amp;Petik Nanas'!C156,'Data Lokasi'!C:C,0)),"")</f>
        <v>45105</v>
      </c>
      <c r="O156" s="278"/>
      <c r="P156" s="283">
        <f>IFERROR(INDEX('Data Lokasi'!V:V,MATCH(C156,'Data Lokasi'!C:C,0)),"")</f>
        <v>0</v>
      </c>
      <c r="Q156" s="304">
        <f t="shared" si="9"/>
        <v>0</v>
      </c>
      <c r="R156" s="308"/>
    </row>
    <row r="157" spans="2:18" ht="15" hidden="1" thickTop="1">
      <c r="B157" s="269">
        <v>46193</v>
      </c>
      <c r="C157" s="268" t="s">
        <v>366</v>
      </c>
      <c r="D157" s="274">
        <f>IFERROR(VLOOKUP(C157,'Data Lokasi'!C:D,2,0),"")</f>
        <v>5.88</v>
      </c>
      <c r="E157" s="274" t="s">
        <v>2642</v>
      </c>
      <c r="F157" s="274"/>
      <c r="G157" s="274">
        <v>0.03</v>
      </c>
      <c r="H157" s="274"/>
      <c r="I157" s="274"/>
      <c r="J157" s="456">
        <f t="shared" si="8"/>
        <v>0.03</v>
      </c>
      <c r="K157" s="583"/>
      <c r="L157" s="268" t="s">
        <v>719</v>
      </c>
      <c r="M157" s="268" t="s">
        <v>2634</v>
      </c>
      <c r="N157" s="278">
        <f>IFERROR(INDEX('Data Lokasi'!S:S,MATCH('Input Real Tanam&amp;Petik Nanas'!C157,'Data Lokasi'!C:C,0)),"")</f>
        <v>44300</v>
      </c>
      <c r="O157" s="278"/>
      <c r="P157" s="283">
        <f>IFERROR(INDEX('Data Lokasi'!V:V,MATCH(C157,'Data Lokasi'!C:C,0)),"")</f>
        <v>0</v>
      </c>
      <c r="Q157" s="304">
        <f t="shared" si="9"/>
        <v>0</v>
      </c>
      <c r="R157" s="308"/>
    </row>
    <row r="158" spans="2:18" ht="15" hidden="1" thickTop="1">
      <c r="B158" s="269">
        <v>46193</v>
      </c>
      <c r="C158" s="268" t="s">
        <v>251</v>
      </c>
      <c r="D158" s="274">
        <f>IFERROR(VLOOKUP(C158,'Data Lokasi'!C:D,2,0),"")</f>
        <v>7.72</v>
      </c>
      <c r="E158" s="274" t="s">
        <v>2642</v>
      </c>
      <c r="F158" s="274"/>
      <c r="G158" s="274"/>
      <c r="H158" s="274"/>
      <c r="I158" s="274">
        <v>3.01</v>
      </c>
      <c r="J158" s="456">
        <f t="shared" si="8"/>
        <v>3.01</v>
      </c>
      <c r="K158" s="583"/>
      <c r="L158" s="268" t="s">
        <v>2625</v>
      </c>
      <c r="M158" s="268" t="s">
        <v>2631</v>
      </c>
      <c r="N158" s="278">
        <f>IFERROR(INDEX('Data Lokasi'!S:S,MATCH('Input Real Tanam&amp;Petik Nanas'!C158,'Data Lokasi'!C:C,0)),"")</f>
        <v>44067</v>
      </c>
      <c r="O158" s="278"/>
      <c r="P158" s="283">
        <f>IFERROR(INDEX('Data Lokasi'!V:V,MATCH(C158,'Data Lokasi'!C:C,0)),"")</f>
        <v>0</v>
      </c>
      <c r="Q158" s="304">
        <f t="shared" si="9"/>
        <v>0</v>
      </c>
      <c r="R158" s="308"/>
    </row>
    <row r="159" spans="2:18" ht="15" hidden="1" thickTop="1">
      <c r="B159" s="269">
        <v>46194</v>
      </c>
      <c r="C159" s="268" t="s">
        <v>623</v>
      </c>
      <c r="D159" s="274">
        <f>IFERROR(VLOOKUP(C159,'Data Lokasi'!C:D,2,0),"")</f>
        <v>4.07</v>
      </c>
      <c r="E159" s="274" t="s">
        <v>2642</v>
      </c>
      <c r="F159" s="274"/>
      <c r="G159" s="274"/>
      <c r="H159" s="274"/>
      <c r="I159" s="274">
        <v>0.85</v>
      </c>
      <c r="J159" s="456">
        <f t="shared" si="8"/>
        <v>0.85</v>
      </c>
      <c r="K159" s="583"/>
      <c r="L159" s="268" t="s">
        <v>2625</v>
      </c>
      <c r="M159" s="268" t="s">
        <v>2634</v>
      </c>
      <c r="N159" s="278">
        <f>IFERROR(INDEX('Data Lokasi'!S:S,MATCH('Input Real Tanam&amp;Petik Nanas'!C159,'Data Lokasi'!C:C,0)),"")</f>
        <v>44863</v>
      </c>
      <c r="O159" s="278"/>
      <c r="P159" s="283">
        <f>IFERROR(INDEX('Data Lokasi'!V:V,MATCH(C159,'Data Lokasi'!C:C,0)),"")</f>
        <v>0</v>
      </c>
      <c r="Q159" s="304">
        <f t="shared" si="9"/>
        <v>0</v>
      </c>
      <c r="R159" s="308"/>
    </row>
    <row r="160" spans="2:18" ht="15" hidden="1" thickTop="1">
      <c r="B160" s="269">
        <v>46194</v>
      </c>
      <c r="C160" s="268" t="s">
        <v>665</v>
      </c>
      <c r="D160" s="274">
        <f>IFERROR(VLOOKUP(C160,'Data Lokasi'!C:D,2,0),"")</f>
        <v>4.68</v>
      </c>
      <c r="E160" s="274" t="s">
        <v>2642</v>
      </c>
      <c r="F160" s="274"/>
      <c r="G160" s="274"/>
      <c r="H160" s="274"/>
      <c r="I160" s="274">
        <v>0.48</v>
      </c>
      <c r="J160" s="456">
        <f t="shared" si="8"/>
        <v>0.48</v>
      </c>
      <c r="K160" s="583"/>
      <c r="L160" s="268" t="s">
        <v>2625</v>
      </c>
      <c r="M160" s="268" t="s">
        <v>2634</v>
      </c>
      <c r="N160" s="278">
        <f>IFERROR(INDEX('Data Lokasi'!S:S,MATCH('Input Real Tanam&amp;Petik Nanas'!C160,'Data Lokasi'!C:C,0)),"")</f>
        <v>45061</v>
      </c>
      <c r="O160" s="278"/>
      <c r="P160" s="283">
        <f>IFERROR(INDEX('Data Lokasi'!V:V,MATCH(C160,'Data Lokasi'!C:C,0)),"")</f>
        <v>0</v>
      </c>
      <c r="Q160" s="304">
        <f t="shared" si="9"/>
        <v>0</v>
      </c>
      <c r="R160" s="308"/>
    </row>
    <row r="161" spans="2:18" ht="15" hidden="1" thickTop="1">
      <c r="B161" s="269">
        <v>46194</v>
      </c>
      <c r="C161" s="268" t="s">
        <v>229</v>
      </c>
      <c r="D161" s="274">
        <f>IFERROR(VLOOKUP(C161,'Data Lokasi'!C:D,2,0),"")</f>
        <v>6.97</v>
      </c>
      <c r="E161" s="274" t="s">
        <v>2642</v>
      </c>
      <c r="F161" s="274"/>
      <c r="G161" s="274"/>
      <c r="H161" s="274"/>
      <c r="I161" s="274">
        <v>0.34</v>
      </c>
      <c r="J161" s="456">
        <f t="shared" si="8"/>
        <v>0.34</v>
      </c>
      <c r="K161" s="583"/>
      <c r="L161" s="268" t="s">
        <v>2625</v>
      </c>
      <c r="M161" s="268" t="s">
        <v>2634</v>
      </c>
      <c r="N161" s="278">
        <f>IFERROR(INDEX('Data Lokasi'!S:S,MATCH('Input Real Tanam&amp;Petik Nanas'!C161,'Data Lokasi'!C:C,0)),"")</f>
        <v>44020</v>
      </c>
      <c r="O161" s="278"/>
      <c r="P161" s="283">
        <f>IFERROR(INDEX('Data Lokasi'!V:V,MATCH(C161,'Data Lokasi'!C:C,0)),"")</f>
        <v>0</v>
      </c>
      <c r="Q161" s="304">
        <f t="shared" si="9"/>
        <v>0</v>
      </c>
      <c r="R161" s="308"/>
    </row>
    <row r="162" spans="2:18" ht="15" hidden="1" thickTop="1">
      <c r="B162" s="269">
        <v>46194</v>
      </c>
      <c r="C162" s="268" t="s">
        <v>687</v>
      </c>
      <c r="D162" s="274">
        <f>IFERROR(VLOOKUP(C162,'Data Lokasi'!C:D,2,0),"")</f>
        <v>10.58</v>
      </c>
      <c r="E162" s="274" t="s">
        <v>2642</v>
      </c>
      <c r="F162" s="274"/>
      <c r="G162" s="274"/>
      <c r="H162" s="274"/>
      <c r="I162" s="274">
        <v>0.54</v>
      </c>
      <c r="J162" s="456">
        <f t="shared" si="8"/>
        <v>0.54</v>
      </c>
      <c r="K162" s="583"/>
      <c r="L162" s="268" t="s">
        <v>2625</v>
      </c>
      <c r="M162" s="268" t="s">
        <v>2634</v>
      </c>
      <c r="N162" s="278">
        <f>IFERROR(INDEX('Data Lokasi'!S:S,MATCH('Input Real Tanam&amp;Petik Nanas'!C162,'Data Lokasi'!C:C,0)),"")</f>
        <v>45105</v>
      </c>
      <c r="O162" s="278"/>
      <c r="P162" s="283">
        <f>IFERROR(INDEX('Data Lokasi'!V:V,MATCH(C162,'Data Lokasi'!C:C,0)),"")</f>
        <v>0</v>
      </c>
      <c r="Q162" s="304">
        <f t="shared" si="9"/>
        <v>0</v>
      </c>
      <c r="R162" s="308"/>
    </row>
    <row r="163" spans="2:18" ht="15" hidden="1" thickTop="1">
      <c r="B163" s="269">
        <v>46194</v>
      </c>
      <c r="C163" s="268" t="s">
        <v>687</v>
      </c>
      <c r="D163" s="274">
        <f>IFERROR(VLOOKUP(C163,'Data Lokasi'!C:D,2,0),"")</f>
        <v>10.58</v>
      </c>
      <c r="E163" s="274" t="s">
        <v>2642</v>
      </c>
      <c r="F163" s="274"/>
      <c r="G163" s="274"/>
      <c r="H163" s="274">
        <v>0.1</v>
      </c>
      <c r="I163" s="274"/>
      <c r="J163" s="456">
        <f t="shared" si="8"/>
        <v>0.1</v>
      </c>
      <c r="K163" s="583"/>
      <c r="L163" s="268" t="s">
        <v>719</v>
      </c>
      <c r="M163" s="268" t="s">
        <v>2634</v>
      </c>
      <c r="N163" s="278">
        <f>IFERROR(INDEX('Data Lokasi'!S:S,MATCH('Input Real Tanam&amp;Petik Nanas'!C163,'Data Lokasi'!C:C,0)),"")</f>
        <v>45105</v>
      </c>
      <c r="O163" s="278"/>
      <c r="P163" s="283">
        <f>IFERROR(INDEX('Data Lokasi'!V:V,MATCH(C163,'Data Lokasi'!C:C,0)),"")</f>
        <v>0</v>
      </c>
      <c r="Q163" s="304">
        <f t="shared" si="9"/>
        <v>0</v>
      </c>
      <c r="R163" s="308"/>
    </row>
    <row r="164" spans="2:18" ht="15" hidden="1" thickTop="1">
      <c r="B164" s="269">
        <v>46194</v>
      </c>
      <c r="C164" s="268" t="s">
        <v>366</v>
      </c>
      <c r="D164" s="274">
        <f>IFERROR(VLOOKUP(C164,'Data Lokasi'!C:D,2,0),"")</f>
        <v>5.88</v>
      </c>
      <c r="E164" s="274" t="s">
        <v>2642</v>
      </c>
      <c r="F164" s="274"/>
      <c r="G164" s="274">
        <v>0.03</v>
      </c>
      <c r="H164" s="274">
        <v>0.2</v>
      </c>
      <c r="I164" s="274"/>
      <c r="J164" s="456">
        <f t="shared" si="8"/>
        <v>0.23</v>
      </c>
      <c r="K164" s="583"/>
      <c r="L164" s="268" t="s">
        <v>719</v>
      </c>
      <c r="M164" s="268" t="s">
        <v>2634</v>
      </c>
      <c r="N164" s="278">
        <f>IFERROR(INDEX('Data Lokasi'!S:S,MATCH('Input Real Tanam&amp;Petik Nanas'!C164,'Data Lokasi'!C:C,0)),"")</f>
        <v>44300</v>
      </c>
      <c r="O164" s="278"/>
      <c r="P164" s="283">
        <f>IFERROR(INDEX('Data Lokasi'!V:V,MATCH(C164,'Data Lokasi'!C:C,0)),"")</f>
        <v>0</v>
      </c>
      <c r="Q164" s="304">
        <f t="shared" si="9"/>
        <v>0</v>
      </c>
      <c r="R164" s="308"/>
    </row>
    <row r="165" spans="2:18" ht="15" hidden="1" thickTop="1">
      <c r="B165" s="269">
        <v>46194</v>
      </c>
      <c r="C165" s="268" t="s">
        <v>251</v>
      </c>
      <c r="D165" s="274">
        <f>IFERROR(VLOOKUP(C165,'Data Lokasi'!C:D,2,0),"")</f>
        <v>7.72</v>
      </c>
      <c r="E165" s="274" t="s">
        <v>2642</v>
      </c>
      <c r="F165" s="274"/>
      <c r="G165" s="274"/>
      <c r="H165" s="274"/>
      <c r="I165" s="274">
        <v>2.14</v>
      </c>
      <c r="J165" s="456">
        <f t="shared" si="8"/>
        <v>2.14</v>
      </c>
      <c r="K165" s="583"/>
      <c r="L165" s="268" t="s">
        <v>2625</v>
      </c>
      <c r="M165" s="268" t="s">
        <v>2631</v>
      </c>
      <c r="N165" s="278">
        <f>IFERROR(INDEX('Data Lokasi'!S:S,MATCH('Input Real Tanam&amp;Petik Nanas'!C165,'Data Lokasi'!C:C,0)),"")</f>
        <v>44067</v>
      </c>
      <c r="O165" s="278"/>
      <c r="P165" s="283">
        <f>IFERROR(INDEX('Data Lokasi'!V:V,MATCH(C165,'Data Lokasi'!C:C,0)),"")</f>
        <v>0</v>
      </c>
      <c r="Q165" s="304">
        <f t="shared" si="9"/>
        <v>0</v>
      </c>
      <c r="R165" s="308"/>
    </row>
    <row r="166" spans="2:18" ht="15" hidden="1" thickTop="1">
      <c r="B166" s="269">
        <v>46194</v>
      </c>
      <c r="C166" s="268" t="s">
        <v>182</v>
      </c>
      <c r="D166" s="274">
        <f>IFERROR(VLOOKUP(C166,'Data Lokasi'!C:D,2,0),"")</f>
        <v>8.7200000000000006</v>
      </c>
      <c r="E166" s="274" t="s">
        <v>2642</v>
      </c>
      <c r="F166" s="274"/>
      <c r="G166" s="274"/>
      <c r="H166" s="274"/>
      <c r="I166" s="274">
        <v>0.09</v>
      </c>
      <c r="J166" s="456">
        <f t="shared" si="8"/>
        <v>0.09</v>
      </c>
      <c r="K166" s="583"/>
      <c r="L166" s="268" t="s">
        <v>2625</v>
      </c>
      <c r="M166" s="268" t="s">
        <v>2631</v>
      </c>
      <c r="N166" s="278">
        <f>IFERROR(INDEX('Data Lokasi'!S:S,MATCH('Input Real Tanam&amp;Petik Nanas'!C166,'Data Lokasi'!C:C,0)),"")</f>
        <v>43935</v>
      </c>
      <c r="O166" s="278"/>
      <c r="P166" s="283">
        <f>IFERROR(INDEX('Data Lokasi'!V:V,MATCH(C166,'Data Lokasi'!C:C,0)),"")</f>
        <v>0</v>
      </c>
      <c r="Q166" s="304">
        <f t="shared" si="9"/>
        <v>0</v>
      </c>
      <c r="R166" s="308"/>
    </row>
    <row r="167" spans="2:18" ht="15" hidden="1" thickTop="1">
      <c r="B167" s="269">
        <v>46194</v>
      </c>
      <c r="C167" s="268" t="s">
        <v>2621</v>
      </c>
      <c r="D167" s="274">
        <f>IFERROR(VLOOKUP(C167,'Data Lokasi'!C:D,2,0),"")</f>
        <v>2</v>
      </c>
      <c r="E167" s="274" t="s">
        <v>2642</v>
      </c>
      <c r="F167" s="274"/>
      <c r="G167" s="274"/>
      <c r="H167" s="274"/>
      <c r="I167" s="274">
        <v>0.4</v>
      </c>
      <c r="J167" s="456">
        <f t="shared" si="8"/>
        <v>0.4</v>
      </c>
      <c r="K167" s="583"/>
      <c r="L167" s="268" t="s">
        <v>719</v>
      </c>
      <c r="M167" s="268" t="s">
        <v>2631</v>
      </c>
      <c r="N167" s="278">
        <f>IFERROR(INDEX('Data Lokasi'!S:S,MATCH('Input Real Tanam&amp;Petik Nanas'!C167,'Data Lokasi'!C:C,0)),"")</f>
        <v>46175</v>
      </c>
      <c r="O167" s="278"/>
      <c r="P167" s="283">
        <f>IFERROR(INDEX('Data Lokasi'!V:V,MATCH(C167,'Data Lokasi'!C:C,0)),"")</f>
        <v>0</v>
      </c>
      <c r="Q167" s="304">
        <f t="shared" si="9"/>
        <v>0</v>
      </c>
      <c r="R167" s="308"/>
    </row>
    <row r="168" spans="2:18" ht="15" hidden="1" thickTop="1">
      <c r="B168" s="269">
        <v>46194</v>
      </c>
      <c r="C168" s="268" t="s">
        <v>441</v>
      </c>
      <c r="D168" s="274">
        <f>IFERROR(VLOOKUP(C168,'Data Lokasi'!C:D,2,0),"")</f>
        <v>11.2</v>
      </c>
      <c r="E168" s="274" t="s">
        <v>2643</v>
      </c>
      <c r="F168" s="274">
        <v>0.09</v>
      </c>
      <c r="G168" s="274">
        <f>0.14+0.17</f>
        <v>0.31000000000000005</v>
      </c>
      <c r="H168" s="274">
        <f>0.19+0.08</f>
        <v>0.27</v>
      </c>
      <c r="I168" s="274"/>
      <c r="J168" s="456">
        <f t="shared" si="8"/>
        <v>0.67</v>
      </c>
      <c r="K168" s="583"/>
      <c r="L168" s="268" t="s">
        <v>719</v>
      </c>
      <c r="M168" s="268" t="s">
        <v>2631</v>
      </c>
      <c r="N168" s="278">
        <f>IFERROR(INDEX('Data Lokasi'!S:S,MATCH('Input Real Tanam&amp;Petik Nanas'!C168,'Data Lokasi'!C:C,0)),"")</f>
        <v>44429</v>
      </c>
      <c r="O168" s="278"/>
      <c r="P168" s="283">
        <f>IFERROR(INDEX('Data Lokasi'!V:V,MATCH(C168,'Data Lokasi'!C:C,0)),"")</f>
        <v>0</v>
      </c>
      <c r="Q168" s="304">
        <f t="shared" si="9"/>
        <v>0</v>
      </c>
      <c r="R168" s="308">
        <v>2</v>
      </c>
    </row>
    <row r="169" spans="2:18" ht="15" hidden="1" thickTop="1">
      <c r="B169" s="269">
        <v>46194</v>
      </c>
      <c r="C169" s="268" t="s">
        <v>476</v>
      </c>
      <c r="D169" s="274">
        <f>IFERROR(VLOOKUP(C169,'Data Lokasi'!C:D,2,0),"")</f>
        <v>5.26</v>
      </c>
      <c r="E169" s="274" t="s">
        <v>2643</v>
      </c>
      <c r="F169" s="274"/>
      <c r="G169" s="274">
        <v>0.03</v>
      </c>
      <c r="H169" s="274">
        <f>0.14+0.22</f>
        <v>0.36</v>
      </c>
      <c r="I169" s="274"/>
      <c r="J169" s="456">
        <f t="shared" si="8"/>
        <v>0.39</v>
      </c>
      <c r="K169" s="583"/>
      <c r="L169" s="268" t="s">
        <v>719</v>
      </c>
      <c r="M169" s="268" t="s">
        <v>2634</v>
      </c>
      <c r="N169" s="278">
        <f>IFERROR(INDEX('Data Lokasi'!S:S,MATCH('Input Real Tanam&amp;Petik Nanas'!C169,'Data Lokasi'!C:C,0)),"")</f>
        <v>44487</v>
      </c>
      <c r="O169" s="278"/>
      <c r="P169" s="283">
        <f>IFERROR(INDEX('Data Lokasi'!V:V,MATCH(C169,'Data Lokasi'!C:C,0)),"")</f>
        <v>0</v>
      </c>
      <c r="Q169" s="304">
        <f t="shared" si="9"/>
        <v>0</v>
      </c>
      <c r="R169" s="308">
        <v>5</v>
      </c>
    </row>
    <row r="170" spans="2:18" ht="15" hidden="1" thickTop="1">
      <c r="B170" s="269">
        <v>46194</v>
      </c>
      <c r="C170" s="268" t="s">
        <v>523</v>
      </c>
      <c r="D170" s="274">
        <f>IFERROR(VLOOKUP(C170,'Data Lokasi'!C:D,2,0),"")</f>
        <v>8.73</v>
      </c>
      <c r="E170" s="274" t="s">
        <v>2643</v>
      </c>
      <c r="F170" s="274"/>
      <c r="G170" s="274"/>
      <c r="H170" s="274"/>
      <c r="I170" s="274">
        <v>2.15</v>
      </c>
      <c r="J170" s="456">
        <f t="shared" si="8"/>
        <v>2.15</v>
      </c>
      <c r="K170" s="583"/>
      <c r="L170" s="268" t="s">
        <v>2625</v>
      </c>
      <c r="M170" s="268" t="s">
        <v>2634</v>
      </c>
      <c r="N170" s="278">
        <f>IFERROR(INDEX('Data Lokasi'!S:S,MATCH('Input Real Tanam&amp;Petik Nanas'!C170,'Data Lokasi'!C:C,0)),"")</f>
        <v>44600</v>
      </c>
      <c r="O170" s="278"/>
      <c r="P170" s="283">
        <f>IFERROR(INDEX('Data Lokasi'!V:V,MATCH(C170,'Data Lokasi'!C:C,0)),"")</f>
        <v>0</v>
      </c>
      <c r="Q170" s="304">
        <f t="shared" si="9"/>
        <v>0</v>
      </c>
      <c r="R170" s="308"/>
    </row>
    <row r="171" spans="2:18" ht="15" hidden="1" thickTop="1">
      <c r="B171" s="269">
        <v>46194</v>
      </c>
      <c r="C171" s="268" t="s">
        <v>354</v>
      </c>
      <c r="D171" s="274">
        <f>IFERROR(VLOOKUP(C171,'Data Lokasi'!C:D,2,0),"")</f>
        <v>12.94</v>
      </c>
      <c r="E171" s="274" t="s">
        <v>2643</v>
      </c>
      <c r="F171" s="274"/>
      <c r="G171" s="274">
        <v>0.01</v>
      </c>
      <c r="H171" s="274">
        <f>0.07+0.21</f>
        <v>0.28000000000000003</v>
      </c>
      <c r="I171" s="274">
        <v>0.46</v>
      </c>
      <c r="J171" s="456">
        <f t="shared" si="8"/>
        <v>0.75</v>
      </c>
      <c r="K171" s="583"/>
      <c r="L171" s="268" t="s">
        <v>719</v>
      </c>
      <c r="M171" s="268" t="s">
        <v>2631</v>
      </c>
      <c r="N171" s="278">
        <f>IFERROR(INDEX('Data Lokasi'!S:S,MATCH('Input Real Tanam&amp;Petik Nanas'!C171,'Data Lokasi'!C:C,0)),"")</f>
        <v>44279</v>
      </c>
      <c r="O171" s="278"/>
      <c r="P171" s="283">
        <f>IFERROR(INDEX('Data Lokasi'!V:V,MATCH(C171,'Data Lokasi'!C:C,0)),"")</f>
        <v>0</v>
      </c>
      <c r="Q171" s="304">
        <f t="shared" si="9"/>
        <v>0</v>
      </c>
      <c r="R171" s="308">
        <v>6</v>
      </c>
    </row>
    <row r="172" spans="2:18" ht="15" hidden="1" thickTop="1">
      <c r="B172" s="269">
        <v>46195</v>
      </c>
      <c r="C172" s="268" t="s">
        <v>2612</v>
      </c>
      <c r="D172" s="274">
        <f>IFERROR(VLOOKUP(C172,'Data Lokasi'!C:D,2,0),"")</f>
        <v>5.7</v>
      </c>
      <c r="E172" s="274" t="s">
        <v>2642</v>
      </c>
      <c r="F172" s="274"/>
      <c r="G172" s="274"/>
      <c r="H172" s="274">
        <v>0.05</v>
      </c>
      <c r="I172" s="274"/>
      <c r="J172" s="456">
        <f t="shared" si="8"/>
        <v>0.05</v>
      </c>
      <c r="K172" s="583"/>
      <c r="L172" s="268" t="s">
        <v>719</v>
      </c>
      <c r="M172" s="268" t="s">
        <v>2631</v>
      </c>
      <c r="N172" s="278">
        <f>IFERROR(INDEX('Data Lokasi'!S:S,MATCH('Input Real Tanam&amp;Petik Nanas'!C172,'Data Lokasi'!C:C,0)),"")</f>
        <v>46141</v>
      </c>
      <c r="O172" s="278"/>
      <c r="P172" s="283">
        <f>IFERROR(INDEX('Data Lokasi'!V:V,MATCH(C172,'Data Lokasi'!C:C,0)),"")</f>
        <v>0</v>
      </c>
      <c r="Q172" s="304">
        <f t="shared" si="9"/>
        <v>0</v>
      </c>
      <c r="R172" s="308"/>
    </row>
    <row r="173" spans="2:18" ht="15" hidden="1" thickTop="1">
      <c r="B173" s="269">
        <v>46195</v>
      </c>
      <c r="C173" s="268" t="s">
        <v>2611</v>
      </c>
      <c r="D173" s="274">
        <f>IFERROR(VLOOKUP(C173,'Data Lokasi'!C:D,2,0),"")</f>
        <v>7.53</v>
      </c>
      <c r="E173" s="274" t="s">
        <v>2642</v>
      </c>
      <c r="F173" s="274"/>
      <c r="G173" s="274"/>
      <c r="H173" s="274"/>
      <c r="I173" s="274">
        <v>0.06</v>
      </c>
      <c r="J173" s="456">
        <f t="shared" si="8"/>
        <v>0.06</v>
      </c>
      <c r="K173" s="583"/>
      <c r="L173" s="268" t="s">
        <v>2625</v>
      </c>
      <c r="M173" s="268" t="s">
        <v>2631</v>
      </c>
      <c r="N173" s="278">
        <f>IFERROR(INDEX('Data Lokasi'!S:S,MATCH('Input Real Tanam&amp;Petik Nanas'!C173,'Data Lokasi'!C:C,0)),"")</f>
        <v>46140</v>
      </c>
      <c r="O173" s="278"/>
      <c r="P173" s="283">
        <f>IFERROR(INDEX('Data Lokasi'!V:V,MATCH(C173,'Data Lokasi'!C:C,0)),"")</f>
        <v>0</v>
      </c>
      <c r="Q173" s="304">
        <f t="shared" si="9"/>
        <v>0</v>
      </c>
      <c r="R173" s="308"/>
    </row>
    <row r="174" spans="2:18" ht="15" hidden="1" thickTop="1">
      <c r="B174" s="269">
        <v>46195</v>
      </c>
      <c r="C174" s="268" t="s">
        <v>671</v>
      </c>
      <c r="D174" s="274">
        <f>IFERROR(VLOOKUP(C174,'Data Lokasi'!C:D,2,0),"")</f>
        <v>7.82</v>
      </c>
      <c r="E174" s="274" t="s">
        <v>2642</v>
      </c>
      <c r="F174" s="274"/>
      <c r="G174" s="274"/>
      <c r="H174" s="274"/>
      <c r="I174" s="274">
        <v>1.6</v>
      </c>
      <c r="J174" s="456">
        <f t="shared" si="8"/>
        <v>1.6</v>
      </c>
      <c r="K174" s="583"/>
      <c r="L174" s="268" t="s">
        <v>2625</v>
      </c>
      <c r="M174" s="268" t="s">
        <v>2631</v>
      </c>
      <c r="N174" s="278">
        <f>IFERROR(INDEX('Data Lokasi'!S:S,MATCH('Input Real Tanam&amp;Petik Nanas'!C174,'Data Lokasi'!C:C,0)),"")</f>
        <v>45067</v>
      </c>
      <c r="O174" s="278"/>
      <c r="P174" s="283">
        <f>IFERROR(INDEX('Data Lokasi'!V:V,MATCH(C174,'Data Lokasi'!C:C,0)),"")</f>
        <v>0</v>
      </c>
      <c r="Q174" s="304">
        <f t="shared" si="9"/>
        <v>0</v>
      </c>
      <c r="R174" s="308"/>
    </row>
    <row r="175" spans="2:18" ht="15" hidden="1" thickTop="1">
      <c r="B175" s="269">
        <v>46195</v>
      </c>
      <c r="C175" s="268" t="s">
        <v>2420</v>
      </c>
      <c r="D175" s="274">
        <f>IFERROR(VLOOKUP(C175,'Data Lokasi'!C:D,2,0),"")</f>
        <v>7.19</v>
      </c>
      <c r="E175" s="274" t="s">
        <v>2642</v>
      </c>
      <c r="F175" s="274"/>
      <c r="G175" s="274"/>
      <c r="H175" s="274">
        <v>0.13</v>
      </c>
      <c r="I175" s="274"/>
      <c r="J175" s="456">
        <f t="shared" si="8"/>
        <v>0.13</v>
      </c>
      <c r="K175" s="583"/>
      <c r="L175" s="268" t="s">
        <v>719</v>
      </c>
      <c r="M175" s="268" t="s">
        <v>2631</v>
      </c>
      <c r="N175" s="278">
        <f>IFERROR(INDEX('Data Lokasi'!S:S,MATCH('Input Real Tanam&amp;Petik Nanas'!C175,'Data Lokasi'!C:C,0)),"")</f>
        <v>46177</v>
      </c>
      <c r="O175" s="278"/>
      <c r="P175" s="283">
        <f>IFERROR(INDEX('Data Lokasi'!V:V,MATCH(C175,'Data Lokasi'!C:C,0)),"")</f>
        <v>0</v>
      </c>
      <c r="Q175" s="304">
        <f t="shared" si="9"/>
        <v>0</v>
      </c>
      <c r="R175" s="308"/>
    </row>
    <row r="176" spans="2:18" ht="15" hidden="1" thickTop="1">
      <c r="B176" s="269">
        <v>46195</v>
      </c>
      <c r="C176" s="268" t="s">
        <v>182</v>
      </c>
      <c r="D176" s="274">
        <f>IFERROR(VLOOKUP(C176,'Data Lokasi'!C:D,2,0),"")</f>
        <v>8.7200000000000006</v>
      </c>
      <c r="E176" s="274" t="s">
        <v>2642</v>
      </c>
      <c r="F176" s="274"/>
      <c r="G176" s="274"/>
      <c r="H176" s="274"/>
      <c r="I176" s="274">
        <v>0.25</v>
      </c>
      <c r="J176" s="456">
        <f t="shared" si="8"/>
        <v>0.25</v>
      </c>
      <c r="K176" s="583"/>
      <c r="L176" s="268" t="s">
        <v>2625</v>
      </c>
      <c r="M176" s="268" t="s">
        <v>2631</v>
      </c>
      <c r="N176" s="278">
        <f>IFERROR(INDEX('Data Lokasi'!S:S,MATCH('Input Real Tanam&amp;Petik Nanas'!C176,'Data Lokasi'!C:C,0)),"")</f>
        <v>43935</v>
      </c>
      <c r="O176" s="278"/>
      <c r="P176" s="283">
        <f>IFERROR(INDEX('Data Lokasi'!V:V,MATCH(C176,'Data Lokasi'!C:C,0)),"")</f>
        <v>0</v>
      </c>
      <c r="Q176" s="304">
        <f t="shared" si="9"/>
        <v>0</v>
      </c>
      <c r="R176" s="308"/>
    </row>
    <row r="177" spans="2:18" ht="15" hidden="1" thickTop="1">
      <c r="B177" s="269">
        <v>46195</v>
      </c>
      <c r="C177" s="268" t="s">
        <v>251</v>
      </c>
      <c r="D177" s="274">
        <f>IFERROR(VLOOKUP(C177,'Data Lokasi'!C:D,2,0),"")</f>
        <v>7.72</v>
      </c>
      <c r="E177" s="274" t="s">
        <v>2642</v>
      </c>
      <c r="F177" s="274"/>
      <c r="G177" s="274"/>
      <c r="H177" s="274"/>
      <c r="I177" s="274">
        <v>0.97</v>
      </c>
      <c r="J177" s="456">
        <f t="shared" si="8"/>
        <v>0.97</v>
      </c>
      <c r="K177" s="583"/>
      <c r="L177" s="268" t="s">
        <v>2625</v>
      </c>
      <c r="M177" s="268" t="s">
        <v>2631</v>
      </c>
      <c r="N177" s="278">
        <f>IFERROR(INDEX('Data Lokasi'!S:S,MATCH('Input Real Tanam&amp;Petik Nanas'!C177,'Data Lokasi'!C:C,0)),"")</f>
        <v>44067</v>
      </c>
      <c r="O177" s="278"/>
      <c r="P177" s="283">
        <f>IFERROR(INDEX('Data Lokasi'!V:V,MATCH(C177,'Data Lokasi'!C:C,0)),"")</f>
        <v>0</v>
      </c>
      <c r="Q177" s="304">
        <f t="shared" si="9"/>
        <v>0</v>
      </c>
      <c r="R177" s="308"/>
    </row>
    <row r="178" spans="2:18" ht="15" hidden="1" thickTop="1">
      <c r="B178" s="269">
        <v>46195</v>
      </c>
      <c r="C178" s="268" t="s">
        <v>623</v>
      </c>
      <c r="D178" s="274">
        <f>IFERROR(VLOOKUP(C178,'Data Lokasi'!C:D,2,0),"")</f>
        <v>4.07</v>
      </c>
      <c r="E178" s="274" t="s">
        <v>2642</v>
      </c>
      <c r="F178" s="274"/>
      <c r="G178" s="274"/>
      <c r="H178" s="274"/>
      <c r="I178" s="274">
        <v>0.1</v>
      </c>
      <c r="J178" s="456">
        <f t="shared" si="8"/>
        <v>0.1</v>
      </c>
      <c r="K178" s="583"/>
      <c r="L178" s="268" t="s">
        <v>2625</v>
      </c>
      <c r="M178" s="268" t="s">
        <v>2634</v>
      </c>
      <c r="N178" s="278">
        <f>IFERROR(INDEX('Data Lokasi'!S:S,MATCH('Input Real Tanam&amp;Petik Nanas'!C178,'Data Lokasi'!C:C,0)),"")</f>
        <v>44863</v>
      </c>
      <c r="O178" s="278"/>
      <c r="P178" s="283">
        <f>IFERROR(INDEX('Data Lokasi'!V:V,MATCH(C178,'Data Lokasi'!C:C,0)),"")</f>
        <v>0</v>
      </c>
      <c r="Q178" s="304">
        <f t="shared" si="9"/>
        <v>0</v>
      </c>
      <c r="R178" s="308"/>
    </row>
    <row r="179" spans="2:18" ht="15" hidden="1" thickTop="1">
      <c r="B179" s="269">
        <v>46195</v>
      </c>
      <c r="C179" s="268" t="s">
        <v>665</v>
      </c>
      <c r="D179" s="274">
        <f>IFERROR(VLOOKUP(C179,'Data Lokasi'!C:D,2,0),"")</f>
        <v>4.68</v>
      </c>
      <c r="E179" s="274" t="s">
        <v>2642</v>
      </c>
      <c r="F179" s="274"/>
      <c r="G179" s="274"/>
      <c r="H179" s="274"/>
      <c r="I179" s="274">
        <v>0.88</v>
      </c>
      <c r="J179" s="456">
        <f t="shared" si="8"/>
        <v>0.88</v>
      </c>
      <c r="K179" s="583"/>
      <c r="L179" s="268" t="s">
        <v>2625</v>
      </c>
      <c r="M179" s="268" t="s">
        <v>2634</v>
      </c>
      <c r="N179" s="278">
        <f>IFERROR(INDEX('Data Lokasi'!S:S,MATCH('Input Real Tanam&amp;Petik Nanas'!C179,'Data Lokasi'!C:C,0)),"")</f>
        <v>45061</v>
      </c>
      <c r="O179" s="278"/>
      <c r="P179" s="283">
        <f>IFERROR(INDEX('Data Lokasi'!V:V,MATCH(C179,'Data Lokasi'!C:C,0)),"")</f>
        <v>0</v>
      </c>
      <c r="Q179" s="304">
        <f t="shared" si="9"/>
        <v>0</v>
      </c>
      <c r="R179" s="308"/>
    </row>
    <row r="180" spans="2:18" ht="15" hidden="1" thickTop="1">
      <c r="B180" s="269">
        <v>46195</v>
      </c>
      <c r="C180" s="268" t="s">
        <v>229</v>
      </c>
      <c r="D180" s="274">
        <f>IFERROR(VLOOKUP(C180,'Data Lokasi'!C:D,2,0),"")</f>
        <v>6.97</v>
      </c>
      <c r="E180" s="274" t="s">
        <v>2642</v>
      </c>
      <c r="F180" s="274"/>
      <c r="G180" s="274"/>
      <c r="H180" s="274"/>
      <c r="I180" s="274">
        <v>0.62</v>
      </c>
      <c r="J180" s="456">
        <f t="shared" si="8"/>
        <v>0.62</v>
      </c>
      <c r="K180" s="583"/>
      <c r="L180" s="268" t="s">
        <v>2625</v>
      </c>
      <c r="M180" s="268" t="s">
        <v>2634</v>
      </c>
      <c r="N180" s="278">
        <f>IFERROR(INDEX('Data Lokasi'!S:S,MATCH('Input Real Tanam&amp;Petik Nanas'!C180,'Data Lokasi'!C:C,0)),"")</f>
        <v>44020</v>
      </c>
      <c r="O180" s="278"/>
      <c r="P180" s="283">
        <f>IFERROR(INDEX('Data Lokasi'!V:V,MATCH(C180,'Data Lokasi'!C:C,0)),"")</f>
        <v>0</v>
      </c>
      <c r="Q180" s="304">
        <f t="shared" si="9"/>
        <v>0</v>
      </c>
      <c r="R180" s="308"/>
    </row>
    <row r="181" spans="2:18" ht="15" hidden="1" thickTop="1">
      <c r="B181" s="269">
        <v>46195</v>
      </c>
      <c r="C181" s="268" t="s">
        <v>687</v>
      </c>
      <c r="D181" s="274">
        <f>IFERROR(VLOOKUP(C181,'Data Lokasi'!C:D,2,0),"")</f>
        <v>10.58</v>
      </c>
      <c r="E181" s="274" t="s">
        <v>2642</v>
      </c>
      <c r="F181" s="274"/>
      <c r="G181" s="274"/>
      <c r="H181" s="274"/>
      <c r="I181" s="274">
        <v>0.39</v>
      </c>
      <c r="J181" s="456">
        <f t="shared" si="8"/>
        <v>0.39</v>
      </c>
      <c r="K181" s="583"/>
      <c r="L181" s="268" t="s">
        <v>2625</v>
      </c>
      <c r="M181" s="268" t="s">
        <v>2634</v>
      </c>
      <c r="N181" s="278">
        <f>IFERROR(INDEX('Data Lokasi'!S:S,MATCH('Input Real Tanam&amp;Petik Nanas'!C181,'Data Lokasi'!C:C,0)),"")</f>
        <v>45105</v>
      </c>
      <c r="O181" s="278"/>
      <c r="P181" s="283">
        <f>IFERROR(INDEX('Data Lokasi'!V:V,MATCH(C181,'Data Lokasi'!C:C,0)),"")</f>
        <v>0</v>
      </c>
      <c r="Q181" s="304">
        <f t="shared" si="9"/>
        <v>0</v>
      </c>
      <c r="R181" s="308"/>
    </row>
    <row r="182" spans="2:18" ht="15" hidden="1" thickTop="1">
      <c r="B182" s="269">
        <v>46195</v>
      </c>
      <c r="C182" s="268" t="s">
        <v>687</v>
      </c>
      <c r="D182" s="274">
        <f>IFERROR(VLOOKUP(C182,'Data Lokasi'!C:D,2,0),"")</f>
        <v>10.58</v>
      </c>
      <c r="E182" s="274" t="s">
        <v>2642</v>
      </c>
      <c r="F182" s="274"/>
      <c r="G182" s="274"/>
      <c r="H182" s="274">
        <v>0.22</v>
      </c>
      <c r="I182" s="274"/>
      <c r="J182" s="456">
        <f t="shared" si="8"/>
        <v>0.22</v>
      </c>
      <c r="K182" s="583"/>
      <c r="L182" s="268" t="s">
        <v>719</v>
      </c>
      <c r="M182" s="268" t="s">
        <v>2634</v>
      </c>
      <c r="N182" s="278">
        <f>IFERROR(INDEX('Data Lokasi'!S:S,MATCH('Input Real Tanam&amp;Petik Nanas'!C182,'Data Lokasi'!C:C,0)),"")</f>
        <v>45105</v>
      </c>
      <c r="O182" s="278"/>
      <c r="P182" s="283">
        <f>IFERROR(INDEX('Data Lokasi'!V:V,MATCH(C182,'Data Lokasi'!C:C,0)),"")</f>
        <v>0</v>
      </c>
      <c r="Q182" s="304">
        <f t="shared" si="9"/>
        <v>0</v>
      </c>
      <c r="R182" s="308"/>
    </row>
    <row r="183" spans="2:18" ht="15" hidden="1" thickTop="1">
      <c r="B183" s="269">
        <v>46195</v>
      </c>
      <c r="C183" s="268" t="s">
        <v>366</v>
      </c>
      <c r="D183" s="274">
        <f>IFERROR(VLOOKUP(C183,'Data Lokasi'!C:D,2,0),"")</f>
        <v>5.88</v>
      </c>
      <c r="E183" s="274" t="s">
        <v>2642</v>
      </c>
      <c r="F183" s="274"/>
      <c r="G183" s="274"/>
      <c r="H183" s="274">
        <v>0.06</v>
      </c>
      <c r="I183" s="274"/>
      <c r="J183" s="456">
        <f t="shared" si="8"/>
        <v>0.06</v>
      </c>
      <c r="K183" s="583"/>
      <c r="L183" s="268" t="s">
        <v>719</v>
      </c>
      <c r="M183" s="268" t="s">
        <v>2634</v>
      </c>
      <c r="N183" s="278">
        <f>IFERROR(INDEX('Data Lokasi'!S:S,MATCH('Input Real Tanam&amp;Petik Nanas'!C183,'Data Lokasi'!C:C,0)),"")</f>
        <v>44300</v>
      </c>
      <c r="O183" s="278"/>
      <c r="P183" s="283">
        <f>IFERROR(INDEX('Data Lokasi'!V:V,MATCH(C183,'Data Lokasi'!C:C,0)),"")</f>
        <v>0</v>
      </c>
      <c r="Q183" s="304">
        <f t="shared" si="9"/>
        <v>0</v>
      </c>
      <c r="R183" s="308"/>
    </row>
    <row r="184" spans="2:18" ht="15" hidden="1" thickTop="1">
      <c r="B184" s="269">
        <v>46195</v>
      </c>
      <c r="C184" s="268" t="s">
        <v>671</v>
      </c>
      <c r="D184" s="274">
        <f>IFERROR(VLOOKUP(C184,'Data Lokasi'!C:D,2,0),"")</f>
        <v>7.82</v>
      </c>
      <c r="E184" s="274" t="s">
        <v>2642</v>
      </c>
      <c r="F184" s="274"/>
      <c r="G184" s="274"/>
      <c r="H184" s="274"/>
      <c r="I184" s="274">
        <v>0.93</v>
      </c>
      <c r="J184" s="456">
        <f t="shared" si="8"/>
        <v>0.93</v>
      </c>
      <c r="K184" s="583"/>
      <c r="L184" s="268" t="s">
        <v>2625</v>
      </c>
      <c r="M184" s="268" t="s">
        <v>2634</v>
      </c>
      <c r="N184" s="278">
        <f>IFERROR(INDEX('Data Lokasi'!S:S,MATCH('Input Real Tanam&amp;Petik Nanas'!C184,'Data Lokasi'!C:C,0)),"")</f>
        <v>45067</v>
      </c>
      <c r="O184" s="278"/>
      <c r="P184" s="283">
        <f>IFERROR(INDEX('Data Lokasi'!V:V,MATCH(C184,'Data Lokasi'!C:C,0)),"")</f>
        <v>0</v>
      </c>
      <c r="Q184" s="304">
        <f t="shared" si="9"/>
        <v>0</v>
      </c>
      <c r="R184" s="308"/>
    </row>
    <row r="185" spans="2:18" ht="15" hidden="1" thickTop="1">
      <c r="B185" s="269">
        <v>46195</v>
      </c>
      <c r="C185" s="268" t="s">
        <v>339</v>
      </c>
      <c r="D185" s="274">
        <f>IFERROR(VLOOKUP(C185,'Data Lokasi'!C:D,2,0),"")</f>
        <v>7.68</v>
      </c>
      <c r="E185" s="274" t="s">
        <v>2643</v>
      </c>
      <c r="F185" s="274"/>
      <c r="G185" s="274"/>
      <c r="H185" s="274">
        <f>0.04+0.19</f>
        <v>0.23</v>
      </c>
      <c r="I185" s="274">
        <f>0.21+0.28</f>
        <v>0.49</v>
      </c>
      <c r="J185" s="456">
        <f t="shared" si="8"/>
        <v>0.72</v>
      </c>
      <c r="K185" s="583"/>
      <c r="L185" s="268" t="s">
        <v>719</v>
      </c>
      <c r="M185" s="268" t="s">
        <v>2634</v>
      </c>
      <c r="N185" s="278">
        <f>IFERROR(INDEX('Data Lokasi'!S:S,MATCH('Input Real Tanam&amp;Petik Nanas'!C185,'Data Lokasi'!C:C,0)),"")</f>
        <v>44252</v>
      </c>
      <c r="O185" s="278"/>
      <c r="P185" s="283">
        <f>IFERROR(INDEX('Data Lokasi'!V:V,MATCH(C185,'Data Lokasi'!C:C,0)),"")</f>
        <v>0</v>
      </c>
      <c r="Q185" s="304">
        <f t="shared" si="9"/>
        <v>0</v>
      </c>
      <c r="R185" s="308">
        <v>10</v>
      </c>
    </row>
    <row r="186" spans="2:18" ht="15" hidden="1" thickTop="1">
      <c r="B186" s="269">
        <v>46195</v>
      </c>
      <c r="C186" s="268" t="s">
        <v>523</v>
      </c>
      <c r="D186" s="274">
        <f>IFERROR(VLOOKUP(C186,'Data Lokasi'!C:D,2,0),"")</f>
        <v>8.73</v>
      </c>
      <c r="E186" s="274" t="s">
        <v>2643</v>
      </c>
      <c r="F186" s="274"/>
      <c r="G186" s="274"/>
      <c r="H186" s="274"/>
      <c r="I186" s="274">
        <v>1.81</v>
      </c>
      <c r="J186" s="456">
        <f t="shared" si="8"/>
        <v>1.81</v>
      </c>
      <c r="K186" s="583"/>
      <c r="L186" s="268" t="s">
        <v>2625</v>
      </c>
      <c r="M186" s="268" t="s">
        <v>2634</v>
      </c>
      <c r="N186" s="278">
        <f>IFERROR(INDEX('Data Lokasi'!S:S,MATCH('Input Real Tanam&amp;Petik Nanas'!C186,'Data Lokasi'!C:C,0)),"")</f>
        <v>44600</v>
      </c>
      <c r="O186" s="278"/>
      <c r="P186" s="283">
        <f>IFERROR(INDEX('Data Lokasi'!V:V,MATCH(C186,'Data Lokasi'!C:C,0)),"")</f>
        <v>0</v>
      </c>
      <c r="Q186" s="304">
        <f t="shared" si="9"/>
        <v>0</v>
      </c>
      <c r="R186" s="308"/>
    </row>
    <row r="187" spans="2:18" ht="15" hidden="1" thickTop="1">
      <c r="B187" s="269">
        <v>46195</v>
      </c>
      <c r="C187" s="268" t="s">
        <v>513</v>
      </c>
      <c r="D187" s="274">
        <f>IFERROR(VLOOKUP(C187,'Data Lokasi'!C:D,2,0),"")</f>
        <v>8.8800000000000008</v>
      </c>
      <c r="E187" s="274" t="s">
        <v>2643</v>
      </c>
      <c r="F187" s="274"/>
      <c r="G187" s="274"/>
      <c r="H187" s="274"/>
      <c r="I187" s="274">
        <v>0.65</v>
      </c>
      <c r="J187" s="456">
        <f t="shared" si="8"/>
        <v>0.65</v>
      </c>
      <c r="K187" s="583"/>
      <c r="L187" s="268" t="s">
        <v>2625</v>
      </c>
      <c r="M187" s="268" t="s">
        <v>2634</v>
      </c>
      <c r="N187" s="278">
        <f>IFERROR(INDEX('Data Lokasi'!S:S,MATCH('Input Real Tanam&amp;Petik Nanas'!C187,'Data Lokasi'!C:C,0)),"")</f>
        <v>44603</v>
      </c>
      <c r="O187" s="278"/>
      <c r="P187" s="283">
        <f>IFERROR(INDEX('Data Lokasi'!V:V,MATCH(C187,'Data Lokasi'!C:C,0)),"")</f>
        <v>0</v>
      </c>
      <c r="Q187" s="304">
        <f t="shared" si="9"/>
        <v>0</v>
      </c>
      <c r="R187" s="308"/>
    </row>
    <row r="188" spans="2:18" ht="15" hidden="1" thickTop="1">
      <c r="B188" s="269">
        <v>46195</v>
      </c>
      <c r="C188" s="268" t="s">
        <v>441</v>
      </c>
      <c r="D188" s="274">
        <f>IFERROR(VLOOKUP(C188,'Data Lokasi'!C:D,2,0),"")</f>
        <v>11.2</v>
      </c>
      <c r="E188" s="274" t="s">
        <v>2643</v>
      </c>
      <c r="F188" s="274">
        <v>0.09</v>
      </c>
      <c r="G188" s="274">
        <f>0.1+0.17</f>
        <v>0.27</v>
      </c>
      <c r="H188" s="274">
        <f>0.12+0.07</f>
        <v>0.19</v>
      </c>
      <c r="I188" s="274"/>
      <c r="J188" s="456">
        <f t="shared" si="8"/>
        <v>0.55000000000000004</v>
      </c>
      <c r="K188" s="583"/>
      <c r="L188" s="268" t="s">
        <v>719</v>
      </c>
      <c r="M188" s="268" t="s">
        <v>2631</v>
      </c>
      <c r="N188" s="278">
        <f>IFERROR(INDEX('Data Lokasi'!S:S,MATCH('Input Real Tanam&amp;Petik Nanas'!C188,'Data Lokasi'!C:C,0)),"")</f>
        <v>44429</v>
      </c>
      <c r="O188" s="278"/>
      <c r="P188" s="283">
        <f>IFERROR(INDEX('Data Lokasi'!V:V,MATCH(C188,'Data Lokasi'!C:C,0)),"")</f>
        <v>0</v>
      </c>
      <c r="Q188" s="304">
        <f t="shared" si="9"/>
        <v>0</v>
      </c>
      <c r="R188" s="308">
        <v>2</v>
      </c>
    </row>
    <row r="189" spans="2:18" ht="15" hidden="1" thickTop="1">
      <c r="B189" s="269">
        <v>46195</v>
      </c>
      <c r="C189" s="268" t="s">
        <v>306</v>
      </c>
      <c r="D189" s="274">
        <f>IFERROR(VLOOKUP(C189,'Data Lokasi'!C:D,2,0),"")</f>
        <v>6.68</v>
      </c>
      <c r="E189" s="274" t="s">
        <v>2643</v>
      </c>
      <c r="F189" s="274"/>
      <c r="G189" s="274"/>
      <c r="H189" s="274"/>
      <c r="I189" s="274">
        <v>1.1000000000000001</v>
      </c>
      <c r="J189" s="456">
        <f t="shared" si="8"/>
        <v>1.1000000000000001</v>
      </c>
      <c r="K189" s="583"/>
      <c r="L189" s="268" t="s">
        <v>2625</v>
      </c>
      <c r="M189" s="268" t="s">
        <v>2631</v>
      </c>
      <c r="N189" s="278">
        <f>IFERROR(INDEX('Data Lokasi'!S:S,MATCH('Input Real Tanam&amp;Petik Nanas'!C189,'Data Lokasi'!C:C,0)),"")</f>
        <v>46306</v>
      </c>
      <c r="O189" s="278"/>
      <c r="P189" s="283">
        <f>IFERROR(INDEX('Data Lokasi'!V:V,MATCH(C189,'Data Lokasi'!C:C,0)),"")</f>
        <v>0.58000000000000007</v>
      </c>
      <c r="Q189" s="304">
        <f t="shared" si="9"/>
        <v>8.682634730538924E-2</v>
      </c>
      <c r="R189" s="308"/>
    </row>
    <row r="190" spans="2:18" ht="15" hidden="1" thickTop="1">
      <c r="B190" s="269">
        <v>46195</v>
      </c>
      <c r="C190" s="268" t="s">
        <v>354</v>
      </c>
      <c r="D190" s="274">
        <f>IFERROR(VLOOKUP(C190,'Data Lokasi'!C:D,2,0),"")</f>
        <v>12.94</v>
      </c>
      <c r="E190" s="274" t="s">
        <v>2643</v>
      </c>
      <c r="F190" s="274"/>
      <c r="G190" s="274">
        <v>0.01</v>
      </c>
      <c r="H190" s="274">
        <f>0.05+0.12</f>
        <v>0.16999999999999998</v>
      </c>
      <c r="I190" s="274">
        <v>0.28000000000000003</v>
      </c>
      <c r="J190" s="456">
        <f t="shared" si="8"/>
        <v>0.46</v>
      </c>
      <c r="K190" s="583"/>
      <c r="L190" s="268" t="s">
        <v>719</v>
      </c>
      <c r="M190" s="268" t="s">
        <v>2631</v>
      </c>
      <c r="N190" s="278">
        <f>IFERROR(INDEX('Data Lokasi'!S:S,MATCH('Input Real Tanam&amp;Petik Nanas'!C190,'Data Lokasi'!C:C,0)),"")</f>
        <v>44279</v>
      </c>
      <c r="O190" s="278"/>
      <c r="P190" s="283">
        <f>IFERROR(INDEX('Data Lokasi'!V:V,MATCH(C190,'Data Lokasi'!C:C,0)),"")</f>
        <v>0</v>
      </c>
      <c r="Q190" s="304">
        <f t="shared" si="9"/>
        <v>0</v>
      </c>
      <c r="R190" s="308">
        <v>6</v>
      </c>
    </row>
    <row r="191" spans="2:18" ht="15" hidden="1" thickTop="1">
      <c r="B191" s="269">
        <v>46195</v>
      </c>
      <c r="C191" s="268" t="s">
        <v>2439</v>
      </c>
      <c r="D191" s="274">
        <f>IFERROR(VLOOKUP(C191,'Data Lokasi'!C:D,2,0),"")</f>
        <v>4.72</v>
      </c>
      <c r="E191" s="274" t="s">
        <v>2643</v>
      </c>
      <c r="F191" s="274"/>
      <c r="G191" s="274"/>
      <c r="H191" s="274"/>
      <c r="I191" s="274">
        <v>1.54</v>
      </c>
      <c r="J191" s="456">
        <f t="shared" si="8"/>
        <v>1.54</v>
      </c>
      <c r="K191" s="583"/>
      <c r="L191" s="268" t="s">
        <v>2625</v>
      </c>
      <c r="M191" s="268" t="s">
        <v>2631</v>
      </c>
      <c r="N191" s="278">
        <f>IFERROR(INDEX('Data Lokasi'!S:S,MATCH('Input Real Tanam&amp;Petik Nanas'!C191,'Data Lokasi'!C:C,0)),"")</f>
        <v>45673</v>
      </c>
      <c r="O191" s="278"/>
      <c r="P191" s="283">
        <f>IFERROR(INDEX('Data Lokasi'!V:V,MATCH(C191,'Data Lokasi'!C:C,0)),"")</f>
        <v>0</v>
      </c>
      <c r="Q191" s="304">
        <f t="shared" si="9"/>
        <v>0</v>
      </c>
      <c r="R191" s="308"/>
    </row>
    <row r="192" spans="2:18" ht="15" hidden="1" thickTop="1">
      <c r="B192" s="269">
        <v>46196</v>
      </c>
      <c r="C192" s="268" t="s">
        <v>671</v>
      </c>
      <c r="D192" s="274">
        <f>IFERROR(VLOOKUP(C192,'Data Lokasi'!C:D,2,0),"")</f>
        <v>7.82</v>
      </c>
      <c r="E192" s="274" t="s">
        <v>2642</v>
      </c>
      <c r="F192" s="274"/>
      <c r="G192" s="274"/>
      <c r="H192" s="274"/>
      <c r="I192" s="274">
        <v>1.4</v>
      </c>
      <c r="J192" s="456">
        <f t="shared" si="8"/>
        <v>1.4</v>
      </c>
      <c r="K192" s="583"/>
      <c r="L192" s="268" t="s">
        <v>2625</v>
      </c>
      <c r="M192" s="268" t="s">
        <v>2631</v>
      </c>
      <c r="N192" s="278">
        <f>IFERROR(INDEX('Data Lokasi'!S:S,MATCH('Input Real Tanam&amp;Petik Nanas'!C192,'Data Lokasi'!C:C,0)),"")</f>
        <v>45067</v>
      </c>
      <c r="O192" s="278"/>
      <c r="P192" s="283">
        <f>IFERROR(INDEX('Data Lokasi'!V:V,MATCH(C192,'Data Lokasi'!C:C,0)),"")</f>
        <v>0</v>
      </c>
      <c r="Q192" s="304">
        <f>IF(ISERROR(P192/D192),"",(P192/D192))</f>
        <v>0</v>
      </c>
      <c r="R192" s="308"/>
    </row>
    <row r="193" spans="2:18" ht="15" hidden="1" thickTop="1">
      <c r="B193" s="269">
        <v>46196</v>
      </c>
      <c r="C193" s="268" t="s">
        <v>670</v>
      </c>
      <c r="D193" s="274">
        <f>IFERROR(VLOOKUP(C193,'Data Lokasi'!C:D,2,0),"")</f>
        <v>4.7</v>
      </c>
      <c r="E193" s="274" t="s">
        <v>2642</v>
      </c>
      <c r="F193" s="274"/>
      <c r="G193" s="274"/>
      <c r="H193" s="274"/>
      <c r="I193" s="274">
        <v>1.74</v>
      </c>
      <c r="J193" s="456">
        <f t="shared" si="8"/>
        <v>1.74</v>
      </c>
      <c r="K193" s="583"/>
      <c r="L193" s="268" t="s">
        <v>2625</v>
      </c>
      <c r="M193" s="268" t="s">
        <v>2631</v>
      </c>
      <c r="N193" s="278">
        <f>IFERROR(INDEX('Data Lokasi'!S:S,MATCH('Input Real Tanam&amp;Petik Nanas'!C193,'Data Lokasi'!C:C,0)),"")</f>
        <v>45071</v>
      </c>
      <c r="O193" s="278"/>
      <c r="P193" s="283">
        <f>IFERROR(INDEX('Data Lokasi'!V:V,MATCH(C193,'Data Lokasi'!C:C,0)),"")</f>
        <v>0</v>
      </c>
      <c r="Q193" s="304">
        <f t="shared" si="9"/>
        <v>0</v>
      </c>
      <c r="R193" s="308"/>
    </row>
    <row r="194" spans="2:18" ht="15" hidden="1" thickTop="1">
      <c r="B194" s="269">
        <v>46196</v>
      </c>
      <c r="C194" s="268" t="s">
        <v>2621</v>
      </c>
      <c r="D194" s="274">
        <f>IFERROR(VLOOKUP(C194,'Data Lokasi'!C:D,2,0),"")</f>
        <v>2</v>
      </c>
      <c r="E194" s="274" t="s">
        <v>2642</v>
      </c>
      <c r="F194" s="274"/>
      <c r="G194" s="274"/>
      <c r="H194" s="274"/>
      <c r="I194" s="274">
        <v>0.09</v>
      </c>
      <c r="J194" s="456">
        <f t="shared" si="8"/>
        <v>0.09</v>
      </c>
      <c r="K194" s="583"/>
      <c r="L194" s="268" t="s">
        <v>719</v>
      </c>
      <c r="M194" s="268" t="s">
        <v>2631</v>
      </c>
      <c r="N194" s="278">
        <f>IFERROR(INDEX('Data Lokasi'!S:S,MATCH('Input Real Tanam&amp;Petik Nanas'!C194,'Data Lokasi'!C:C,0)),"")</f>
        <v>46175</v>
      </c>
      <c r="O194" s="278"/>
      <c r="P194" s="283">
        <f>IFERROR(INDEX('Data Lokasi'!V:V,MATCH(C194,'Data Lokasi'!C:C,0)),"")</f>
        <v>0</v>
      </c>
      <c r="Q194" s="304">
        <f t="shared" si="9"/>
        <v>0</v>
      </c>
      <c r="R194" s="308"/>
    </row>
    <row r="195" spans="2:18" ht="15" hidden="1" thickTop="1">
      <c r="B195" s="269">
        <v>46196</v>
      </c>
      <c r="C195" s="268" t="s">
        <v>2420</v>
      </c>
      <c r="D195" s="274">
        <f>IFERROR(VLOOKUP(C195,'Data Lokasi'!C:D,2,0),"")</f>
        <v>7.19</v>
      </c>
      <c r="E195" s="274" t="s">
        <v>2642</v>
      </c>
      <c r="F195" s="274"/>
      <c r="G195" s="274"/>
      <c r="H195" s="274">
        <v>0.11</v>
      </c>
      <c r="I195" s="274"/>
      <c r="J195" s="456">
        <f t="shared" si="8"/>
        <v>0.11</v>
      </c>
      <c r="K195" s="583"/>
      <c r="L195" s="268" t="s">
        <v>719</v>
      </c>
      <c r="M195" s="268" t="s">
        <v>2631</v>
      </c>
      <c r="N195" s="278">
        <f>IFERROR(INDEX('Data Lokasi'!S:S,MATCH('Input Real Tanam&amp;Petik Nanas'!C195,'Data Lokasi'!C:C,0)),"")</f>
        <v>46177</v>
      </c>
      <c r="O195" s="278"/>
      <c r="P195" s="283">
        <f>IFERROR(INDEX('Data Lokasi'!V:V,MATCH(C195,'Data Lokasi'!C:C,0)),"")</f>
        <v>0</v>
      </c>
      <c r="Q195" s="304">
        <f t="shared" si="9"/>
        <v>0</v>
      </c>
      <c r="R195" s="308"/>
    </row>
    <row r="196" spans="2:18" ht="15" hidden="1" thickTop="1">
      <c r="B196" s="269">
        <v>46196</v>
      </c>
      <c r="C196" s="268" t="s">
        <v>373</v>
      </c>
      <c r="D196" s="274">
        <f>IFERROR(VLOOKUP(C196,'Data Lokasi'!C:D,2,0),"")</f>
        <v>10.5</v>
      </c>
      <c r="E196" s="274" t="s">
        <v>2642</v>
      </c>
      <c r="F196" s="274"/>
      <c r="G196" s="274"/>
      <c r="H196" s="274">
        <v>0.06</v>
      </c>
      <c r="I196" s="274"/>
      <c r="J196" s="456">
        <f t="shared" si="8"/>
        <v>0.06</v>
      </c>
      <c r="K196" s="583"/>
      <c r="L196" s="268" t="s">
        <v>2625</v>
      </c>
      <c r="M196" s="268" t="s">
        <v>2634</v>
      </c>
      <c r="N196" s="278">
        <f>IFERROR(INDEX('Data Lokasi'!S:S,MATCH('Input Real Tanam&amp;Petik Nanas'!C196,'Data Lokasi'!C:C,0)),"")</f>
        <v>44311</v>
      </c>
      <c r="O196" s="278"/>
      <c r="P196" s="283">
        <f>IFERROR(INDEX('Data Lokasi'!V:V,MATCH(C196,'Data Lokasi'!C:C,0)),"")</f>
        <v>0</v>
      </c>
      <c r="Q196" s="304">
        <f t="shared" si="9"/>
        <v>0</v>
      </c>
      <c r="R196" s="308"/>
    </row>
    <row r="197" spans="2:18" ht="15" hidden="1" thickTop="1">
      <c r="B197" s="269">
        <v>46196</v>
      </c>
      <c r="C197" s="268" t="s">
        <v>229</v>
      </c>
      <c r="D197" s="274">
        <f>IFERROR(VLOOKUP(C197,'Data Lokasi'!C:D,2,0),"")</f>
        <v>6.97</v>
      </c>
      <c r="E197" s="274" t="s">
        <v>2642</v>
      </c>
      <c r="F197" s="274"/>
      <c r="G197" s="274"/>
      <c r="H197" s="274"/>
      <c r="I197" s="274">
        <v>0.88</v>
      </c>
      <c r="J197" s="456">
        <f t="shared" si="8"/>
        <v>0.88</v>
      </c>
      <c r="K197" s="583"/>
      <c r="L197" s="268" t="s">
        <v>2625</v>
      </c>
      <c r="M197" s="268" t="s">
        <v>2634</v>
      </c>
      <c r="N197" s="278">
        <f>IFERROR(INDEX('Data Lokasi'!S:S,MATCH('Input Real Tanam&amp;Petik Nanas'!C197,'Data Lokasi'!C:C,0)),"")</f>
        <v>44020</v>
      </c>
      <c r="O197" s="278"/>
      <c r="P197" s="283">
        <f>IFERROR(INDEX('Data Lokasi'!V:V,MATCH(C197,'Data Lokasi'!C:C,0)),"")</f>
        <v>0</v>
      </c>
      <c r="Q197" s="304">
        <f t="shared" si="9"/>
        <v>0</v>
      </c>
      <c r="R197" s="308"/>
    </row>
    <row r="198" spans="2:18" ht="15" hidden="1" thickTop="1">
      <c r="B198" s="269">
        <v>46196</v>
      </c>
      <c r="C198" s="268" t="s">
        <v>687</v>
      </c>
      <c r="D198" s="274">
        <f>IFERROR(VLOOKUP(C198,'Data Lokasi'!C:D,2,0),"")</f>
        <v>10.58</v>
      </c>
      <c r="E198" s="274" t="s">
        <v>2642</v>
      </c>
      <c r="F198" s="274"/>
      <c r="G198" s="274"/>
      <c r="H198" s="274">
        <v>0.3</v>
      </c>
      <c r="I198" s="274"/>
      <c r="J198" s="456">
        <f t="shared" si="8"/>
        <v>0.3</v>
      </c>
      <c r="K198" s="583"/>
      <c r="L198" s="268" t="s">
        <v>719</v>
      </c>
      <c r="M198" s="268" t="s">
        <v>2634</v>
      </c>
      <c r="N198" s="278">
        <f>IFERROR(INDEX('Data Lokasi'!S:S,MATCH('Input Real Tanam&amp;Petik Nanas'!C198,'Data Lokasi'!C:C,0)),"")</f>
        <v>45105</v>
      </c>
      <c r="O198" s="278"/>
      <c r="P198" s="283">
        <f>IFERROR(INDEX('Data Lokasi'!V:V,MATCH(C198,'Data Lokasi'!C:C,0)),"")</f>
        <v>0</v>
      </c>
      <c r="Q198" s="304">
        <f t="shared" si="9"/>
        <v>0</v>
      </c>
      <c r="R198" s="308"/>
    </row>
    <row r="199" spans="2:18" ht="15" hidden="1" thickTop="1">
      <c r="B199" s="269">
        <v>46196</v>
      </c>
      <c r="C199" s="268" t="s">
        <v>687</v>
      </c>
      <c r="D199" s="274">
        <f>IFERROR(VLOOKUP(C199,'Data Lokasi'!C:D,2,0),"")</f>
        <v>10.58</v>
      </c>
      <c r="E199" s="274" t="s">
        <v>2642</v>
      </c>
      <c r="F199" s="274"/>
      <c r="G199" s="274"/>
      <c r="H199" s="274"/>
      <c r="I199" s="274">
        <v>1.1000000000000001</v>
      </c>
      <c r="J199" s="456">
        <f t="shared" si="8"/>
        <v>1.1000000000000001</v>
      </c>
      <c r="K199" s="583"/>
      <c r="L199" s="268" t="s">
        <v>2625</v>
      </c>
      <c r="M199" s="268" t="s">
        <v>2634</v>
      </c>
      <c r="N199" s="278">
        <f>IFERROR(INDEX('Data Lokasi'!S:S,MATCH('Input Real Tanam&amp;Petik Nanas'!C199,'Data Lokasi'!C:C,0)),"")</f>
        <v>45105</v>
      </c>
      <c r="O199" s="278"/>
      <c r="P199" s="283">
        <f>IFERROR(INDEX('Data Lokasi'!V:V,MATCH(C199,'Data Lokasi'!C:C,0)),"")</f>
        <v>0</v>
      </c>
      <c r="Q199" s="304">
        <f t="shared" si="9"/>
        <v>0</v>
      </c>
      <c r="R199" s="308"/>
    </row>
    <row r="200" spans="2:18" ht="15" hidden="1" thickTop="1">
      <c r="B200" s="269">
        <v>46196</v>
      </c>
      <c r="C200" s="268" t="s">
        <v>286</v>
      </c>
      <c r="D200" s="274">
        <f>IFERROR(VLOOKUP(C200,'Data Lokasi'!C:D,2,0),"")</f>
        <v>8.33</v>
      </c>
      <c r="E200" s="274" t="s">
        <v>2642</v>
      </c>
      <c r="F200" s="274"/>
      <c r="G200" s="274"/>
      <c r="H200" s="274"/>
      <c r="I200" s="274">
        <v>0.04</v>
      </c>
      <c r="J200" s="456">
        <f t="shared" si="8"/>
        <v>0.04</v>
      </c>
      <c r="K200" s="583"/>
      <c r="L200" s="268" t="s">
        <v>2625</v>
      </c>
      <c r="M200" s="268" t="s">
        <v>2634</v>
      </c>
      <c r="N200" s="278">
        <f>IFERROR(INDEX('Data Lokasi'!S:S,MATCH('Input Real Tanam&amp;Petik Nanas'!C200,'Data Lokasi'!C:C,0)),"")</f>
        <v>44125</v>
      </c>
      <c r="O200" s="278"/>
      <c r="P200" s="283">
        <f>IFERROR(INDEX('Data Lokasi'!V:V,MATCH(C200,'Data Lokasi'!C:C,0)),"")</f>
        <v>0</v>
      </c>
      <c r="Q200" s="304">
        <f t="shared" si="9"/>
        <v>0</v>
      </c>
      <c r="R200" s="308"/>
    </row>
    <row r="201" spans="2:18" ht="15" hidden="1" thickTop="1">
      <c r="B201" s="269">
        <v>46196</v>
      </c>
      <c r="C201" s="268" t="s">
        <v>665</v>
      </c>
      <c r="D201" s="274">
        <f>IFERROR(VLOOKUP(C201,'Data Lokasi'!C:D,2,0),"")</f>
        <v>4.68</v>
      </c>
      <c r="E201" s="274" t="s">
        <v>2642</v>
      </c>
      <c r="F201" s="274"/>
      <c r="G201" s="274"/>
      <c r="H201" s="274"/>
      <c r="I201" s="274">
        <v>0.67</v>
      </c>
      <c r="J201" s="456">
        <f t="shared" si="8"/>
        <v>0.67</v>
      </c>
      <c r="K201" s="583"/>
      <c r="L201" s="268" t="s">
        <v>2625</v>
      </c>
      <c r="M201" s="268" t="s">
        <v>2634</v>
      </c>
      <c r="N201" s="278">
        <f>IFERROR(INDEX('Data Lokasi'!S:S,MATCH('Input Real Tanam&amp;Petik Nanas'!C201,'Data Lokasi'!C:C,0)),"")</f>
        <v>45061</v>
      </c>
      <c r="O201" s="278"/>
      <c r="P201" s="283">
        <f>IFERROR(INDEX('Data Lokasi'!V:V,MATCH(C201,'Data Lokasi'!C:C,0)),"")</f>
        <v>0</v>
      </c>
      <c r="Q201" s="304">
        <f t="shared" si="9"/>
        <v>0</v>
      </c>
      <c r="R201" s="308"/>
    </row>
    <row r="202" spans="2:18" ht="15" hidden="1" thickTop="1">
      <c r="B202" s="269">
        <v>46196</v>
      </c>
      <c r="C202" s="268" t="s">
        <v>441</v>
      </c>
      <c r="D202" s="274">
        <f>IFERROR(VLOOKUP(C202,'Data Lokasi'!C:D,2,0),"")</f>
        <v>11.2</v>
      </c>
      <c r="E202" s="274" t="s">
        <v>2643</v>
      </c>
      <c r="F202" s="274">
        <v>0.05</v>
      </c>
      <c r="G202" s="274">
        <f>0.08+0.09</f>
        <v>0.16999999999999998</v>
      </c>
      <c r="H202" s="274">
        <f>0.08+0.04</f>
        <v>0.12</v>
      </c>
      <c r="I202" s="274"/>
      <c r="J202" s="456">
        <f t="shared" si="8"/>
        <v>0.33999999999999997</v>
      </c>
      <c r="K202" s="583"/>
      <c r="L202" s="268" t="s">
        <v>719</v>
      </c>
      <c r="M202" s="268" t="s">
        <v>2631</v>
      </c>
      <c r="N202" s="278">
        <f>IFERROR(INDEX('Data Lokasi'!S:S,MATCH('Input Real Tanam&amp;Petik Nanas'!C202,'Data Lokasi'!C:C,0)),"")</f>
        <v>44429</v>
      </c>
      <c r="O202" s="278"/>
      <c r="P202" s="283">
        <f>IFERROR(INDEX('Data Lokasi'!V:V,MATCH(C202,'Data Lokasi'!C:C,0)),"")</f>
        <v>0</v>
      </c>
      <c r="Q202" s="304">
        <f t="shared" si="9"/>
        <v>0</v>
      </c>
      <c r="R202" s="308">
        <v>2</v>
      </c>
    </row>
    <row r="203" spans="2:18" ht="15" hidden="1" thickTop="1">
      <c r="B203" s="269">
        <v>46196</v>
      </c>
      <c r="C203" s="268" t="s">
        <v>306</v>
      </c>
      <c r="D203" s="274">
        <f>IFERROR(VLOOKUP(C203,'Data Lokasi'!C:D,2,0),"")</f>
        <v>6.68</v>
      </c>
      <c r="E203" s="274" t="s">
        <v>2643</v>
      </c>
      <c r="F203" s="274"/>
      <c r="G203" s="274"/>
      <c r="H203" s="274"/>
      <c r="I203" s="274">
        <v>0.36</v>
      </c>
      <c r="J203" s="456">
        <f t="shared" si="8"/>
        <v>0.36</v>
      </c>
      <c r="K203" s="583"/>
      <c r="L203" s="268" t="s">
        <v>2625</v>
      </c>
      <c r="M203" s="268" t="s">
        <v>2631</v>
      </c>
      <c r="N203" s="278">
        <f>IFERROR(INDEX('Data Lokasi'!S:S,MATCH('Input Real Tanam&amp;Petik Nanas'!C203,'Data Lokasi'!C:C,0)),"")</f>
        <v>46306</v>
      </c>
      <c r="O203" s="278"/>
      <c r="P203" s="283">
        <f>IFERROR(INDEX('Data Lokasi'!V:V,MATCH(C203,'Data Lokasi'!C:C,0)),"")</f>
        <v>0.58000000000000007</v>
      </c>
      <c r="Q203" s="304">
        <f t="shared" si="9"/>
        <v>8.682634730538924E-2</v>
      </c>
      <c r="R203" s="308"/>
    </row>
    <row r="204" spans="2:18" ht="15" hidden="1" thickTop="1">
      <c r="B204" s="269">
        <v>46196</v>
      </c>
      <c r="C204" s="268" t="s">
        <v>374</v>
      </c>
      <c r="D204" s="274">
        <f>IFERROR(VLOOKUP(C204,'Data Lokasi'!C:D,2,0),"")</f>
        <v>6.94</v>
      </c>
      <c r="E204" s="274" t="s">
        <v>2643</v>
      </c>
      <c r="F204" s="274"/>
      <c r="G204" s="274"/>
      <c r="H204" s="274"/>
      <c r="I204" s="274">
        <v>0.59</v>
      </c>
      <c r="J204" s="456">
        <f t="shared" si="8"/>
        <v>0.59</v>
      </c>
      <c r="K204" s="583"/>
      <c r="L204" s="268" t="s">
        <v>2625</v>
      </c>
      <c r="M204" s="268" t="s">
        <v>2631</v>
      </c>
      <c r="N204" s="278">
        <f>IFERROR(INDEX('Data Lokasi'!S:S,MATCH('Input Real Tanam&amp;Petik Nanas'!C204,'Data Lokasi'!C:C,0)),"")</f>
        <v>44338</v>
      </c>
      <c r="O204" s="278"/>
      <c r="P204" s="283">
        <f>IFERROR(INDEX('Data Lokasi'!V:V,MATCH(C204,'Data Lokasi'!C:C,0)),"")</f>
        <v>0</v>
      </c>
      <c r="Q204" s="304">
        <f t="shared" si="9"/>
        <v>0</v>
      </c>
      <c r="R204" s="308"/>
    </row>
    <row r="205" spans="2:18" ht="15" hidden="1" thickTop="1">
      <c r="B205" s="269">
        <v>46196</v>
      </c>
      <c r="C205" s="268" t="s">
        <v>141</v>
      </c>
      <c r="D205" s="274">
        <f>IFERROR(VLOOKUP(C205,'Data Lokasi'!C:D,2,0),"")</f>
        <v>6.53</v>
      </c>
      <c r="E205" s="274" t="s">
        <v>2643</v>
      </c>
      <c r="F205" s="274"/>
      <c r="G205" s="274"/>
      <c r="H205" s="274"/>
      <c r="I205" s="274">
        <v>1.1499999999999999</v>
      </c>
      <c r="J205" s="456">
        <f t="shared" si="8"/>
        <v>1.1499999999999999</v>
      </c>
      <c r="K205" s="583"/>
      <c r="L205" s="268" t="s">
        <v>2625</v>
      </c>
      <c r="M205" s="268" t="s">
        <v>2631</v>
      </c>
      <c r="N205" s="278">
        <f>IFERROR(INDEX('Data Lokasi'!S:S,MATCH('Input Real Tanam&amp;Petik Nanas'!C205,'Data Lokasi'!C:C,0)),"")</f>
        <v>0</v>
      </c>
      <c r="O205" s="278"/>
      <c r="P205" s="283">
        <f>IFERROR(INDEX('Data Lokasi'!V:V,MATCH(C205,'Data Lokasi'!C:C,0)),"")</f>
        <v>0</v>
      </c>
      <c r="Q205" s="304">
        <f t="shared" si="9"/>
        <v>0</v>
      </c>
      <c r="R205" s="308"/>
    </row>
    <row r="206" spans="2:18" ht="15" hidden="1" thickTop="1">
      <c r="B206" s="269">
        <v>46196</v>
      </c>
      <c r="C206" s="268" t="s">
        <v>346</v>
      </c>
      <c r="D206" s="274">
        <f>IFERROR(VLOOKUP(C206,'Data Lokasi'!C:D,2,0),"")</f>
        <v>5.62</v>
      </c>
      <c r="E206" s="274" t="s">
        <v>2643</v>
      </c>
      <c r="F206" s="274"/>
      <c r="G206" s="274">
        <v>0.02</v>
      </c>
      <c r="H206" s="274">
        <f>0.21+0.53</f>
        <v>0.74</v>
      </c>
      <c r="I206" s="274"/>
      <c r="J206" s="456">
        <f t="shared" si="8"/>
        <v>0.76</v>
      </c>
      <c r="K206" s="583"/>
      <c r="L206" s="268" t="s">
        <v>719</v>
      </c>
      <c r="M206" s="268" t="s">
        <v>2634</v>
      </c>
      <c r="N206" s="278">
        <f>IFERROR(INDEX('Data Lokasi'!S:S,MATCH('Input Real Tanam&amp;Petik Nanas'!C206,'Data Lokasi'!C:C,0)),"")</f>
        <v>44258</v>
      </c>
      <c r="O206" s="278"/>
      <c r="P206" s="283">
        <f>IFERROR(INDEX('Data Lokasi'!V:V,MATCH(C206,'Data Lokasi'!C:C,0)),"")</f>
        <v>0</v>
      </c>
      <c r="Q206" s="304">
        <f t="shared" si="9"/>
        <v>0</v>
      </c>
      <c r="R206" s="308">
        <v>8</v>
      </c>
    </row>
    <row r="207" spans="2:18" ht="15" hidden="1" thickTop="1">
      <c r="B207" s="269">
        <v>46196</v>
      </c>
      <c r="C207" s="268" t="s">
        <v>513</v>
      </c>
      <c r="D207" s="274">
        <f>IFERROR(VLOOKUP(C207,'Data Lokasi'!C:D,2,0),"")</f>
        <v>8.8800000000000008</v>
      </c>
      <c r="E207" s="274" t="s">
        <v>2643</v>
      </c>
      <c r="F207" s="274"/>
      <c r="G207" s="274"/>
      <c r="H207" s="274"/>
      <c r="I207" s="274">
        <v>1.53</v>
      </c>
      <c r="J207" s="456">
        <f t="shared" si="8"/>
        <v>1.53</v>
      </c>
      <c r="K207" s="583"/>
      <c r="L207" s="268" t="s">
        <v>2625</v>
      </c>
      <c r="M207" s="268" t="s">
        <v>2634</v>
      </c>
      <c r="N207" s="278">
        <f>IFERROR(INDEX('Data Lokasi'!S:S,MATCH('Input Real Tanam&amp;Petik Nanas'!C207,'Data Lokasi'!C:C,0)),"")</f>
        <v>44603</v>
      </c>
      <c r="O207" s="278"/>
      <c r="P207" s="283">
        <f>IFERROR(INDEX('Data Lokasi'!V:V,MATCH(C207,'Data Lokasi'!C:C,0)),"")</f>
        <v>0</v>
      </c>
      <c r="Q207" s="304">
        <f t="shared" si="9"/>
        <v>0</v>
      </c>
      <c r="R207" s="308"/>
    </row>
    <row r="208" spans="2:18" ht="15" hidden="1" thickTop="1">
      <c r="B208" s="269">
        <v>46196</v>
      </c>
      <c r="C208" s="268" t="s">
        <v>523</v>
      </c>
      <c r="D208" s="274">
        <f>IFERROR(VLOOKUP(C208,'Data Lokasi'!C:D,2,0),"")</f>
        <v>8.73</v>
      </c>
      <c r="E208" s="274" t="s">
        <v>2643</v>
      </c>
      <c r="F208" s="274"/>
      <c r="G208" s="274"/>
      <c r="H208" s="274"/>
      <c r="I208" s="274">
        <v>1.5</v>
      </c>
      <c r="J208" s="456">
        <f t="shared" si="8"/>
        <v>1.5</v>
      </c>
      <c r="K208" s="583"/>
      <c r="L208" s="268" t="s">
        <v>2625</v>
      </c>
      <c r="M208" s="268" t="s">
        <v>2634</v>
      </c>
      <c r="N208" s="278">
        <f>IFERROR(INDEX('Data Lokasi'!S:S,MATCH('Input Real Tanam&amp;Petik Nanas'!C208,'Data Lokasi'!C:C,0)),"")</f>
        <v>44600</v>
      </c>
      <c r="O208" s="278"/>
      <c r="P208" s="283">
        <f>IFERROR(INDEX('Data Lokasi'!V:V,MATCH(C208,'Data Lokasi'!C:C,0)),"")</f>
        <v>0</v>
      </c>
      <c r="Q208" s="304">
        <f t="shared" si="9"/>
        <v>0</v>
      </c>
      <c r="R208" s="308"/>
    </row>
    <row r="209" spans="2:18" ht="15" hidden="1" thickTop="1">
      <c r="B209" s="269">
        <v>46197</v>
      </c>
      <c r="C209" s="268" t="s">
        <v>671</v>
      </c>
      <c r="D209" s="274">
        <f>IFERROR(VLOOKUP(C209,'Data Lokasi'!C:D,2,0),"")</f>
        <v>7.82</v>
      </c>
      <c r="E209" s="274" t="s">
        <v>2642</v>
      </c>
      <c r="F209" s="274"/>
      <c r="G209" s="274"/>
      <c r="H209" s="274"/>
      <c r="I209" s="274">
        <v>1.3</v>
      </c>
      <c r="J209" s="456">
        <f t="shared" si="8"/>
        <v>1.3</v>
      </c>
      <c r="K209" s="583"/>
      <c r="L209" s="268" t="s">
        <v>2625</v>
      </c>
      <c r="M209" s="268" t="s">
        <v>2631</v>
      </c>
      <c r="N209" s="278">
        <f>IFERROR(INDEX('Data Lokasi'!S:S,MATCH('Input Real Tanam&amp;Petik Nanas'!C209,'Data Lokasi'!C:C,0)),"")</f>
        <v>45067</v>
      </c>
      <c r="O209" s="278"/>
      <c r="P209" s="283">
        <f>IFERROR(INDEX('Data Lokasi'!V:V,MATCH(C209,'Data Lokasi'!C:C,0)),"")</f>
        <v>0</v>
      </c>
      <c r="Q209" s="304">
        <f t="shared" si="9"/>
        <v>0</v>
      </c>
      <c r="R209" s="308"/>
    </row>
    <row r="210" spans="2:18" ht="15" hidden="1" thickTop="1">
      <c r="B210" s="269">
        <v>46197</v>
      </c>
      <c r="C210" s="268" t="s">
        <v>670</v>
      </c>
      <c r="D210" s="274">
        <f>IFERROR(VLOOKUP(C210,'Data Lokasi'!C:D,2,0),"")</f>
        <v>4.7</v>
      </c>
      <c r="E210" s="274" t="s">
        <v>2642</v>
      </c>
      <c r="F210" s="274"/>
      <c r="G210" s="274"/>
      <c r="H210" s="274"/>
      <c r="I210" s="274">
        <v>1.85</v>
      </c>
      <c r="J210" s="456">
        <f t="shared" si="8"/>
        <v>1.85</v>
      </c>
      <c r="K210" s="583"/>
      <c r="L210" s="268" t="s">
        <v>2625</v>
      </c>
      <c r="M210" s="268" t="s">
        <v>2631</v>
      </c>
      <c r="N210" s="278">
        <f>IFERROR(INDEX('Data Lokasi'!S:S,MATCH('Input Real Tanam&amp;Petik Nanas'!C210,'Data Lokasi'!C:C,0)),"")</f>
        <v>45071</v>
      </c>
      <c r="O210" s="278"/>
      <c r="P210" s="283">
        <f>IFERROR(INDEX('Data Lokasi'!V:V,MATCH(C210,'Data Lokasi'!C:C,0)),"")</f>
        <v>0</v>
      </c>
      <c r="Q210" s="304">
        <f t="shared" si="9"/>
        <v>0</v>
      </c>
      <c r="R210" s="308"/>
    </row>
    <row r="211" spans="2:18" ht="15" hidden="1" thickTop="1">
      <c r="B211" s="269">
        <v>46197</v>
      </c>
      <c r="C211" s="268" t="s">
        <v>366</v>
      </c>
      <c r="D211" s="274">
        <f>IFERROR(VLOOKUP(C211,'Data Lokasi'!C:D,2,0),"")</f>
        <v>5.88</v>
      </c>
      <c r="E211" s="274" t="s">
        <v>2642</v>
      </c>
      <c r="F211" s="274"/>
      <c r="G211" s="274">
        <v>0.12</v>
      </c>
      <c r="H211" s="274"/>
      <c r="I211" s="274"/>
      <c r="J211" s="456">
        <f t="shared" si="8"/>
        <v>0.12</v>
      </c>
      <c r="K211" s="583"/>
      <c r="L211" s="268" t="s">
        <v>719</v>
      </c>
      <c r="M211" s="268" t="s">
        <v>2634</v>
      </c>
      <c r="N211" s="278">
        <f>IFERROR(INDEX('Data Lokasi'!S:S,MATCH('Input Real Tanam&amp;Petik Nanas'!C211,'Data Lokasi'!C:C,0)),"")</f>
        <v>44300</v>
      </c>
      <c r="O211" s="278"/>
      <c r="P211" s="283">
        <f>IFERROR(INDEX('Data Lokasi'!V:V,MATCH(C211,'Data Lokasi'!C:C,0)),"")</f>
        <v>0</v>
      </c>
      <c r="Q211" s="304">
        <f t="shared" si="9"/>
        <v>0</v>
      </c>
      <c r="R211" s="308"/>
    </row>
    <row r="212" spans="2:18" ht="15" hidden="1" thickTop="1">
      <c r="B212" s="269">
        <v>46197</v>
      </c>
      <c r="C212" s="268" t="s">
        <v>677</v>
      </c>
      <c r="D212" s="274">
        <f>IFERROR(VLOOKUP(C212,'Data Lokasi'!C:D,2,0),"")</f>
        <v>8.2100000000000009</v>
      </c>
      <c r="E212" s="274" t="s">
        <v>2642</v>
      </c>
      <c r="F212" s="274"/>
      <c r="G212" s="274"/>
      <c r="H212" s="274"/>
      <c r="I212" s="274">
        <v>1.26</v>
      </c>
      <c r="J212" s="456">
        <f t="shared" si="8"/>
        <v>1.26</v>
      </c>
      <c r="K212" s="583"/>
      <c r="L212" s="268" t="s">
        <v>2625</v>
      </c>
      <c r="M212" s="268" t="s">
        <v>2634</v>
      </c>
      <c r="N212" s="278">
        <f>IFERROR(INDEX('Data Lokasi'!S:S,MATCH('Input Real Tanam&amp;Petik Nanas'!C212,'Data Lokasi'!C:C,0)),"")</f>
        <v>45071</v>
      </c>
      <c r="O212" s="278"/>
      <c r="P212" s="283">
        <f>IFERROR(INDEX('Data Lokasi'!V:V,MATCH(C212,'Data Lokasi'!C:C,0)),"")</f>
        <v>0</v>
      </c>
      <c r="Q212" s="304">
        <f t="shared" si="9"/>
        <v>0</v>
      </c>
      <c r="R212" s="308"/>
    </row>
    <row r="213" spans="2:18" ht="15" hidden="1" thickTop="1">
      <c r="B213" s="269">
        <v>46197</v>
      </c>
      <c r="C213" s="268" t="s">
        <v>687</v>
      </c>
      <c r="D213" s="274">
        <f>IFERROR(VLOOKUP(C213,'Data Lokasi'!C:D,2,0),"")</f>
        <v>10.58</v>
      </c>
      <c r="E213" s="274" t="s">
        <v>2642</v>
      </c>
      <c r="F213" s="274"/>
      <c r="G213" s="274"/>
      <c r="H213" s="274">
        <v>0.2</v>
      </c>
      <c r="I213" s="274"/>
      <c r="J213" s="456">
        <f t="shared" si="8"/>
        <v>0.2</v>
      </c>
      <c r="K213" s="583"/>
      <c r="L213" s="268" t="s">
        <v>719</v>
      </c>
      <c r="M213" s="268" t="s">
        <v>2634</v>
      </c>
      <c r="N213" s="278">
        <f>IFERROR(INDEX('Data Lokasi'!S:S,MATCH('Input Real Tanam&amp;Petik Nanas'!C213,'Data Lokasi'!C:C,0)),"")</f>
        <v>45105</v>
      </c>
      <c r="O213" s="278"/>
      <c r="P213" s="283">
        <f>IFERROR(INDEX('Data Lokasi'!V:V,MATCH(C213,'Data Lokasi'!C:C,0)),"")</f>
        <v>0</v>
      </c>
      <c r="Q213" s="304">
        <f t="shared" si="9"/>
        <v>0</v>
      </c>
      <c r="R213" s="308"/>
    </row>
    <row r="214" spans="2:18" ht="15" hidden="1" thickTop="1">
      <c r="B214" s="269">
        <v>46197</v>
      </c>
      <c r="C214" s="268" t="s">
        <v>687</v>
      </c>
      <c r="D214" s="274">
        <f>IFERROR(VLOOKUP(C214,'Data Lokasi'!C:D,2,0),"")</f>
        <v>10.58</v>
      </c>
      <c r="E214" s="274" t="s">
        <v>2642</v>
      </c>
      <c r="F214" s="274"/>
      <c r="G214" s="274"/>
      <c r="H214" s="274"/>
      <c r="I214" s="274">
        <v>0.91</v>
      </c>
      <c r="J214" s="456">
        <f t="shared" si="8"/>
        <v>0.91</v>
      </c>
      <c r="K214" s="583"/>
      <c r="L214" s="268" t="s">
        <v>2625</v>
      </c>
      <c r="M214" s="268" t="s">
        <v>2634</v>
      </c>
      <c r="N214" s="278">
        <f>IFERROR(INDEX('Data Lokasi'!S:S,MATCH('Input Real Tanam&amp;Petik Nanas'!C214,'Data Lokasi'!C:C,0)),"")</f>
        <v>45105</v>
      </c>
      <c r="O214" s="278"/>
      <c r="P214" s="283">
        <f>IFERROR(INDEX('Data Lokasi'!V:V,MATCH(C214,'Data Lokasi'!C:C,0)),"")</f>
        <v>0</v>
      </c>
      <c r="Q214" s="304">
        <f t="shared" si="9"/>
        <v>0</v>
      </c>
      <c r="R214" s="308"/>
    </row>
    <row r="215" spans="2:18" ht="15" hidden="1" thickTop="1">
      <c r="B215" s="269">
        <v>46197</v>
      </c>
      <c r="C215" s="268" t="s">
        <v>665</v>
      </c>
      <c r="D215" s="274">
        <f>IFERROR(VLOOKUP(C215,'Data Lokasi'!C:D,2,0),"")</f>
        <v>4.68</v>
      </c>
      <c r="E215" s="274" t="s">
        <v>2642</v>
      </c>
      <c r="F215" s="274"/>
      <c r="G215" s="274"/>
      <c r="H215" s="274"/>
      <c r="I215" s="274">
        <v>0.6</v>
      </c>
      <c r="J215" s="456">
        <f t="shared" si="8"/>
        <v>0.6</v>
      </c>
      <c r="K215" s="583"/>
      <c r="L215" s="268" t="s">
        <v>2625</v>
      </c>
      <c r="M215" s="268" t="s">
        <v>2634</v>
      </c>
      <c r="N215" s="278">
        <f>IFERROR(INDEX('Data Lokasi'!S:S,MATCH('Input Real Tanam&amp;Petik Nanas'!C215,'Data Lokasi'!C:C,0)),"")</f>
        <v>45061</v>
      </c>
      <c r="O215" s="278"/>
      <c r="P215" s="283">
        <f>IFERROR(INDEX('Data Lokasi'!V:V,MATCH(C215,'Data Lokasi'!C:C,0)),"")</f>
        <v>0</v>
      </c>
      <c r="Q215" s="304">
        <f t="shared" si="9"/>
        <v>0</v>
      </c>
      <c r="R215" s="308"/>
    </row>
    <row r="216" spans="2:18" ht="15" hidden="1" thickTop="1">
      <c r="B216" s="269">
        <v>46197</v>
      </c>
      <c r="C216" s="268" t="s">
        <v>441</v>
      </c>
      <c r="D216" s="274">
        <f>IFERROR(VLOOKUP(C216,'Data Lokasi'!C:D,2,0),"")</f>
        <v>11.2</v>
      </c>
      <c r="E216" s="274" t="s">
        <v>2643</v>
      </c>
      <c r="F216" s="274">
        <v>7.0000000000000007E-2</v>
      </c>
      <c r="G216" s="274">
        <f>0.09+0.17</f>
        <v>0.26</v>
      </c>
      <c r="H216" s="274">
        <f>0.12+0.06</f>
        <v>0.18</v>
      </c>
      <c r="I216" s="274"/>
      <c r="J216" s="456">
        <f t="shared" si="8"/>
        <v>0.51</v>
      </c>
      <c r="K216" s="583"/>
      <c r="L216" s="268" t="s">
        <v>719</v>
      </c>
      <c r="M216" s="268" t="s">
        <v>2631</v>
      </c>
      <c r="N216" s="278">
        <f>IFERROR(INDEX('Data Lokasi'!S:S,MATCH('Input Real Tanam&amp;Petik Nanas'!C216,'Data Lokasi'!C:C,0)),"")</f>
        <v>44429</v>
      </c>
      <c r="O216" s="278"/>
      <c r="P216" s="283">
        <f>IFERROR(INDEX('Data Lokasi'!V:V,MATCH(C216,'Data Lokasi'!C:C,0)),"")</f>
        <v>0</v>
      </c>
      <c r="Q216" s="304">
        <f t="shared" si="9"/>
        <v>0</v>
      </c>
      <c r="R216" s="308">
        <v>2</v>
      </c>
    </row>
    <row r="217" spans="2:18" ht="15" hidden="1" thickTop="1">
      <c r="B217" s="269">
        <v>46197</v>
      </c>
      <c r="C217" s="268" t="s">
        <v>374</v>
      </c>
      <c r="D217" s="274">
        <f>IFERROR(VLOOKUP(C217,'Data Lokasi'!C:D,2,0),"")</f>
        <v>6.94</v>
      </c>
      <c r="E217" s="274" t="s">
        <v>2643</v>
      </c>
      <c r="F217" s="274"/>
      <c r="G217" s="274"/>
      <c r="H217" s="274"/>
      <c r="I217" s="274">
        <v>1.1599999999999999</v>
      </c>
      <c r="J217" s="456">
        <f t="shared" si="8"/>
        <v>1.1599999999999999</v>
      </c>
      <c r="K217" s="583"/>
      <c r="L217" s="268" t="s">
        <v>2625</v>
      </c>
      <c r="M217" s="268" t="s">
        <v>2631</v>
      </c>
      <c r="N217" s="278">
        <f>IFERROR(INDEX('Data Lokasi'!S:S,MATCH('Input Real Tanam&amp;Petik Nanas'!C217,'Data Lokasi'!C:C,0)),"")</f>
        <v>44338</v>
      </c>
      <c r="O217" s="278"/>
      <c r="P217" s="283">
        <f>IFERROR(INDEX('Data Lokasi'!V:V,MATCH(C217,'Data Lokasi'!C:C,0)),"")</f>
        <v>0</v>
      </c>
      <c r="Q217" s="304">
        <f t="shared" si="9"/>
        <v>0</v>
      </c>
      <c r="R217" s="308"/>
    </row>
    <row r="218" spans="2:18" ht="15" hidden="1" thickTop="1">
      <c r="B218" s="269">
        <v>46197</v>
      </c>
      <c r="C218" s="268" t="s">
        <v>2501</v>
      </c>
      <c r="D218" s="274">
        <f>IFERROR(VLOOKUP(C218,'Data Lokasi'!C:D,2,0),"")</f>
        <v>5.18</v>
      </c>
      <c r="E218" s="274" t="s">
        <v>2643</v>
      </c>
      <c r="F218" s="274"/>
      <c r="G218" s="274"/>
      <c r="H218" s="274"/>
      <c r="I218" s="274">
        <v>0.37</v>
      </c>
      <c r="J218" s="456">
        <f t="shared" ref="J218:J281" si="10">IF(SUM(F218:I218)=0,"",(SUM(F218:I218)))</f>
        <v>0.37</v>
      </c>
      <c r="K218" s="583"/>
      <c r="L218" s="268" t="s">
        <v>2625</v>
      </c>
      <c r="M218" s="268" t="s">
        <v>2631</v>
      </c>
      <c r="N218" s="278">
        <f>IFERROR(INDEX('Data Lokasi'!S:S,MATCH('Input Real Tanam&amp;Petik Nanas'!C218,'Data Lokasi'!C:C,0)),"")</f>
        <v>45714</v>
      </c>
      <c r="O218" s="278"/>
      <c r="P218" s="283">
        <f>IFERROR(INDEX('Data Lokasi'!V:V,MATCH(C218,'Data Lokasi'!C:C,0)),"")</f>
        <v>0</v>
      </c>
      <c r="Q218" s="304">
        <f t="shared" ref="Q218:Q281" si="11">IF(ISERROR(P218/D218),"",(P218/D218))</f>
        <v>0</v>
      </c>
      <c r="R218" s="308"/>
    </row>
    <row r="219" spans="2:18" ht="15" hidden="1" thickTop="1">
      <c r="B219" s="269">
        <v>46197</v>
      </c>
      <c r="C219" s="268" t="s">
        <v>141</v>
      </c>
      <c r="D219" s="274">
        <f>IFERROR(VLOOKUP(C219,'Data Lokasi'!C:D,2,0),"")</f>
        <v>6.53</v>
      </c>
      <c r="E219" s="274" t="s">
        <v>2643</v>
      </c>
      <c r="F219" s="274"/>
      <c r="G219" s="274"/>
      <c r="H219" s="274"/>
      <c r="I219" s="274">
        <v>0.81</v>
      </c>
      <c r="J219" s="456">
        <f t="shared" si="10"/>
        <v>0.81</v>
      </c>
      <c r="K219" s="583"/>
      <c r="L219" s="268" t="s">
        <v>2625</v>
      </c>
      <c r="M219" s="268" t="s">
        <v>2631</v>
      </c>
      <c r="N219" s="278">
        <f>IFERROR(INDEX('Data Lokasi'!S:S,MATCH('Input Real Tanam&amp;Petik Nanas'!C219,'Data Lokasi'!C:C,0)),"")</f>
        <v>0</v>
      </c>
      <c r="O219" s="278"/>
      <c r="P219" s="283">
        <f>IFERROR(INDEX('Data Lokasi'!V:V,MATCH(C219,'Data Lokasi'!C:C,0)),"")</f>
        <v>0</v>
      </c>
      <c r="Q219" s="304">
        <f t="shared" si="11"/>
        <v>0</v>
      </c>
      <c r="R219" s="308"/>
    </row>
    <row r="220" spans="2:18" ht="15" hidden="1" thickTop="1">
      <c r="B220" s="269">
        <v>46197</v>
      </c>
      <c r="C220" s="268" t="s">
        <v>346</v>
      </c>
      <c r="D220" s="274">
        <f>IFERROR(VLOOKUP(C220,'Data Lokasi'!C:D,2,0),"")</f>
        <v>5.62</v>
      </c>
      <c r="E220" s="274" t="s">
        <v>2643</v>
      </c>
      <c r="F220" s="274"/>
      <c r="G220" s="274">
        <v>0.02</v>
      </c>
      <c r="H220" s="274">
        <f>0.1+0.26</f>
        <v>0.36</v>
      </c>
      <c r="I220" s="274"/>
      <c r="J220" s="456">
        <f t="shared" si="10"/>
        <v>0.38</v>
      </c>
      <c r="K220" s="583"/>
      <c r="L220" s="268" t="s">
        <v>719</v>
      </c>
      <c r="M220" s="268" t="s">
        <v>2634</v>
      </c>
      <c r="N220" s="278">
        <f>IFERROR(INDEX('Data Lokasi'!S:S,MATCH('Input Real Tanam&amp;Petik Nanas'!C220,'Data Lokasi'!C:C,0)),"")</f>
        <v>44258</v>
      </c>
      <c r="O220" s="278"/>
      <c r="P220" s="283">
        <f>IFERROR(INDEX('Data Lokasi'!V:V,MATCH(C220,'Data Lokasi'!C:C,0)),"")</f>
        <v>0</v>
      </c>
      <c r="Q220" s="304">
        <f t="shared" si="11"/>
        <v>0</v>
      </c>
      <c r="R220" s="308">
        <v>8</v>
      </c>
    </row>
    <row r="221" spans="2:18" ht="15" hidden="1" thickTop="1">
      <c r="B221" s="269">
        <v>46197</v>
      </c>
      <c r="C221" s="268" t="s">
        <v>513</v>
      </c>
      <c r="D221" s="274">
        <f>IFERROR(VLOOKUP(C221,'Data Lokasi'!C:D,2,0),"")</f>
        <v>8.8800000000000008</v>
      </c>
      <c r="E221" s="274" t="s">
        <v>2643</v>
      </c>
      <c r="F221" s="274"/>
      <c r="G221" s="274"/>
      <c r="H221" s="274"/>
      <c r="I221" s="274">
        <v>1.4</v>
      </c>
      <c r="J221" s="456">
        <f t="shared" si="10"/>
        <v>1.4</v>
      </c>
      <c r="K221" s="583"/>
      <c r="L221" s="268" t="s">
        <v>2625</v>
      </c>
      <c r="M221" s="268" t="s">
        <v>2634</v>
      </c>
      <c r="N221" s="278">
        <f>IFERROR(INDEX('Data Lokasi'!S:S,MATCH('Input Real Tanam&amp;Petik Nanas'!C221,'Data Lokasi'!C:C,0)),"")</f>
        <v>44603</v>
      </c>
      <c r="O221" s="278"/>
      <c r="P221" s="283">
        <f>IFERROR(INDEX('Data Lokasi'!V:V,MATCH(C221,'Data Lokasi'!C:C,0)),"")</f>
        <v>0</v>
      </c>
      <c r="Q221" s="304">
        <f t="shared" si="11"/>
        <v>0</v>
      </c>
      <c r="R221" s="308"/>
    </row>
    <row r="222" spans="2:18" ht="15" hidden="1" thickTop="1">
      <c r="B222" s="269">
        <v>46197</v>
      </c>
      <c r="C222" s="268" t="s">
        <v>395</v>
      </c>
      <c r="D222" s="274">
        <f>IFERROR(VLOOKUP(C222,'Data Lokasi'!C:D,2,0),"")</f>
        <v>6.32</v>
      </c>
      <c r="E222" s="274" t="s">
        <v>2643</v>
      </c>
      <c r="F222" s="274"/>
      <c r="G222" s="274">
        <v>0.03</v>
      </c>
      <c r="H222" s="274">
        <f>0.1+0.34</f>
        <v>0.44000000000000006</v>
      </c>
      <c r="I222" s="274"/>
      <c r="J222" s="456">
        <f t="shared" si="10"/>
        <v>0.47000000000000008</v>
      </c>
      <c r="K222" s="583"/>
      <c r="L222" s="268" t="s">
        <v>719</v>
      </c>
      <c r="M222" s="268" t="s">
        <v>2634</v>
      </c>
      <c r="N222" s="278">
        <f>IFERROR(INDEX('Data Lokasi'!S:S,MATCH('Input Real Tanam&amp;Petik Nanas'!C222,'Data Lokasi'!C:C,0)),"")</f>
        <v>44369</v>
      </c>
      <c r="O222" s="278"/>
      <c r="P222" s="283">
        <f>IFERROR(INDEX('Data Lokasi'!V:V,MATCH(C222,'Data Lokasi'!C:C,0)),"")</f>
        <v>0</v>
      </c>
      <c r="Q222" s="304">
        <f t="shared" si="11"/>
        <v>0</v>
      </c>
      <c r="R222" s="308">
        <v>5</v>
      </c>
    </row>
    <row r="223" spans="2:18" ht="15" hidden="1" thickTop="1">
      <c r="B223" s="269">
        <v>46197</v>
      </c>
      <c r="C223" s="317" t="s">
        <v>137</v>
      </c>
      <c r="D223" s="274">
        <f>IFERROR(VLOOKUP(C223,'Data Lokasi'!C:D,2,0),"")</f>
        <v>6.01</v>
      </c>
      <c r="E223" s="274" t="s">
        <v>2643</v>
      </c>
      <c r="F223" s="274"/>
      <c r="G223" s="274"/>
      <c r="H223" s="274"/>
      <c r="I223" s="274">
        <v>1.71</v>
      </c>
      <c r="J223" s="456">
        <f t="shared" si="10"/>
        <v>1.71</v>
      </c>
      <c r="K223" s="583"/>
      <c r="L223" s="268" t="s">
        <v>2625</v>
      </c>
      <c r="M223" s="268" t="s">
        <v>2631</v>
      </c>
      <c r="N223" s="278">
        <f>IFERROR(INDEX('Data Lokasi'!S:S,MATCH('Input Real Tanam&amp;Petik Nanas'!C223,'Data Lokasi'!C:C,0)),"")</f>
        <v>46291</v>
      </c>
      <c r="O223" s="278"/>
      <c r="P223" s="283">
        <f>IFERROR(INDEX('Data Lokasi'!V:V,MATCH(C223,'Data Lokasi'!C:C,0)),"")</f>
        <v>6.0100000000000007</v>
      </c>
      <c r="Q223" s="304">
        <f t="shared" si="11"/>
        <v>1.0000000000000002</v>
      </c>
      <c r="R223" s="308"/>
    </row>
    <row r="224" spans="2:18" ht="15" hidden="1" thickTop="1">
      <c r="B224" s="269">
        <v>46198</v>
      </c>
      <c r="C224" s="268" t="s">
        <v>641</v>
      </c>
      <c r="D224" s="274">
        <f>IFERROR(VLOOKUP(C224,'Data Lokasi'!C:D,2,0),"")</f>
        <v>6.35</v>
      </c>
      <c r="E224" s="274" t="s">
        <v>2642</v>
      </c>
      <c r="F224" s="274"/>
      <c r="G224" s="274"/>
      <c r="H224" s="274"/>
      <c r="I224" s="274">
        <v>0.03</v>
      </c>
      <c r="J224" s="456">
        <f t="shared" si="10"/>
        <v>0.03</v>
      </c>
      <c r="K224" s="583"/>
      <c r="L224" s="268" t="s">
        <v>719</v>
      </c>
      <c r="M224" s="268" t="s">
        <v>2634</v>
      </c>
      <c r="N224" s="278">
        <f>IFERROR(INDEX('Data Lokasi'!S:S,MATCH('Input Real Tanam&amp;Petik Nanas'!C224,'Data Lokasi'!C:C,0)),"")</f>
        <v>44931</v>
      </c>
      <c r="O224" s="278"/>
      <c r="P224" s="283">
        <f>IFERROR(INDEX('Data Lokasi'!V:V,MATCH(C224,'Data Lokasi'!C:C,0)),"")</f>
        <v>0</v>
      </c>
      <c r="Q224" s="304">
        <f>IF(ISERROR(P224/D224),"",(P224/D224))</f>
        <v>0</v>
      </c>
      <c r="R224" s="308"/>
    </row>
    <row r="225" spans="2:18" ht="15" hidden="1" thickTop="1">
      <c r="B225" s="269">
        <v>46198</v>
      </c>
      <c r="C225" s="268" t="s">
        <v>677</v>
      </c>
      <c r="D225" s="274">
        <f>IFERROR(VLOOKUP(C225,'Data Lokasi'!C:D,2,0),"")</f>
        <v>8.2100000000000009</v>
      </c>
      <c r="E225" s="274" t="s">
        <v>2642</v>
      </c>
      <c r="F225" s="274"/>
      <c r="G225" s="274"/>
      <c r="H225" s="274"/>
      <c r="I225" s="274">
        <v>1.46</v>
      </c>
      <c r="J225" s="456">
        <f t="shared" si="10"/>
        <v>1.46</v>
      </c>
      <c r="K225" s="583"/>
      <c r="L225" s="268" t="s">
        <v>2625</v>
      </c>
      <c r="M225" s="268" t="s">
        <v>2634</v>
      </c>
      <c r="N225" s="278">
        <f>IFERROR(INDEX('Data Lokasi'!S:S,MATCH('Input Real Tanam&amp;Petik Nanas'!C225,'Data Lokasi'!C:C,0)),"")</f>
        <v>45071</v>
      </c>
      <c r="O225" s="278"/>
      <c r="P225" s="283">
        <f>IFERROR(INDEX('Data Lokasi'!V:V,MATCH(C225,'Data Lokasi'!C:C,0)),"")</f>
        <v>0</v>
      </c>
      <c r="Q225" s="304">
        <f t="shared" si="11"/>
        <v>0</v>
      </c>
      <c r="R225" s="308"/>
    </row>
    <row r="226" spans="2:18" ht="15" hidden="1" thickTop="1">
      <c r="B226" s="269">
        <v>46198</v>
      </c>
      <c r="C226" s="268" t="s">
        <v>687</v>
      </c>
      <c r="D226" s="274">
        <f>IFERROR(VLOOKUP(C226,'Data Lokasi'!C:D,2,0),"")</f>
        <v>10.58</v>
      </c>
      <c r="E226" s="274" t="s">
        <v>2642</v>
      </c>
      <c r="F226" s="274"/>
      <c r="G226" s="274"/>
      <c r="H226" s="274">
        <v>0.24</v>
      </c>
      <c r="I226" s="274"/>
      <c r="J226" s="456">
        <f t="shared" si="10"/>
        <v>0.24</v>
      </c>
      <c r="K226" s="583"/>
      <c r="L226" s="268" t="s">
        <v>719</v>
      </c>
      <c r="M226" s="268" t="s">
        <v>2634</v>
      </c>
      <c r="N226" s="278">
        <f>IFERROR(INDEX('Data Lokasi'!S:S,MATCH('Input Real Tanam&amp;Petik Nanas'!C226,'Data Lokasi'!C:C,0)),"")</f>
        <v>45105</v>
      </c>
      <c r="O226" s="278"/>
      <c r="P226" s="283">
        <f>IFERROR(INDEX('Data Lokasi'!V:V,MATCH(C226,'Data Lokasi'!C:C,0)),"")</f>
        <v>0</v>
      </c>
      <c r="Q226" s="304">
        <f t="shared" si="11"/>
        <v>0</v>
      </c>
      <c r="R226" s="308"/>
    </row>
    <row r="227" spans="2:18" ht="15" hidden="1" thickTop="1">
      <c r="B227" s="269">
        <v>46198</v>
      </c>
      <c r="C227" s="268" t="s">
        <v>687</v>
      </c>
      <c r="D227" s="274">
        <f>IFERROR(VLOOKUP(C227,'Data Lokasi'!C:D,2,0),"")</f>
        <v>10.58</v>
      </c>
      <c r="E227" s="274" t="s">
        <v>2642</v>
      </c>
      <c r="F227" s="274"/>
      <c r="G227" s="274"/>
      <c r="H227" s="274"/>
      <c r="I227" s="274">
        <v>0.71</v>
      </c>
      <c r="J227" s="456">
        <f t="shared" si="10"/>
        <v>0.71</v>
      </c>
      <c r="K227" s="583"/>
      <c r="L227" s="268" t="s">
        <v>2625</v>
      </c>
      <c r="M227" s="268" t="s">
        <v>2634</v>
      </c>
      <c r="N227" s="278">
        <f>IFERROR(INDEX('Data Lokasi'!S:S,MATCH('Input Real Tanam&amp;Petik Nanas'!C227,'Data Lokasi'!C:C,0)),"")</f>
        <v>45105</v>
      </c>
      <c r="O227" s="278"/>
      <c r="P227" s="283">
        <f>IFERROR(INDEX('Data Lokasi'!V:V,MATCH(C227,'Data Lokasi'!C:C,0)),"")</f>
        <v>0</v>
      </c>
      <c r="Q227" s="304">
        <f t="shared" si="11"/>
        <v>0</v>
      </c>
      <c r="R227" s="308"/>
    </row>
    <row r="228" spans="2:18" ht="15" hidden="1" thickTop="1">
      <c r="B228" s="269">
        <v>46198</v>
      </c>
      <c r="C228" s="268" t="s">
        <v>665</v>
      </c>
      <c r="D228" s="274">
        <f>IFERROR(VLOOKUP(C228,'Data Lokasi'!C:D,2,0),"")</f>
        <v>4.68</v>
      </c>
      <c r="E228" s="274" t="s">
        <v>2642</v>
      </c>
      <c r="F228" s="274"/>
      <c r="G228" s="274"/>
      <c r="H228" s="274"/>
      <c r="I228" s="274">
        <v>0.63</v>
      </c>
      <c r="J228" s="456">
        <f t="shared" si="10"/>
        <v>0.63</v>
      </c>
      <c r="K228" s="583"/>
      <c r="L228" s="268" t="s">
        <v>2625</v>
      </c>
      <c r="M228" s="268" t="s">
        <v>2634</v>
      </c>
      <c r="N228" s="278">
        <f>IFERROR(INDEX('Data Lokasi'!S:S,MATCH('Input Real Tanam&amp;Petik Nanas'!C228,'Data Lokasi'!C:C,0)),"")</f>
        <v>45061</v>
      </c>
      <c r="O228" s="278"/>
      <c r="P228" s="283">
        <f>IFERROR(INDEX('Data Lokasi'!V:V,MATCH(C228,'Data Lokasi'!C:C,0)),"")</f>
        <v>0</v>
      </c>
      <c r="Q228" s="304">
        <f t="shared" si="11"/>
        <v>0</v>
      </c>
      <c r="R228" s="308"/>
    </row>
    <row r="229" spans="2:18" ht="15" hidden="1" thickTop="1">
      <c r="B229" s="269">
        <v>46198</v>
      </c>
      <c r="C229" s="268" t="s">
        <v>670</v>
      </c>
      <c r="D229" s="274">
        <f>IFERROR(VLOOKUP(C229,'Data Lokasi'!C:D,2,0),"")</f>
        <v>4.7</v>
      </c>
      <c r="E229" s="274" t="s">
        <v>2642</v>
      </c>
      <c r="F229" s="274"/>
      <c r="G229" s="274"/>
      <c r="H229" s="274"/>
      <c r="I229" s="274">
        <v>0.59</v>
      </c>
      <c r="J229" s="456">
        <f t="shared" si="10"/>
        <v>0.59</v>
      </c>
      <c r="K229" s="583"/>
      <c r="L229" s="268" t="s">
        <v>2625</v>
      </c>
      <c r="M229" s="268" t="s">
        <v>2631</v>
      </c>
      <c r="N229" s="278">
        <f>IFERROR(INDEX('Data Lokasi'!S:S,MATCH('Input Real Tanam&amp;Petik Nanas'!C229,'Data Lokasi'!C:C,0)),"")</f>
        <v>45071</v>
      </c>
      <c r="O229" s="278"/>
      <c r="P229" s="283">
        <f>IFERROR(INDEX('Data Lokasi'!V:V,MATCH(C229,'Data Lokasi'!C:C,0)),"")</f>
        <v>0</v>
      </c>
      <c r="Q229" s="304">
        <f t="shared" si="11"/>
        <v>0</v>
      </c>
      <c r="R229" s="308"/>
    </row>
    <row r="230" spans="2:18" ht="15" hidden="1" thickTop="1">
      <c r="B230" s="269">
        <v>46198</v>
      </c>
      <c r="C230" s="268" t="s">
        <v>671</v>
      </c>
      <c r="D230" s="274">
        <f>IFERROR(VLOOKUP(C230,'Data Lokasi'!C:D,2,0),"")</f>
        <v>7.82</v>
      </c>
      <c r="E230" s="274" t="s">
        <v>2642</v>
      </c>
      <c r="F230" s="274"/>
      <c r="G230" s="274"/>
      <c r="H230" s="274"/>
      <c r="I230" s="274">
        <v>1.41</v>
      </c>
      <c r="J230" s="456">
        <f t="shared" si="10"/>
        <v>1.41</v>
      </c>
      <c r="K230" s="583"/>
      <c r="L230" s="268" t="s">
        <v>2625</v>
      </c>
      <c r="M230" s="268" t="s">
        <v>2631</v>
      </c>
      <c r="N230" s="278">
        <f>IFERROR(INDEX('Data Lokasi'!S:S,MATCH('Input Real Tanam&amp;Petik Nanas'!C230,'Data Lokasi'!C:C,0)),"")</f>
        <v>45067</v>
      </c>
      <c r="O230" s="278"/>
      <c r="P230" s="283">
        <f>IFERROR(INDEX('Data Lokasi'!V:V,MATCH(C230,'Data Lokasi'!C:C,0)),"")</f>
        <v>0</v>
      </c>
      <c r="Q230" s="304">
        <f t="shared" si="11"/>
        <v>0</v>
      </c>
      <c r="R230" s="308"/>
    </row>
    <row r="231" spans="2:18" ht="15" hidden="1" thickTop="1">
      <c r="B231" s="269">
        <v>46198</v>
      </c>
      <c r="C231" s="268" t="s">
        <v>2420</v>
      </c>
      <c r="D231" s="274">
        <f>IFERROR(VLOOKUP(C231,'Data Lokasi'!C:D,2,0),"")</f>
        <v>7.19</v>
      </c>
      <c r="E231" s="274" t="s">
        <v>2642</v>
      </c>
      <c r="F231" s="274"/>
      <c r="G231" s="274">
        <v>0.11</v>
      </c>
      <c r="H231" s="274"/>
      <c r="I231" s="274"/>
      <c r="J231" s="456">
        <f t="shared" si="10"/>
        <v>0.11</v>
      </c>
      <c r="K231" s="583"/>
      <c r="L231" s="268" t="s">
        <v>719</v>
      </c>
      <c r="M231" s="268" t="s">
        <v>2631</v>
      </c>
      <c r="N231" s="278">
        <f>IFERROR(INDEX('Data Lokasi'!S:S,MATCH('Input Real Tanam&amp;Petik Nanas'!C231,'Data Lokasi'!C:C,0)),"")</f>
        <v>46177</v>
      </c>
      <c r="O231" s="278"/>
      <c r="P231" s="283">
        <f>IFERROR(INDEX('Data Lokasi'!V:V,MATCH(C231,'Data Lokasi'!C:C,0)),"")</f>
        <v>0</v>
      </c>
      <c r="Q231" s="304">
        <f t="shared" si="11"/>
        <v>0</v>
      </c>
      <c r="R231" s="308"/>
    </row>
    <row r="232" spans="2:18" ht="15" hidden="1" thickTop="1">
      <c r="B232" s="269">
        <v>46198</v>
      </c>
      <c r="C232" s="268" t="s">
        <v>2648</v>
      </c>
      <c r="D232" s="274">
        <f>IFERROR(VLOOKUP(C232,'Data Lokasi'!C:D,2,0),"")</f>
        <v>0.31</v>
      </c>
      <c r="E232" s="274" t="s">
        <v>2642</v>
      </c>
      <c r="F232" s="274"/>
      <c r="G232" s="274"/>
      <c r="H232" s="274">
        <v>0.18</v>
      </c>
      <c r="I232" s="274"/>
      <c r="J232" s="456">
        <f t="shared" si="10"/>
        <v>0.18</v>
      </c>
      <c r="K232" s="583"/>
      <c r="L232" s="268" t="s">
        <v>719</v>
      </c>
      <c r="M232" s="268" t="s">
        <v>2631</v>
      </c>
      <c r="N232" s="278">
        <f>IFERROR(INDEX('Data Lokasi'!S:S,MATCH('Input Real Tanam&amp;Petik Nanas'!C232,'Data Lokasi'!C:C,0)),"")</f>
        <v>46198</v>
      </c>
      <c r="O232" s="278"/>
      <c r="P232" s="283">
        <f>IFERROR(INDEX('Data Lokasi'!V:V,MATCH(C232,'Data Lokasi'!C:C,0)),"")</f>
        <v>0</v>
      </c>
      <c r="Q232" s="304">
        <f t="shared" si="11"/>
        <v>0</v>
      </c>
      <c r="R232" s="308"/>
    </row>
    <row r="233" spans="2:18" ht="15" hidden="1" thickTop="1">
      <c r="B233" s="269">
        <v>46198</v>
      </c>
      <c r="C233" s="268" t="s">
        <v>678</v>
      </c>
      <c r="D233" s="274">
        <f>IFERROR(VLOOKUP(C233,'Data Lokasi'!C:D,2,0),"")</f>
        <v>7.7</v>
      </c>
      <c r="E233" s="274" t="s">
        <v>2642</v>
      </c>
      <c r="F233" s="274"/>
      <c r="G233" s="274"/>
      <c r="H233" s="274">
        <v>0.1</v>
      </c>
      <c r="I233" s="274"/>
      <c r="J233" s="456">
        <f t="shared" si="10"/>
        <v>0.1</v>
      </c>
      <c r="K233" s="583"/>
      <c r="L233" s="268" t="s">
        <v>719</v>
      </c>
      <c r="M233" s="268" t="s">
        <v>2631</v>
      </c>
      <c r="N233" s="278">
        <f>IFERROR(INDEX('Data Lokasi'!S:S,MATCH('Input Real Tanam&amp;Petik Nanas'!C233,'Data Lokasi'!C:C,0)),"")</f>
        <v>45083</v>
      </c>
      <c r="O233" s="278"/>
      <c r="P233" s="283">
        <f>IFERROR(INDEX('Data Lokasi'!V:V,MATCH(C233,'Data Lokasi'!C:C,0)),"")</f>
        <v>0</v>
      </c>
      <c r="Q233" s="304">
        <f t="shared" si="11"/>
        <v>0</v>
      </c>
      <c r="R233" s="308"/>
    </row>
    <row r="234" spans="2:18" ht="15" hidden="1" thickTop="1">
      <c r="B234" s="269">
        <v>46198</v>
      </c>
      <c r="C234" s="268" t="s">
        <v>441</v>
      </c>
      <c r="D234" s="274">
        <f>IFERROR(VLOOKUP(C234,'Data Lokasi'!C:D,2,0),"")</f>
        <v>11.2</v>
      </c>
      <c r="E234" s="274" t="s">
        <v>2643</v>
      </c>
      <c r="F234" s="274">
        <v>0.06</v>
      </c>
      <c r="G234" s="274">
        <v>0.16</v>
      </c>
      <c r="H234" s="274">
        <f>0.05+0.04</f>
        <v>0.09</v>
      </c>
      <c r="I234" s="274"/>
      <c r="J234" s="456">
        <f t="shared" ref="J234" si="12">IF(SUM(F234:I234)=0,"",(SUM(F234:I234)))</f>
        <v>0.31</v>
      </c>
      <c r="K234" s="583"/>
      <c r="L234" s="268" t="s">
        <v>719</v>
      </c>
      <c r="M234" s="268" t="s">
        <v>2631</v>
      </c>
      <c r="N234" s="278">
        <f>IFERROR(INDEX('Data Lokasi'!S:S,MATCH('Input Real Tanam&amp;Petik Nanas'!C234,'Data Lokasi'!C:C,0)),"")</f>
        <v>44429</v>
      </c>
      <c r="O234" s="278"/>
      <c r="P234" s="283">
        <f>IFERROR(INDEX('Data Lokasi'!V:V,MATCH(C234,'Data Lokasi'!C:C,0)),"")</f>
        <v>0</v>
      </c>
      <c r="Q234" s="304">
        <f t="shared" ref="Q234" si="13">IF(ISERROR(P234/D234),"",(P234/D234))</f>
        <v>0</v>
      </c>
      <c r="R234" s="308">
        <v>2</v>
      </c>
    </row>
    <row r="235" spans="2:18" ht="15" hidden="1" thickTop="1">
      <c r="B235" s="269">
        <v>46198</v>
      </c>
      <c r="C235" s="268" t="s">
        <v>374</v>
      </c>
      <c r="D235" s="274">
        <f>IFERROR(VLOOKUP(C235,'Data Lokasi'!C:D,2,0),"")</f>
        <v>6.94</v>
      </c>
      <c r="E235" s="274" t="s">
        <v>2643</v>
      </c>
      <c r="F235" s="274"/>
      <c r="G235" s="274"/>
      <c r="H235" s="274"/>
      <c r="I235" s="274">
        <v>0.91</v>
      </c>
      <c r="J235" s="456">
        <f t="shared" si="10"/>
        <v>0.91</v>
      </c>
      <c r="K235" s="583"/>
      <c r="L235" s="268" t="s">
        <v>2625</v>
      </c>
      <c r="M235" s="268" t="s">
        <v>2631</v>
      </c>
      <c r="N235" s="278">
        <f>IFERROR(INDEX('Data Lokasi'!S:S,MATCH('Input Real Tanam&amp;Petik Nanas'!C235,'Data Lokasi'!C:C,0)),"")</f>
        <v>44338</v>
      </c>
      <c r="O235" s="278"/>
      <c r="P235" s="283">
        <f>IFERROR(INDEX('Data Lokasi'!V:V,MATCH(C235,'Data Lokasi'!C:C,0)),"")</f>
        <v>0</v>
      </c>
      <c r="Q235" s="304">
        <f t="shared" si="11"/>
        <v>0</v>
      </c>
      <c r="R235" s="308"/>
    </row>
    <row r="236" spans="2:18" ht="15" hidden="1" thickTop="1">
      <c r="B236" s="269">
        <v>46198</v>
      </c>
      <c r="C236" s="268" t="s">
        <v>2501</v>
      </c>
      <c r="D236" s="274">
        <f>IFERROR(VLOOKUP(C236,'Data Lokasi'!C:D,2,0),"")</f>
        <v>5.18</v>
      </c>
      <c r="E236" s="274" t="s">
        <v>2643</v>
      </c>
      <c r="F236" s="274"/>
      <c r="G236" s="274"/>
      <c r="H236" s="274"/>
      <c r="I236" s="274">
        <v>1.0900000000000001</v>
      </c>
      <c r="J236" s="456">
        <f t="shared" si="10"/>
        <v>1.0900000000000001</v>
      </c>
      <c r="K236" s="583"/>
      <c r="L236" s="268" t="s">
        <v>2625</v>
      </c>
      <c r="M236" s="268" t="s">
        <v>2631</v>
      </c>
      <c r="N236" s="278">
        <f>IFERROR(INDEX('Data Lokasi'!S:S,MATCH('Input Real Tanam&amp;Petik Nanas'!C236,'Data Lokasi'!C:C,0)),"")</f>
        <v>45714</v>
      </c>
      <c r="O236" s="278"/>
      <c r="P236" s="283">
        <f>IFERROR(INDEX('Data Lokasi'!V:V,MATCH(C236,'Data Lokasi'!C:C,0)),"")</f>
        <v>0</v>
      </c>
      <c r="Q236" s="304">
        <f t="shared" si="11"/>
        <v>0</v>
      </c>
      <c r="R236" s="308"/>
    </row>
    <row r="237" spans="2:18" ht="15" hidden="1" thickTop="1">
      <c r="B237" s="269">
        <v>46198</v>
      </c>
      <c r="C237" s="268" t="s">
        <v>346</v>
      </c>
      <c r="D237" s="274">
        <f>IFERROR(VLOOKUP(C237,'Data Lokasi'!C:D,2,0),"")</f>
        <v>5.62</v>
      </c>
      <c r="E237" s="274" t="s">
        <v>2643</v>
      </c>
      <c r="F237" s="274"/>
      <c r="G237" s="274"/>
      <c r="H237" s="274">
        <f>0.11+0.26</f>
        <v>0.37</v>
      </c>
      <c r="I237" s="274"/>
      <c r="J237" s="456">
        <f t="shared" si="10"/>
        <v>0.37</v>
      </c>
      <c r="K237" s="583"/>
      <c r="L237" s="268" t="s">
        <v>719</v>
      </c>
      <c r="M237" s="268" t="s">
        <v>2634</v>
      </c>
      <c r="N237" s="278">
        <f>IFERROR(INDEX('Data Lokasi'!S:S,MATCH('Input Real Tanam&amp;Petik Nanas'!C237,'Data Lokasi'!C:C,0)),"")</f>
        <v>44258</v>
      </c>
      <c r="O237" s="278"/>
      <c r="P237" s="283">
        <f>IFERROR(INDEX('Data Lokasi'!V:V,MATCH(C237,'Data Lokasi'!C:C,0)),"")</f>
        <v>0</v>
      </c>
      <c r="Q237" s="304">
        <f t="shared" si="11"/>
        <v>0</v>
      </c>
      <c r="R237" s="308">
        <v>8</v>
      </c>
    </row>
    <row r="238" spans="2:18" ht="15" hidden="1" thickTop="1">
      <c r="B238" s="269">
        <v>46198</v>
      </c>
      <c r="C238" s="268" t="s">
        <v>513</v>
      </c>
      <c r="D238" s="274">
        <f>IFERROR(VLOOKUP(C238,'Data Lokasi'!C:D,2,0),"")</f>
        <v>8.8800000000000008</v>
      </c>
      <c r="E238" s="274" t="s">
        <v>2643</v>
      </c>
      <c r="F238" s="274"/>
      <c r="G238" s="274"/>
      <c r="H238" s="274"/>
      <c r="I238" s="274">
        <v>1.55</v>
      </c>
      <c r="J238" s="456">
        <f t="shared" si="10"/>
        <v>1.55</v>
      </c>
      <c r="K238" s="583"/>
      <c r="L238" s="268" t="s">
        <v>2625</v>
      </c>
      <c r="M238" s="268" t="s">
        <v>2634</v>
      </c>
      <c r="N238" s="278">
        <f>IFERROR(INDEX('Data Lokasi'!S:S,MATCH('Input Real Tanam&amp;Petik Nanas'!C238,'Data Lokasi'!C:C,0)),"")</f>
        <v>44603</v>
      </c>
      <c r="O238" s="278"/>
      <c r="P238" s="283">
        <f>IFERROR(INDEX('Data Lokasi'!V:V,MATCH(C238,'Data Lokasi'!C:C,0)),"")</f>
        <v>0</v>
      </c>
      <c r="Q238" s="304">
        <f t="shared" si="11"/>
        <v>0</v>
      </c>
      <c r="R238" s="308"/>
    </row>
    <row r="239" spans="2:18" ht="15" hidden="1" thickTop="1">
      <c r="B239" s="269">
        <v>46198</v>
      </c>
      <c r="C239" s="268" t="s">
        <v>395</v>
      </c>
      <c r="D239" s="274">
        <f>IFERROR(VLOOKUP(C239,'Data Lokasi'!C:D,2,0),"")</f>
        <v>6.32</v>
      </c>
      <c r="E239" s="274" t="s">
        <v>2643</v>
      </c>
      <c r="F239" s="274"/>
      <c r="G239" s="274">
        <v>0.01</v>
      </c>
      <c r="H239" s="274">
        <f>0.04+0.11</f>
        <v>0.15</v>
      </c>
      <c r="I239" s="274"/>
      <c r="J239" s="456">
        <f t="shared" si="10"/>
        <v>0.16</v>
      </c>
      <c r="K239" s="583"/>
      <c r="L239" s="268" t="s">
        <v>719</v>
      </c>
      <c r="M239" s="268" t="s">
        <v>2634</v>
      </c>
      <c r="N239" s="278">
        <f>IFERROR(INDEX('Data Lokasi'!S:S,MATCH('Input Real Tanam&amp;Petik Nanas'!C239,'Data Lokasi'!C:C,0)),"")</f>
        <v>44369</v>
      </c>
      <c r="O239" s="278"/>
      <c r="P239" s="283">
        <f>IFERROR(INDEX('Data Lokasi'!V:V,MATCH(C239,'Data Lokasi'!C:C,0)),"")</f>
        <v>0</v>
      </c>
      <c r="Q239" s="304">
        <f t="shared" si="11"/>
        <v>0</v>
      </c>
      <c r="R239" s="308">
        <v>5</v>
      </c>
    </row>
    <row r="240" spans="2:18" ht="15" hidden="1" thickTop="1">
      <c r="B240" s="269">
        <v>46198</v>
      </c>
      <c r="C240" s="268" t="s">
        <v>371</v>
      </c>
      <c r="D240" s="274">
        <f>IFERROR(VLOOKUP(C240,'Data Lokasi'!C:D,2,0),"")</f>
        <v>7.06</v>
      </c>
      <c r="E240" s="274" t="s">
        <v>2643</v>
      </c>
      <c r="F240" s="274"/>
      <c r="G240" s="274"/>
      <c r="H240" s="274">
        <f>0.04+0.21</f>
        <v>0.25</v>
      </c>
      <c r="I240" s="274"/>
      <c r="J240" s="456">
        <f t="shared" si="10"/>
        <v>0.25</v>
      </c>
      <c r="K240" s="583"/>
      <c r="L240" s="268" t="s">
        <v>719</v>
      </c>
      <c r="M240" s="268" t="s">
        <v>2634</v>
      </c>
      <c r="N240" s="278">
        <f>IFERROR(INDEX('Data Lokasi'!S:S,MATCH('Input Real Tanam&amp;Petik Nanas'!C240,'Data Lokasi'!C:C,0)),"")</f>
        <v>44335</v>
      </c>
      <c r="O240" s="278"/>
      <c r="P240" s="283">
        <f>IFERROR(INDEX('Data Lokasi'!V:V,MATCH(C240,'Data Lokasi'!C:C,0)),"")</f>
        <v>0</v>
      </c>
      <c r="Q240" s="304">
        <f t="shared" si="11"/>
        <v>0</v>
      </c>
      <c r="R240" s="308">
        <v>5</v>
      </c>
    </row>
    <row r="241" spans="2:18" ht="15" hidden="1" thickTop="1">
      <c r="B241" s="269">
        <v>46198</v>
      </c>
      <c r="C241" s="268" t="s">
        <v>383</v>
      </c>
      <c r="D241" s="274">
        <f>IFERROR(VLOOKUP(C241,'Data Lokasi'!C:D,2,0),"")</f>
        <v>5.21</v>
      </c>
      <c r="E241" s="274" t="s">
        <v>2643</v>
      </c>
      <c r="F241" s="274"/>
      <c r="G241" s="274"/>
      <c r="H241" s="274"/>
      <c r="I241" s="274">
        <v>1.84</v>
      </c>
      <c r="J241" s="456">
        <f t="shared" si="10"/>
        <v>1.84</v>
      </c>
      <c r="K241" s="583"/>
      <c r="L241" s="268" t="s">
        <v>2625</v>
      </c>
      <c r="M241" s="268" t="s">
        <v>2631</v>
      </c>
      <c r="N241" s="278">
        <f>IFERROR(INDEX('Data Lokasi'!S:S,MATCH('Input Real Tanam&amp;Petik Nanas'!C241,'Data Lokasi'!C:C,0)),"")</f>
        <v>0</v>
      </c>
      <c r="O241" s="278"/>
      <c r="P241" s="283">
        <f>IFERROR(INDEX('Data Lokasi'!V:V,MATCH(C241,'Data Lokasi'!C:C,0)),"")</f>
        <v>0</v>
      </c>
      <c r="Q241" s="304">
        <f t="shared" si="11"/>
        <v>0</v>
      </c>
      <c r="R241" s="308"/>
    </row>
    <row r="242" spans="2:18" ht="15" hidden="1" thickTop="1">
      <c r="B242" s="269">
        <v>46198</v>
      </c>
      <c r="C242" s="268" t="s">
        <v>232</v>
      </c>
      <c r="D242" s="274">
        <f>IFERROR(VLOOKUP(C242,'Data Lokasi'!C:D,2,0),"")</f>
        <v>8.7799999999999994</v>
      </c>
      <c r="E242" s="274" t="s">
        <v>2642</v>
      </c>
      <c r="F242" s="274"/>
      <c r="G242" s="274"/>
      <c r="H242" s="274"/>
      <c r="I242" s="274">
        <v>0.46</v>
      </c>
      <c r="J242" s="456">
        <f t="shared" si="10"/>
        <v>0.46</v>
      </c>
      <c r="K242" s="583"/>
      <c r="L242" s="268" t="s">
        <v>2625</v>
      </c>
      <c r="M242" s="268" t="s">
        <v>2631</v>
      </c>
      <c r="N242" s="278">
        <f>IFERROR(INDEX('Data Lokasi'!S:S,MATCH('Input Real Tanam&amp;Petik Nanas'!C242,'Data Lokasi'!C:C,0)),"")</f>
        <v>44022</v>
      </c>
      <c r="O242" s="278"/>
      <c r="P242" s="283">
        <f>IFERROR(INDEX('Data Lokasi'!V:V,MATCH(C242,'Data Lokasi'!C:C,0)),"")</f>
        <v>0</v>
      </c>
      <c r="Q242" s="304">
        <f t="shared" si="11"/>
        <v>0</v>
      </c>
      <c r="R242" s="308"/>
    </row>
    <row r="243" spans="2:18" ht="15" hidden="1" thickTop="1">
      <c r="B243" s="269">
        <v>46198</v>
      </c>
      <c r="C243" s="268" t="s">
        <v>671</v>
      </c>
      <c r="D243" s="274">
        <f>IFERROR(VLOOKUP(C243,'Data Lokasi'!C:D,2,0),"")</f>
        <v>7.82</v>
      </c>
      <c r="E243" s="274" t="s">
        <v>2642</v>
      </c>
      <c r="F243" s="274"/>
      <c r="G243" s="274"/>
      <c r="H243" s="274"/>
      <c r="I243" s="274">
        <v>0.42</v>
      </c>
      <c r="J243" s="456">
        <f t="shared" si="10"/>
        <v>0.42</v>
      </c>
      <c r="K243" s="583"/>
      <c r="L243" s="268" t="s">
        <v>2625</v>
      </c>
      <c r="M243" s="268" t="s">
        <v>2631</v>
      </c>
      <c r="N243" s="278">
        <f>IFERROR(INDEX('Data Lokasi'!S:S,MATCH('Input Real Tanam&amp;Petik Nanas'!C243,'Data Lokasi'!C:C,0)),"")</f>
        <v>45067</v>
      </c>
      <c r="O243" s="278"/>
      <c r="P243" s="283">
        <f>IFERROR(INDEX('Data Lokasi'!V:V,MATCH(C243,'Data Lokasi'!C:C,0)),"")</f>
        <v>0</v>
      </c>
      <c r="Q243" s="304">
        <f t="shared" si="11"/>
        <v>0</v>
      </c>
      <c r="R243" s="308"/>
    </row>
    <row r="244" spans="2:18" ht="15" hidden="1" thickTop="1">
      <c r="B244" s="269">
        <v>46199</v>
      </c>
      <c r="C244" s="268" t="s">
        <v>314</v>
      </c>
      <c r="D244" s="274">
        <f>IFERROR(VLOOKUP(C244,'Data Lokasi'!C:D,2,0),"")</f>
        <v>8.92</v>
      </c>
      <c r="E244" s="274" t="s">
        <v>2643</v>
      </c>
      <c r="F244" s="274"/>
      <c r="G244" s="274">
        <v>7.0000000000000007E-2</v>
      </c>
      <c r="H244" s="274">
        <f>0.1+0.29</f>
        <v>0.39</v>
      </c>
      <c r="I244" s="274"/>
      <c r="J244" s="456">
        <f t="shared" si="10"/>
        <v>0.46</v>
      </c>
      <c r="K244" s="583"/>
      <c r="L244" s="268" t="s">
        <v>719</v>
      </c>
      <c r="M244" s="268" t="s">
        <v>2634</v>
      </c>
      <c r="N244" s="278">
        <f>IFERROR(INDEX('Data Lokasi'!S:S,MATCH('Input Real Tanam&amp;Petik Nanas'!C244,'Data Lokasi'!C:C,0)),"")</f>
        <v>44161</v>
      </c>
      <c r="O244" s="278"/>
      <c r="P244" s="283">
        <f>IFERROR(INDEX('Data Lokasi'!V:V,MATCH(C244,'Data Lokasi'!C:C,0)),"")</f>
        <v>0</v>
      </c>
      <c r="Q244" s="304">
        <f t="shared" si="11"/>
        <v>0</v>
      </c>
      <c r="R244" s="308">
        <v>8</v>
      </c>
    </row>
    <row r="245" spans="2:18" ht="15" hidden="1" thickTop="1">
      <c r="B245" s="269">
        <v>46199</v>
      </c>
      <c r="C245" s="268" t="s">
        <v>485</v>
      </c>
      <c r="D245" s="274">
        <f>IFERROR(VLOOKUP(C245,'Data Lokasi'!C:D,2,0),"")</f>
        <v>6.41</v>
      </c>
      <c r="E245" s="274" t="s">
        <v>2643</v>
      </c>
      <c r="F245" s="274"/>
      <c r="G245" s="274"/>
      <c r="H245" s="274"/>
      <c r="I245" s="274">
        <v>1.33</v>
      </c>
      <c r="J245" s="456">
        <f t="shared" si="10"/>
        <v>1.33</v>
      </c>
      <c r="K245" s="583"/>
      <c r="L245" s="268" t="s">
        <v>2625</v>
      </c>
      <c r="M245" s="268" t="s">
        <v>2634</v>
      </c>
      <c r="N245" s="278">
        <f>IFERROR(INDEX('Data Lokasi'!S:S,MATCH('Input Real Tanam&amp;Petik Nanas'!C245,'Data Lokasi'!C:C,0)),"")</f>
        <v>44532</v>
      </c>
      <c r="O245" s="278"/>
      <c r="P245" s="283">
        <f>IFERROR(INDEX('Data Lokasi'!V:V,MATCH(C245,'Data Lokasi'!C:C,0)),"")</f>
        <v>0</v>
      </c>
      <c r="Q245" s="304">
        <f t="shared" si="11"/>
        <v>0</v>
      </c>
      <c r="R245" s="308"/>
    </row>
    <row r="246" spans="2:18" ht="15" hidden="1" thickTop="1">
      <c r="B246" s="269">
        <v>46199</v>
      </c>
      <c r="C246" s="268" t="s">
        <v>441</v>
      </c>
      <c r="D246" s="274">
        <f>IFERROR(VLOOKUP(C246,'Data Lokasi'!C:D,2,0),"")</f>
        <v>11.2</v>
      </c>
      <c r="E246" s="274" t="s">
        <v>2643</v>
      </c>
      <c r="F246" s="274">
        <v>0.02</v>
      </c>
      <c r="G246" s="274">
        <v>0.04</v>
      </c>
      <c r="H246" s="274">
        <v>0.03</v>
      </c>
      <c r="I246" s="274"/>
      <c r="J246" s="456">
        <f t="shared" si="10"/>
        <v>0.09</v>
      </c>
      <c r="K246" s="583"/>
      <c r="L246" s="268" t="s">
        <v>719</v>
      </c>
      <c r="M246" s="268" t="s">
        <v>2631</v>
      </c>
      <c r="N246" s="278">
        <f>IFERROR(INDEX('Data Lokasi'!S:S,MATCH('Input Real Tanam&amp;Petik Nanas'!C246,'Data Lokasi'!C:C,0)),"")</f>
        <v>44429</v>
      </c>
      <c r="O246" s="278"/>
      <c r="P246" s="283">
        <f>IFERROR(INDEX('Data Lokasi'!V:V,MATCH(C246,'Data Lokasi'!C:C,0)),"")</f>
        <v>0</v>
      </c>
      <c r="Q246" s="304">
        <f t="shared" si="11"/>
        <v>0</v>
      </c>
      <c r="R246" s="308">
        <v>2</v>
      </c>
    </row>
    <row r="247" spans="2:18" ht="15" hidden="1" thickTop="1">
      <c r="B247" s="269">
        <v>46199</v>
      </c>
      <c r="C247" s="268" t="s">
        <v>425</v>
      </c>
      <c r="D247" s="274">
        <f>IFERROR(VLOOKUP(C247,'Data Lokasi'!C:D,2,0),"")</f>
        <v>8.85</v>
      </c>
      <c r="E247" s="274" t="s">
        <v>2643</v>
      </c>
      <c r="F247" s="274">
        <v>0.02</v>
      </c>
      <c r="G247" s="274">
        <f>0.04+0.15</f>
        <v>0.19</v>
      </c>
      <c r="H247" s="274">
        <f>0.17+0.15</f>
        <v>0.32</v>
      </c>
      <c r="I247" s="274"/>
      <c r="J247" s="456">
        <f t="shared" si="10"/>
        <v>0.53</v>
      </c>
      <c r="K247" s="583"/>
      <c r="L247" s="268" t="s">
        <v>719</v>
      </c>
      <c r="M247" s="268" t="s">
        <v>2631</v>
      </c>
      <c r="N247" s="278">
        <f>IFERROR(INDEX('Data Lokasi'!S:S,MATCH('Input Real Tanam&amp;Petik Nanas'!C247,'Data Lokasi'!C:C,0)),"")</f>
        <v>44389</v>
      </c>
      <c r="O247" s="278"/>
      <c r="P247" s="283">
        <f>IFERROR(INDEX('Data Lokasi'!V:V,MATCH(C247,'Data Lokasi'!C:C,0)),"")</f>
        <v>0</v>
      </c>
      <c r="Q247" s="304">
        <f t="shared" si="11"/>
        <v>0</v>
      </c>
      <c r="R247" s="308">
        <v>3</v>
      </c>
    </row>
    <row r="248" spans="2:18" ht="15" hidden="1" thickTop="1">
      <c r="B248" s="269">
        <v>46199</v>
      </c>
      <c r="C248" s="268" t="s">
        <v>2501</v>
      </c>
      <c r="D248" s="274">
        <f>IFERROR(VLOOKUP(C248,'Data Lokasi'!C:D,2,0),"")</f>
        <v>5.18</v>
      </c>
      <c r="E248" s="274" t="s">
        <v>2643</v>
      </c>
      <c r="F248" s="274"/>
      <c r="G248" s="274"/>
      <c r="H248" s="274"/>
      <c r="I248" s="274">
        <v>1.07</v>
      </c>
      <c r="J248" s="456">
        <f t="shared" si="10"/>
        <v>1.07</v>
      </c>
      <c r="K248" s="583"/>
      <c r="L248" s="268" t="s">
        <v>2625</v>
      </c>
      <c r="M248" s="268" t="s">
        <v>2631</v>
      </c>
      <c r="N248" s="278">
        <f>IFERROR(INDEX('Data Lokasi'!S:S,MATCH('Input Real Tanam&amp;Petik Nanas'!C248,'Data Lokasi'!C:C,0)),"")</f>
        <v>45714</v>
      </c>
      <c r="O248" s="278"/>
      <c r="P248" s="283">
        <f>IFERROR(INDEX('Data Lokasi'!V:V,MATCH(C248,'Data Lokasi'!C:C,0)),"")</f>
        <v>0</v>
      </c>
      <c r="Q248" s="304">
        <f t="shared" si="11"/>
        <v>0</v>
      </c>
      <c r="R248" s="308"/>
    </row>
    <row r="249" spans="2:18" ht="15" hidden="1" thickTop="1">
      <c r="B249" s="269">
        <v>46199</v>
      </c>
      <c r="C249" s="268" t="s">
        <v>494</v>
      </c>
      <c r="D249" s="274">
        <f>IFERROR(VLOOKUP(C249,'Data Lokasi'!C:D,2,0),"")</f>
        <v>9.68</v>
      </c>
      <c r="E249" s="274" t="s">
        <v>2643</v>
      </c>
      <c r="F249" s="274"/>
      <c r="G249" s="274"/>
      <c r="H249" s="274"/>
      <c r="I249" s="274">
        <v>0.37</v>
      </c>
      <c r="J249" s="456">
        <f t="shared" si="10"/>
        <v>0.37</v>
      </c>
      <c r="K249" s="583"/>
      <c r="L249" s="268" t="s">
        <v>2625</v>
      </c>
      <c r="M249" s="268" t="s">
        <v>2631</v>
      </c>
      <c r="N249" s="278">
        <f>IFERROR(INDEX('Data Lokasi'!S:S,MATCH('Input Real Tanam&amp;Petik Nanas'!C249,'Data Lokasi'!C:C,0)),"")</f>
        <v>44564</v>
      </c>
      <c r="O249" s="278"/>
      <c r="P249" s="283">
        <f>IFERROR(INDEX('Data Lokasi'!V:V,MATCH(C249,'Data Lokasi'!C:C,0)),"")</f>
        <v>0</v>
      </c>
      <c r="Q249" s="304">
        <f t="shared" si="11"/>
        <v>0</v>
      </c>
      <c r="R249" s="308"/>
    </row>
    <row r="250" spans="2:18" ht="15" hidden="1" thickTop="1">
      <c r="B250" s="269">
        <v>46199</v>
      </c>
      <c r="C250" s="268" t="s">
        <v>2548</v>
      </c>
      <c r="D250" s="274">
        <f>IFERROR(VLOOKUP(C250,'Data Lokasi'!C:D,2,0),"")</f>
        <v>6.83</v>
      </c>
      <c r="E250" s="274" t="s">
        <v>2643</v>
      </c>
      <c r="F250" s="274"/>
      <c r="G250" s="274"/>
      <c r="H250" s="274"/>
      <c r="I250" s="274">
        <v>0.67</v>
      </c>
      <c r="J250" s="456">
        <f t="shared" si="10"/>
        <v>0.67</v>
      </c>
      <c r="K250" s="583"/>
      <c r="L250" s="268" t="s">
        <v>2625</v>
      </c>
      <c r="M250" s="268" t="s">
        <v>2631</v>
      </c>
      <c r="N250" s="278">
        <f>IFERROR(INDEX('Data Lokasi'!S:S,MATCH('Input Real Tanam&amp;Petik Nanas'!C250,'Data Lokasi'!C:C,0)),"")</f>
        <v>45600</v>
      </c>
      <c r="O250" s="278"/>
      <c r="P250" s="283">
        <f>IFERROR(INDEX('Data Lokasi'!V:V,MATCH(C250,'Data Lokasi'!C:C,0)),"")</f>
        <v>0</v>
      </c>
      <c r="Q250" s="304">
        <f t="shared" si="11"/>
        <v>0</v>
      </c>
      <c r="R250" s="308"/>
    </row>
    <row r="251" spans="2:18" ht="15" hidden="1" thickTop="1">
      <c r="B251" s="269">
        <v>46199</v>
      </c>
      <c r="C251" s="268" t="s">
        <v>371</v>
      </c>
      <c r="D251" s="274">
        <f>IFERROR(VLOOKUP(C251,'Data Lokasi'!C:D,2,0),"")</f>
        <v>7.06</v>
      </c>
      <c r="E251" s="274" t="s">
        <v>2643</v>
      </c>
      <c r="F251" s="274"/>
      <c r="G251" s="274">
        <v>0.01</v>
      </c>
      <c r="H251" s="274">
        <f>0.09+0.35</f>
        <v>0.43999999999999995</v>
      </c>
      <c r="I251" s="274"/>
      <c r="J251" s="456">
        <f t="shared" si="10"/>
        <v>0.44999999999999996</v>
      </c>
      <c r="K251" s="583"/>
      <c r="L251" s="268" t="s">
        <v>719</v>
      </c>
      <c r="M251" s="268" t="s">
        <v>2634</v>
      </c>
      <c r="N251" s="278">
        <f>IFERROR(INDEX('Data Lokasi'!S:S,MATCH('Input Real Tanam&amp;Petik Nanas'!C251,'Data Lokasi'!C:C,0)),"")</f>
        <v>44335</v>
      </c>
      <c r="O251" s="278"/>
      <c r="P251" s="283">
        <f>IFERROR(INDEX('Data Lokasi'!V:V,MATCH(C251,'Data Lokasi'!C:C,0)),"")</f>
        <v>0</v>
      </c>
      <c r="Q251" s="304">
        <f t="shared" si="11"/>
        <v>0</v>
      </c>
      <c r="R251" s="308">
        <v>5</v>
      </c>
    </row>
    <row r="252" spans="2:18" ht="15" hidden="1" thickTop="1">
      <c r="B252" s="269">
        <v>46199</v>
      </c>
      <c r="C252" s="268" t="s">
        <v>383</v>
      </c>
      <c r="D252" s="274">
        <f>IFERROR(VLOOKUP(C252,'Data Lokasi'!C:D,2,0),"")</f>
        <v>5.21</v>
      </c>
      <c r="E252" s="274" t="s">
        <v>2643</v>
      </c>
      <c r="F252" s="274"/>
      <c r="G252" s="274"/>
      <c r="H252" s="274"/>
      <c r="I252" s="274">
        <v>0.69</v>
      </c>
      <c r="J252" s="456">
        <f t="shared" si="10"/>
        <v>0.69</v>
      </c>
      <c r="K252" s="583"/>
      <c r="L252" s="268" t="s">
        <v>2625</v>
      </c>
      <c r="M252" s="268" t="s">
        <v>2631</v>
      </c>
      <c r="N252" s="278">
        <f>IFERROR(INDEX('Data Lokasi'!S:S,MATCH('Input Real Tanam&amp;Petik Nanas'!C252,'Data Lokasi'!C:C,0)),"")</f>
        <v>0</v>
      </c>
      <c r="O252" s="278"/>
      <c r="P252" s="283">
        <f>IFERROR(INDEX('Data Lokasi'!V:V,MATCH(C252,'Data Lokasi'!C:C,0)),"")</f>
        <v>0</v>
      </c>
      <c r="Q252" s="304">
        <f t="shared" si="11"/>
        <v>0</v>
      </c>
      <c r="R252" s="308"/>
    </row>
    <row r="253" spans="2:18" ht="15" hidden="1" thickTop="1">
      <c r="B253" s="269">
        <v>46199</v>
      </c>
      <c r="C253" s="268" t="s">
        <v>552</v>
      </c>
      <c r="D253" s="274">
        <f>IFERROR(VLOOKUP(C253,'Data Lokasi'!C:D,2,0),"")</f>
        <v>13.36</v>
      </c>
      <c r="E253" s="274" t="s">
        <v>2642</v>
      </c>
      <c r="F253" s="274"/>
      <c r="G253" s="274"/>
      <c r="H253" s="274">
        <v>0.08</v>
      </c>
      <c r="I253" s="274"/>
      <c r="J253" s="456">
        <f t="shared" si="10"/>
        <v>0.08</v>
      </c>
      <c r="K253" s="583"/>
      <c r="L253" s="268" t="s">
        <v>719</v>
      </c>
      <c r="M253" s="268" t="s">
        <v>2634</v>
      </c>
      <c r="N253" s="278">
        <f>IFERROR(INDEX('Data Lokasi'!S:S,MATCH('Input Real Tanam&amp;Petik Nanas'!C253,'Data Lokasi'!C:C,0)),"")</f>
        <v>44655</v>
      </c>
      <c r="O253" s="278"/>
      <c r="P253" s="283">
        <f>IFERROR(INDEX('Data Lokasi'!V:V,MATCH(C253,'Data Lokasi'!C:C,0)),"")</f>
        <v>0</v>
      </c>
      <c r="Q253" s="304">
        <f t="shared" si="11"/>
        <v>0</v>
      </c>
      <c r="R253" s="308"/>
    </row>
    <row r="254" spans="2:18" ht="15" hidden="1" thickTop="1">
      <c r="B254" s="269">
        <v>46199</v>
      </c>
      <c r="C254" s="268" t="s">
        <v>677</v>
      </c>
      <c r="D254" s="274">
        <f>IFERROR(VLOOKUP(C254,'Data Lokasi'!C:D,2,0),"")</f>
        <v>8.2100000000000009</v>
      </c>
      <c r="E254" s="274" t="s">
        <v>2642</v>
      </c>
      <c r="F254" s="274"/>
      <c r="G254" s="274"/>
      <c r="H254" s="274"/>
      <c r="I254" s="274">
        <v>1.2</v>
      </c>
      <c r="J254" s="456">
        <f t="shared" si="10"/>
        <v>1.2</v>
      </c>
      <c r="K254" s="583"/>
      <c r="L254" s="268" t="s">
        <v>2625</v>
      </c>
      <c r="M254" s="268" t="s">
        <v>2634</v>
      </c>
      <c r="N254" s="278">
        <f>IFERROR(INDEX('Data Lokasi'!S:S,MATCH('Input Real Tanam&amp;Petik Nanas'!C254,'Data Lokasi'!C:C,0)),"")</f>
        <v>45071</v>
      </c>
      <c r="O254" s="278"/>
      <c r="P254" s="283">
        <f>IFERROR(INDEX('Data Lokasi'!V:V,MATCH(C254,'Data Lokasi'!C:C,0)),"")</f>
        <v>0</v>
      </c>
      <c r="Q254" s="304">
        <f t="shared" si="11"/>
        <v>0</v>
      </c>
      <c r="R254" s="308"/>
    </row>
    <row r="255" spans="2:18" ht="15" hidden="1" thickTop="1">
      <c r="B255" s="269">
        <v>46199</v>
      </c>
      <c r="C255" s="268" t="s">
        <v>687</v>
      </c>
      <c r="D255" s="274">
        <f>IFERROR(VLOOKUP(C255,'Data Lokasi'!C:D,2,0),"")</f>
        <v>10.58</v>
      </c>
      <c r="E255" s="274" t="s">
        <v>2642</v>
      </c>
      <c r="F255" s="274"/>
      <c r="G255" s="274"/>
      <c r="H255" s="274">
        <v>0.27</v>
      </c>
      <c r="I255" s="274"/>
      <c r="J255" s="456">
        <f t="shared" si="10"/>
        <v>0.27</v>
      </c>
      <c r="K255" s="583"/>
      <c r="L255" s="268" t="s">
        <v>719</v>
      </c>
      <c r="M255" s="268" t="s">
        <v>2634</v>
      </c>
      <c r="N255" s="278">
        <f>IFERROR(INDEX('Data Lokasi'!S:S,MATCH('Input Real Tanam&amp;Petik Nanas'!C255,'Data Lokasi'!C:C,0)),"")</f>
        <v>45105</v>
      </c>
      <c r="O255" s="278"/>
      <c r="P255" s="283">
        <f>IFERROR(INDEX('Data Lokasi'!V:V,MATCH(C255,'Data Lokasi'!C:C,0)),"")</f>
        <v>0</v>
      </c>
      <c r="Q255" s="304">
        <f t="shared" si="11"/>
        <v>0</v>
      </c>
      <c r="R255" s="308"/>
    </row>
    <row r="256" spans="2:18" ht="15" hidden="1" thickTop="1">
      <c r="B256" s="269">
        <v>46199</v>
      </c>
      <c r="C256" s="268" t="s">
        <v>687</v>
      </c>
      <c r="D256" s="274">
        <f>IFERROR(VLOOKUP(C256,'Data Lokasi'!C:D,2,0),"")</f>
        <v>10.58</v>
      </c>
      <c r="E256" s="274" t="s">
        <v>2642</v>
      </c>
      <c r="F256" s="274"/>
      <c r="G256" s="274"/>
      <c r="H256" s="274"/>
      <c r="I256" s="274">
        <v>0.56999999999999995</v>
      </c>
      <c r="J256" s="456">
        <f t="shared" si="10"/>
        <v>0.56999999999999995</v>
      </c>
      <c r="K256" s="583"/>
      <c r="L256" s="268" t="s">
        <v>2625</v>
      </c>
      <c r="M256" s="268" t="s">
        <v>2634</v>
      </c>
      <c r="N256" s="278">
        <f>IFERROR(INDEX('Data Lokasi'!S:S,MATCH('Input Real Tanam&amp;Petik Nanas'!C256,'Data Lokasi'!C:C,0)),"")</f>
        <v>45105</v>
      </c>
      <c r="O256" s="278"/>
      <c r="P256" s="283">
        <f>IFERROR(INDEX('Data Lokasi'!V:V,MATCH(C256,'Data Lokasi'!C:C,0)),"")</f>
        <v>0</v>
      </c>
      <c r="Q256" s="304">
        <f t="shared" si="11"/>
        <v>0</v>
      </c>
      <c r="R256" s="308"/>
    </row>
    <row r="257" spans="2:18" ht="15" hidden="1" thickTop="1">
      <c r="B257" s="269">
        <v>46199</v>
      </c>
      <c r="C257" s="268" t="s">
        <v>623</v>
      </c>
      <c r="D257" s="274">
        <f>IFERROR(VLOOKUP(C257,'Data Lokasi'!C:D,2,0),"")</f>
        <v>4.07</v>
      </c>
      <c r="E257" s="274" t="s">
        <v>2642</v>
      </c>
      <c r="F257" s="274"/>
      <c r="G257" s="274"/>
      <c r="H257" s="274"/>
      <c r="I257" s="274">
        <v>0.2</v>
      </c>
      <c r="J257" s="456">
        <f t="shared" si="10"/>
        <v>0.2</v>
      </c>
      <c r="K257" s="583"/>
      <c r="L257" s="268" t="s">
        <v>2625</v>
      </c>
      <c r="M257" s="268" t="s">
        <v>2634</v>
      </c>
      <c r="N257" s="278">
        <f>IFERROR(INDEX('Data Lokasi'!S:S,MATCH('Input Real Tanam&amp;Petik Nanas'!C257,'Data Lokasi'!C:C,0)),"")</f>
        <v>44863</v>
      </c>
      <c r="O257" s="278"/>
      <c r="P257" s="283">
        <f>IFERROR(INDEX('Data Lokasi'!V:V,MATCH(C257,'Data Lokasi'!C:C,0)),"")</f>
        <v>0</v>
      </c>
      <c r="Q257" s="304">
        <f t="shared" si="11"/>
        <v>0</v>
      </c>
      <c r="R257" s="308"/>
    </row>
    <row r="258" spans="2:18" ht="15" hidden="1" thickTop="1">
      <c r="B258" s="269">
        <v>46199</v>
      </c>
      <c r="C258" s="268" t="s">
        <v>665</v>
      </c>
      <c r="D258" s="274">
        <f>IFERROR(VLOOKUP(C258,'Data Lokasi'!C:D,2,0),"")</f>
        <v>4.68</v>
      </c>
      <c r="E258" s="274" t="s">
        <v>2642</v>
      </c>
      <c r="F258" s="274"/>
      <c r="G258" s="274"/>
      <c r="H258" s="274"/>
      <c r="I258" s="274">
        <v>0.57999999999999996</v>
      </c>
      <c r="J258" s="456">
        <f t="shared" si="10"/>
        <v>0.57999999999999996</v>
      </c>
      <c r="K258" s="583"/>
      <c r="L258" s="268" t="s">
        <v>2625</v>
      </c>
      <c r="M258" s="268" t="s">
        <v>2634</v>
      </c>
      <c r="N258" s="278">
        <f>IFERROR(INDEX('Data Lokasi'!S:S,MATCH('Input Real Tanam&amp;Petik Nanas'!C258,'Data Lokasi'!C:C,0)),"")</f>
        <v>45061</v>
      </c>
      <c r="O258" s="278"/>
      <c r="P258" s="283">
        <f>IFERROR(INDEX('Data Lokasi'!V:V,MATCH(C258,'Data Lokasi'!C:C,0)),"")</f>
        <v>0</v>
      </c>
      <c r="Q258" s="304">
        <f t="shared" si="11"/>
        <v>0</v>
      </c>
      <c r="R258" s="308"/>
    </row>
    <row r="259" spans="2:18" ht="15" hidden="1" thickTop="1">
      <c r="B259" s="269">
        <v>46199</v>
      </c>
      <c r="C259" s="268" t="s">
        <v>366</v>
      </c>
      <c r="D259" s="274">
        <f>IFERROR(VLOOKUP(C259,'Data Lokasi'!C:D,2,0),"")</f>
        <v>5.88</v>
      </c>
      <c r="E259" s="274" t="s">
        <v>2642</v>
      </c>
      <c r="F259" s="274"/>
      <c r="G259" s="274">
        <v>0.12</v>
      </c>
      <c r="H259" s="274">
        <v>0.02</v>
      </c>
      <c r="I259" s="274"/>
      <c r="J259" s="456">
        <f t="shared" si="10"/>
        <v>0.13999999999999999</v>
      </c>
      <c r="K259" s="583"/>
      <c r="L259" s="268" t="s">
        <v>719</v>
      </c>
      <c r="M259" s="268" t="s">
        <v>2634</v>
      </c>
      <c r="N259" s="278">
        <f>IFERROR(INDEX('Data Lokasi'!S:S,MATCH('Input Real Tanam&amp;Petik Nanas'!C259,'Data Lokasi'!C:C,0)),"")</f>
        <v>44300</v>
      </c>
      <c r="O259" s="278"/>
      <c r="P259" s="283">
        <f>IFERROR(INDEX('Data Lokasi'!V:V,MATCH(C259,'Data Lokasi'!C:C,0)),"")</f>
        <v>0</v>
      </c>
      <c r="Q259" s="304">
        <f t="shared" si="11"/>
        <v>0</v>
      </c>
      <c r="R259" s="308"/>
    </row>
    <row r="260" spans="2:18" ht="15" hidden="1" thickTop="1">
      <c r="B260" s="269">
        <v>46199</v>
      </c>
      <c r="C260" s="268" t="s">
        <v>676</v>
      </c>
      <c r="D260" s="274">
        <f>IFERROR(VLOOKUP(C260,'Data Lokasi'!C:D,2,0),"")</f>
        <v>3.87</v>
      </c>
      <c r="E260" s="274" t="s">
        <v>2642</v>
      </c>
      <c r="F260" s="274"/>
      <c r="G260" s="274"/>
      <c r="H260" s="274"/>
      <c r="I260" s="274">
        <v>0.04</v>
      </c>
      <c r="J260" s="456">
        <f t="shared" si="10"/>
        <v>0.04</v>
      </c>
      <c r="K260" s="583"/>
      <c r="L260" s="268" t="s">
        <v>2625</v>
      </c>
      <c r="M260" s="268" t="s">
        <v>2631</v>
      </c>
      <c r="N260" s="278">
        <f>IFERROR(INDEX('Data Lokasi'!S:S,MATCH('Input Real Tanam&amp;Petik Nanas'!C260,'Data Lokasi'!C:C,0)),"")</f>
        <v>45089</v>
      </c>
      <c r="O260" s="278"/>
      <c r="P260" s="283">
        <f>IFERROR(INDEX('Data Lokasi'!V:V,MATCH(C260,'Data Lokasi'!C:C,0)),"")</f>
        <v>0</v>
      </c>
      <c r="Q260" s="304">
        <f t="shared" si="11"/>
        <v>0</v>
      </c>
      <c r="R260" s="308"/>
    </row>
    <row r="261" spans="2:18" ht="15" hidden="1" thickTop="1">
      <c r="B261" s="269">
        <v>46199</v>
      </c>
      <c r="C261" s="268" t="s">
        <v>678</v>
      </c>
      <c r="D261" s="274">
        <f>IFERROR(VLOOKUP(C261,'Data Lokasi'!C:D,2,0),"")</f>
        <v>7.7</v>
      </c>
      <c r="E261" s="274" t="s">
        <v>2642</v>
      </c>
      <c r="F261" s="274"/>
      <c r="G261" s="274"/>
      <c r="H261" s="274">
        <v>0.08</v>
      </c>
      <c r="I261" s="274"/>
      <c r="J261" s="456">
        <f t="shared" si="10"/>
        <v>0.08</v>
      </c>
      <c r="K261" s="583"/>
      <c r="L261" s="268" t="s">
        <v>719</v>
      </c>
      <c r="M261" s="268" t="s">
        <v>2631</v>
      </c>
      <c r="N261" s="278">
        <f>IFERROR(INDEX('Data Lokasi'!S:S,MATCH('Input Real Tanam&amp;Petik Nanas'!C261,'Data Lokasi'!C:C,0)),"")</f>
        <v>45083</v>
      </c>
      <c r="O261" s="278"/>
      <c r="P261" s="283">
        <f>IFERROR(INDEX('Data Lokasi'!V:V,MATCH(C261,'Data Lokasi'!C:C,0)),"")</f>
        <v>0</v>
      </c>
      <c r="Q261" s="304">
        <f t="shared" si="11"/>
        <v>0</v>
      </c>
      <c r="R261" s="308"/>
    </row>
    <row r="262" spans="2:18" ht="15" hidden="1" thickTop="1">
      <c r="B262" s="269">
        <v>46199</v>
      </c>
      <c r="C262" s="268" t="s">
        <v>251</v>
      </c>
      <c r="D262" s="274">
        <f>IFERROR(VLOOKUP(C262,'Data Lokasi'!C:D,2,0),"")</f>
        <v>7.72</v>
      </c>
      <c r="E262" s="274" t="s">
        <v>2642</v>
      </c>
      <c r="F262" s="274"/>
      <c r="G262" s="274"/>
      <c r="H262" s="274"/>
      <c r="I262" s="274">
        <v>0.1</v>
      </c>
      <c r="J262" s="456">
        <f t="shared" si="10"/>
        <v>0.1</v>
      </c>
      <c r="K262" s="583"/>
      <c r="L262" s="268" t="s">
        <v>2625</v>
      </c>
      <c r="M262" s="268" t="s">
        <v>2631</v>
      </c>
      <c r="N262" s="278">
        <f>IFERROR(INDEX('Data Lokasi'!S:S,MATCH('Input Real Tanam&amp;Petik Nanas'!C262,'Data Lokasi'!C:C,0)),"")</f>
        <v>44067</v>
      </c>
      <c r="O262" s="278"/>
      <c r="P262" s="283">
        <f>IFERROR(INDEX('Data Lokasi'!V:V,MATCH(C262,'Data Lokasi'!C:C,0)),"")</f>
        <v>0</v>
      </c>
      <c r="Q262" s="304">
        <f t="shared" si="11"/>
        <v>0</v>
      </c>
      <c r="R262" s="308"/>
    </row>
    <row r="263" spans="2:18" ht="15" hidden="1" thickTop="1">
      <c r="B263" s="269">
        <v>46199</v>
      </c>
      <c r="C263" s="268" t="s">
        <v>2608</v>
      </c>
      <c r="D263" s="274">
        <f>IFERROR(VLOOKUP(C263,'Data Lokasi'!C:D,2,0),"")</f>
        <v>1.44</v>
      </c>
      <c r="E263" s="274" t="s">
        <v>2642</v>
      </c>
      <c r="F263" s="274"/>
      <c r="G263" s="274">
        <v>0.02</v>
      </c>
      <c r="H263" s="274"/>
      <c r="I263" s="274"/>
      <c r="J263" s="456">
        <f t="shared" si="10"/>
        <v>0.02</v>
      </c>
      <c r="K263" s="583"/>
      <c r="L263" s="268" t="s">
        <v>719</v>
      </c>
      <c r="M263" s="268" t="s">
        <v>2631</v>
      </c>
      <c r="N263" s="278">
        <f>IFERROR(INDEX('Data Lokasi'!S:S,MATCH('Input Real Tanam&amp;Petik Nanas'!C263,'Data Lokasi'!C:C,0)),"")</f>
        <v>46134</v>
      </c>
      <c r="O263" s="278"/>
      <c r="P263" s="283">
        <f>IFERROR(INDEX('Data Lokasi'!V:V,MATCH(C263,'Data Lokasi'!C:C,0)),"")</f>
        <v>0</v>
      </c>
      <c r="Q263" s="304">
        <f t="shared" si="11"/>
        <v>0</v>
      </c>
      <c r="R263" s="308"/>
    </row>
    <row r="264" spans="2:18" ht="15" hidden="1" thickTop="1">
      <c r="B264" s="269">
        <v>46199</v>
      </c>
      <c r="C264" s="268" t="s">
        <v>2609</v>
      </c>
      <c r="D264" s="274">
        <f>IFERROR(VLOOKUP(C264,'Data Lokasi'!C:D,2,0),"")</f>
        <v>3.41</v>
      </c>
      <c r="E264" s="274" t="s">
        <v>2642</v>
      </c>
      <c r="F264" s="274"/>
      <c r="G264" s="274"/>
      <c r="H264" s="274">
        <v>0.02</v>
      </c>
      <c r="I264" s="274"/>
      <c r="J264" s="456">
        <f t="shared" si="10"/>
        <v>0.02</v>
      </c>
      <c r="K264" s="583"/>
      <c r="L264" s="268" t="s">
        <v>719</v>
      </c>
      <c r="M264" s="268" t="s">
        <v>2631</v>
      </c>
      <c r="N264" s="278">
        <f>IFERROR(INDEX('Data Lokasi'!S:S,MATCH('Input Real Tanam&amp;Petik Nanas'!C264,'Data Lokasi'!C:C,0)),"")</f>
        <v>46134</v>
      </c>
      <c r="O264" s="278"/>
      <c r="P264" s="283">
        <f>IFERROR(INDEX('Data Lokasi'!V:V,MATCH(C264,'Data Lokasi'!C:C,0)),"")</f>
        <v>0</v>
      </c>
      <c r="Q264" s="304">
        <f t="shared" si="11"/>
        <v>0</v>
      </c>
      <c r="R264" s="308"/>
    </row>
    <row r="265" spans="2:18" ht="15" hidden="1" thickTop="1">
      <c r="B265" s="269">
        <v>46199</v>
      </c>
      <c r="C265" s="268" t="s">
        <v>232</v>
      </c>
      <c r="D265" s="274">
        <f>IFERROR(VLOOKUP(C265,'Data Lokasi'!C:D,2,0),"")</f>
        <v>8.7799999999999994</v>
      </c>
      <c r="E265" s="274" t="s">
        <v>2642</v>
      </c>
      <c r="F265" s="274"/>
      <c r="G265" s="274"/>
      <c r="H265" s="274"/>
      <c r="I265" s="274">
        <f>1+1.36</f>
        <v>2.3600000000000003</v>
      </c>
      <c r="J265" s="456">
        <f t="shared" si="10"/>
        <v>2.3600000000000003</v>
      </c>
      <c r="K265" s="583"/>
      <c r="L265" s="268" t="s">
        <v>2625</v>
      </c>
      <c r="M265" s="268" t="s">
        <v>2631</v>
      </c>
      <c r="N265" s="278">
        <f>IFERROR(INDEX('Data Lokasi'!S:S,MATCH('Input Real Tanam&amp;Petik Nanas'!C265,'Data Lokasi'!C:C,0)),"")</f>
        <v>44022</v>
      </c>
      <c r="O265" s="278"/>
      <c r="P265" s="283">
        <f>IFERROR(INDEX('Data Lokasi'!V:V,MATCH(C265,'Data Lokasi'!C:C,0)),"")</f>
        <v>0</v>
      </c>
      <c r="Q265" s="304">
        <f t="shared" si="11"/>
        <v>0</v>
      </c>
      <c r="R265" s="308"/>
    </row>
    <row r="266" spans="2:18" ht="15" hidden="1" thickTop="1">
      <c r="B266" s="269">
        <v>46199</v>
      </c>
      <c r="C266" s="268" t="s">
        <v>2420</v>
      </c>
      <c r="D266" s="274">
        <f>IFERROR(VLOOKUP(C266,'Data Lokasi'!C:D,2,0),"")</f>
        <v>7.19</v>
      </c>
      <c r="E266" s="274" t="s">
        <v>2642</v>
      </c>
      <c r="F266" s="274"/>
      <c r="G266" s="274"/>
      <c r="H266" s="274">
        <v>0.65</v>
      </c>
      <c r="I266" s="274"/>
      <c r="J266" s="456">
        <f t="shared" si="10"/>
        <v>0.65</v>
      </c>
      <c r="K266" s="583"/>
      <c r="L266" s="268" t="s">
        <v>719</v>
      </c>
      <c r="M266" s="268" t="s">
        <v>2631</v>
      </c>
      <c r="N266" s="278">
        <f>IFERROR(INDEX('Data Lokasi'!S:S,MATCH('Input Real Tanam&amp;Petik Nanas'!C266,'Data Lokasi'!C:C,0)),"")</f>
        <v>46177</v>
      </c>
      <c r="O266" s="278"/>
      <c r="P266" s="283">
        <f>IFERROR(INDEX('Data Lokasi'!V:V,MATCH(C266,'Data Lokasi'!C:C,0)),"")</f>
        <v>0</v>
      </c>
      <c r="Q266" s="304">
        <f t="shared" si="11"/>
        <v>0</v>
      </c>
      <c r="R266" s="308"/>
    </row>
    <row r="267" spans="2:18" ht="15" hidden="1" thickTop="1">
      <c r="B267" s="269">
        <v>46199</v>
      </c>
      <c r="C267" s="268" t="s">
        <v>671</v>
      </c>
      <c r="D267" s="274">
        <f>IFERROR(VLOOKUP(C267,'Data Lokasi'!C:D,2,0),"")</f>
        <v>7.82</v>
      </c>
      <c r="E267" s="274" t="s">
        <v>2642</v>
      </c>
      <c r="F267" s="274"/>
      <c r="G267" s="274"/>
      <c r="H267" s="274"/>
      <c r="I267" s="274">
        <v>0.06</v>
      </c>
      <c r="J267" s="456">
        <f>IF(SUM(F267:I267)=0,"",(SUM(F267:I267)))</f>
        <v>0.06</v>
      </c>
      <c r="K267" s="583"/>
      <c r="L267" s="268" t="s">
        <v>2625</v>
      </c>
      <c r="M267" s="268" t="s">
        <v>2631</v>
      </c>
      <c r="N267" s="278">
        <f>IFERROR(INDEX('Data Lokasi'!S:S,MATCH('Input Real Tanam&amp;Petik Nanas'!C267,'Data Lokasi'!C:C,0)),"")</f>
        <v>45067</v>
      </c>
      <c r="O267" s="278"/>
      <c r="P267" s="283">
        <f>IFERROR(INDEX('Data Lokasi'!V:V,MATCH(C267,'Data Lokasi'!C:C,0)),"")</f>
        <v>0</v>
      </c>
      <c r="Q267" s="304">
        <f t="shared" si="11"/>
        <v>0</v>
      </c>
      <c r="R267" s="308"/>
    </row>
    <row r="268" spans="2:18" ht="15" hidden="1" thickTop="1">
      <c r="B268" s="269">
        <v>46200</v>
      </c>
      <c r="C268" s="268" t="s">
        <v>552</v>
      </c>
      <c r="D268" s="274">
        <f>IFERROR(VLOOKUP(C268,'Data Lokasi'!C:D,2,0),"")</f>
        <v>13.36</v>
      </c>
      <c r="E268" s="274" t="s">
        <v>2642</v>
      </c>
      <c r="F268" s="274"/>
      <c r="G268" s="274"/>
      <c r="H268" s="274">
        <v>0.04</v>
      </c>
      <c r="I268" s="274"/>
      <c r="J268" s="456">
        <f t="shared" si="10"/>
        <v>0.04</v>
      </c>
      <c r="K268" s="583"/>
      <c r="L268" s="268" t="s">
        <v>719</v>
      </c>
      <c r="M268" s="268" t="s">
        <v>2634</v>
      </c>
      <c r="N268" s="278">
        <f>IFERROR(INDEX('Data Lokasi'!S:S,MATCH('Input Real Tanam&amp;Petik Nanas'!C268,'Data Lokasi'!C:C,0)),"")</f>
        <v>44655</v>
      </c>
      <c r="O268" s="278"/>
      <c r="P268" s="283">
        <f>IFERROR(INDEX('Data Lokasi'!V:V,MATCH(C268,'Data Lokasi'!C:C,0)),"")</f>
        <v>0</v>
      </c>
      <c r="Q268" s="304">
        <f t="shared" si="11"/>
        <v>0</v>
      </c>
      <c r="R268" s="308"/>
    </row>
    <row r="269" spans="2:18" ht="15" hidden="1" thickTop="1">
      <c r="B269" s="269">
        <v>46200</v>
      </c>
      <c r="C269" s="268" t="s">
        <v>677</v>
      </c>
      <c r="D269" s="274">
        <f>IFERROR(VLOOKUP(C269,'Data Lokasi'!C:D,2,0),"")</f>
        <v>8.2100000000000009</v>
      </c>
      <c r="E269" s="274" t="s">
        <v>2642</v>
      </c>
      <c r="F269" s="274"/>
      <c r="G269" s="274"/>
      <c r="H269" s="274"/>
      <c r="I269" s="274">
        <v>1.34</v>
      </c>
      <c r="J269" s="456">
        <f t="shared" si="10"/>
        <v>1.34</v>
      </c>
      <c r="K269" s="583"/>
      <c r="L269" s="268" t="s">
        <v>2625</v>
      </c>
      <c r="M269" s="268" t="s">
        <v>2634</v>
      </c>
      <c r="N269" s="278">
        <f>IFERROR(INDEX('Data Lokasi'!S:S,MATCH('Input Real Tanam&amp;Petik Nanas'!C269,'Data Lokasi'!C:C,0)),"")</f>
        <v>45071</v>
      </c>
      <c r="O269" s="278"/>
      <c r="P269" s="283">
        <f>IFERROR(INDEX('Data Lokasi'!V:V,MATCH(C269,'Data Lokasi'!C:C,0)),"")</f>
        <v>0</v>
      </c>
      <c r="Q269" s="304">
        <f t="shared" si="11"/>
        <v>0</v>
      </c>
      <c r="R269" s="308"/>
    </row>
    <row r="270" spans="2:18" ht="15" hidden="1" thickTop="1">
      <c r="B270" s="269">
        <v>46200</v>
      </c>
      <c r="C270" s="268" t="s">
        <v>373</v>
      </c>
      <c r="D270" s="274">
        <f>IFERROR(VLOOKUP(C270,'Data Lokasi'!C:D,2,0),"")</f>
        <v>10.5</v>
      </c>
      <c r="E270" s="274" t="s">
        <v>2642</v>
      </c>
      <c r="F270" s="274"/>
      <c r="G270" s="274"/>
      <c r="H270" s="274">
        <v>0.06</v>
      </c>
      <c r="I270" s="274"/>
      <c r="J270" s="456">
        <f t="shared" si="10"/>
        <v>0.06</v>
      </c>
      <c r="K270" s="583"/>
      <c r="L270" s="268" t="s">
        <v>719</v>
      </c>
      <c r="M270" s="268" t="s">
        <v>2634</v>
      </c>
      <c r="N270" s="278">
        <f>IFERROR(INDEX('Data Lokasi'!S:S,MATCH('Input Real Tanam&amp;Petik Nanas'!C270,'Data Lokasi'!C:C,0)),"")</f>
        <v>44311</v>
      </c>
      <c r="O270" s="278"/>
      <c r="P270" s="283">
        <f>IFERROR(INDEX('Data Lokasi'!V:V,MATCH(C270,'Data Lokasi'!C:C,0)),"")</f>
        <v>0</v>
      </c>
      <c r="Q270" s="304">
        <f t="shared" si="11"/>
        <v>0</v>
      </c>
      <c r="R270" s="308"/>
    </row>
    <row r="271" spans="2:18" ht="15" hidden="1" thickTop="1">
      <c r="B271" s="269">
        <v>46200</v>
      </c>
      <c r="C271" s="268" t="s">
        <v>687</v>
      </c>
      <c r="D271" s="274">
        <f>IFERROR(VLOOKUP(C271,'Data Lokasi'!C:D,2,0),"")</f>
        <v>10.58</v>
      </c>
      <c r="E271" s="274" t="s">
        <v>2642</v>
      </c>
      <c r="F271" s="274"/>
      <c r="G271" s="274"/>
      <c r="H271" s="274"/>
      <c r="I271" s="274">
        <v>1.35</v>
      </c>
      <c r="J271" s="456">
        <f t="shared" si="10"/>
        <v>1.35</v>
      </c>
      <c r="K271" s="583"/>
      <c r="L271" s="268" t="s">
        <v>2625</v>
      </c>
      <c r="M271" s="268" t="s">
        <v>2634</v>
      </c>
      <c r="N271" s="278">
        <f>IFERROR(INDEX('Data Lokasi'!S:S,MATCH('Input Real Tanam&amp;Petik Nanas'!C271,'Data Lokasi'!C:C,0)),"")</f>
        <v>45105</v>
      </c>
      <c r="O271" s="278"/>
      <c r="P271" s="283">
        <f>IFERROR(INDEX('Data Lokasi'!V:V,MATCH(C271,'Data Lokasi'!C:C,0)),"")</f>
        <v>0</v>
      </c>
      <c r="Q271" s="304">
        <f t="shared" si="11"/>
        <v>0</v>
      </c>
      <c r="R271" s="308"/>
    </row>
    <row r="272" spans="2:18" ht="15" hidden="1" thickTop="1">
      <c r="B272" s="269">
        <v>46200</v>
      </c>
      <c r="C272" s="268" t="s">
        <v>263</v>
      </c>
      <c r="D272" s="274">
        <f>IFERROR(VLOOKUP(C272,'Data Lokasi'!C:D,2,0),"")</f>
        <v>7.7</v>
      </c>
      <c r="E272" s="274" t="s">
        <v>2642</v>
      </c>
      <c r="F272" s="274"/>
      <c r="G272" s="274"/>
      <c r="H272" s="274"/>
      <c r="I272" s="274">
        <v>7.0000000000000007E-2</v>
      </c>
      <c r="J272" s="456">
        <f t="shared" si="10"/>
        <v>7.0000000000000007E-2</v>
      </c>
      <c r="K272" s="583"/>
      <c r="L272" s="268" t="s">
        <v>2625</v>
      </c>
      <c r="M272" s="268" t="s">
        <v>2634</v>
      </c>
      <c r="N272" s="278">
        <f>IFERROR(INDEX('Data Lokasi'!S:S,MATCH('Input Real Tanam&amp;Petik Nanas'!C272,'Data Lokasi'!C:C,0)),"")</f>
        <v>44079</v>
      </c>
      <c r="O272" s="278"/>
      <c r="P272" s="283">
        <f>IFERROR(INDEX('Data Lokasi'!V:V,MATCH(C272,'Data Lokasi'!C:C,0)),"")</f>
        <v>0</v>
      </c>
      <c r="Q272" s="304">
        <f t="shared" si="11"/>
        <v>0</v>
      </c>
      <c r="R272" s="308"/>
    </row>
    <row r="273" spans="2:18" ht="15" hidden="1" thickTop="1">
      <c r="B273" s="269">
        <v>46200</v>
      </c>
      <c r="C273" s="268" t="s">
        <v>2420</v>
      </c>
      <c r="D273" s="274">
        <f>IFERROR(VLOOKUP(C273,'Data Lokasi'!C:D,2,0),"")</f>
        <v>7.19</v>
      </c>
      <c r="E273" s="274" t="s">
        <v>2642</v>
      </c>
      <c r="F273" s="274"/>
      <c r="G273" s="274"/>
      <c r="H273" s="274">
        <v>0.62</v>
      </c>
      <c r="I273" s="274"/>
      <c r="J273" s="456">
        <f t="shared" si="10"/>
        <v>0.62</v>
      </c>
      <c r="K273" s="583"/>
      <c r="L273" s="268" t="s">
        <v>719</v>
      </c>
      <c r="M273" s="268" t="s">
        <v>2631</v>
      </c>
      <c r="N273" s="278">
        <f>IFERROR(INDEX('Data Lokasi'!S:S,MATCH('Input Real Tanam&amp;Petik Nanas'!C273,'Data Lokasi'!C:C,0)),"")</f>
        <v>46177</v>
      </c>
      <c r="O273" s="278"/>
      <c r="P273" s="283">
        <f>IFERROR(INDEX('Data Lokasi'!V:V,MATCH(C273,'Data Lokasi'!C:C,0)),"")</f>
        <v>0</v>
      </c>
      <c r="Q273" s="304">
        <f t="shared" si="11"/>
        <v>0</v>
      </c>
      <c r="R273" s="308"/>
    </row>
    <row r="274" spans="2:18" ht="15" hidden="1" thickTop="1">
      <c r="B274" s="269">
        <v>46200</v>
      </c>
      <c r="C274" s="268" t="s">
        <v>232</v>
      </c>
      <c r="D274" s="274">
        <f>IFERROR(VLOOKUP(C274,'Data Lokasi'!C:D,2,0),"")</f>
        <v>8.7799999999999994</v>
      </c>
      <c r="E274" s="274" t="s">
        <v>2642</v>
      </c>
      <c r="F274" s="274"/>
      <c r="G274" s="274"/>
      <c r="H274" s="274"/>
      <c r="I274" s="274">
        <f>1.82+1</f>
        <v>2.8200000000000003</v>
      </c>
      <c r="J274" s="456">
        <f t="shared" si="10"/>
        <v>2.8200000000000003</v>
      </c>
      <c r="K274" s="583"/>
      <c r="L274" s="268" t="s">
        <v>2625</v>
      </c>
      <c r="M274" s="268" t="s">
        <v>2631</v>
      </c>
      <c r="N274" s="278">
        <f>IFERROR(INDEX('Data Lokasi'!S:S,MATCH('Input Real Tanam&amp;Petik Nanas'!C274,'Data Lokasi'!C:C,0)),"")</f>
        <v>44022</v>
      </c>
      <c r="O274" s="278"/>
      <c r="P274" s="283">
        <f>IFERROR(INDEX('Data Lokasi'!V:V,MATCH(C274,'Data Lokasi'!C:C,0)),"")</f>
        <v>0</v>
      </c>
      <c r="Q274" s="304">
        <f t="shared" si="11"/>
        <v>0</v>
      </c>
      <c r="R274" s="308"/>
    </row>
    <row r="275" spans="2:18" ht="15" hidden="1" thickTop="1">
      <c r="B275" s="269">
        <v>46201</v>
      </c>
      <c r="C275" s="268" t="s">
        <v>552</v>
      </c>
      <c r="D275" s="274">
        <f>IFERROR(VLOOKUP(C275,'Data Lokasi'!C:D,2,0),"")</f>
        <v>13.36</v>
      </c>
      <c r="E275" s="274" t="s">
        <v>2642</v>
      </c>
      <c r="F275" s="274"/>
      <c r="G275" s="274"/>
      <c r="H275" s="274">
        <v>0.04</v>
      </c>
      <c r="I275" s="274"/>
      <c r="J275" s="456">
        <f t="shared" si="10"/>
        <v>0.04</v>
      </c>
      <c r="K275" s="583"/>
      <c r="L275" s="268" t="s">
        <v>719</v>
      </c>
      <c r="M275" s="268" t="s">
        <v>2634</v>
      </c>
      <c r="N275" s="278">
        <f>IFERROR(INDEX('Data Lokasi'!S:S,MATCH('Input Real Tanam&amp;Petik Nanas'!C275,'Data Lokasi'!C:C,0)),"")</f>
        <v>44655</v>
      </c>
      <c r="O275" s="278"/>
      <c r="P275" s="283">
        <f>IFERROR(INDEX('Data Lokasi'!V:V,MATCH(C275,'Data Lokasi'!C:C,0)),"")</f>
        <v>0</v>
      </c>
      <c r="Q275" s="304">
        <f t="shared" si="11"/>
        <v>0</v>
      </c>
      <c r="R275" s="308"/>
    </row>
    <row r="276" spans="2:18" ht="15" hidden="1" thickTop="1">
      <c r="B276" s="269">
        <v>46201</v>
      </c>
      <c r="C276" s="268" t="s">
        <v>677</v>
      </c>
      <c r="D276" s="274">
        <f>IFERROR(VLOOKUP(C276,'Data Lokasi'!C:D,2,0),"")</f>
        <v>8.2100000000000009</v>
      </c>
      <c r="E276" s="274" t="s">
        <v>2642</v>
      </c>
      <c r="F276" s="274"/>
      <c r="G276" s="274"/>
      <c r="H276" s="274"/>
      <c r="I276" s="274">
        <v>0.91</v>
      </c>
      <c r="J276" s="456">
        <f t="shared" si="10"/>
        <v>0.91</v>
      </c>
      <c r="K276" s="583"/>
      <c r="L276" s="268" t="s">
        <v>2625</v>
      </c>
      <c r="M276" s="268" t="s">
        <v>2634</v>
      </c>
      <c r="N276" s="278">
        <f>IFERROR(INDEX('Data Lokasi'!S:S,MATCH('Input Real Tanam&amp;Petik Nanas'!C276,'Data Lokasi'!C:C,0)),"")</f>
        <v>45071</v>
      </c>
      <c r="O276" s="278"/>
      <c r="P276" s="283">
        <f>IFERROR(INDEX('Data Lokasi'!V:V,MATCH(C276,'Data Lokasi'!C:C,0)),"")</f>
        <v>0</v>
      </c>
      <c r="Q276" s="304">
        <f t="shared" si="11"/>
        <v>0</v>
      </c>
      <c r="R276" s="308"/>
    </row>
    <row r="277" spans="2:18" ht="15" hidden="1" thickTop="1">
      <c r="B277" s="269">
        <v>46201</v>
      </c>
      <c r="C277" s="268" t="s">
        <v>687</v>
      </c>
      <c r="D277" s="274">
        <f>IFERROR(VLOOKUP(C277,'Data Lokasi'!C:D,2,0),"")</f>
        <v>10.58</v>
      </c>
      <c r="E277" s="274" t="s">
        <v>2642</v>
      </c>
      <c r="F277" s="274"/>
      <c r="G277" s="274"/>
      <c r="H277" s="274">
        <v>0.25</v>
      </c>
      <c r="I277" s="274"/>
      <c r="J277" s="456">
        <f t="shared" si="10"/>
        <v>0.25</v>
      </c>
      <c r="K277" s="583"/>
      <c r="L277" s="268" t="s">
        <v>719</v>
      </c>
      <c r="M277" s="268" t="s">
        <v>2634</v>
      </c>
      <c r="N277" s="278">
        <f>IFERROR(INDEX('Data Lokasi'!S:S,MATCH('Input Real Tanam&amp;Petik Nanas'!C277,'Data Lokasi'!C:C,0)),"")</f>
        <v>45105</v>
      </c>
      <c r="O277" s="278"/>
      <c r="P277" s="283">
        <f>IFERROR(INDEX('Data Lokasi'!V:V,MATCH(C277,'Data Lokasi'!C:C,0)),"")</f>
        <v>0</v>
      </c>
      <c r="Q277" s="304">
        <f t="shared" si="11"/>
        <v>0</v>
      </c>
      <c r="R277" s="308"/>
    </row>
    <row r="278" spans="2:18" ht="15" hidden="1" thickTop="1">
      <c r="B278" s="269">
        <v>46201</v>
      </c>
      <c r="C278" s="268" t="s">
        <v>687</v>
      </c>
      <c r="D278" s="274">
        <f>IFERROR(VLOOKUP(C278,'Data Lokasi'!C:D,2,0),"")</f>
        <v>10.58</v>
      </c>
      <c r="E278" s="274" t="s">
        <v>2642</v>
      </c>
      <c r="F278" s="274"/>
      <c r="G278" s="274"/>
      <c r="H278" s="274"/>
      <c r="I278" s="274">
        <v>1.17</v>
      </c>
      <c r="J278" s="456">
        <f t="shared" si="10"/>
        <v>1.17</v>
      </c>
      <c r="K278" s="583"/>
      <c r="L278" s="268" t="s">
        <v>2625</v>
      </c>
      <c r="M278" s="268" t="s">
        <v>2634</v>
      </c>
      <c r="N278" s="278">
        <f>IFERROR(INDEX('Data Lokasi'!S:S,MATCH('Input Real Tanam&amp;Petik Nanas'!C278,'Data Lokasi'!C:C,0)),"")</f>
        <v>45105</v>
      </c>
      <c r="O278" s="278"/>
      <c r="P278" s="283">
        <f>IFERROR(INDEX('Data Lokasi'!V:V,MATCH(C278,'Data Lokasi'!C:C,0)),"")</f>
        <v>0</v>
      </c>
      <c r="Q278" s="304">
        <f t="shared" si="11"/>
        <v>0</v>
      </c>
      <c r="R278" s="308"/>
    </row>
    <row r="279" spans="2:18" ht="15" hidden="1" thickTop="1">
      <c r="B279" s="269">
        <v>46201</v>
      </c>
      <c r="C279" s="268" t="s">
        <v>229</v>
      </c>
      <c r="D279" s="274">
        <f>IFERROR(VLOOKUP(C279,'Data Lokasi'!C:D,2,0),"")</f>
        <v>6.97</v>
      </c>
      <c r="E279" s="274" t="s">
        <v>2642</v>
      </c>
      <c r="F279" s="274"/>
      <c r="G279" s="274"/>
      <c r="H279" s="274"/>
      <c r="I279" s="274">
        <v>0.08</v>
      </c>
      <c r="J279" s="456">
        <f t="shared" si="10"/>
        <v>0.08</v>
      </c>
      <c r="K279" s="583"/>
      <c r="L279" s="268" t="s">
        <v>2625</v>
      </c>
      <c r="M279" s="268" t="s">
        <v>2634</v>
      </c>
      <c r="N279" s="278">
        <f>IFERROR(INDEX('Data Lokasi'!S:S,MATCH('Input Real Tanam&amp;Petik Nanas'!C279,'Data Lokasi'!C:C,0)),"")</f>
        <v>44020</v>
      </c>
      <c r="O279" s="278"/>
      <c r="P279" s="283">
        <f>IFERROR(INDEX('Data Lokasi'!V:V,MATCH(C279,'Data Lokasi'!C:C,0)),"")</f>
        <v>0</v>
      </c>
      <c r="Q279" s="304">
        <f t="shared" si="11"/>
        <v>0</v>
      </c>
      <c r="R279" s="308"/>
    </row>
    <row r="280" spans="2:18" ht="15" hidden="1" thickTop="1">
      <c r="B280" s="269">
        <v>46201</v>
      </c>
      <c r="C280" s="268" t="s">
        <v>163</v>
      </c>
      <c r="D280" s="274">
        <f>IFERROR(VLOOKUP(C280,'Data Lokasi'!C:D,2,0),"")</f>
        <v>9.18</v>
      </c>
      <c r="E280" s="274" t="s">
        <v>2642</v>
      </c>
      <c r="F280" s="274"/>
      <c r="G280" s="274"/>
      <c r="H280" s="274">
        <v>0.06</v>
      </c>
      <c r="I280" s="274"/>
      <c r="J280" s="456">
        <f t="shared" si="10"/>
        <v>0.06</v>
      </c>
      <c r="K280" s="583"/>
      <c r="L280" s="268" t="s">
        <v>719</v>
      </c>
      <c r="M280" s="268" t="s">
        <v>2634</v>
      </c>
      <c r="N280" s="278">
        <f>IFERROR(INDEX('Data Lokasi'!S:S,MATCH('Input Real Tanam&amp;Petik Nanas'!C280,'Data Lokasi'!C:C,0)),"")</f>
        <v>43901</v>
      </c>
      <c r="O280" s="278"/>
      <c r="P280" s="283">
        <f>IFERROR(INDEX('Data Lokasi'!V:V,MATCH(C280,'Data Lokasi'!C:C,0)),"")</f>
        <v>0</v>
      </c>
      <c r="Q280" s="304">
        <f t="shared" si="11"/>
        <v>0</v>
      </c>
      <c r="R280" s="308"/>
    </row>
    <row r="281" spans="2:18" ht="15" hidden="1" thickTop="1">
      <c r="B281" s="269">
        <v>46201</v>
      </c>
      <c r="C281" s="268" t="s">
        <v>232</v>
      </c>
      <c r="D281" s="274">
        <f>IFERROR(VLOOKUP(C281,'Data Lokasi'!C:D,2,0),"")</f>
        <v>8.7799999999999994</v>
      </c>
      <c r="E281" s="274" t="s">
        <v>2642</v>
      </c>
      <c r="F281" s="274"/>
      <c r="G281" s="274"/>
      <c r="H281" s="274"/>
      <c r="I281" s="274">
        <v>1.76</v>
      </c>
      <c r="J281" s="456">
        <f t="shared" si="10"/>
        <v>1.76</v>
      </c>
      <c r="K281" s="583"/>
      <c r="L281" s="268" t="s">
        <v>2625</v>
      </c>
      <c r="M281" s="268" t="s">
        <v>2631</v>
      </c>
      <c r="N281" s="278">
        <f>IFERROR(INDEX('Data Lokasi'!S:S,MATCH('Input Real Tanam&amp;Petik Nanas'!C281,'Data Lokasi'!C:C,0)),"")</f>
        <v>44022</v>
      </c>
      <c r="O281" s="278"/>
      <c r="P281" s="283">
        <f>IFERROR(INDEX('Data Lokasi'!V:V,MATCH(C281,'Data Lokasi'!C:C,0)),"")</f>
        <v>0</v>
      </c>
      <c r="Q281" s="304">
        <f t="shared" si="11"/>
        <v>0</v>
      </c>
      <c r="R281" s="308"/>
    </row>
    <row r="282" spans="2:18" ht="15" hidden="1" thickTop="1">
      <c r="B282" s="269">
        <v>46201</v>
      </c>
      <c r="C282" s="268" t="s">
        <v>685</v>
      </c>
      <c r="D282" s="274">
        <f>IFERROR(VLOOKUP(C282,'Data Lokasi'!C:D,2,0),"")</f>
        <v>5.82</v>
      </c>
      <c r="E282" s="274" t="s">
        <v>2642</v>
      </c>
      <c r="F282" s="274"/>
      <c r="G282" s="274"/>
      <c r="H282" s="274"/>
      <c r="I282" s="274">
        <v>1.37</v>
      </c>
      <c r="J282" s="456">
        <f t="shared" ref="J282:J321" si="14">IF(SUM(F282:I282)=0,"",(SUM(F282:I282)))</f>
        <v>1.37</v>
      </c>
      <c r="K282" s="583"/>
      <c r="L282" s="268" t="s">
        <v>2625</v>
      </c>
      <c r="M282" s="268" t="s">
        <v>2631</v>
      </c>
      <c r="N282" s="278">
        <f>IFERROR(INDEX('Data Lokasi'!S:S,MATCH('Input Real Tanam&amp;Petik Nanas'!C282,'Data Lokasi'!C:C,0)),"")</f>
        <v>45117</v>
      </c>
      <c r="O282" s="278"/>
      <c r="P282" s="283">
        <f>IFERROR(INDEX('Data Lokasi'!V:V,MATCH(C282,'Data Lokasi'!C:C,0)),"")</f>
        <v>0</v>
      </c>
      <c r="Q282" s="304">
        <f t="shared" ref="Q282:Q321" si="15">IF(ISERROR(P282/D282),"",(P282/D282))</f>
        <v>0</v>
      </c>
      <c r="R282" s="308"/>
    </row>
    <row r="283" spans="2:18" ht="15" hidden="1" thickTop="1">
      <c r="B283" s="269">
        <v>46201</v>
      </c>
      <c r="C283" s="268" t="s">
        <v>2420</v>
      </c>
      <c r="D283" s="274">
        <f>IFERROR(VLOOKUP(C283,'Data Lokasi'!C:D,2,0),"")</f>
        <v>7.19</v>
      </c>
      <c r="E283" s="274" t="s">
        <v>2642</v>
      </c>
      <c r="F283" s="274"/>
      <c r="G283" s="274"/>
      <c r="H283" s="274">
        <v>0.36</v>
      </c>
      <c r="I283" s="274"/>
      <c r="J283" s="456">
        <f t="shared" si="14"/>
        <v>0.36</v>
      </c>
      <c r="K283" s="583"/>
      <c r="L283" s="268" t="s">
        <v>719</v>
      </c>
      <c r="M283" s="268" t="s">
        <v>2631</v>
      </c>
      <c r="N283" s="278">
        <f>IFERROR(INDEX('Data Lokasi'!S:S,MATCH('Input Real Tanam&amp;Petik Nanas'!C283,'Data Lokasi'!C:C,0)),"")</f>
        <v>46177</v>
      </c>
      <c r="O283" s="278"/>
      <c r="P283" s="283">
        <f>IFERROR(INDEX('Data Lokasi'!V:V,MATCH(C283,'Data Lokasi'!C:C,0)),"")</f>
        <v>0</v>
      </c>
      <c r="Q283" s="304">
        <f t="shared" si="15"/>
        <v>0</v>
      </c>
      <c r="R283" s="308"/>
    </row>
    <row r="284" spans="2:18" ht="15" hidden="1" thickTop="1">
      <c r="B284" s="269">
        <v>46201</v>
      </c>
      <c r="C284" s="268" t="s">
        <v>425</v>
      </c>
      <c r="D284" s="274">
        <f>IFERROR(VLOOKUP(C284,'Data Lokasi'!C:D,2,0),"")</f>
        <v>8.85</v>
      </c>
      <c r="E284" s="274" t="s">
        <v>2643</v>
      </c>
      <c r="F284" s="274">
        <v>0.04</v>
      </c>
      <c r="G284" s="274">
        <f>0.08+0.21</f>
        <v>0.28999999999999998</v>
      </c>
      <c r="H284" s="274">
        <f>0.28+0.18</f>
        <v>0.46</v>
      </c>
      <c r="I284" s="274"/>
      <c r="J284" s="456">
        <f t="shared" si="14"/>
        <v>0.79</v>
      </c>
      <c r="K284" s="583"/>
      <c r="L284" s="268" t="s">
        <v>719</v>
      </c>
      <c r="M284" s="268" t="s">
        <v>2631</v>
      </c>
      <c r="N284" s="278">
        <f>IFERROR(INDEX('Data Lokasi'!S:S,MATCH('Input Real Tanam&amp;Petik Nanas'!C284,'Data Lokasi'!C:C,0)),"")</f>
        <v>44389</v>
      </c>
      <c r="O284" s="278"/>
      <c r="P284" s="283">
        <f>IFERROR(INDEX('Data Lokasi'!V:V,MATCH(C284,'Data Lokasi'!C:C,0)),"")</f>
        <v>0</v>
      </c>
      <c r="Q284" s="304">
        <f t="shared" si="15"/>
        <v>0</v>
      </c>
      <c r="R284" s="308">
        <v>3</v>
      </c>
    </row>
    <row r="285" spans="2:18" ht="15" hidden="1" thickTop="1">
      <c r="B285" s="269">
        <v>46201</v>
      </c>
      <c r="C285" s="268" t="s">
        <v>432</v>
      </c>
      <c r="D285" s="274">
        <f>IFERROR(VLOOKUP(C285,'Data Lokasi'!C:D,2,0),"")</f>
        <v>9.9</v>
      </c>
      <c r="E285" s="274" t="s">
        <v>2643</v>
      </c>
      <c r="F285" s="274"/>
      <c r="G285" s="274">
        <v>0.02</v>
      </c>
      <c r="H285" s="274">
        <f>0.07+0.19</f>
        <v>0.26</v>
      </c>
      <c r="I285" s="274"/>
      <c r="J285" s="456">
        <f t="shared" si="14"/>
        <v>0.28000000000000003</v>
      </c>
      <c r="K285" s="583"/>
      <c r="L285" s="268" t="s">
        <v>719</v>
      </c>
      <c r="M285" s="268" t="s">
        <v>2634</v>
      </c>
      <c r="N285" s="278">
        <f>IFERROR(INDEX('Data Lokasi'!S:S,MATCH('Input Real Tanam&amp;Petik Nanas'!C285,'Data Lokasi'!C:C,0)),"")</f>
        <v>44394</v>
      </c>
      <c r="O285" s="278"/>
      <c r="P285" s="283">
        <f>IFERROR(INDEX('Data Lokasi'!V:V,MATCH(C285,'Data Lokasi'!C:C,0)),"")</f>
        <v>0</v>
      </c>
      <c r="Q285" s="304">
        <f t="shared" si="15"/>
        <v>0</v>
      </c>
      <c r="R285" s="308">
        <v>1</v>
      </c>
    </row>
    <row r="286" spans="2:18" ht="15" hidden="1" thickTop="1">
      <c r="B286" s="269">
        <v>46201</v>
      </c>
      <c r="C286" s="268" t="s">
        <v>485</v>
      </c>
      <c r="D286" s="274">
        <f>IFERROR(VLOOKUP(C286,'Data Lokasi'!C:D,2,0),"")</f>
        <v>6.41</v>
      </c>
      <c r="E286" s="274" t="s">
        <v>2643</v>
      </c>
      <c r="F286" s="274"/>
      <c r="G286" s="274"/>
      <c r="H286" s="274"/>
      <c r="I286" s="274">
        <v>0.78</v>
      </c>
      <c r="J286" s="456">
        <f t="shared" si="14"/>
        <v>0.78</v>
      </c>
      <c r="K286" s="583"/>
      <c r="L286" s="268" t="s">
        <v>2625</v>
      </c>
      <c r="M286" s="268" t="s">
        <v>2634</v>
      </c>
      <c r="N286" s="278">
        <f>IFERROR(INDEX('Data Lokasi'!S:S,MATCH('Input Real Tanam&amp;Petik Nanas'!C286,'Data Lokasi'!C:C,0)),"")</f>
        <v>44532</v>
      </c>
      <c r="O286" s="278"/>
      <c r="P286" s="283">
        <f>IFERROR(INDEX('Data Lokasi'!V:V,MATCH(C286,'Data Lokasi'!C:C,0)),"")</f>
        <v>0</v>
      </c>
      <c r="Q286" s="304">
        <f t="shared" si="15"/>
        <v>0</v>
      </c>
      <c r="R286" s="308"/>
    </row>
    <row r="287" spans="2:18" ht="15" hidden="1" thickTop="1">
      <c r="B287" s="269">
        <v>46201</v>
      </c>
      <c r="C287" s="268" t="s">
        <v>470</v>
      </c>
      <c r="D287" s="274">
        <f>IFERROR(VLOOKUP(C287,'Data Lokasi'!C:D,2,0),"")</f>
        <v>9.4600000000000009</v>
      </c>
      <c r="E287" s="274" t="s">
        <v>2643</v>
      </c>
      <c r="F287" s="274"/>
      <c r="G287" s="274"/>
      <c r="H287" s="274"/>
      <c r="I287" s="274">
        <v>0.51</v>
      </c>
      <c r="J287" s="456">
        <f t="shared" si="14"/>
        <v>0.51</v>
      </c>
      <c r="K287" s="583"/>
      <c r="L287" s="268" t="s">
        <v>2625</v>
      </c>
      <c r="M287" s="268" t="s">
        <v>2634</v>
      </c>
      <c r="N287" s="278">
        <f>IFERROR(INDEX('Data Lokasi'!S:S,MATCH('Input Real Tanam&amp;Petik Nanas'!C287,'Data Lokasi'!C:C,0)),"")</f>
        <v>44488</v>
      </c>
      <c r="O287" s="278"/>
      <c r="P287" s="283">
        <f>IFERROR(INDEX('Data Lokasi'!V:V,MATCH(C287,'Data Lokasi'!C:C,0)),"")</f>
        <v>0</v>
      </c>
      <c r="Q287" s="304">
        <f t="shared" si="15"/>
        <v>0</v>
      </c>
      <c r="R287" s="308"/>
    </row>
    <row r="288" spans="2:18" ht="15" hidden="1" thickTop="1">
      <c r="B288" s="269">
        <v>46200</v>
      </c>
      <c r="C288" s="268" t="s">
        <v>425</v>
      </c>
      <c r="D288" s="274">
        <f>IFERROR(VLOOKUP(C288,'Data Lokasi'!C:D,2,0),"")</f>
        <v>8.85</v>
      </c>
      <c r="E288" s="274" t="s">
        <v>2643</v>
      </c>
      <c r="F288" s="274">
        <v>0.01</v>
      </c>
      <c r="G288" s="274">
        <f>0.04+0.18</f>
        <v>0.22</v>
      </c>
      <c r="H288" s="274">
        <f>0.2+0.17</f>
        <v>0.37</v>
      </c>
      <c r="I288" s="274"/>
      <c r="J288" s="456">
        <f t="shared" si="14"/>
        <v>0.6</v>
      </c>
      <c r="K288" s="583"/>
      <c r="L288" s="268" t="s">
        <v>719</v>
      </c>
      <c r="M288" s="268" t="s">
        <v>2631</v>
      </c>
      <c r="N288" s="278">
        <f>IFERROR(INDEX('Data Lokasi'!S:S,MATCH('Input Real Tanam&amp;Petik Nanas'!C288,'Data Lokasi'!C:C,0)),"")</f>
        <v>44389</v>
      </c>
      <c r="O288" s="278"/>
      <c r="P288" s="283">
        <f>IFERROR(INDEX('Data Lokasi'!V:V,MATCH(C288,'Data Lokasi'!C:C,0)),"")</f>
        <v>0</v>
      </c>
      <c r="Q288" s="304">
        <f t="shared" si="15"/>
        <v>0</v>
      </c>
      <c r="R288" s="308">
        <v>3</v>
      </c>
    </row>
    <row r="289" spans="2:18" ht="15" hidden="1" thickTop="1">
      <c r="B289" s="269">
        <v>46200</v>
      </c>
      <c r="C289" s="268" t="s">
        <v>2548</v>
      </c>
      <c r="D289" s="274">
        <f>IFERROR(VLOOKUP(C289,'Data Lokasi'!C:D,2,0),"")</f>
        <v>6.83</v>
      </c>
      <c r="E289" s="274" t="s">
        <v>2643</v>
      </c>
      <c r="F289" s="274"/>
      <c r="G289" s="274"/>
      <c r="H289" s="274"/>
      <c r="I289" s="274">
        <v>0.41</v>
      </c>
      <c r="J289" s="456">
        <f t="shared" si="14"/>
        <v>0.41</v>
      </c>
      <c r="K289" s="583"/>
      <c r="L289" s="268" t="s">
        <v>2625</v>
      </c>
      <c r="M289" s="268" t="s">
        <v>2631</v>
      </c>
      <c r="N289" s="278">
        <f>IFERROR(INDEX('Data Lokasi'!S:S,MATCH('Input Real Tanam&amp;Petik Nanas'!C289,'Data Lokasi'!C:C,0)),"")</f>
        <v>45600</v>
      </c>
      <c r="O289" s="278"/>
      <c r="P289" s="283">
        <f>IFERROR(INDEX('Data Lokasi'!V:V,MATCH(C289,'Data Lokasi'!C:C,0)),"")</f>
        <v>0</v>
      </c>
      <c r="Q289" s="304">
        <f t="shared" si="15"/>
        <v>0</v>
      </c>
      <c r="R289" s="308"/>
    </row>
    <row r="290" spans="2:18" ht="15" hidden="1" thickTop="1">
      <c r="B290" s="269">
        <v>46200</v>
      </c>
      <c r="C290" s="268" t="s">
        <v>494</v>
      </c>
      <c r="D290" s="274">
        <f>IFERROR(VLOOKUP(C290,'Data Lokasi'!C:D,2,0),"")</f>
        <v>9.68</v>
      </c>
      <c r="E290" s="274" t="s">
        <v>2643</v>
      </c>
      <c r="F290" s="274"/>
      <c r="G290" s="274"/>
      <c r="H290" s="274"/>
      <c r="I290" s="274">
        <v>1.4</v>
      </c>
      <c r="J290" s="456">
        <f t="shared" si="14"/>
        <v>1.4</v>
      </c>
      <c r="K290" s="583"/>
      <c r="L290" s="268" t="s">
        <v>2625</v>
      </c>
      <c r="M290" s="268" t="s">
        <v>2631</v>
      </c>
      <c r="N290" s="278">
        <f>IFERROR(INDEX('Data Lokasi'!S:S,MATCH('Input Real Tanam&amp;Petik Nanas'!C290,'Data Lokasi'!C:C,0)),"")</f>
        <v>44564</v>
      </c>
      <c r="O290" s="278"/>
      <c r="P290" s="283">
        <f>IFERROR(INDEX('Data Lokasi'!V:V,MATCH(C290,'Data Lokasi'!C:C,0)),"")</f>
        <v>0</v>
      </c>
      <c r="Q290" s="304">
        <f t="shared" si="15"/>
        <v>0</v>
      </c>
      <c r="R290" s="308"/>
    </row>
    <row r="291" spans="2:18" ht="15" hidden="1" thickTop="1">
      <c r="B291" s="269">
        <v>46200</v>
      </c>
      <c r="C291" s="268" t="s">
        <v>360</v>
      </c>
      <c r="D291" s="274">
        <f>IFERROR(VLOOKUP(C291,'Data Lokasi'!C:D,2,0),"")</f>
        <v>10.66</v>
      </c>
      <c r="E291" s="274" t="s">
        <v>2643</v>
      </c>
      <c r="F291" s="274"/>
      <c r="G291" s="274">
        <v>0.04</v>
      </c>
      <c r="H291" s="274">
        <f>0.05+0.09</f>
        <v>0.14000000000000001</v>
      </c>
      <c r="I291" s="274"/>
      <c r="J291" s="456">
        <f t="shared" si="14"/>
        <v>0.18000000000000002</v>
      </c>
      <c r="K291" s="583"/>
      <c r="L291" s="268" t="s">
        <v>719</v>
      </c>
      <c r="M291" s="268" t="s">
        <v>2631</v>
      </c>
      <c r="N291" s="278">
        <f>IFERROR(INDEX('Data Lokasi'!S:S,MATCH('Input Real Tanam&amp;Petik Nanas'!C291,'Data Lokasi'!C:C,0)),"")</f>
        <v>44300</v>
      </c>
      <c r="O291" s="278"/>
      <c r="P291" s="283">
        <f>IFERROR(INDEX('Data Lokasi'!V:V,MATCH(C291,'Data Lokasi'!C:C,0)),"")</f>
        <v>0</v>
      </c>
      <c r="Q291" s="304">
        <f t="shared" si="15"/>
        <v>0</v>
      </c>
      <c r="R291" s="308">
        <v>5</v>
      </c>
    </row>
    <row r="292" spans="2:18" ht="15" hidden="1" thickTop="1">
      <c r="B292" s="269">
        <v>46200</v>
      </c>
      <c r="C292" s="268" t="s">
        <v>371</v>
      </c>
      <c r="D292" s="274">
        <f>IFERROR(VLOOKUP(C292,'Data Lokasi'!C:D,2,0),"")</f>
        <v>7.06</v>
      </c>
      <c r="E292" s="274" t="s">
        <v>2643</v>
      </c>
      <c r="F292" s="274"/>
      <c r="G292" s="274">
        <v>0.01</v>
      </c>
      <c r="H292" s="274">
        <f>0.05+0.12</f>
        <v>0.16999999999999998</v>
      </c>
      <c r="I292" s="274"/>
      <c r="J292" s="456">
        <f t="shared" si="14"/>
        <v>0.18</v>
      </c>
      <c r="K292" s="583"/>
      <c r="L292" s="268" t="s">
        <v>719</v>
      </c>
      <c r="M292" s="268" t="s">
        <v>2634</v>
      </c>
      <c r="N292" s="278">
        <f>IFERROR(INDEX('Data Lokasi'!S:S,MATCH('Input Real Tanam&amp;Petik Nanas'!C292,'Data Lokasi'!C:C,0)),"")</f>
        <v>44335</v>
      </c>
      <c r="O292" s="278"/>
      <c r="P292" s="283">
        <f>IFERROR(INDEX('Data Lokasi'!V:V,MATCH(C292,'Data Lokasi'!C:C,0)),"")</f>
        <v>0</v>
      </c>
      <c r="Q292" s="304">
        <f t="shared" si="15"/>
        <v>0</v>
      </c>
      <c r="R292" s="308">
        <v>5</v>
      </c>
    </row>
    <row r="293" spans="2:18" ht="15" hidden="1" thickTop="1">
      <c r="B293" s="269">
        <v>46200</v>
      </c>
      <c r="C293" s="268" t="s">
        <v>314</v>
      </c>
      <c r="D293" s="274">
        <f>IFERROR(VLOOKUP(C293,'Data Lokasi'!C:D,2,0),"")</f>
        <v>8.92</v>
      </c>
      <c r="E293" s="274" t="s">
        <v>2643</v>
      </c>
      <c r="F293" s="274"/>
      <c r="G293" s="274">
        <v>0.04</v>
      </c>
      <c r="H293" s="274">
        <f>0.11+0.22</f>
        <v>0.33</v>
      </c>
      <c r="I293" s="274"/>
      <c r="J293" s="456">
        <f t="shared" si="14"/>
        <v>0.37</v>
      </c>
      <c r="K293" s="583"/>
      <c r="L293" s="268" t="s">
        <v>719</v>
      </c>
      <c r="M293" s="268" t="s">
        <v>2634</v>
      </c>
      <c r="N293" s="278">
        <f>IFERROR(INDEX('Data Lokasi'!S:S,MATCH('Input Real Tanam&amp;Petik Nanas'!C293,'Data Lokasi'!C:C,0)),"")</f>
        <v>44161</v>
      </c>
      <c r="O293" s="278"/>
      <c r="P293" s="283">
        <f>IFERROR(INDEX('Data Lokasi'!V:V,MATCH(C293,'Data Lokasi'!C:C,0)),"")</f>
        <v>0</v>
      </c>
      <c r="Q293" s="304">
        <f t="shared" si="15"/>
        <v>0</v>
      </c>
      <c r="R293" s="308">
        <v>8</v>
      </c>
    </row>
    <row r="294" spans="2:18" ht="15" hidden="1" thickTop="1">
      <c r="B294" s="269">
        <v>46200</v>
      </c>
      <c r="C294" s="268" t="s">
        <v>485</v>
      </c>
      <c r="D294" s="274">
        <f>IFERROR(VLOOKUP(C294,'Data Lokasi'!C:D,2,0),"")</f>
        <v>6.41</v>
      </c>
      <c r="E294" s="274" t="s">
        <v>2643</v>
      </c>
      <c r="F294" s="274"/>
      <c r="G294" s="274"/>
      <c r="H294" s="274"/>
      <c r="I294" s="274">
        <v>1.29</v>
      </c>
      <c r="J294" s="456">
        <f t="shared" si="14"/>
        <v>1.29</v>
      </c>
      <c r="K294" s="583"/>
      <c r="L294" s="268" t="s">
        <v>2625</v>
      </c>
      <c r="M294" s="268" t="s">
        <v>2634</v>
      </c>
      <c r="N294" s="278">
        <f>IFERROR(INDEX('Data Lokasi'!S:S,MATCH('Input Real Tanam&amp;Petik Nanas'!C294,'Data Lokasi'!C:C,0)),"")</f>
        <v>44532</v>
      </c>
      <c r="O294" s="278"/>
      <c r="P294" s="283">
        <f>IFERROR(INDEX('Data Lokasi'!V:V,MATCH(C294,'Data Lokasi'!C:C,0)),"")</f>
        <v>0</v>
      </c>
      <c r="Q294" s="304">
        <f t="shared" si="15"/>
        <v>0</v>
      </c>
      <c r="R294" s="308"/>
    </row>
    <row r="295" spans="2:18" ht="15" hidden="1" thickTop="1">
      <c r="B295" s="269">
        <v>46202</v>
      </c>
      <c r="C295" s="268" t="s">
        <v>677</v>
      </c>
      <c r="D295" s="274">
        <f>IFERROR(VLOOKUP(C295,'Data Lokasi'!C:D,2,0),"")</f>
        <v>8.2100000000000009</v>
      </c>
      <c r="E295" s="274" t="s">
        <v>2642</v>
      </c>
      <c r="F295" s="274"/>
      <c r="G295" s="274"/>
      <c r="H295" s="274"/>
      <c r="I295" s="274">
        <v>0.12</v>
      </c>
      <c r="J295" s="456">
        <f t="shared" si="14"/>
        <v>0.12</v>
      </c>
      <c r="K295" s="583"/>
      <c r="L295" s="268" t="s">
        <v>719</v>
      </c>
      <c r="M295" s="268" t="s">
        <v>2634</v>
      </c>
      <c r="N295" s="278">
        <f>IFERROR(INDEX('Data Lokasi'!S:S,MATCH('Input Real Tanam&amp;Petik Nanas'!C295,'Data Lokasi'!C:C,0)),"")</f>
        <v>45071</v>
      </c>
      <c r="O295" s="278"/>
      <c r="P295" s="283">
        <f>IFERROR(INDEX('Data Lokasi'!V:V,MATCH(C295,'Data Lokasi'!C:C,0)),"")</f>
        <v>0</v>
      </c>
      <c r="Q295" s="304">
        <f t="shared" si="15"/>
        <v>0</v>
      </c>
      <c r="R295" s="308"/>
    </row>
    <row r="296" spans="2:18" ht="15" hidden="1" thickTop="1">
      <c r="B296" s="269">
        <v>46202</v>
      </c>
      <c r="C296" s="268" t="s">
        <v>677</v>
      </c>
      <c r="D296" s="274">
        <f>IFERROR(VLOOKUP(C296,'Data Lokasi'!C:D,2,0),"")</f>
        <v>8.2100000000000009</v>
      </c>
      <c r="E296" s="274" t="s">
        <v>2642</v>
      </c>
      <c r="F296" s="274"/>
      <c r="G296" s="274"/>
      <c r="H296" s="274"/>
      <c r="I296" s="274">
        <v>0.38</v>
      </c>
      <c r="J296" s="456">
        <f t="shared" si="14"/>
        <v>0.38</v>
      </c>
      <c r="K296" s="583"/>
      <c r="L296" s="268" t="s">
        <v>2625</v>
      </c>
      <c r="M296" s="268" t="s">
        <v>2634</v>
      </c>
      <c r="N296" s="278">
        <f>IFERROR(INDEX('Data Lokasi'!S:S,MATCH('Input Real Tanam&amp;Petik Nanas'!C296,'Data Lokasi'!C:C,0)),"")</f>
        <v>45071</v>
      </c>
      <c r="O296" s="278"/>
      <c r="P296" s="283">
        <f>IFERROR(INDEX('Data Lokasi'!V:V,MATCH(C296,'Data Lokasi'!C:C,0)),"")</f>
        <v>0</v>
      </c>
      <c r="Q296" s="304">
        <f t="shared" si="15"/>
        <v>0</v>
      </c>
      <c r="R296" s="308"/>
    </row>
    <row r="297" spans="2:18" ht="15" hidden="1" thickTop="1">
      <c r="B297" s="269">
        <v>46202</v>
      </c>
      <c r="C297" s="268" t="s">
        <v>687</v>
      </c>
      <c r="D297" s="274">
        <f>IFERROR(VLOOKUP(C297,'Data Lokasi'!C:D,2,0),"")</f>
        <v>10.58</v>
      </c>
      <c r="E297" s="274" t="s">
        <v>2642</v>
      </c>
      <c r="F297" s="274"/>
      <c r="G297" s="274"/>
      <c r="H297" s="274">
        <v>0.41</v>
      </c>
      <c r="I297" s="274"/>
      <c r="J297" s="456">
        <f t="shared" si="14"/>
        <v>0.41</v>
      </c>
      <c r="K297" s="583"/>
      <c r="L297" s="268" t="s">
        <v>719</v>
      </c>
      <c r="M297" s="268" t="s">
        <v>2634</v>
      </c>
      <c r="N297" s="278">
        <f>IFERROR(INDEX('Data Lokasi'!S:S,MATCH('Input Real Tanam&amp;Petik Nanas'!C297,'Data Lokasi'!C:C,0)),"")</f>
        <v>45105</v>
      </c>
      <c r="O297" s="278"/>
      <c r="P297" s="283">
        <f>IFERROR(INDEX('Data Lokasi'!V:V,MATCH(C297,'Data Lokasi'!C:C,0)),"")</f>
        <v>0</v>
      </c>
      <c r="Q297" s="304">
        <f t="shared" si="15"/>
        <v>0</v>
      </c>
      <c r="R297" s="308"/>
    </row>
    <row r="298" spans="2:18" ht="15" hidden="1" thickTop="1">
      <c r="B298" s="269">
        <v>46202</v>
      </c>
      <c r="C298" s="268" t="s">
        <v>687</v>
      </c>
      <c r="D298" s="274">
        <f>IFERROR(VLOOKUP(C298,'Data Lokasi'!C:D,2,0),"")</f>
        <v>10.58</v>
      </c>
      <c r="E298" s="274" t="s">
        <v>2642</v>
      </c>
      <c r="F298" s="274"/>
      <c r="G298" s="274"/>
      <c r="H298" s="274"/>
      <c r="I298" s="274">
        <v>0.23</v>
      </c>
      <c r="J298" s="456">
        <f t="shared" si="14"/>
        <v>0.23</v>
      </c>
      <c r="K298" s="583"/>
      <c r="L298" s="268" t="s">
        <v>2625</v>
      </c>
      <c r="M298" s="268" t="s">
        <v>2634</v>
      </c>
      <c r="N298" s="278">
        <f>IFERROR(INDEX('Data Lokasi'!S:S,MATCH('Input Real Tanam&amp;Petik Nanas'!C298,'Data Lokasi'!C:C,0)),"")</f>
        <v>45105</v>
      </c>
      <c r="O298" s="278"/>
      <c r="P298" s="283">
        <f>IFERROR(INDEX('Data Lokasi'!V:V,MATCH(C298,'Data Lokasi'!C:C,0)),"")</f>
        <v>0</v>
      </c>
      <c r="Q298" s="304">
        <f t="shared" si="15"/>
        <v>0</v>
      </c>
      <c r="R298" s="308"/>
    </row>
    <row r="299" spans="2:18" ht="15" hidden="1" thickTop="1">
      <c r="B299" s="269">
        <v>46202</v>
      </c>
      <c r="C299" s="268" t="s">
        <v>623</v>
      </c>
      <c r="D299" s="274">
        <f>IFERROR(VLOOKUP(C299,'Data Lokasi'!C:D,2,0),"")</f>
        <v>4.07</v>
      </c>
      <c r="E299" s="274" t="s">
        <v>2642</v>
      </c>
      <c r="F299" s="274"/>
      <c r="G299" s="274"/>
      <c r="H299" s="274"/>
      <c r="I299" s="274">
        <v>0.05</v>
      </c>
      <c r="J299" s="456">
        <f t="shared" si="14"/>
        <v>0.05</v>
      </c>
      <c r="K299" s="583"/>
      <c r="L299" s="268" t="s">
        <v>2625</v>
      </c>
      <c r="M299" s="268" t="s">
        <v>2634</v>
      </c>
      <c r="N299" s="278">
        <f>IFERROR(INDEX('Data Lokasi'!S:S,MATCH('Input Real Tanam&amp;Petik Nanas'!C299,'Data Lokasi'!C:C,0)),"")</f>
        <v>44863</v>
      </c>
      <c r="O299" s="278"/>
      <c r="P299" s="283">
        <f>IFERROR(INDEX('Data Lokasi'!V:V,MATCH(C299,'Data Lokasi'!C:C,0)),"")</f>
        <v>0</v>
      </c>
      <c r="Q299" s="304">
        <f t="shared" si="15"/>
        <v>0</v>
      </c>
      <c r="R299" s="308"/>
    </row>
    <row r="300" spans="2:18" ht="15" hidden="1" thickTop="1">
      <c r="B300" s="269">
        <v>46202</v>
      </c>
      <c r="C300" s="268" t="s">
        <v>106</v>
      </c>
      <c r="D300" s="274">
        <f>IFERROR(VLOOKUP(C300,'Data Lokasi'!C:D,2,0),"")</f>
        <v>3.86</v>
      </c>
      <c r="E300" s="274" t="s">
        <v>2642</v>
      </c>
      <c r="F300" s="274"/>
      <c r="G300" s="274"/>
      <c r="H300" s="274"/>
      <c r="I300" s="274">
        <v>1.8</v>
      </c>
      <c r="J300" s="456">
        <f t="shared" si="14"/>
        <v>1.8</v>
      </c>
      <c r="K300" s="583"/>
      <c r="L300" s="268" t="s">
        <v>2625</v>
      </c>
      <c r="M300" s="268" t="s">
        <v>2634</v>
      </c>
      <c r="N300" s="278">
        <f>IFERROR(INDEX('Data Lokasi'!S:S,MATCH('Input Real Tanam&amp;Petik Nanas'!C300,'Data Lokasi'!C:C,0)),"")</f>
        <v>45241</v>
      </c>
      <c r="O300" s="278"/>
      <c r="P300" s="283">
        <f>IFERROR(INDEX('Data Lokasi'!V:V,MATCH(C300,'Data Lokasi'!C:C,0)),"")</f>
        <v>0</v>
      </c>
      <c r="Q300" s="304">
        <f t="shared" si="15"/>
        <v>0</v>
      </c>
      <c r="R300" s="308"/>
    </row>
    <row r="301" spans="2:18" ht="15" hidden="1" thickTop="1">
      <c r="B301" s="269">
        <v>46202</v>
      </c>
      <c r="C301" s="268" t="s">
        <v>650</v>
      </c>
      <c r="D301" s="274">
        <f>IFERROR(VLOOKUP(C301,'Data Lokasi'!C:D,2,0),"")</f>
        <v>8.02</v>
      </c>
      <c r="E301" s="274" t="s">
        <v>2642</v>
      </c>
      <c r="F301" s="274"/>
      <c r="G301" s="274"/>
      <c r="H301" s="274"/>
      <c r="I301" s="274">
        <v>0.09</v>
      </c>
      <c r="J301" s="456">
        <f t="shared" si="14"/>
        <v>0.09</v>
      </c>
      <c r="K301" s="583"/>
      <c r="L301" s="268" t="s">
        <v>2625</v>
      </c>
      <c r="M301" s="268" t="s">
        <v>2634</v>
      </c>
      <c r="N301" s="278">
        <f>IFERROR(INDEX('Data Lokasi'!S:S,MATCH('Input Real Tanam&amp;Petik Nanas'!C301,'Data Lokasi'!C:C,0)),"")</f>
        <v>44970</v>
      </c>
      <c r="O301" s="278"/>
      <c r="P301" s="283">
        <f>IFERROR(INDEX('Data Lokasi'!V:V,MATCH(C301,'Data Lokasi'!C:C,0)),"")</f>
        <v>0</v>
      </c>
      <c r="Q301" s="304">
        <f t="shared" si="15"/>
        <v>0</v>
      </c>
      <c r="R301" s="308"/>
    </row>
    <row r="302" spans="2:18" ht="15" hidden="1" thickTop="1">
      <c r="B302" s="269">
        <v>46202</v>
      </c>
      <c r="C302" s="268" t="s">
        <v>663</v>
      </c>
      <c r="D302" s="274">
        <f>IFERROR(VLOOKUP(C302,'Data Lokasi'!C:D,2,0),"")</f>
        <v>8.1300000000000008</v>
      </c>
      <c r="E302" s="274" t="s">
        <v>2642</v>
      </c>
      <c r="F302" s="274"/>
      <c r="G302" s="274">
        <v>0.05</v>
      </c>
      <c r="H302" s="274"/>
      <c r="I302" s="274"/>
      <c r="J302" s="456">
        <f t="shared" si="14"/>
        <v>0.05</v>
      </c>
      <c r="K302" s="583"/>
      <c r="L302" s="268" t="s">
        <v>719</v>
      </c>
      <c r="M302" s="268" t="s">
        <v>2634</v>
      </c>
      <c r="N302" s="278">
        <f>IFERROR(INDEX('Data Lokasi'!S:S,MATCH('Input Real Tanam&amp;Petik Nanas'!C302,'Data Lokasi'!C:C,0)),"")</f>
        <v>45009</v>
      </c>
      <c r="O302" s="278"/>
      <c r="P302" s="283">
        <f>IFERROR(INDEX('Data Lokasi'!V:V,MATCH(C302,'Data Lokasi'!C:C,0)),"")</f>
        <v>0</v>
      </c>
      <c r="Q302" s="304">
        <f t="shared" si="15"/>
        <v>0</v>
      </c>
      <c r="R302" s="308"/>
    </row>
    <row r="303" spans="2:18" ht="15" hidden="1" thickTop="1">
      <c r="B303" s="269">
        <v>46202</v>
      </c>
      <c r="C303" s="268" t="s">
        <v>689</v>
      </c>
      <c r="D303" s="274">
        <f>IFERROR(VLOOKUP(C303,'Data Lokasi'!C:D,2,0),"")</f>
        <v>7.2</v>
      </c>
      <c r="E303" s="274" t="s">
        <v>2642</v>
      </c>
      <c r="F303" s="274"/>
      <c r="G303" s="274"/>
      <c r="H303" s="274"/>
      <c r="I303" s="274">
        <v>0.78</v>
      </c>
      <c r="J303" s="456">
        <f t="shared" si="14"/>
        <v>0.78</v>
      </c>
      <c r="K303" s="583"/>
      <c r="L303" s="268" t="s">
        <v>2625</v>
      </c>
      <c r="M303" s="268" t="s">
        <v>2631</v>
      </c>
      <c r="N303" s="278">
        <f>IFERROR(INDEX('Data Lokasi'!S:S,MATCH('Input Real Tanam&amp;Petik Nanas'!C303,'Data Lokasi'!C:C,0)),"")</f>
        <v>45132</v>
      </c>
      <c r="O303" s="278"/>
      <c r="P303" s="283">
        <f>IFERROR(INDEX('Data Lokasi'!V:V,MATCH(C303,'Data Lokasi'!C:C,0)),"")</f>
        <v>0</v>
      </c>
      <c r="Q303" s="304">
        <f t="shared" si="15"/>
        <v>0</v>
      </c>
      <c r="R303" s="308"/>
    </row>
    <row r="304" spans="2:18" ht="15" hidden="1" thickTop="1">
      <c r="B304" s="269">
        <v>46202</v>
      </c>
      <c r="C304" s="268" t="s">
        <v>702</v>
      </c>
      <c r="D304" s="274">
        <f>IFERROR(VLOOKUP(C304,'Data Lokasi'!C:D,2,0),"")</f>
        <v>4.7</v>
      </c>
      <c r="E304" s="274" t="s">
        <v>2642</v>
      </c>
      <c r="F304" s="274"/>
      <c r="G304" s="274"/>
      <c r="H304" s="274"/>
      <c r="I304" s="274">
        <v>0.65</v>
      </c>
      <c r="J304" s="456">
        <f t="shared" si="14"/>
        <v>0.65</v>
      </c>
      <c r="K304" s="583"/>
      <c r="L304" s="268" t="s">
        <v>2625</v>
      </c>
      <c r="M304" s="268" t="s">
        <v>2631</v>
      </c>
      <c r="N304" s="278">
        <f>IFERROR(INDEX('Data Lokasi'!S:S,MATCH('Input Real Tanam&amp;Petik Nanas'!C304,'Data Lokasi'!C:C,0)),"")</f>
        <v>45190</v>
      </c>
      <c r="O304" s="278"/>
      <c r="P304" s="283">
        <f>IFERROR(INDEX('Data Lokasi'!V:V,MATCH(C304,'Data Lokasi'!C:C,0)),"")</f>
        <v>0</v>
      </c>
      <c r="Q304" s="304">
        <f t="shared" si="15"/>
        <v>0</v>
      </c>
      <c r="R304" s="308"/>
    </row>
    <row r="305" spans="2:18" ht="15" hidden="1" thickTop="1">
      <c r="B305" s="269">
        <v>46202</v>
      </c>
      <c r="C305" s="268" t="s">
        <v>2420</v>
      </c>
      <c r="D305" s="274">
        <f>IFERROR(VLOOKUP(C305,'Data Lokasi'!C:D,2,0),"")</f>
        <v>7.19</v>
      </c>
      <c r="E305" s="274" t="s">
        <v>2642</v>
      </c>
      <c r="F305" s="274"/>
      <c r="G305" s="274"/>
      <c r="H305" s="274">
        <v>0.33</v>
      </c>
      <c r="I305" s="274"/>
      <c r="J305" s="456">
        <f t="shared" si="14"/>
        <v>0.33</v>
      </c>
      <c r="K305" s="583"/>
      <c r="L305" s="268" t="s">
        <v>719</v>
      </c>
      <c r="M305" s="268" t="s">
        <v>2631</v>
      </c>
      <c r="N305" s="278">
        <f>IFERROR(INDEX('Data Lokasi'!S:S,MATCH('Input Real Tanam&amp;Petik Nanas'!C305,'Data Lokasi'!C:C,0)),"")</f>
        <v>46177</v>
      </c>
      <c r="O305" s="278"/>
      <c r="P305" s="283">
        <f>IFERROR(INDEX('Data Lokasi'!V:V,MATCH(C305,'Data Lokasi'!C:C,0)),"")</f>
        <v>0</v>
      </c>
      <c r="Q305" s="304">
        <f t="shared" si="15"/>
        <v>0</v>
      </c>
      <c r="R305" s="308"/>
    </row>
    <row r="306" spans="2:18" ht="15" hidden="1" thickTop="1">
      <c r="B306" s="269">
        <v>46202</v>
      </c>
      <c r="C306" s="268" t="s">
        <v>685</v>
      </c>
      <c r="D306" s="274">
        <f>IFERROR(VLOOKUP(C306,'Data Lokasi'!C:D,2,0),"")</f>
        <v>5.82</v>
      </c>
      <c r="E306" s="274" t="s">
        <v>2642</v>
      </c>
      <c r="F306" s="274"/>
      <c r="G306" s="274"/>
      <c r="H306" s="274"/>
      <c r="I306" s="274">
        <v>1.4</v>
      </c>
      <c r="J306" s="456">
        <f t="shared" si="14"/>
        <v>1.4</v>
      </c>
      <c r="K306" s="583"/>
      <c r="L306" s="268" t="s">
        <v>2625</v>
      </c>
      <c r="M306" s="268" t="s">
        <v>2631</v>
      </c>
      <c r="N306" s="278">
        <f>IFERROR(INDEX('Data Lokasi'!S:S,MATCH('Input Real Tanam&amp;Petik Nanas'!C306,'Data Lokasi'!C:C,0)),"")</f>
        <v>45117</v>
      </c>
      <c r="O306" s="278"/>
      <c r="P306" s="283">
        <f>IFERROR(INDEX('Data Lokasi'!V:V,MATCH(C306,'Data Lokasi'!C:C,0)),"")</f>
        <v>0</v>
      </c>
      <c r="Q306" s="304">
        <f t="shared" si="15"/>
        <v>0</v>
      </c>
      <c r="R306" s="308"/>
    </row>
    <row r="307" spans="2:18" ht="15" hidden="1" thickTop="1">
      <c r="B307" s="269">
        <v>46202</v>
      </c>
      <c r="C307" s="268" t="s">
        <v>106</v>
      </c>
      <c r="D307" s="274">
        <f>IFERROR(VLOOKUP(C307,'Data Lokasi'!C:D,2,0),"")</f>
        <v>3.86</v>
      </c>
      <c r="E307" s="274" t="s">
        <v>2642</v>
      </c>
      <c r="F307" s="274"/>
      <c r="G307" s="274"/>
      <c r="H307" s="274"/>
      <c r="I307" s="274">
        <v>0.15</v>
      </c>
      <c r="J307" s="456">
        <f t="shared" si="14"/>
        <v>0.15</v>
      </c>
      <c r="K307" s="583"/>
      <c r="L307" s="268" t="s">
        <v>2625</v>
      </c>
      <c r="M307" s="268" t="s">
        <v>2631</v>
      </c>
      <c r="N307" s="278">
        <f>IFERROR(INDEX('Data Lokasi'!S:S,MATCH('Input Real Tanam&amp;Petik Nanas'!C307,'Data Lokasi'!C:C,0)),"")</f>
        <v>45241</v>
      </c>
      <c r="O307" s="278"/>
      <c r="P307" s="283">
        <f>IFERROR(INDEX('Data Lokasi'!V:V,MATCH(C307,'Data Lokasi'!C:C,0)),"")</f>
        <v>0</v>
      </c>
      <c r="Q307" s="304">
        <f t="shared" si="15"/>
        <v>0</v>
      </c>
      <c r="R307" s="308"/>
    </row>
    <row r="308" spans="2:18" ht="15" hidden="1" thickTop="1">
      <c r="B308" s="269">
        <v>46202</v>
      </c>
      <c r="C308" s="268" t="s">
        <v>425</v>
      </c>
      <c r="D308" s="274">
        <f>IFERROR(VLOOKUP(C308,'Data Lokasi'!C:D,2,0),"")</f>
        <v>8.85</v>
      </c>
      <c r="E308" s="274" t="s">
        <v>2643</v>
      </c>
      <c r="F308" s="274">
        <v>1E-3</v>
      </c>
      <c r="G308" s="274">
        <v>7.0000000000000001E-3</v>
      </c>
      <c r="H308" s="274">
        <v>8.0000000000000002E-3</v>
      </c>
      <c r="I308" s="274"/>
      <c r="J308" s="456">
        <f t="shared" si="14"/>
        <v>1.6E-2</v>
      </c>
      <c r="K308" s="583"/>
      <c r="L308" s="268" t="s">
        <v>719</v>
      </c>
      <c r="M308" s="268" t="s">
        <v>2631</v>
      </c>
      <c r="N308" s="278">
        <f>IFERROR(INDEX('Data Lokasi'!S:S,MATCH('Input Real Tanam&amp;Petik Nanas'!C308,'Data Lokasi'!C:C,0)),"")</f>
        <v>44389</v>
      </c>
      <c r="O308" s="278"/>
      <c r="P308" s="283">
        <f>IFERROR(INDEX('Data Lokasi'!V:V,MATCH(C308,'Data Lokasi'!C:C,0)),"")</f>
        <v>0</v>
      </c>
      <c r="Q308" s="304">
        <f t="shared" si="15"/>
        <v>0</v>
      </c>
      <c r="R308" s="308">
        <v>3</v>
      </c>
    </row>
    <row r="309" spans="2:18" ht="15" hidden="1" thickTop="1">
      <c r="B309" s="269">
        <v>46202</v>
      </c>
      <c r="C309" s="268" t="s">
        <v>2548</v>
      </c>
      <c r="D309" s="274">
        <f>IFERROR(VLOOKUP(C309,'Data Lokasi'!C:D,2,0),"")</f>
        <v>6.83</v>
      </c>
      <c r="E309" s="274" t="s">
        <v>2643</v>
      </c>
      <c r="F309" s="274"/>
      <c r="G309" s="274"/>
      <c r="H309" s="274"/>
      <c r="I309" s="274">
        <v>0.3</v>
      </c>
      <c r="J309" s="456">
        <f t="shared" si="14"/>
        <v>0.3</v>
      </c>
      <c r="K309" s="583"/>
      <c r="L309" s="268" t="s">
        <v>2625</v>
      </c>
      <c r="M309" s="268" t="s">
        <v>2631</v>
      </c>
      <c r="N309" s="278">
        <f>IFERROR(INDEX('Data Lokasi'!S:S,MATCH('Input Real Tanam&amp;Petik Nanas'!C309,'Data Lokasi'!C:C,0)),"")</f>
        <v>45600</v>
      </c>
      <c r="O309" s="278"/>
      <c r="P309" s="283">
        <f>IFERROR(INDEX('Data Lokasi'!V:V,MATCH(C309,'Data Lokasi'!C:C,0)),"")</f>
        <v>0</v>
      </c>
      <c r="Q309" s="304">
        <f t="shared" si="15"/>
        <v>0</v>
      </c>
      <c r="R309" s="308"/>
    </row>
    <row r="310" spans="2:18" ht="15" hidden="1" thickTop="1">
      <c r="B310" s="269">
        <v>46202</v>
      </c>
      <c r="C310" s="268" t="s">
        <v>494</v>
      </c>
      <c r="D310" s="274">
        <f>IFERROR(VLOOKUP(C310,'Data Lokasi'!C:D,2,0),"")</f>
        <v>9.68</v>
      </c>
      <c r="E310" s="274" t="s">
        <v>2643</v>
      </c>
      <c r="F310" s="274"/>
      <c r="G310" s="274"/>
      <c r="H310" s="274"/>
      <c r="I310" s="274">
        <v>1.46</v>
      </c>
      <c r="J310" s="456">
        <f t="shared" si="14"/>
        <v>1.46</v>
      </c>
      <c r="K310" s="583"/>
      <c r="L310" s="268" t="s">
        <v>2625</v>
      </c>
      <c r="M310" s="268" t="s">
        <v>2631</v>
      </c>
      <c r="N310" s="278">
        <f>IFERROR(INDEX('Data Lokasi'!S:S,MATCH('Input Real Tanam&amp;Petik Nanas'!C310,'Data Lokasi'!C:C,0)),"")</f>
        <v>44564</v>
      </c>
      <c r="O310" s="278"/>
      <c r="P310" s="283">
        <f>IFERROR(INDEX('Data Lokasi'!V:V,MATCH(C310,'Data Lokasi'!C:C,0)),"")</f>
        <v>0</v>
      </c>
      <c r="Q310" s="304">
        <f t="shared" si="15"/>
        <v>0</v>
      </c>
      <c r="R310" s="308"/>
    </row>
    <row r="311" spans="2:18" ht="15" hidden="1" thickTop="1">
      <c r="B311" s="269">
        <v>46202</v>
      </c>
      <c r="C311" s="268" t="s">
        <v>470</v>
      </c>
      <c r="D311" s="274">
        <f>IFERROR(VLOOKUP(C311,'Data Lokasi'!C:D,2,0),"")</f>
        <v>9.4600000000000009</v>
      </c>
      <c r="E311" s="274" t="s">
        <v>2643</v>
      </c>
      <c r="F311" s="274"/>
      <c r="G311" s="274"/>
      <c r="H311" s="274"/>
      <c r="I311" s="274">
        <v>2.29</v>
      </c>
      <c r="J311" s="456">
        <f t="shared" si="14"/>
        <v>2.29</v>
      </c>
      <c r="K311" s="583"/>
      <c r="L311" s="268" t="s">
        <v>2625</v>
      </c>
      <c r="M311" s="268" t="s">
        <v>2634</v>
      </c>
      <c r="N311" s="278">
        <f>IFERROR(INDEX('Data Lokasi'!S:S,MATCH('Input Real Tanam&amp;Petik Nanas'!C311,'Data Lokasi'!C:C,0)),"")</f>
        <v>44488</v>
      </c>
      <c r="O311" s="278"/>
      <c r="P311" s="283">
        <f>IFERROR(INDEX('Data Lokasi'!V:V,MATCH(C311,'Data Lokasi'!C:C,0)),"")</f>
        <v>0</v>
      </c>
      <c r="Q311" s="304">
        <f t="shared" si="15"/>
        <v>0</v>
      </c>
      <c r="R311" s="308"/>
    </row>
    <row r="312" spans="2:18" ht="15" hidden="1" thickTop="1">
      <c r="B312" s="269">
        <v>46202</v>
      </c>
      <c r="C312" s="268" t="s">
        <v>432</v>
      </c>
      <c r="D312" s="274">
        <f>IFERROR(VLOOKUP(C312,'Data Lokasi'!C:D,2,0),"")</f>
        <v>9.9</v>
      </c>
      <c r="E312" s="274" t="s">
        <v>2643</v>
      </c>
      <c r="F312" s="274"/>
      <c r="G312" s="274"/>
      <c r="H312" s="274">
        <f>0.07+0.2</f>
        <v>0.27</v>
      </c>
      <c r="I312" s="274"/>
      <c r="J312" s="456">
        <f t="shared" si="14"/>
        <v>0.27</v>
      </c>
      <c r="K312" s="583"/>
      <c r="L312" s="268" t="s">
        <v>719</v>
      </c>
      <c r="M312" s="268" t="s">
        <v>2634</v>
      </c>
      <c r="N312" s="278">
        <f>IFERROR(INDEX('Data Lokasi'!S:S,MATCH('Input Real Tanam&amp;Petik Nanas'!C312,'Data Lokasi'!C:C,0)),"")</f>
        <v>44394</v>
      </c>
      <c r="O312" s="278"/>
      <c r="P312" s="283">
        <f>IFERROR(INDEX('Data Lokasi'!V:V,MATCH(C312,'Data Lokasi'!C:C,0)),"")</f>
        <v>0</v>
      </c>
      <c r="Q312" s="304">
        <f t="shared" si="15"/>
        <v>0</v>
      </c>
      <c r="R312" s="308">
        <v>1</v>
      </c>
    </row>
    <row r="313" spans="2:18" ht="15" hidden="1" thickTop="1">
      <c r="B313" s="269">
        <v>46202</v>
      </c>
      <c r="C313" s="268" t="s">
        <v>428</v>
      </c>
      <c r="D313" s="274">
        <f>IFERROR(VLOOKUP(C313,'Data Lokasi'!C:D,2,0),"")</f>
        <v>8.6999999999999993</v>
      </c>
      <c r="E313" s="274" t="s">
        <v>2643</v>
      </c>
      <c r="F313" s="274"/>
      <c r="G313" s="274">
        <v>0.01</v>
      </c>
      <c r="H313" s="274">
        <v>0.08</v>
      </c>
      <c r="I313" s="274"/>
      <c r="J313" s="456">
        <f t="shared" si="14"/>
        <v>0.09</v>
      </c>
      <c r="K313" s="583"/>
      <c r="L313" s="268" t="s">
        <v>719</v>
      </c>
      <c r="M313" s="268" t="s">
        <v>2634</v>
      </c>
      <c r="N313" s="278">
        <f>IFERROR(INDEX('Data Lokasi'!S:S,MATCH('Input Real Tanam&amp;Petik Nanas'!C313,'Data Lokasi'!C:C,0)),"")</f>
        <v>44386</v>
      </c>
      <c r="O313" s="278"/>
      <c r="P313" s="283">
        <f>IFERROR(INDEX('Data Lokasi'!V:V,MATCH(C313,'Data Lokasi'!C:C,0)),"")</f>
        <v>0</v>
      </c>
      <c r="Q313" s="304">
        <f t="shared" si="15"/>
        <v>0</v>
      </c>
      <c r="R313" s="308">
        <v>1</v>
      </c>
    </row>
    <row r="314" spans="2:18" ht="15" hidden="1" thickTop="1">
      <c r="B314" s="269">
        <v>46202</v>
      </c>
      <c r="C314" s="268" t="s">
        <v>360</v>
      </c>
      <c r="D314" s="274">
        <f>IFERROR(VLOOKUP(C314,'Data Lokasi'!C:D,2,0),"")</f>
        <v>10.66</v>
      </c>
      <c r="E314" s="274" t="s">
        <v>2643</v>
      </c>
      <c r="F314" s="274"/>
      <c r="G314" s="274">
        <v>0.06</v>
      </c>
      <c r="H314" s="274">
        <f>0.12+0.21</f>
        <v>0.32999999999999996</v>
      </c>
      <c r="I314" s="274"/>
      <c r="J314" s="456">
        <f t="shared" si="14"/>
        <v>0.38999999999999996</v>
      </c>
      <c r="K314" s="583"/>
      <c r="L314" s="268" t="s">
        <v>719</v>
      </c>
      <c r="M314" s="268" t="s">
        <v>2631</v>
      </c>
      <c r="N314" s="278">
        <f>IFERROR(INDEX('Data Lokasi'!S:S,MATCH('Input Real Tanam&amp;Petik Nanas'!C314,'Data Lokasi'!C:C,0)),"")</f>
        <v>44300</v>
      </c>
      <c r="O314" s="278"/>
      <c r="P314" s="283">
        <f>IFERROR(INDEX('Data Lokasi'!V:V,MATCH(C314,'Data Lokasi'!C:C,0)),"")</f>
        <v>0</v>
      </c>
      <c r="Q314" s="304">
        <f t="shared" si="15"/>
        <v>0</v>
      </c>
      <c r="R314" s="308">
        <v>5</v>
      </c>
    </row>
    <row r="315" spans="2:18" ht="15" hidden="1" thickTop="1">
      <c r="B315" s="269">
        <v>46202</v>
      </c>
      <c r="C315" s="268" t="s">
        <v>2542</v>
      </c>
      <c r="D315" s="274">
        <f>IFERROR(VLOOKUP(C315,'Data Lokasi'!C:D,2,0),"")</f>
        <v>0.6</v>
      </c>
      <c r="E315" s="274" t="s">
        <v>2643</v>
      </c>
      <c r="F315" s="274"/>
      <c r="G315" s="274"/>
      <c r="H315" s="274">
        <v>0.14000000000000001</v>
      </c>
      <c r="I315" s="274"/>
      <c r="J315" s="456">
        <f t="shared" si="14"/>
        <v>0.14000000000000001</v>
      </c>
      <c r="K315" s="583"/>
      <c r="L315" s="268" t="s">
        <v>719</v>
      </c>
      <c r="M315" s="268" t="s">
        <v>2634</v>
      </c>
      <c r="N315" s="278">
        <f>IFERROR(INDEX('Data Lokasi'!S:S,MATCH('Input Real Tanam&amp;Petik Nanas'!C315,'Data Lokasi'!C:C,0)),"")</f>
        <v>45431</v>
      </c>
      <c r="O315" s="278"/>
      <c r="P315" s="283">
        <f>IFERROR(INDEX('Data Lokasi'!V:V,MATCH(C315,'Data Lokasi'!C:C,0)),"")</f>
        <v>0</v>
      </c>
      <c r="Q315" s="304">
        <f t="shared" si="15"/>
        <v>0</v>
      </c>
      <c r="R315" s="308">
        <v>5</v>
      </c>
    </row>
    <row r="316" spans="2:18" ht="15" hidden="1" thickTop="1">
      <c r="B316" s="269">
        <v>46203</v>
      </c>
      <c r="C316" s="268" t="s">
        <v>106</v>
      </c>
      <c r="D316" s="274">
        <f>IFERROR(VLOOKUP(C316,'Data Lokasi'!C:D,2,0),"")</f>
        <v>3.86</v>
      </c>
      <c r="E316" s="274" t="s">
        <v>2642</v>
      </c>
      <c r="F316" s="274"/>
      <c r="G316" s="274"/>
      <c r="H316" s="274"/>
      <c r="I316" s="274">
        <v>0.45</v>
      </c>
      <c r="J316" s="456">
        <f t="shared" si="14"/>
        <v>0.45</v>
      </c>
      <c r="K316" s="583"/>
      <c r="L316" s="268" t="s">
        <v>2625</v>
      </c>
      <c r="M316" s="268" t="s">
        <v>2631</v>
      </c>
      <c r="N316" s="278">
        <f>IFERROR(INDEX('Data Lokasi'!S:S,MATCH('Input Real Tanam&amp;Petik Nanas'!C316,'Data Lokasi'!C:C,0)),"")</f>
        <v>45241</v>
      </c>
      <c r="O316" s="278"/>
      <c r="P316" s="283">
        <f>IFERROR(INDEX('Data Lokasi'!V:V,MATCH(C316,'Data Lokasi'!C:C,0)),"")</f>
        <v>0</v>
      </c>
      <c r="Q316" s="304">
        <f t="shared" si="15"/>
        <v>0</v>
      </c>
      <c r="R316" s="308"/>
    </row>
    <row r="317" spans="2:18" ht="15" hidden="1" thickTop="1">
      <c r="B317" s="269">
        <v>46203</v>
      </c>
      <c r="C317" s="268" t="s">
        <v>688</v>
      </c>
      <c r="D317" s="274">
        <f>IFERROR(VLOOKUP(C317,'Data Lokasi'!C:D,2,0),"")</f>
        <v>7.73</v>
      </c>
      <c r="E317" s="274" t="s">
        <v>2642</v>
      </c>
      <c r="F317" s="274"/>
      <c r="G317" s="274"/>
      <c r="H317" s="274"/>
      <c r="I317" s="274">
        <v>1.1599999999999999</v>
      </c>
      <c r="J317" s="456">
        <f t="shared" si="14"/>
        <v>1.1599999999999999</v>
      </c>
      <c r="K317" s="583"/>
      <c r="L317" s="268" t="s">
        <v>2625</v>
      </c>
      <c r="M317" s="268" t="s">
        <v>2631</v>
      </c>
      <c r="N317" s="278">
        <f>IFERROR(INDEX('Data Lokasi'!S:S,MATCH('Input Real Tanam&amp;Petik Nanas'!C317,'Data Lokasi'!C:C,0)),"")</f>
        <v>45119</v>
      </c>
      <c r="O317" s="278"/>
      <c r="P317" s="283">
        <f>IFERROR(INDEX('Data Lokasi'!V:V,MATCH(C317,'Data Lokasi'!C:C,0)),"")</f>
        <v>0</v>
      </c>
      <c r="Q317" s="304">
        <f t="shared" si="15"/>
        <v>0</v>
      </c>
      <c r="R317" s="308"/>
    </row>
    <row r="318" spans="2:18" ht="15" hidden="1" thickTop="1">
      <c r="B318" s="269">
        <v>46203</v>
      </c>
      <c r="C318" s="268" t="s">
        <v>685</v>
      </c>
      <c r="D318" s="274">
        <f>IFERROR(VLOOKUP(C318,'Data Lokasi'!C:D,2,0),"")</f>
        <v>5.82</v>
      </c>
      <c r="E318" s="274" t="s">
        <v>2642</v>
      </c>
      <c r="F318" s="274"/>
      <c r="G318" s="274"/>
      <c r="H318" s="274"/>
      <c r="I318" s="274">
        <v>0.93</v>
      </c>
      <c r="J318" s="456">
        <f t="shared" si="14"/>
        <v>0.93</v>
      </c>
      <c r="K318" s="583"/>
      <c r="L318" s="268" t="s">
        <v>2625</v>
      </c>
      <c r="M318" s="268" t="s">
        <v>2631</v>
      </c>
      <c r="N318" s="278">
        <f>IFERROR(INDEX('Data Lokasi'!S:S,MATCH('Input Real Tanam&amp;Petik Nanas'!C318,'Data Lokasi'!C:C,0)),"")</f>
        <v>45117</v>
      </c>
      <c r="O318" s="278"/>
      <c r="P318" s="283">
        <f>IFERROR(INDEX('Data Lokasi'!V:V,MATCH(C318,'Data Lokasi'!C:C,0)),"")</f>
        <v>0</v>
      </c>
      <c r="Q318" s="304">
        <f t="shared" si="15"/>
        <v>0</v>
      </c>
      <c r="R318" s="308"/>
    </row>
    <row r="319" spans="2:18" ht="15" hidden="1" thickTop="1">
      <c r="B319" s="269">
        <v>46203</v>
      </c>
      <c r="C319" s="268" t="s">
        <v>232</v>
      </c>
      <c r="D319" s="274">
        <f>IFERROR(VLOOKUP(C319,'Data Lokasi'!C:D,2,0),"")</f>
        <v>8.7799999999999994</v>
      </c>
      <c r="E319" s="274" t="s">
        <v>2642</v>
      </c>
      <c r="F319" s="274"/>
      <c r="G319" s="274"/>
      <c r="H319" s="274"/>
      <c r="I319" s="274">
        <v>0.13</v>
      </c>
      <c r="J319" s="456">
        <f t="shared" si="14"/>
        <v>0.13</v>
      </c>
      <c r="K319" s="583"/>
      <c r="L319" s="268" t="s">
        <v>2625</v>
      </c>
      <c r="M319" s="268" t="s">
        <v>2631</v>
      </c>
      <c r="N319" s="278">
        <f>IFERROR(INDEX('Data Lokasi'!S:S,MATCH('Input Real Tanam&amp;Petik Nanas'!C319,'Data Lokasi'!C:C,0)),"")</f>
        <v>44022</v>
      </c>
      <c r="O319" s="278"/>
      <c r="P319" s="283">
        <f>IFERROR(INDEX('Data Lokasi'!V:V,MATCH(C319,'Data Lokasi'!C:C,0)),"")</f>
        <v>0</v>
      </c>
      <c r="Q319" s="304">
        <f t="shared" si="15"/>
        <v>0</v>
      </c>
      <c r="R319" s="308"/>
    </row>
    <row r="320" spans="2:18" ht="15" hidden="1" thickTop="1">
      <c r="B320" s="269">
        <v>46203</v>
      </c>
      <c r="C320" s="268" t="s">
        <v>671</v>
      </c>
      <c r="D320" s="274">
        <f>IFERROR(VLOOKUP(C320,'Data Lokasi'!C:D,2,0),"")</f>
        <v>7.82</v>
      </c>
      <c r="E320" s="274" t="s">
        <v>2642</v>
      </c>
      <c r="F320" s="274"/>
      <c r="G320" s="274"/>
      <c r="H320" s="274"/>
      <c r="I320" s="274">
        <v>0.12</v>
      </c>
      <c r="J320" s="456">
        <f t="shared" si="14"/>
        <v>0.12</v>
      </c>
      <c r="K320" s="583"/>
      <c r="L320" s="268" t="s">
        <v>2625</v>
      </c>
      <c r="M320" s="268" t="s">
        <v>2631</v>
      </c>
      <c r="N320" s="278">
        <f>IFERROR(INDEX('Data Lokasi'!S:S,MATCH('Input Real Tanam&amp;Petik Nanas'!C320,'Data Lokasi'!C:C,0)),"")</f>
        <v>45067</v>
      </c>
      <c r="O320" s="278"/>
      <c r="P320" s="283">
        <f>IFERROR(INDEX('Data Lokasi'!V:V,MATCH(C320,'Data Lokasi'!C:C,0)),"")</f>
        <v>0</v>
      </c>
      <c r="Q320" s="304">
        <f t="shared" si="15"/>
        <v>0</v>
      </c>
      <c r="R320" s="308"/>
    </row>
    <row r="321" spans="2:18" ht="15" hidden="1" thickTop="1">
      <c r="B321" s="269">
        <v>46203</v>
      </c>
      <c r="C321" s="268" t="s">
        <v>620</v>
      </c>
      <c r="D321" s="274">
        <f>IFERROR(VLOOKUP(C321,'Data Lokasi'!C:D,2,0),"")</f>
        <v>5.59</v>
      </c>
      <c r="E321" s="274" t="s">
        <v>2642</v>
      </c>
      <c r="F321" s="274"/>
      <c r="G321" s="274"/>
      <c r="H321" s="274"/>
      <c r="I321" s="274">
        <v>0.32</v>
      </c>
      <c r="J321" s="456">
        <f t="shared" si="14"/>
        <v>0.32</v>
      </c>
      <c r="K321" s="583"/>
      <c r="L321" s="268" t="s">
        <v>2625</v>
      </c>
      <c r="M321" s="268" t="s">
        <v>2631</v>
      </c>
      <c r="N321" s="278">
        <f>IFERROR(INDEX('Data Lokasi'!S:S,MATCH('Input Real Tanam&amp;Petik Nanas'!C321,'Data Lokasi'!C:C,0)),"")</f>
        <v>44859</v>
      </c>
      <c r="O321" s="278"/>
      <c r="P321" s="283">
        <f>IFERROR(INDEX('Data Lokasi'!V:V,MATCH(C321,'Data Lokasi'!C:C,0)),"")</f>
        <v>0</v>
      </c>
      <c r="Q321" s="304">
        <f t="shared" si="15"/>
        <v>0</v>
      </c>
      <c r="R321" s="308"/>
    </row>
    <row r="322" spans="2:18" ht="15" hidden="1" thickTop="1">
      <c r="B322" s="269">
        <v>46203</v>
      </c>
      <c r="C322" s="268" t="s">
        <v>689</v>
      </c>
      <c r="D322" s="274">
        <f>IFERROR(VLOOKUP(C322,'Data Lokasi'!C:D,2,0),"")</f>
        <v>7.2</v>
      </c>
      <c r="E322" s="274" t="s">
        <v>2642</v>
      </c>
      <c r="F322" s="274"/>
      <c r="G322" s="274"/>
      <c r="H322" s="274"/>
      <c r="I322" s="274">
        <v>0.17</v>
      </c>
      <c r="J322" s="456">
        <f t="shared" ref="J322:J386" si="16">IF(SUM(F322:I322)=0,"",(SUM(F322:I322)))</f>
        <v>0.17</v>
      </c>
      <c r="K322" s="583"/>
      <c r="L322" s="268" t="s">
        <v>2625</v>
      </c>
      <c r="M322" s="268" t="s">
        <v>2631</v>
      </c>
      <c r="N322" s="278">
        <f>IFERROR(INDEX('Data Lokasi'!S:S,MATCH('Input Real Tanam&amp;Petik Nanas'!C322,'Data Lokasi'!C:C,0)),"")</f>
        <v>45132</v>
      </c>
      <c r="O322" s="278"/>
      <c r="P322" s="283">
        <f>IFERROR(INDEX('Data Lokasi'!V:V,MATCH(C322,'Data Lokasi'!C:C,0)),"")</f>
        <v>0</v>
      </c>
      <c r="Q322" s="304">
        <f t="shared" ref="Q322:Q386" si="17">IF(ISERROR(P322/D322),"",(P322/D322))</f>
        <v>0</v>
      </c>
      <c r="R322" s="308"/>
    </row>
    <row r="323" spans="2:18" ht="15" hidden="1" thickTop="1">
      <c r="B323" s="269">
        <v>46203</v>
      </c>
      <c r="C323" s="268" t="s">
        <v>702</v>
      </c>
      <c r="D323" s="274">
        <f>IFERROR(VLOOKUP(C323,'Data Lokasi'!C:D,2,0),"")</f>
        <v>4.7</v>
      </c>
      <c r="E323" s="274" t="s">
        <v>2642</v>
      </c>
      <c r="F323" s="274"/>
      <c r="G323" s="274"/>
      <c r="H323" s="274">
        <v>0.08</v>
      </c>
      <c r="I323" s="274"/>
      <c r="J323" s="456">
        <f t="shared" si="16"/>
        <v>0.08</v>
      </c>
      <c r="K323" s="583"/>
      <c r="L323" s="268" t="s">
        <v>719</v>
      </c>
      <c r="M323" s="268" t="s">
        <v>2631</v>
      </c>
      <c r="N323" s="278">
        <f>IFERROR(INDEX('Data Lokasi'!S:S,MATCH('Input Real Tanam&amp;Petik Nanas'!C323,'Data Lokasi'!C:C,0)),"")</f>
        <v>45190</v>
      </c>
      <c r="O323" s="278"/>
      <c r="P323" s="283">
        <f>IFERROR(INDEX('Data Lokasi'!V:V,MATCH(C323,'Data Lokasi'!C:C,0)),"")</f>
        <v>0</v>
      </c>
      <c r="Q323" s="304">
        <f t="shared" si="17"/>
        <v>0</v>
      </c>
      <c r="R323" s="308"/>
    </row>
    <row r="324" spans="2:18" ht="15" hidden="1" thickTop="1">
      <c r="B324" s="269">
        <v>46203</v>
      </c>
      <c r="C324" s="268" t="s">
        <v>2420</v>
      </c>
      <c r="D324" s="274">
        <f>IFERROR(VLOOKUP(C324,'Data Lokasi'!C:D,2,0),"")</f>
        <v>7.19</v>
      </c>
      <c r="E324" s="274" t="s">
        <v>2642</v>
      </c>
      <c r="F324" s="274"/>
      <c r="G324" s="274"/>
      <c r="H324" s="274">
        <v>0.39</v>
      </c>
      <c r="I324" s="274"/>
      <c r="J324" s="456">
        <f t="shared" si="16"/>
        <v>0.39</v>
      </c>
      <c r="K324" s="583"/>
      <c r="L324" s="268" t="s">
        <v>719</v>
      </c>
      <c r="M324" s="268" t="s">
        <v>2631</v>
      </c>
      <c r="N324" s="278">
        <f>IFERROR(INDEX('Data Lokasi'!S:S,MATCH('Input Real Tanam&amp;Petik Nanas'!C324,'Data Lokasi'!C:C,0)),"")</f>
        <v>46177</v>
      </c>
      <c r="O324" s="278"/>
      <c r="P324" s="283">
        <f>IFERROR(INDEX('Data Lokasi'!V:V,MATCH(C324,'Data Lokasi'!C:C,0)),"")</f>
        <v>0</v>
      </c>
      <c r="Q324" s="304">
        <f t="shared" si="17"/>
        <v>0</v>
      </c>
      <c r="R324" s="308"/>
    </row>
    <row r="325" spans="2:18" ht="15" hidden="1" thickTop="1">
      <c r="B325" s="269">
        <v>46203</v>
      </c>
      <c r="C325" s="268" t="s">
        <v>2621</v>
      </c>
      <c r="D325" s="274">
        <f>IFERROR(VLOOKUP(C325,'Data Lokasi'!C:D,2,0),"")</f>
        <v>2</v>
      </c>
      <c r="E325" s="274" t="s">
        <v>2642</v>
      </c>
      <c r="F325" s="274"/>
      <c r="G325" s="274"/>
      <c r="H325" s="274"/>
      <c r="I325" s="274">
        <v>0.02</v>
      </c>
      <c r="J325" s="456">
        <f t="shared" si="16"/>
        <v>0.02</v>
      </c>
      <c r="K325" s="583"/>
      <c r="L325" s="268" t="s">
        <v>719</v>
      </c>
      <c r="M325" s="268" t="s">
        <v>2631</v>
      </c>
      <c r="N325" s="278">
        <f>IFERROR(INDEX('Data Lokasi'!S:S,MATCH('Input Real Tanam&amp;Petik Nanas'!C325,'Data Lokasi'!C:C,0)),"")</f>
        <v>46175</v>
      </c>
      <c r="O325" s="278"/>
      <c r="P325" s="283">
        <f>IFERROR(INDEX('Data Lokasi'!V:V,MATCH(C325,'Data Lokasi'!C:C,0)),"")</f>
        <v>0</v>
      </c>
      <c r="Q325" s="304">
        <f t="shared" si="17"/>
        <v>0</v>
      </c>
      <c r="R325" s="308"/>
    </row>
    <row r="326" spans="2:18" ht="15" hidden="1" thickTop="1">
      <c r="B326" s="269">
        <v>46203</v>
      </c>
      <c r="C326" s="268" t="s">
        <v>682</v>
      </c>
      <c r="D326" s="274">
        <f>IFERROR(VLOOKUP(C326,'Data Lokasi'!C:D,2,0),"")</f>
        <v>6.22</v>
      </c>
      <c r="E326" s="274" t="s">
        <v>2642</v>
      </c>
      <c r="F326" s="274"/>
      <c r="G326" s="274"/>
      <c r="H326" s="274"/>
      <c r="I326" s="274">
        <v>0.04</v>
      </c>
      <c r="J326" s="456">
        <f t="shared" si="16"/>
        <v>0.04</v>
      </c>
      <c r="K326" s="583"/>
      <c r="L326" s="268" t="s">
        <v>2625</v>
      </c>
      <c r="M326" s="268" t="s">
        <v>2631</v>
      </c>
      <c r="N326" s="278">
        <f>IFERROR(INDEX('Data Lokasi'!S:S,MATCH('Input Real Tanam&amp;Petik Nanas'!C326,'Data Lokasi'!C:C,0)),"")</f>
        <v>45092</v>
      </c>
      <c r="O326" s="278"/>
      <c r="P326" s="283">
        <f>IFERROR(INDEX('Data Lokasi'!V:V,MATCH(C326,'Data Lokasi'!C:C,0)),"")</f>
        <v>0</v>
      </c>
      <c r="Q326" s="304">
        <f t="shared" si="17"/>
        <v>0</v>
      </c>
      <c r="R326" s="308"/>
    </row>
    <row r="327" spans="2:18" ht="15" hidden="1" thickTop="1">
      <c r="B327" s="269">
        <v>46203</v>
      </c>
      <c r="C327" s="268" t="s">
        <v>652</v>
      </c>
      <c r="D327" s="274">
        <f>IFERROR(VLOOKUP(C327,'Data Lokasi'!C:D,2,0),"")</f>
        <v>5.0599999999999996</v>
      </c>
      <c r="E327" s="274" t="s">
        <v>2642</v>
      </c>
      <c r="F327" s="274"/>
      <c r="G327" s="274"/>
      <c r="H327" s="274"/>
      <c r="I327" s="274">
        <v>0.03</v>
      </c>
      <c r="J327" s="456">
        <f t="shared" si="16"/>
        <v>0.03</v>
      </c>
      <c r="K327" s="583"/>
      <c r="L327" s="268" t="s">
        <v>2625</v>
      </c>
      <c r="M327" s="268" t="s">
        <v>2631</v>
      </c>
      <c r="N327" s="278">
        <f>IFERROR(INDEX('Data Lokasi'!S:S,MATCH('Input Real Tanam&amp;Petik Nanas'!C327,'Data Lokasi'!C:C,0)),"")</f>
        <v>45002</v>
      </c>
      <c r="O327" s="278"/>
      <c r="P327" s="283">
        <f>IFERROR(INDEX('Data Lokasi'!V:V,MATCH(C327,'Data Lokasi'!C:C,0)),"")</f>
        <v>0</v>
      </c>
      <c r="Q327" s="304">
        <f t="shared" si="17"/>
        <v>0</v>
      </c>
      <c r="R327" s="308"/>
    </row>
    <row r="328" spans="2:18" ht="15" hidden="1" thickTop="1">
      <c r="B328" s="269">
        <v>46203</v>
      </c>
      <c r="C328" s="268" t="s">
        <v>658</v>
      </c>
      <c r="D328" s="274">
        <f>IFERROR(VLOOKUP(C328,'Data Lokasi'!C:D,2,0),"")</f>
        <v>7.35</v>
      </c>
      <c r="E328" s="274" t="s">
        <v>2642</v>
      </c>
      <c r="F328" s="274"/>
      <c r="G328" s="274"/>
      <c r="H328" s="274"/>
      <c r="I328" s="274">
        <v>0.03</v>
      </c>
      <c r="J328" s="456">
        <f t="shared" si="16"/>
        <v>0.03</v>
      </c>
      <c r="K328" s="583"/>
      <c r="L328" s="268" t="s">
        <v>2625</v>
      </c>
      <c r="M328" s="268" t="s">
        <v>2631</v>
      </c>
      <c r="N328" s="278">
        <f>IFERROR(INDEX('Data Lokasi'!S:S,MATCH('Input Real Tanam&amp;Petik Nanas'!C328,'Data Lokasi'!C:C,0)),"")</f>
        <v>44995</v>
      </c>
      <c r="O328" s="278"/>
      <c r="P328" s="283">
        <f>IFERROR(INDEX('Data Lokasi'!V:V,MATCH(C328,'Data Lokasi'!C:C,0)),"")</f>
        <v>0</v>
      </c>
      <c r="Q328" s="304">
        <f t="shared" si="17"/>
        <v>0</v>
      </c>
      <c r="R328" s="308"/>
    </row>
    <row r="329" spans="2:18" ht="15" hidden="1" thickTop="1">
      <c r="B329" s="269">
        <v>46203</v>
      </c>
      <c r="C329" s="268" t="s">
        <v>691</v>
      </c>
      <c r="D329" s="274">
        <f>IFERROR(VLOOKUP(C329,'Data Lokasi'!C:D,2,0),"")</f>
        <v>6.77</v>
      </c>
      <c r="E329" s="274" t="s">
        <v>2642</v>
      </c>
      <c r="F329" s="274"/>
      <c r="G329" s="274"/>
      <c r="H329" s="274"/>
      <c r="I329" s="274">
        <v>0.01</v>
      </c>
      <c r="J329" s="456">
        <f t="shared" si="16"/>
        <v>0.01</v>
      </c>
      <c r="K329" s="583"/>
      <c r="L329" s="268" t="s">
        <v>2625</v>
      </c>
      <c r="M329" s="268" t="s">
        <v>2631</v>
      </c>
      <c r="N329" s="278">
        <f>IFERROR(INDEX('Data Lokasi'!S:S,MATCH('Input Real Tanam&amp;Petik Nanas'!C329,'Data Lokasi'!C:C,0)),"")</f>
        <v>44934</v>
      </c>
      <c r="O329" s="278"/>
      <c r="P329" s="283">
        <f>IFERROR(INDEX('Data Lokasi'!V:V,MATCH(C329,'Data Lokasi'!C:C,0)),"")</f>
        <v>0</v>
      </c>
      <c r="Q329" s="304">
        <f t="shared" si="17"/>
        <v>0</v>
      </c>
      <c r="R329" s="308"/>
    </row>
    <row r="330" spans="2:18" ht="15" hidden="1" thickTop="1">
      <c r="B330" s="269">
        <v>46203</v>
      </c>
      <c r="C330" s="268" t="s">
        <v>348</v>
      </c>
      <c r="D330" s="274">
        <f>IFERROR(VLOOKUP(C330,'Data Lokasi'!C:D,2,0),"")</f>
        <v>7.28</v>
      </c>
      <c r="E330" s="274" t="s">
        <v>2642</v>
      </c>
      <c r="F330" s="274"/>
      <c r="G330" s="274">
        <v>0.06</v>
      </c>
      <c r="H330" s="274"/>
      <c r="I330" s="274"/>
      <c r="J330" s="456">
        <f t="shared" si="16"/>
        <v>0.06</v>
      </c>
      <c r="K330" s="583"/>
      <c r="L330" s="268" t="s">
        <v>719</v>
      </c>
      <c r="M330" s="268" t="s">
        <v>2631</v>
      </c>
      <c r="N330" s="278">
        <f>IFERROR(INDEX('Data Lokasi'!S:S,MATCH('Input Real Tanam&amp;Petik Nanas'!C330,'Data Lokasi'!C:C,0)),"")</f>
        <v>44273</v>
      </c>
      <c r="O330" s="278"/>
      <c r="P330" s="283">
        <f>IFERROR(INDEX('Data Lokasi'!V:V,MATCH(C330,'Data Lokasi'!C:C,0)),"")</f>
        <v>0</v>
      </c>
      <c r="Q330" s="304">
        <f t="shared" si="17"/>
        <v>0</v>
      </c>
      <c r="R330" s="308"/>
    </row>
    <row r="331" spans="2:18" ht="15" hidden="1" thickTop="1">
      <c r="B331" s="269">
        <v>46203</v>
      </c>
      <c r="C331" s="268" t="s">
        <v>2648</v>
      </c>
      <c r="D331" s="274">
        <f>IFERROR(VLOOKUP(C331,'Data Lokasi'!C:D,2,0),"")</f>
        <v>0.31</v>
      </c>
      <c r="E331" s="274" t="s">
        <v>2642</v>
      </c>
      <c r="F331" s="274"/>
      <c r="G331" s="274"/>
      <c r="H331" s="274">
        <v>0.13</v>
      </c>
      <c r="I331" s="274"/>
      <c r="J331" s="456">
        <f t="shared" si="16"/>
        <v>0.13</v>
      </c>
      <c r="K331" s="583"/>
      <c r="L331" s="268" t="s">
        <v>719</v>
      </c>
      <c r="M331" s="268" t="s">
        <v>2631</v>
      </c>
      <c r="N331" s="278">
        <f>IFERROR(INDEX('Data Lokasi'!S:S,MATCH('Input Real Tanam&amp;Petik Nanas'!C331,'Data Lokasi'!C:C,0)),"")</f>
        <v>46198</v>
      </c>
      <c r="O331" s="278"/>
      <c r="P331" s="283">
        <f>IFERROR(INDEX('Data Lokasi'!V:V,MATCH(C331,'Data Lokasi'!C:C,0)),"")</f>
        <v>0</v>
      </c>
      <c r="Q331" s="304">
        <f t="shared" si="17"/>
        <v>0</v>
      </c>
      <c r="R331" s="308"/>
    </row>
    <row r="332" spans="2:18" ht="15" hidden="1" thickTop="1">
      <c r="B332" s="269">
        <v>46203</v>
      </c>
      <c r="C332" s="268" t="s">
        <v>580</v>
      </c>
      <c r="D332" s="274">
        <f>IFERROR(VLOOKUP(C332,'Data Lokasi'!C:D,2,0),"")</f>
        <v>3.08</v>
      </c>
      <c r="E332" s="274" t="s">
        <v>2642</v>
      </c>
      <c r="F332" s="274"/>
      <c r="G332" s="274"/>
      <c r="H332" s="274"/>
      <c r="I332" s="274">
        <v>0.06</v>
      </c>
      <c r="J332" s="456">
        <f t="shared" si="16"/>
        <v>0.06</v>
      </c>
      <c r="K332" s="583"/>
      <c r="L332" s="268" t="s">
        <v>2625</v>
      </c>
      <c r="M332" s="268" t="s">
        <v>2634</v>
      </c>
      <c r="N332" s="278">
        <f>IFERROR(INDEX('Data Lokasi'!S:S,MATCH('Input Real Tanam&amp;Petik Nanas'!C332,'Data Lokasi'!C:C,0)),"")</f>
        <v>44781</v>
      </c>
      <c r="O332" s="278"/>
      <c r="P332" s="283">
        <f>IFERROR(INDEX('Data Lokasi'!V:V,MATCH(C332,'Data Lokasi'!C:C,0)),"")</f>
        <v>0</v>
      </c>
      <c r="Q332" s="304">
        <f t="shared" si="17"/>
        <v>0</v>
      </c>
      <c r="R332" s="308"/>
    </row>
    <row r="333" spans="2:18" ht="15" hidden="1" thickTop="1">
      <c r="B333" s="269">
        <v>46203</v>
      </c>
      <c r="C333" s="268" t="s">
        <v>687</v>
      </c>
      <c r="D333" s="274">
        <f>IFERROR(VLOOKUP(C333,'Data Lokasi'!C:D,2,0),"")</f>
        <v>10.58</v>
      </c>
      <c r="E333" s="274" t="s">
        <v>2642</v>
      </c>
      <c r="F333" s="274"/>
      <c r="G333" s="274"/>
      <c r="H333" s="274"/>
      <c r="I333" s="274">
        <v>0.21</v>
      </c>
      <c r="J333" s="456">
        <f t="shared" si="16"/>
        <v>0.21</v>
      </c>
      <c r="K333" s="583"/>
      <c r="L333" s="268" t="s">
        <v>2625</v>
      </c>
      <c r="M333" s="268" t="s">
        <v>2634</v>
      </c>
      <c r="N333" s="278">
        <f>IFERROR(INDEX('Data Lokasi'!S:S,MATCH('Input Real Tanam&amp;Petik Nanas'!C333,'Data Lokasi'!C:C,0)),"")</f>
        <v>45105</v>
      </c>
      <c r="O333" s="278"/>
      <c r="P333" s="283">
        <f>IFERROR(INDEX('Data Lokasi'!V:V,MATCH(C333,'Data Lokasi'!C:C,0)),"")</f>
        <v>0</v>
      </c>
      <c r="Q333" s="304">
        <f t="shared" si="17"/>
        <v>0</v>
      </c>
      <c r="R333" s="308"/>
    </row>
    <row r="334" spans="2:18" ht="15" hidden="1" thickTop="1">
      <c r="B334" s="269">
        <v>46203</v>
      </c>
      <c r="C334" s="268" t="s">
        <v>687</v>
      </c>
      <c r="D334" s="274">
        <f>IFERROR(VLOOKUP(C334,'Data Lokasi'!C:D,2,0),"")</f>
        <v>10.58</v>
      </c>
      <c r="E334" s="274" t="s">
        <v>2642</v>
      </c>
      <c r="F334" s="274"/>
      <c r="G334" s="274"/>
      <c r="H334" s="274">
        <v>0.18</v>
      </c>
      <c r="I334" s="274"/>
      <c r="J334" s="456">
        <f t="shared" si="16"/>
        <v>0.18</v>
      </c>
      <c r="K334" s="583"/>
      <c r="L334" s="268" t="s">
        <v>719</v>
      </c>
      <c r="M334" s="268" t="s">
        <v>2634</v>
      </c>
      <c r="N334" s="278">
        <f>IFERROR(INDEX('Data Lokasi'!S:S,MATCH('Input Real Tanam&amp;Petik Nanas'!C334,'Data Lokasi'!C:C,0)),"")</f>
        <v>45105</v>
      </c>
      <c r="O334" s="278"/>
      <c r="P334" s="283">
        <f>IFERROR(INDEX('Data Lokasi'!V:V,MATCH(C334,'Data Lokasi'!C:C,0)),"")</f>
        <v>0</v>
      </c>
      <c r="Q334" s="304">
        <f t="shared" si="17"/>
        <v>0</v>
      </c>
      <c r="R334" s="308"/>
    </row>
    <row r="335" spans="2:18" ht="15" hidden="1" thickTop="1">
      <c r="B335" s="269">
        <v>46203</v>
      </c>
      <c r="C335" s="268" t="s">
        <v>677</v>
      </c>
      <c r="D335" s="274">
        <f>IFERROR(VLOOKUP(C335,'Data Lokasi'!C:D,2,0),"")</f>
        <v>8.2100000000000009</v>
      </c>
      <c r="E335" s="274" t="s">
        <v>2642</v>
      </c>
      <c r="F335" s="274"/>
      <c r="G335" s="274"/>
      <c r="H335" s="274"/>
      <c r="I335" s="274">
        <v>0.95</v>
      </c>
      <c r="J335" s="456">
        <f t="shared" si="16"/>
        <v>0.95</v>
      </c>
      <c r="K335" s="583"/>
      <c r="L335" s="268" t="s">
        <v>2625</v>
      </c>
      <c r="M335" s="268" t="s">
        <v>2634</v>
      </c>
      <c r="N335" s="278">
        <f>IFERROR(INDEX('Data Lokasi'!S:S,MATCH('Input Real Tanam&amp;Petik Nanas'!C335,'Data Lokasi'!C:C,0)),"")</f>
        <v>45071</v>
      </c>
      <c r="O335" s="278"/>
      <c r="P335" s="283">
        <f>IFERROR(INDEX('Data Lokasi'!V:V,MATCH(C335,'Data Lokasi'!C:C,0)),"")</f>
        <v>0</v>
      </c>
      <c r="Q335" s="304">
        <f t="shared" si="17"/>
        <v>0</v>
      </c>
      <c r="R335" s="308"/>
    </row>
    <row r="336" spans="2:18" ht="15" hidden="1" thickTop="1">
      <c r="B336" s="269">
        <v>46203</v>
      </c>
      <c r="C336" s="268" t="s">
        <v>237</v>
      </c>
      <c r="D336" s="274">
        <f>IFERROR(VLOOKUP(C336,'Data Lokasi'!C:D,2,0),"")</f>
        <v>8.8800000000000008</v>
      </c>
      <c r="E336" s="274" t="s">
        <v>2642</v>
      </c>
      <c r="F336" s="274"/>
      <c r="G336" s="274"/>
      <c r="H336" s="274"/>
      <c r="I336" s="274">
        <v>0.06</v>
      </c>
      <c r="J336" s="456">
        <f t="shared" si="16"/>
        <v>0.06</v>
      </c>
      <c r="K336" s="583"/>
      <c r="L336" s="268" t="s">
        <v>719</v>
      </c>
      <c r="M336" s="268" t="s">
        <v>2634</v>
      </c>
      <c r="N336" s="278">
        <f>IFERROR(INDEX('Data Lokasi'!S:S,MATCH('Input Real Tanam&amp;Petik Nanas'!C336,'Data Lokasi'!C:C,0)),"")</f>
        <v>44031</v>
      </c>
      <c r="O336" s="278"/>
      <c r="P336" s="283">
        <f>IFERROR(INDEX('Data Lokasi'!V:V,MATCH(C336,'Data Lokasi'!C:C,0)),"")</f>
        <v>0</v>
      </c>
      <c r="Q336" s="304">
        <f t="shared" si="17"/>
        <v>0</v>
      </c>
      <c r="R336" s="308"/>
    </row>
    <row r="337" spans="2:18" ht="15" hidden="1" thickTop="1">
      <c r="B337" s="269">
        <v>46203</v>
      </c>
      <c r="C337" s="268" t="s">
        <v>106</v>
      </c>
      <c r="D337" s="274">
        <f>IFERROR(VLOOKUP(C337,'Data Lokasi'!C:D,2,0),"")</f>
        <v>3.86</v>
      </c>
      <c r="E337" s="274" t="s">
        <v>2642</v>
      </c>
      <c r="F337" s="274"/>
      <c r="G337" s="274"/>
      <c r="H337" s="274"/>
      <c r="I337" s="274">
        <v>0.22</v>
      </c>
      <c r="J337" s="456">
        <f t="shared" si="16"/>
        <v>0.22</v>
      </c>
      <c r="K337" s="583"/>
      <c r="L337" s="268" t="s">
        <v>2625</v>
      </c>
      <c r="M337" s="268" t="s">
        <v>2634</v>
      </c>
      <c r="N337" s="278">
        <f>IFERROR(INDEX('Data Lokasi'!S:S,MATCH('Input Real Tanam&amp;Petik Nanas'!C337,'Data Lokasi'!C:C,0)),"")</f>
        <v>45241</v>
      </c>
      <c r="O337" s="278"/>
      <c r="P337" s="283">
        <f>IFERROR(INDEX('Data Lokasi'!V:V,MATCH(C337,'Data Lokasi'!C:C,0)),"")</f>
        <v>0</v>
      </c>
      <c r="Q337" s="304">
        <f t="shared" si="17"/>
        <v>0</v>
      </c>
      <c r="R337" s="308"/>
    </row>
    <row r="338" spans="2:18" ht="15" hidden="1" thickTop="1">
      <c r="B338" s="269">
        <v>46203</v>
      </c>
      <c r="C338" s="268" t="s">
        <v>552</v>
      </c>
      <c r="D338" s="274">
        <f>IFERROR(VLOOKUP(C338,'Data Lokasi'!C:D,2,0),"")</f>
        <v>13.36</v>
      </c>
      <c r="E338" s="274" t="s">
        <v>2642</v>
      </c>
      <c r="F338" s="274"/>
      <c r="G338" s="274"/>
      <c r="H338" s="274"/>
      <c r="I338" s="274">
        <v>0.16</v>
      </c>
      <c r="J338" s="456">
        <f t="shared" si="16"/>
        <v>0.16</v>
      </c>
      <c r="K338" s="583"/>
      <c r="L338" s="268" t="s">
        <v>2625</v>
      </c>
      <c r="M338" s="268" t="s">
        <v>2634</v>
      </c>
      <c r="N338" s="278">
        <f>IFERROR(INDEX('Data Lokasi'!S:S,MATCH('Input Real Tanam&amp;Petik Nanas'!C338,'Data Lokasi'!C:C,0)),"")</f>
        <v>44655</v>
      </c>
      <c r="O338" s="278"/>
      <c r="P338" s="283">
        <f>IFERROR(INDEX('Data Lokasi'!V:V,MATCH(C338,'Data Lokasi'!C:C,0)),"")</f>
        <v>0</v>
      </c>
      <c r="Q338" s="304">
        <f t="shared" si="17"/>
        <v>0</v>
      </c>
      <c r="R338" s="308"/>
    </row>
    <row r="339" spans="2:18" ht="15" hidden="1" thickTop="1">
      <c r="B339" s="269">
        <v>46203</v>
      </c>
      <c r="C339" s="268" t="s">
        <v>163</v>
      </c>
      <c r="D339" s="274">
        <f>IFERROR(VLOOKUP(C339,'Data Lokasi'!C:D,2,0),"")</f>
        <v>9.18</v>
      </c>
      <c r="E339" s="274" t="s">
        <v>2642</v>
      </c>
      <c r="F339" s="274"/>
      <c r="G339" s="274"/>
      <c r="H339" s="274">
        <v>0.04</v>
      </c>
      <c r="I339" s="274"/>
      <c r="J339" s="456">
        <f t="shared" si="16"/>
        <v>0.04</v>
      </c>
      <c r="K339" s="583"/>
      <c r="L339" s="268" t="s">
        <v>719</v>
      </c>
      <c r="M339" s="268" t="s">
        <v>2634</v>
      </c>
      <c r="N339" s="278">
        <f>IFERROR(INDEX('Data Lokasi'!S:S,MATCH('Input Real Tanam&amp;Petik Nanas'!C339,'Data Lokasi'!C:C,0)),"")</f>
        <v>43901</v>
      </c>
      <c r="O339" s="278"/>
      <c r="P339" s="283">
        <f>IFERROR(INDEX('Data Lokasi'!V:V,MATCH(C339,'Data Lokasi'!C:C,0)),"")</f>
        <v>0</v>
      </c>
      <c r="Q339" s="304">
        <f>IF(ISERROR(P339/D339),"",(P339/D339))</f>
        <v>0</v>
      </c>
      <c r="R339" s="308"/>
    </row>
    <row r="340" spans="2:18" ht="15" hidden="1" thickTop="1">
      <c r="B340" s="269">
        <v>46203</v>
      </c>
      <c r="C340" s="268" t="s">
        <v>665</v>
      </c>
      <c r="D340" s="274">
        <f>IFERROR(VLOOKUP(C340,'Data Lokasi'!C:D,2,0),"")</f>
        <v>4.68</v>
      </c>
      <c r="E340" s="274" t="s">
        <v>2642</v>
      </c>
      <c r="F340" s="274"/>
      <c r="G340" s="274"/>
      <c r="H340" s="274"/>
      <c r="I340" s="274">
        <v>0.21</v>
      </c>
      <c r="J340" s="456">
        <f t="shared" si="16"/>
        <v>0.21</v>
      </c>
      <c r="K340" s="583"/>
      <c r="L340" s="268" t="s">
        <v>2625</v>
      </c>
      <c r="M340" s="268" t="s">
        <v>2634</v>
      </c>
      <c r="N340" s="278">
        <f>IFERROR(INDEX('Data Lokasi'!S:S,MATCH('Input Real Tanam&amp;Petik Nanas'!C340,'Data Lokasi'!C:C,0)),"")</f>
        <v>45061</v>
      </c>
      <c r="O340" s="278"/>
      <c r="P340" s="283">
        <f>IFERROR(INDEX('Data Lokasi'!V:V,MATCH(C340,'Data Lokasi'!C:C,0)),"")</f>
        <v>0</v>
      </c>
      <c r="Q340" s="304">
        <f t="shared" si="17"/>
        <v>0</v>
      </c>
      <c r="R340" s="308"/>
    </row>
    <row r="341" spans="2:18" ht="15" hidden="1" thickTop="1">
      <c r="B341" s="269">
        <v>46203</v>
      </c>
      <c r="C341" s="268" t="s">
        <v>229</v>
      </c>
      <c r="D341" s="274">
        <f>IFERROR(VLOOKUP(C341,'Data Lokasi'!C:D,2,0),"")</f>
        <v>6.97</v>
      </c>
      <c r="E341" s="274" t="s">
        <v>2642</v>
      </c>
      <c r="F341" s="274"/>
      <c r="G341" s="274"/>
      <c r="H341" s="274"/>
      <c r="I341" s="274">
        <v>0.03</v>
      </c>
      <c r="J341" s="456">
        <f t="shared" si="16"/>
        <v>0.03</v>
      </c>
      <c r="K341" s="583"/>
      <c r="L341" s="268" t="s">
        <v>2625</v>
      </c>
      <c r="M341" s="268" t="s">
        <v>2634</v>
      </c>
      <c r="N341" s="278">
        <f>IFERROR(INDEX('Data Lokasi'!S:S,MATCH('Input Real Tanam&amp;Petik Nanas'!C341,'Data Lokasi'!C:C,0)),"")</f>
        <v>44020</v>
      </c>
      <c r="O341" s="278"/>
      <c r="P341" s="283">
        <f>IFERROR(INDEX('Data Lokasi'!V:V,MATCH(C341,'Data Lokasi'!C:C,0)),"")</f>
        <v>0</v>
      </c>
      <c r="Q341" s="304">
        <f t="shared" si="17"/>
        <v>0</v>
      </c>
      <c r="R341" s="308"/>
    </row>
    <row r="342" spans="2:18" ht="15" hidden="1" thickTop="1">
      <c r="B342" s="269">
        <v>46203</v>
      </c>
      <c r="C342" s="268" t="s">
        <v>425</v>
      </c>
      <c r="D342" s="274">
        <f>IFERROR(VLOOKUP(C342,'Data Lokasi'!C:D,2,0),"")</f>
        <v>8.85</v>
      </c>
      <c r="E342" s="274" t="s">
        <v>2643</v>
      </c>
      <c r="F342" s="274">
        <v>8.9999999999999993E-3</v>
      </c>
      <c r="G342" s="274">
        <f>0.006+0.01</f>
        <v>1.6E-2</v>
      </c>
      <c r="H342" s="274">
        <f>0.004+0.002</f>
        <v>6.0000000000000001E-3</v>
      </c>
      <c r="I342" s="274"/>
      <c r="J342" s="456">
        <f t="shared" si="16"/>
        <v>3.1E-2</v>
      </c>
      <c r="K342" s="583"/>
      <c r="L342" s="268" t="s">
        <v>719</v>
      </c>
      <c r="M342" s="268" t="s">
        <v>2631</v>
      </c>
      <c r="N342" s="278">
        <f>IFERROR(INDEX('Data Lokasi'!S:S,MATCH('Input Real Tanam&amp;Petik Nanas'!C342,'Data Lokasi'!C:C,0)),"")</f>
        <v>44389</v>
      </c>
      <c r="O342" s="278"/>
      <c r="P342" s="283">
        <f>IFERROR(INDEX('Data Lokasi'!V:V,MATCH(C342,'Data Lokasi'!C:C,0)),"")</f>
        <v>0</v>
      </c>
      <c r="Q342" s="304">
        <f t="shared" si="17"/>
        <v>0</v>
      </c>
      <c r="R342" s="308">
        <v>3</v>
      </c>
    </row>
    <row r="343" spans="2:18" ht="15" hidden="1" thickTop="1">
      <c r="B343" s="269">
        <v>46203</v>
      </c>
      <c r="C343" s="268" t="s">
        <v>514</v>
      </c>
      <c r="D343" s="274">
        <f>IFERROR(VLOOKUP(C343,'Data Lokasi'!C:D,2,0),"")</f>
        <v>9.68</v>
      </c>
      <c r="E343" s="274" t="s">
        <v>2643</v>
      </c>
      <c r="F343" s="274"/>
      <c r="G343" s="274"/>
      <c r="H343" s="274"/>
      <c r="I343" s="274">
        <v>0.68</v>
      </c>
      <c r="J343" s="456">
        <f t="shared" si="16"/>
        <v>0.68</v>
      </c>
      <c r="K343" s="583"/>
      <c r="L343" s="268" t="s">
        <v>2625</v>
      </c>
      <c r="M343" s="268" t="s">
        <v>2631</v>
      </c>
      <c r="N343" s="278">
        <f>IFERROR(INDEX('Data Lokasi'!S:S,MATCH('Input Real Tanam&amp;Petik Nanas'!C343,'Data Lokasi'!C:C,0)),"")</f>
        <v>44578</v>
      </c>
      <c r="O343" s="278"/>
      <c r="P343" s="283">
        <f>IFERROR(INDEX('Data Lokasi'!V:V,MATCH(C343,'Data Lokasi'!C:C,0)),"")</f>
        <v>0</v>
      </c>
      <c r="Q343" s="304">
        <f t="shared" si="17"/>
        <v>0</v>
      </c>
      <c r="R343" s="308"/>
    </row>
    <row r="344" spans="2:18" ht="15" hidden="1" thickTop="1">
      <c r="B344" s="269">
        <v>46203</v>
      </c>
      <c r="C344" s="268" t="s">
        <v>494</v>
      </c>
      <c r="D344" s="274">
        <f>IFERROR(VLOOKUP(C344,'Data Lokasi'!C:D,2,0),"")</f>
        <v>9.68</v>
      </c>
      <c r="E344" s="274" t="s">
        <v>2643</v>
      </c>
      <c r="F344" s="274"/>
      <c r="G344" s="274"/>
      <c r="H344" s="274"/>
      <c r="I344" s="274">
        <v>1.19</v>
      </c>
      <c r="J344" s="456">
        <f t="shared" si="16"/>
        <v>1.19</v>
      </c>
      <c r="K344" s="583"/>
      <c r="L344" s="268" t="s">
        <v>2625</v>
      </c>
      <c r="M344" s="268" t="s">
        <v>2631</v>
      </c>
      <c r="N344" s="278">
        <f>IFERROR(INDEX('Data Lokasi'!S:S,MATCH('Input Real Tanam&amp;Petik Nanas'!C344,'Data Lokasi'!C:C,0)),"")</f>
        <v>44564</v>
      </c>
      <c r="O344" s="278"/>
      <c r="P344" s="283">
        <f>IFERROR(INDEX('Data Lokasi'!V:V,MATCH(C344,'Data Lokasi'!C:C,0)),"")</f>
        <v>0</v>
      </c>
      <c r="Q344" s="304">
        <f t="shared" si="17"/>
        <v>0</v>
      </c>
      <c r="R344" s="308"/>
    </row>
    <row r="345" spans="2:18" ht="15" hidden="1" thickTop="1">
      <c r="B345" s="269">
        <v>46203</v>
      </c>
      <c r="C345" s="268" t="s">
        <v>337</v>
      </c>
      <c r="D345" s="274">
        <f>IFERROR(VLOOKUP(C345,'Data Lokasi'!C:D,2,0),"")</f>
        <v>9.17</v>
      </c>
      <c r="E345" s="274" t="s">
        <v>2643</v>
      </c>
      <c r="F345" s="274"/>
      <c r="G345" s="274">
        <v>0.01</v>
      </c>
      <c r="H345" s="274">
        <f>0.04+0.18</f>
        <v>0.22</v>
      </c>
      <c r="I345" s="274"/>
      <c r="J345" s="456">
        <f t="shared" si="16"/>
        <v>0.23</v>
      </c>
      <c r="K345" s="583"/>
      <c r="L345" s="268" t="s">
        <v>719</v>
      </c>
      <c r="M345" s="268" t="s">
        <v>2631</v>
      </c>
      <c r="N345" s="278">
        <f>IFERROR(INDEX('Data Lokasi'!S:S,MATCH('Input Real Tanam&amp;Petik Nanas'!C345,'Data Lokasi'!C:C,0)),"")</f>
        <v>44250</v>
      </c>
      <c r="O345" s="278"/>
      <c r="P345" s="283">
        <f>IFERROR(INDEX('Data Lokasi'!V:V,MATCH(C345,'Data Lokasi'!C:C,0)),"")</f>
        <v>0</v>
      </c>
      <c r="Q345" s="304">
        <f t="shared" si="17"/>
        <v>0</v>
      </c>
      <c r="R345" s="308">
        <v>5</v>
      </c>
    </row>
    <row r="346" spans="2:18" ht="15" hidden="1" thickTop="1">
      <c r="B346" s="269">
        <v>46203</v>
      </c>
      <c r="C346" s="268" t="s">
        <v>484</v>
      </c>
      <c r="D346" s="274">
        <f>IFERROR(VLOOKUP(C346,'Data Lokasi'!C:D,2,0),"")</f>
        <v>10.14</v>
      </c>
      <c r="E346" s="274" t="s">
        <v>2643</v>
      </c>
      <c r="F346" s="274"/>
      <c r="G346" s="274"/>
      <c r="H346" s="274"/>
      <c r="I346" s="274">
        <v>1.63</v>
      </c>
      <c r="J346" s="456">
        <f t="shared" si="16"/>
        <v>1.63</v>
      </c>
      <c r="K346" s="583"/>
      <c r="L346" s="268" t="s">
        <v>2625</v>
      </c>
      <c r="M346" s="268" t="s">
        <v>2634</v>
      </c>
      <c r="N346" s="278">
        <f>IFERROR(INDEX('Data Lokasi'!S:S,MATCH('Input Real Tanam&amp;Petik Nanas'!C346,'Data Lokasi'!C:C,0)),"")</f>
        <v>44518</v>
      </c>
      <c r="O346" s="278"/>
      <c r="P346" s="283">
        <f>IFERROR(INDEX('Data Lokasi'!V:V,MATCH(C346,'Data Lokasi'!C:C,0)),"")</f>
        <v>0</v>
      </c>
      <c r="Q346" s="304">
        <f t="shared" si="17"/>
        <v>0</v>
      </c>
      <c r="R346" s="308"/>
    </row>
    <row r="347" spans="2:18" ht="15" hidden="1" thickTop="1">
      <c r="B347" s="269">
        <v>46203</v>
      </c>
      <c r="C347" s="268" t="s">
        <v>470</v>
      </c>
      <c r="D347" s="274">
        <f>IFERROR(VLOOKUP(C347,'Data Lokasi'!C:D,2,0),"")</f>
        <v>9.4600000000000009</v>
      </c>
      <c r="E347" s="274" t="s">
        <v>2643</v>
      </c>
      <c r="F347" s="274"/>
      <c r="G347" s="274"/>
      <c r="H347" s="274"/>
      <c r="I347" s="274">
        <f>0.32+0.91</f>
        <v>1.23</v>
      </c>
      <c r="J347" s="456">
        <f t="shared" si="16"/>
        <v>1.23</v>
      </c>
      <c r="K347" s="583"/>
      <c r="L347" s="268" t="s">
        <v>2625</v>
      </c>
      <c r="M347" s="268" t="s">
        <v>2634</v>
      </c>
      <c r="N347" s="278">
        <f>IFERROR(INDEX('Data Lokasi'!S:S,MATCH('Input Real Tanam&amp;Petik Nanas'!C347,'Data Lokasi'!C:C,0)),"")</f>
        <v>44488</v>
      </c>
      <c r="O347" s="278"/>
      <c r="P347" s="283">
        <f>IFERROR(INDEX('Data Lokasi'!V:V,MATCH(C347,'Data Lokasi'!C:C,0)),"")</f>
        <v>0</v>
      </c>
      <c r="Q347" s="304">
        <f t="shared" si="17"/>
        <v>0</v>
      </c>
      <c r="R347" s="308"/>
    </row>
    <row r="348" spans="2:18" ht="15" hidden="1" thickTop="1">
      <c r="B348" s="269">
        <v>46204</v>
      </c>
      <c r="C348" s="268" t="s">
        <v>2420</v>
      </c>
      <c r="D348" s="274">
        <f>IFERROR(VLOOKUP(C348,'Data Lokasi'!C:D,2,0),"")</f>
        <v>7.19</v>
      </c>
      <c r="E348" s="274" t="s">
        <v>2642</v>
      </c>
      <c r="F348" s="274"/>
      <c r="G348" s="274"/>
      <c r="H348" s="274">
        <v>0.08</v>
      </c>
      <c r="I348" s="274"/>
      <c r="J348" s="456">
        <f t="shared" si="16"/>
        <v>0.08</v>
      </c>
      <c r="K348" s="583"/>
      <c r="L348" s="268" t="s">
        <v>719</v>
      </c>
      <c r="M348" s="268" t="s">
        <v>2631</v>
      </c>
      <c r="N348" s="278">
        <f>IFERROR(INDEX('Data Lokasi'!S:S,MATCH('Input Real Tanam&amp;Petik Nanas'!C348,'Data Lokasi'!C:C,0)),"")</f>
        <v>46177</v>
      </c>
      <c r="O348" s="278"/>
      <c r="P348" s="283">
        <f>IFERROR(INDEX('Data Lokasi'!V:V,MATCH(C348,'Data Lokasi'!C:C,0)),"")</f>
        <v>0</v>
      </c>
      <c r="Q348" s="304">
        <f t="shared" si="17"/>
        <v>0</v>
      </c>
      <c r="R348" s="308"/>
    </row>
    <row r="349" spans="2:18" ht="15" hidden="1" thickTop="1">
      <c r="B349" s="269">
        <v>46204</v>
      </c>
      <c r="C349" s="268" t="s">
        <v>689</v>
      </c>
      <c r="D349" s="274">
        <f>IFERROR(VLOOKUP(C349,'Data Lokasi'!C:D,2,0),"")</f>
        <v>7.2</v>
      </c>
      <c r="E349" s="274" t="s">
        <v>2642</v>
      </c>
      <c r="F349" s="274"/>
      <c r="G349" s="274"/>
      <c r="H349" s="274"/>
      <c r="I349" s="274">
        <v>0.15</v>
      </c>
      <c r="J349" s="456">
        <f t="shared" si="16"/>
        <v>0.15</v>
      </c>
      <c r="K349" s="583"/>
      <c r="L349" s="268" t="s">
        <v>2625</v>
      </c>
      <c r="M349" s="268" t="s">
        <v>2631</v>
      </c>
      <c r="N349" s="278">
        <f>IFERROR(INDEX('Data Lokasi'!S:S,MATCH('Input Real Tanam&amp;Petik Nanas'!C349,'Data Lokasi'!C:C,0)),"")</f>
        <v>45132</v>
      </c>
      <c r="O349" s="278"/>
      <c r="P349" s="283">
        <f>IFERROR(INDEX('Data Lokasi'!V:V,MATCH(C349,'Data Lokasi'!C:C,0)),"")</f>
        <v>0</v>
      </c>
      <c r="Q349" s="304">
        <f t="shared" si="17"/>
        <v>0</v>
      </c>
      <c r="R349" s="308"/>
    </row>
    <row r="350" spans="2:18" ht="15" hidden="1" thickTop="1">
      <c r="B350" s="269">
        <v>46204</v>
      </c>
      <c r="C350" s="268" t="s">
        <v>232</v>
      </c>
      <c r="D350" s="274">
        <f>IFERROR(VLOOKUP(C350,'Data Lokasi'!C:D,2,0),"")</f>
        <v>8.7799999999999994</v>
      </c>
      <c r="E350" s="274" t="s">
        <v>2642</v>
      </c>
      <c r="F350" s="274"/>
      <c r="G350" s="274"/>
      <c r="H350" s="274"/>
      <c r="I350" s="274">
        <v>0.13</v>
      </c>
      <c r="J350" s="456">
        <f t="shared" si="16"/>
        <v>0.13</v>
      </c>
      <c r="K350" s="583"/>
      <c r="L350" s="268" t="s">
        <v>2625</v>
      </c>
      <c r="M350" s="268" t="s">
        <v>2631</v>
      </c>
      <c r="N350" s="278">
        <f>IFERROR(INDEX('Data Lokasi'!S:S,MATCH('Input Real Tanam&amp;Petik Nanas'!C350,'Data Lokasi'!C:C,0)),"")</f>
        <v>44022</v>
      </c>
      <c r="O350" s="278"/>
      <c r="P350" s="283">
        <f>IFERROR(INDEX('Data Lokasi'!V:V,MATCH(C350,'Data Lokasi'!C:C,0)),"")</f>
        <v>0</v>
      </c>
      <c r="Q350" s="304">
        <f t="shared" si="17"/>
        <v>0</v>
      </c>
      <c r="R350" s="308"/>
    </row>
    <row r="351" spans="2:18" ht="15" hidden="1" thickTop="1">
      <c r="B351" s="269">
        <v>46204</v>
      </c>
      <c r="C351" s="268" t="s">
        <v>685</v>
      </c>
      <c r="D351" s="274">
        <f>IFERROR(VLOOKUP(C351,'Data Lokasi'!C:D,2,0),"")</f>
        <v>5.82</v>
      </c>
      <c r="E351" s="274" t="s">
        <v>2642</v>
      </c>
      <c r="F351" s="274"/>
      <c r="G351" s="274"/>
      <c r="H351" s="274"/>
      <c r="I351" s="274">
        <v>0.64</v>
      </c>
      <c r="J351" s="456">
        <f t="shared" si="16"/>
        <v>0.64</v>
      </c>
      <c r="K351" s="583"/>
      <c r="L351" s="268" t="s">
        <v>2625</v>
      </c>
      <c r="M351" s="268" t="s">
        <v>2631</v>
      </c>
      <c r="N351" s="278">
        <f>IFERROR(INDEX('Data Lokasi'!S:S,MATCH('Input Real Tanam&amp;Petik Nanas'!C351,'Data Lokasi'!C:C,0)),"")</f>
        <v>45117</v>
      </c>
      <c r="O351" s="278"/>
      <c r="P351" s="283">
        <f>IFERROR(INDEX('Data Lokasi'!V:V,MATCH(C351,'Data Lokasi'!C:C,0)),"")</f>
        <v>0</v>
      </c>
      <c r="Q351" s="304">
        <f t="shared" si="17"/>
        <v>0</v>
      </c>
      <c r="R351" s="308"/>
    </row>
    <row r="352" spans="2:18" ht="15" hidden="1" thickTop="1">
      <c r="B352" s="269">
        <v>46204</v>
      </c>
      <c r="C352" s="268" t="s">
        <v>688</v>
      </c>
      <c r="D352" s="274">
        <f>IFERROR(VLOOKUP(C352,'Data Lokasi'!C:D,2,0),"")</f>
        <v>7.73</v>
      </c>
      <c r="E352" s="274" t="s">
        <v>2642</v>
      </c>
      <c r="F352" s="274"/>
      <c r="G352" s="274"/>
      <c r="H352" s="274"/>
      <c r="I352" s="274">
        <v>1.59</v>
      </c>
      <c r="J352" s="456">
        <f t="shared" si="16"/>
        <v>1.59</v>
      </c>
      <c r="K352" s="583"/>
      <c r="L352" s="268" t="s">
        <v>2625</v>
      </c>
      <c r="M352" s="268" t="s">
        <v>2631</v>
      </c>
      <c r="N352" s="278">
        <f>IFERROR(INDEX('Data Lokasi'!S:S,MATCH('Input Real Tanam&amp;Petik Nanas'!C352,'Data Lokasi'!C:C,0)),"")</f>
        <v>45119</v>
      </c>
      <c r="O352" s="278"/>
      <c r="P352" s="283">
        <f>IFERROR(INDEX('Data Lokasi'!V:V,MATCH(C352,'Data Lokasi'!C:C,0)),"")</f>
        <v>0</v>
      </c>
      <c r="Q352" s="304">
        <f t="shared" si="17"/>
        <v>0</v>
      </c>
      <c r="R352" s="308"/>
    </row>
    <row r="353" spans="2:18" ht="15" hidden="1" thickTop="1">
      <c r="B353" s="269">
        <v>46204</v>
      </c>
      <c r="C353" s="268" t="s">
        <v>106</v>
      </c>
      <c r="D353" s="274">
        <f>IFERROR(VLOOKUP(C353,'Data Lokasi'!C:D,2,0),"")</f>
        <v>3.86</v>
      </c>
      <c r="E353" s="274" t="s">
        <v>2642</v>
      </c>
      <c r="F353" s="274"/>
      <c r="G353" s="274"/>
      <c r="H353" s="274"/>
      <c r="I353" s="274">
        <v>0.11</v>
      </c>
      <c r="J353" s="456">
        <f t="shared" si="16"/>
        <v>0.11</v>
      </c>
      <c r="K353" s="583"/>
      <c r="L353" s="268" t="s">
        <v>2625</v>
      </c>
      <c r="M353" s="268" t="s">
        <v>2631</v>
      </c>
      <c r="N353" s="278">
        <f>IFERROR(INDEX('Data Lokasi'!S:S,MATCH('Input Real Tanam&amp;Petik Nanas'!C353,'Data Lokasi'!C:C,0)),"")</f>
        <v>45241</v>
      </c>
      <c r="O353" s="278"/>
      <c r="P353" s="283">
        <f>IFERROR(INDEX('Data Lokasi'!V:V,MATCH(C353,'Data Lokasi'!C:C,0)),"")</f>
        <v>0</v>
      </c>
      <c r="Q353" s="304">
        <f t="shared" si="17"/>
        <v>0</v>
      </c>
      <c r="R353" s="308"/>
    </row>
    <row r="354" spans="2:18" ht="15" hidden="1" thickTop="1">
      <c r="B354" s="269">
        <v>46204</v>
      </c>
      <c r="C354" s="268" t="s">
        <v>2662</v>
      </c>
      <c r="D354" s="274">
        <f>IFERROR(VLOOKUP(C354,'Data Lokasi'!C:D,2,0),"")</f>
        <v>5.64</v>
      </c>
      <c r="E354" s="274" t="s">
        <v>2642</v>
      </c>
      <c r="F354" s="274"/>
      <c r="G354" s="274"/>
      <c r="H354" s="274"/>
      <c r="I354" s="274">
        <v>2.08</v>
      </c>
      <c r="J354" s="456">
        <f t="shared" si="16"/>
        <v>2.08</v>
      </c>
      <c r="K354" s="583"/>
      <c r="L354" s="268" t="s">
        <v>2625</v>
      </c>
      <c r="M354" s="268" t="s">
        <v>2634</v>
      </c>
      <c r="N354" s="278">
        <f>IFERROR(INDEX('Data Lokasi'!S:S,MATCH('Input Real Tanam&amp;Petik Nanas'!C354,'Data Lokasi'!C:C,0)),"")</f>
        <v>46204</v>
      </c>
      <c r="O354" s="278"/>
      <c r="P354" s="283">
        <f>IFERROR(INDEX('Data Lokasi'!V:V,MATCH(C354,'Data Lokasi'!C:C,0)),"")</f>
        <v>0</v>
      </c>
      <c r="Q354" s="304">
        <f t="shared" si="17"/>
        <v>0</v>
      </c>
      <c r="R354" s="308"/>
    </row>
    <row r="355" spans="2:18" ht="15" hidden="1" thickTop="1">
      <c r="B355" s="269">
        <v>46204</v>
      </c>
      <c r="C355" s="268" t="s">
        <v>373</v>
      </c>
      <c r="D355" s="274">
        <f>IFERROR(VLOOKUP(C355,'Data Lokasi'!C:D,2,0),"")</f>
        <v>10.5</v>
      </c>
      <c r="E355" s="274" t="s">
        <v>2642</v>
      </c>
      <c r="F355" s="274"/>
      <c r="G355" s="274"/>
      <c r="H355" s="274">
        <v>0.12</v>
      </c>
      <c r="I355" s="274"/>
      <c r="J355" s="456">
        <f t="shared" si="16"/>
        <v>0.12</v>
      </c>
      <c r="K355" s="583"/>
      <c r="L355" s="268" t="s">
        <v>719</v>
      </c>
      <c r="M355" s="268" t="s">
        <v>2634</v>
      </c>
      <c r="N355" s="278">
        <f>IFERROR(INDEX('Data Lokasi'!S:S,MATCH('Input Real Tanam&amp;Petik Nanas'!C355,'Data Lokasi'!C:C,0)),"")</f>
        <v>44311</v>
      </c>
      <c r="O355" s="278"/>
      <c r="P355" s="283">
        <f>IFERROR(INDEX('Data Lokasi'!V:V,MATCH(C355,'Data Lokasi'!C:C,0)),"")</f>
        <v>0</v>
      </c>
      <c r="Q355" s="304">
        <f t="shared" si="17"/>
        <v>0</v>
      </c>
      <c r="R355" s="308"/>
    </row>
    <row r="356" spans="2:18" ht="15" hidden="1" thickTop="1">
      <c r="B356" s="269">
        <v>46204</v>
      </c>
      <c r="C356" s="268" t="s">
        <v>250</v>
      </c>
      <c r="D356" s="274">
        <f>IFERROR(VLOOKUP(C356,'Data Lokasi'!C:D,2,0),"")</f>
        <v>9.2799999999999994</v>
      </c>
      <c r="E356" s="274" t="s">
        <v>2642</v>
      </c>
      <c r="F356" s="274"/>
      <c r="G356" s="274"/>
      <c r="H356" s="274"/>
      <c r="I356" s="274">
        <v>0.1</v>
      </c>
      <c r="J356" s="456">
        <f t="shared" si="16"/>
        <v>0.1</v>
      </c>
      <c r="K356" s="583"/>
      <c r="L356" s="268" t="s">
        <v>2625</v>
      </c>
      <c r="M356" s="268" t="s">
        <v>2634</v>
      </c>
      <c r="N356" s="278">
        <f>IFERROR(INDEX('Data Lokasi'!S:S,MATCH('Input Real Tanam&amp;Petik Nanas'!C356,'Data Lokasi'!C:C,0)),"")</f>
        <v>44064</v>
      </c>
      <c r="O356" s="278"/>
      <c r="P356" s="283">
        <f>IFERROR(INDEX('Data Lokasi'!V:V,MATCH(C356,'Data Lokasi'!C:C,0)),"")</f>
        <v>0</v>
      </c>
      <c r="Q356" s="304">
        <f t="shared" si="17"/>
        <v>0</v>
      </c>
      <c r="R356" s="308"/>
    </row>
    <row r="357" spans="2:18" ht="15" hidden="1" thickTop="1">
      <c r="B357" s="269">
        <v>46204</v>
      </c>
      <c r="C357" s="268" t="s">
        <v>445</v>
      </c>
      <c r="D357" s="274">
        <f>IFERROR(VLOOKUP(C357,'Data Lokasi'!C:D,2,0),"")</f>
        <v>10.65</v>
      </c>
      <c r="E357" s="274" t="s">
        <v>2643</v>
      </c>
      <c r="F357" s="274"/>
      <c r="G357" s="274"/>
      <c r="H357" s="274">
        <f>0.03+0.07</f>
        <v>0.1</v>
      </c>
      <c r="I357" s="274">
        <v>0.11</v>
      </c>
      <c r="J357" s="456">
        <f t="shared" si="16"/>
        <v>0.21000000000000002</v>
      </c>
      <c r="K357" s="583"/>
      <c r="L357" s="268" t="s">
        <v>719</v>
      </c>
      <c r="M357" s="268" t="s">
        <v>2631</v>
      </c>
      <c r="N357" s="278">
        <f>IFERROR(INDEX('Data Lokasi'!S:S,MATCH('Input Real Tanam&amp;Petik Nanas'!C357,'Data Lokasi'!C:C,0)),"")</f>
        <v>46292</v>
      </c>
      <c r="O357" s="278"/>
      <c r="P357" s="283">
        <f>IFERROR(INDEX('Data Lokasi'!V:V,MATCH(C357,'Data Lokasi'!C:C,0)),"")</f>
        <v>10.52</v>
      </c>
      <c r="Q357" s="304">
        <f t="shared" si="17"/>
        <v>0.98779342723004693</v>
      </c>
      <c r="R357" s="308">
        <v>8</v>
      </c>
    </row>
    <row r="358" spans="2:18" ht="15" hidden="1" thickTop="1">
      <c r="B358" s="269">
        <v>46204</v>
      </c>
      <c r="C358" s="268" t="s">
        <v>514</v>
      </c>
      <c r="D358" s="274">
        <f>IFERROR(VLOOKUP(C358,'Data Lokasi'!C:D,2,0),"")</f>
        <v>9.68</v>
      </c>
      <c r="E358" s="274" t="s">
        <v>2643</v>
      </c>
      <c r="F358" s="274"/>
      <c r="G358" s="274"/>
      <c r="H358" s="274"/>
      <c r="I358" s="274">
        <v>0.7</v>
      </c>
      <c r="J358" s="456">
        <f t="shared" si="16"/>
        <v>0.7</v>
      </c>
      <c r="K358" s="583"/>
      <c r="L358" s="268" t="s">
        <v>2625</v>
      </c>
      <c r="M358" s="268" t="s">
        <v>2631</v>
      </c>
      <c r="N358" s="278">
        <f>IFERROR(INDEX('Data Lokasi'!S:S,MATCH('Input Real Tanam&amp;Petik Nanas'!C358,'Data Lokasi'!C:C,0)),"")</f>
        <v>44578</v>
      </c>
      <c r="O358" s="278"/>
      <c r="P358" s="283">
        <f>IFERROR(INDEX('Data Lokasi'!V:V,MATCH(C358,'Data Lokasi'!C:C,0)),"")</f>
        <v>0</v>
      </c>
      <c r="Q358" s="304">
        <f t="shared" si="17"/>
        <v>0</v>
      </c>
      <c r="R358" s="308"/>
    </row>
    <row r="359" spans="2:18" ht="15" hidden="1" thickTop="1">
      <c r="B359" s="269">
        <v>46204</v>
      </c>
      <c r="C359" s="268" t="s">
        <v>470</v>
      </c>
      <c r="D359" s="274">
        <f>IFERROR(VLOOKUP(C359,'Data Lokasi'!C:D,2,0),"")</f>
        <v>9.4600000000000009</v>
      </c>
      <c r="E359" s="274" t="s">
        <v>2643</v>
      </c>
      <c r="F359" s="274"/>
      <c r="G359" s="274"/>
      <c r="H359" s="274"/>
      <c r="I359" s="274">
        <v>1.05</v>
      </c>
      <c r="J359" s="456">
        <f t="shared" si="16"/>
        <v>1.05</v>
      </c>
      <c r="K359" s="583"/>
      <c r="L359" s="268" t="s">
        <v>2625</v>
      </c>
      <c r="M359" s="268" t="s">
        <v>2634</v>
      </c>
      <c r="N359" s="278">
        <f>IFERROR(INDEX('Data Lokasi'!S:S,MATCH('Input Real Tanam&amp;Petik Nanas'!C359,'Data Lokasi'!C:C,0)),"")</f>
        <v>44488</v>
      </c>
      <c r="O359" s="278"/>
      <c r="P359" s="283">
        <f>IFERROR(INDEX('Data Lokasi'!V:V,MATCH(C359,'Data Lokasi'!C:C,0)),"")</f>
        <v>0</v>
      </c>
      <c r="Q359" s="304">
        <f t="shared" si="17"/>
        <v>0</v>
      </c>
      <c r="R359" s="308"/>
    </row>
    <row r="360" spans="2:18" ht="15" hidden="1" thickTop="1">
      <c r="B360" s="269">
        <v>46204</v>
      </c>
      <c r="C360" s="268" t="s">
        <v>337</v>
      </c>
      <c r="D360" s="274">
        <f>IFERROR(VLOOKUP(C360,'Data Lokasi'!C:D,2,0),"")</f>
        <v>9.17</v>
      </c>
      <c r="E360" s="274" t="s">
        <v>2643</v>
      </c>
      <c r="F360" s="274"/>
      <c r="G360" s="274">
        <v>0.01</v>
      </c>
      <c r="H360" s="274">
        <f>0.03+0.16</f>
        <v>0.19</v>
      </c>
      <c r="I360" s="274"/>
      <c r="J360" s="456">
        <f t="shared" si="16"/>
        <v>0.2</v>
      </c>
      <c r="K360" s="583"/>
      <c r="L360" s="268" t="s">
        <v>719</v>
      </c>
      <c r="M360" s="268" t="s">
        <v>2631</v>
      </c>
      <c r="N360" s="278">
        <f>IFERROR(INDEX('Data Lokasi'!S:S,MATCH('Input Real Tanam&amp;Petik Nanas'!C360,'Data Lokasi'!C:C,0)),"")</f>
        <v>44250</v>
      </c>
      <c r="O360" s="278"/>
      <c r="P360" s="283">
        <f>IFERROR(INDEX('Data Lokasi'!V:V,MATCH(C360,'Data Lokasi'!C:C,0)),"")</f>
        <v>0</v>
      </c>
      <c r="Q360" s="304">
        <f t="shared" si="17"/>
        <v>0</v>
      </c>
      <c r="R360" s="308">
        <v>5</v>
      </c>
    </row>
    <row r="361" spans="2:18" ht="15" hidden="1" thickTop="1">
      <c r="B361" s="269">
        <v>46204</v>
      </c>
      <c r="C361" s="268" t="s">
        <v>484</v>
      </c>
      <c r="D361" s="274">
        <f>IFERROR(VLOOKUP(C361,'Data Lokasi'!C:D,2,0),"")</f>
        <v>10.14</v>
      </c>
      <c r="E361" s="274" t="s">
        <v>2643</v>
      </c>
      <c r="F361" s="274"/>
      <c r="G361" s="274"/>
      <c r="H361" s="274"/>
      <c r="I361" s="274">
        <v>1.24</v>
      </c>
      <c r="J361" s="456">
        <f t="shared" si="16"/>
        <v>1.24</v>
      </c>
      <c r="K361" s="583"/>
      <c r="L361" s="268" t="s">
        <v>2625</v>
      </c>
      <c r="M361" s="268" t="s">
        <v>2634</v>
      </c>
      <c r="N361" s="278">
        <f>IFERROR(INDEX('Data Lokasi'!S:S,MATCH('Input Real Tanam&amp;Petik Nanas'!C361,'Data Lokasi'!C:C,0)),"")</f>
        <v>44518</v>
      </c>
      <c r="O361" s="278"/>
      <c r="P361" s="283">
        <f>IFERROR(INDEX('Data Lokasi'!V:V,MATCH(C361,'Data Lokasi'!C:C,0)),"")</f>
        <v>0</v>
      </c>
      <c r="Q361" s="304">
        <f t="shared" si="17"/>
        <v>0</v>
      </c>
      <c r="R361" s="308"/>
    </row>
    <row r="362" spans="2:18" ht="15" hidden="1" thickTop="1">
      <c r="B362" s="269">
        <v>46204</v>
      </c>
      <c r="C362" s="268" t="s">
        <v>547</v>
      </c>
      <c r="D362" s="274">
        <f>IFERROR(VLOOKUP(C362,'Data Lokasi'!C:D,2,0),"")</f>
        <v>5.2</v>
      </c>
      <c r="E362" s="274" t="s">
        <v>2643</v>
      </c>
      <c r="F362" s="274"/>
      <c r="G362" s="274"/>
      <c r="H362" s="274"/>
      <c r="I362" s="274">
        <v>7.0000000000000007E-2</v>
      </c>
      <c r="J362" s="456">
        <f t="shared" si="16"/>
        <v>7.0000000000000007E-2</v>
      </c>
      <c r="K362" s="583"/>
      <c r="L362" s="268" t="s">
        <v>2625</v>
      </c>
      <c r="M362" s="268" t="s">
        <v>2631</v>
      </c>
      <c r="N362" s="278">
        <f>IFERROR(INDEX('Data Lokasi'!S:S,MATCH('Input Real Tanam&amp;Petik Nanas'!C362,'Data Lokasi'!C:C,0)),"")</f>
        <v>44655</v>
      </c>
      <c r="O362" s="278"/>
      <c r="P362" s="283">
        <f>IFERROR(INDEX('Data Lokasi'!V:V,MATCH(C362,'Data Lokasi'!C:C,0)),"")</f>
        <v>0</v>
      </c>
      <c r="Q362" s="304">
        <f t="shared" si="17"/>
        <v>0</v>
      </c>
      <c r="R362" s="308"/>
    </row>
    <row r="363" spans="2:18" ht="15" hidden="1" thickTop="1">
      <c r="B363" s="269">
        <v>46205</v>
      </c>
      <c r="C363" s="268" t="s">
        <v>212</v>
      </c>
      <c r="D363" s="274">
        <f>IFERROR(VLOOKUP(C363,'Data Lokasi'!C:D,2,0),"")</f>
        <v>8.39</v>
      </c>
      <c r="E363" s="274" t="s">
        <v>2642</v>
      </c>
      <c r="F363" s="274"/>
      <c r="G363" s="274"/>
      <c r="H363" s="274"/>
      <c r="I363" s="274">
        <v>0.6</v>
      </c>
      <c r="J363" s="456">
        <f t="shared" si="16"/>
        <v>0.6</v>
      </c>
      <c r="K363" s="583"/>
      <c r="L363" s="268" t="s">
        <v>2625</v>
      </c>
      <c r="M363" s="268" t="s">
        <v>2631</v>
      </c>
      <c r="N363" s="278">
        <f>IFERROR(INDEX('Data Lokasi'!S:S,MATCH('Input Real Tanam&amp;Petik Nanas'!C363,'Data Lokasi'!C:C,0)),"")</f>
        <v>43988</v>
      </c>
      <c r="O363" s="278"/>
      <c r="P363" s="283">
        <f>IFERROR(INDEX('Data Lokasi'!V:V,MATCH(C363,'Data Lokasi'!C:C,0)),"")</f>
        <v>0</v>
      </c>
      <c r="Q363" s="304">
        <f t="shared" si="17"/>
        <v>0</v>
      </c>
      <c r="R363" s="308"/>
    </row>
    <row r="364" spans="2:18" ht="15" hidden="1" thickTop="1">
      <c r="B364" s="269">
        <v>46205</v>
      </c>
      <c r="C364" s="268" t="s">
        <v>670</v>
      </c>
      <c r="D364" s="274">
        <f>IFERROR(VLOOKUP(C364,'Data Lokasi'!C:D,2,0),"")</f>
        <v>4.7</v>
      </c>
      <c r="E364" s="274" t="s">
        <v>2642</v>
      </c>
      <c r="F364" s="274"/>
      <c r="G364" s="274"/>
      <c r="H364" s="274"/>
      <c r="I364" s="274">
        <v>0.48</v>
      </c>
      <c r="J364" s="456">
        <f t="shared" si="16"/>
        <v>0.48</v>
      </c>
      <c r="K364" s="583"/>
      <c r="L364" s="268" t="s">
        <v>2625</v>
      </c>
      <c r="M364" s="268" t="s">
        <v>2631</v>
      </c>
      <c r="N364" s="278">
        <f>IFERROR(INDEX('Data Lokasi'!S:S,MATCH('Input Real Tanam&amp;Petik Nanas'!C364,'Data Lokasi'!C:C,0)),"")</f>
        <v>45071</v>
      </c>
      <c r="O364" s="278"/>
      <c r="P364" s="283">
        <f>IFERROR(INDEX('Data Lokasi'!V:V,MATCH(C364,'Data Lokasi'!C:C,0)),"")</f>
        <v>0</v>
      </c>
      <c r="Q364" s="304">
        <f t="shared" si="17"/>
        <v>0</v>
      </c>
      <c r="R364" s="308"/>
    </row>
    <row r="365" spans="2:18" ht="15" hidden="1" thickTop="1">
      <c r="B365" s="269">
        <v>46205</v>
      </c>
      <c r="C365" s="268" t="s">
        <v>688</v>
      </c>
      <c r="D365" s="274">
        <f>IFERROR(VLOOKUP(C365,'Data Lokasi'!C:D,2,0),"")</f>
        <v>7.73</v>
      </c>
      <c r="E365" s="274" t="s">
        <v>2642</v>
      </c>
      <c r="F365" s="274"/>
      <c r="G365" s="274"/>
      <c r="H365" s="274"/>
      <c r="I365" s="274">
        <v>1.44</v>
      </c>
      <c r="J365" s="456">
        <f t="shared" si="16"/>
        <v>1.44</v>
      </c>
      <c r="K365" s="583"/>
      <c r="L365" s="268" t="s">
        <v>2625</v>
      </c>
      <c r="M365" s="268" t="s">
        <v>2631</v>
      </c>
      <c r="N365" s="278">
        <f>IFERROR(INDEX('Data Lokasi'!S:S,MATCH('Input Real Tanam&amp;Petik Nanas'!C365,'Data Lokasi'!C:C,0)),"")</f>
        <v>45119</v>
      </c>
      <c r="O365" s="278"/>
      <c r="P365" s="283">
        <f>IFERROR(INDEX('Data Lokasi'!V:V,MATCH(C365,'Data Lokasi'!C:C,0)),"")</f>
        <v>0</v>
      </c>
      <c r="Q365" s="304">
        <f t="shared" si="17"/>
        <v>0</v>
      </c>
      <c r="R365" s="308"/>
    </row>
    <row r="366" spans="2:18" ht="15" hidden="1" thickTop="1">
      <c r="B366" s="269">
        <v>46205</v>
      </c>
      <c r="C366" s="268" t="s">
        <v>689</v>
      </c>
      <c r="D366" s="274">
        <f>IFERROR(VLOOKUP(C366,'Data Lokasi'!C:D,2,0),"")</f>
        <v>7.2</v>
      </c>
      <c r="E366" s="274" t="s">
        <v>2642</v>
      </c>
      <c r="F366" s="274"/>
      <c r="G366" s="274"/>
      <c r="H366" s="274"/>
      <c r="I366" s="274">
        <v>0.12</v>
      </c>
      <c r="J366" s="456">
        <f t="shared" si="16"/>
        <v>0.12</v>
      </c>
      <c r="K366" s="583"/>
      <c r="L366" s="268" t="s">
        <v>2625</v>
      </c>
      <c r="M366" s="268" t="s">
        <v>2631</v>
      </c>
      <c r="N366" s="278">
        <f>IFERROR(INDEX('Data Lokasi'!S:S,MATCH('Input Real Tanam&amp;Petik Nanas'!C366,'Data Lokasi'!C:C,0)),"")</f>
        <v>45132</v>
      </c>
      <c r="O366" s="278"/>
      <c r="P366" s="283">
        <f>IFERROR(INDEX('Data Lokasi'!V:V,MATCH(C366,'Data Lokasi'!C:C,0)),"")</f>
        <v>0</v>
      </c>
      <c r="Q366" s="304">
        <f t="shared" si="17"/>
        <v>0</v>
      </c>
      <c r="R366" s="308"/>
    </row>
    <row r="367" spans="2:18" ht="15" hidden="1" thickTop="1">
      <c r="B367" s="269">
        <v>46205</v>
      </c>
      <c r="C367" s="268" t="s">
        <v>2420</v>
      </c>
      <c r="D367" s="274">
        <f>IFERROR(VLOOKUP(C367,'Data Lokasi'!C:D,2,0),"")</f>
        <v>7.19</v>
      </c>
      <c r="E367" s="274" t="s">
        <v>2642</v>
      </c>
      <c r="F367" s="274"/>
      <c r="G367" s="274"/>
      <c r="H367" s="274">
        <v>0.05</v>
      </c>
      <c r="I367" s="274"/>
      <c r="J367" s="456">
        <f t="shared" si="16"/>
        <v>0.05</v>
      </c>
      <c r="K367" s="583"/>
      <c r="L367" s="268" t="s">
        <v>719</v>
      </c>
      <c r="M367" s="268" t="s">
        <v>2631</v>
      </c>
      <c r="N367" s="278">
        <f>IFERROR(INDEX('Data Lokasi'!S:S,MATCH('Input Real Tanam&amp;Petik Nanas'!C367,'Data Lokasi'!C:C,0)),"")</f>
        <v>46177</v>
      </c>
      <c r="O367" s="278"/>
      <c r="P367" s="283">
        <f>IFERROR(INDEX('Data Lokasi'!V:V,MATCH(C367,'Data Lokasi'!C:C,0)),"")</f>
        <v>0</v>
      </c>
      <c r="Q367" s="304">
        <f t="shared" si="17"/>
        <v>0</v>
      </c>
      <c r="R367" s="308"/>
    </row>
    <row r="368" spans="2:18" ht="15" hidden="1" thickTop="1">
      <c r="B368" s="269">
        <v>46205</v>
      </c>
      <c r="C368" s="268" t="s">
        <v>106</v>
      </c>
      <c r="D368" s="274">
        <f>IFERROR(VLOOKUP(C368,'Data Lokasi'!C:D,2,0),"")</f>
        <v>3.86</v>
      </c>
      <c r="E368" s="274" t="s">
        <v>2642</v>
      </c>
      <c r="F368" s="274"/>
      <c r="G368" s="274"/>
      <c r="H368" s="274"/>
      <c r="I368" s="274">
        <v>0.05</v>
      </c>
      <c r="J368" s="456">
        <f t="shared" si="16"/>
        <v>0.05</v>
      </c>
      <c r="K368" s="583"/>
      <c r="L368" s="268" t="s">
        <v>2625</v>
      </c>
      <c r="M368" s="268" t="s">
        <v>2631</v>
      </c>
      <c r="N368" s="278">
        <f>IFERROR(INDEX('Data Lokasi'!S:S,MATCH('Input Real Tanam&amp;Petik Nanas'!C368,'Data Lokasi'!C:C,0)),"")</f>
        <v>45241</v>
      </c>
      <c r="O368" s="278"/>
      <c r="P368" s="283">
        <f>IFERROR(INDEX('Data Lokasi'!V:V,MATCH(C368,'Data Lokasi'!C:C,0)),"")</f>
        <v>0</v>
      </c>
      <c r="Q368" s="304">
        <f t="shared" si="17"/>
        <v>0</v>
      </c>
      <c r="R368" s="308"/>
    </row>
    <row r="369" spans="2:18" ht="15" hidden="1" thickTop="1">
      <c r="B369" s="269">
        <v>46205</v>
      </c>
      <c r="C369" s="268" t="s">
        <v>2662</v>
      </c>
      <c r="D369" s="274">
        <f>IFERROR(VLOOKUP(C369,'Data Lokasi'!C:D,2,0),"")</f>
        <v>5.64</v>
      </c>
      <c r="E369" s="274" t="s">
        <v>2642</v>
      </c>
      <c r="F369" s="274"/>
      <c r="G369" s="274"/>
      <c r="H369" s="274"/>
      <c r="I369" s="274">
        <v>1.92</v>
      </c>
      <c r="J369" s="456">
        <f t="shared" si="16"/>
        <v>1.92</v>
      </c>
      <c r="K369" s="583"/>
      <c r="L369" s="268" t="s">
        <v>2625</v>
      </c>
      <c r="M369" s="268" t="s">
        <v>2634</v>
      </c>
      <c r="N369" s="278">
        <f>IFERROR(INDEX('Data Lokasi'!S:S,MATCH('Input Real Tanam&amp;Petik Nanas'!C369,'Data Lokasi'!C:C,0)),"")</f>
        <v>46204</v>
      </c>
      <c r="O369" s="278"/>
      <c r="P369" s="283">
        <f>IFERROR(INDEX('Data Lokasi'!V:V,MATCH(C369,'Data Lokasi'!C:C,0)),"")</f>
        <v>0</v>
      </c>
      <c r="Q369" s="304">
        <f t="shared" si="17"/>
        <v>0</v>
      </c>
      <c r="R369" s="308"/>
    </row>
    <row r="370" spans="2:18" ht="15" hidden="1" thickTop="1">
      <c r="B370" s="269">
        <v>46205</v>
      </c>
      <c r="C370" s="268" t="s">
        <v>106</v>
      </c>
      <c r="D370" s="274">
        <f>IFERROR(VLOOKUP(C370,'Data Lokasi'!C:D,2,0),"")</f>
        <v>3.86</v>
      </c>
      <c r="E370" s="274" t="s">
        <v>2642</v>
      </c>
      <c r="F370" s="274"/>
      <c r="G370" s="274"/>
      <c r="H370" s="274"/>
      <c r="I370" s="274">
        <v>0.11</v>
      </c>
      <c r="J370" s="456">
        <f t="shared" si="16"/>
        <v>0.11</v>
      </c>
      <c r="K370" s="583"/>
      <c r="L370" s="268" t="s">
        <v>2625</v>
      </c>
      <c r="M370" s="268" t="s">
        <v>2634</v>
      </c>
      <c r="N370" s="278">
        <f>IFERROR(INDEX('Data Lokasi'!S:S,MATCH('Input Real Tanam&amp;Petik Nanas'!C370,'Data Lokasi'!C:C,0)),"")</f>
        <v>45241</v>
      </c>
      <c r="O370" s="278"/>
      <c r="P370" s="283">
        <f>IFERROR(INDEX('Data Lokasi'!V:V,MATCH(C370,'Data Lokasi'!C:C,0)),"")</f>
        <v>0</v>
      </c>
      <c r="Q370" s="304">
        <f t="shared" si="17"/>
        <v>0</v>
      </c>
      <c r="R370" s="308"/>
    </row>
    <row r="371" spans="2:18" ht="15" hidden="1" thickTop="1">
      <c r="B371" s="269">
        <v>46205</v>
      </c>
      <c r="C371" s="268" t="s">
        <v>366</v>
      </c>
      <c r="D371" s="274">
        <f>IFERROR(VLOOKUP(C371,'Data Lokasi'!C:D,2,0),"")</f>
        <v>5.88</v>
      </c>
      <c r="E371" s="274" t="s">
        <v>2642</v>
      </c>
      <c r="F371" s="274"/>
      <c r="G371" s="274"/>
      <c r="H371" s="274">
        <v>0.04</v>
      </c>
      <c r="I371" s="274"/>
      <c r="J371" s="456">
        <f t="shared" si="16"/>
        <v>0.04</v>
      </c>
      <c r="K371" s="583"/>
      <c r="L371" s="268" t="s">
        <v>719</v>
      </c>
      <c r="M371" s="268" t="s">
        <v>2634</v>
      </c>
      <c r="N371" s="278">
        <f>IFERROR(INDEX('Data Lokasi'!S:S,MATCH('Input Real Tanam&amp;Petik Nanas'!C371,'Data Lokasi'!C:C,0)),"")</f>
        <v>44300</v>
      </c>
      <c r="O371" s="278"/>
      <c r="P371" s="283">
        <f>IFERROR(INDEX('Data Lokasi'!V:V,MATCH(C371,'Data Lokasi'!C:C,0)),"")</f>
        <v>0</v>
      </c>
      <c r="Q371" s="304">
        <f t="shared" si="17"/>
        <v>0</v>
      </c>
      <c r="R371" s="308"/>
    </row>
    <row r="372" spans="2:18" ht="15" hidden="1" thickTop="1">
      <c r="B372" s="269">
        <v>46205</v>
      </c>
      <c r="C372" s="268" t="s">
        <v>623</v>
      </c>
      <c r="D372" s="274">
        <f>IFERROR(VLOOKUP(C372,'Data Lokasi'!C:D,2,0),"")</f>
        <v>4.07</v>
      </c>
      <c r="E372" s="274" t="s">
        <v>2642</v>
      </c>
      <c r="F372" s="274"/>
      <c r="G372" s="274"/>
      <c r="H372" s="274"/>
      <c r="I372" s="274">
        <v>0.05</v>
      </c>
      <c r="J372" s="456">
        <f t="shared" si="16"/>
        <v>0.05</v>
      </c>
      <c r="K372" s="583"/>
      <c r="L372" s="268" t="s">
        <v>2625</v>
      </c>
      <c r="M372" s="268" t="s">
        <v>2634</v>
      </c>
      <c r="N372" s="278">
        <f>IFERROR(INDEX('Data Lokasi'!S:S,MATCH('Input Real Tanam&amp;Petik Nanas'!C372,'Data Lokasi'!C:C,0)),"")</f>
        <v>44863</v>
      </c>
      <c r="O372" s="278"/>
      <c r="P372" s="283">
        <f>IFERROR(INDEX('Data Lokasi'!V:V,MATCH(C372,'Data Lokasi'!C:C,0)),"")</f>
        <v>0</v>
      </c>
      <c r="Q372" s="304">
        <f t="shared" si="17"/>
        <v>0</v>
      </c>
      <c r="R372" s="308"/>
    </row>
    <row r="373" spans="2:18" ht="15" hidden="1" thickTop="1">
      <c r="B373" s="269">
        <v>46205</v>
      </c>
      <c r="C373" s="268" t="s">
        <v>286</v>
      </c>
      <c r="D373" s="274">
        <f>IFERROR(VLOOKUP(C373,'Data Lokasi'!C:D,2,0),"")</f>
        <v>8.33</v>
      </c>
      <c r="E373" s="274" t="s">
        <v>2642</v>
      </c>
      <c r="F373" s="274"/>
      <c r="G373" s="274"/>
      <c r="H373" s="274"/>
      <c r="I373" s="274">
        <v>0.06</v>
      </c>
      <c r="J373" s="456">
        <f t="shared" si="16"/>
        <v>0.06</v>
      </c>
      <c r="K373" s="583"/>
      <c r="L373" s="268" t="s">
        <v>2625</v>
      </c>
      <c r="M373" s="268" t="s">
        <v>2634</v>
      </c>
      <c r="N373" s="278">
        <f>IFERROR(INDEX('Data Lokasi'!S:S,MATCH('Input Real Tanam&amp;Petik Nanas'!C373,'Data Lokasi'!C:C,0)),"")</f>
        <v>44125</v>
      </c>
      <c r="O373" s="278"/>
      <c r="P373" s="283">
        <f>IFERROR(INDEX('Data Lokasi'!V:V,MATCH(C373,'Data Lokasi'!C:C,0)),"")</f>
        <v>0</v>
      </c>
      <c r="Q373" s="304">
        <f t="shared" si="17"/>
        <v>0</v>
      </c>
      <c r="R373" s="308"/>
    </row>
    <row r="374" spans="2:18" ht="15" hidden="1" thickTop="1">
      <c r="B374" s="269">
        <v>46205</v>
      </c>
      <c r="C374" s="268" t="s">
        <v>320</v>
      </c>
      <c r="D374" s="274">
        <f>IFERROR(VLOOKUP(C374,'Data Lokasi'!C:D,2,0),"")</f>
        <v>9.0299999999999994</v>
      </c>
      <c r="E374" s="274" t="s">
        <v>2642</v>
      </c>
      <c r="F374" s="274"/>
      <c r="G374" s="274"/>
      <c r="H374" s="274"/>
      <c r="I374" s="274">
        <v>0.34</v>
      </c>
      <c r="J374" s="456">
        <f t="shared" si="16"/>
        <v>0.34</v>
      </c>
      <c r="K374" s="583"/>
      <c r="L374" s="268" t="s">
        <v>2625</v>
      </c>
      <c r="M374" s="268" t="s">
        <v>2634</v>
      </c>
      <c r="N374" s="278">
        <f>IFERROR(INDEX('Data Lokasi'!S:S,MATCH('Input Real Tanam&amp;Petik Nanas'!C374,'Data Lokasi'!C:C,0)),"")</f>
        <v>44216</v>
      </c>
      <c r="O374" s="278"/>
      <c r="P374" s="283">
        <f>IFERROR(INDEX('Data Lokasi'!V:V,MATCH(C374,'Data Lokasi'!C:C,0)),"")</f>
        <v>0</v>
      </c>
      <c r="Q374" s="304">
        <f t="shared" si="17"/>
        <v>0</v>
      </c>
      <c r="R374" s="308"/>
    </row>
    <row r="375" spans="2:18" ht="15" hidden="1" thickTop="1">
      <c r="B375" s="269">
        <v>46205</v>
      </c>
      <c r="C375" s="268" t="s">
        <v>445</v>
      </c>
      <c r="D375" s="274">
        <f>IFERROR(VLOOKUP(C375,'Data Lokasi'!C:D,2,0),"")</f>
        <v>10.65</v>
      </c>
      <c r="E375" s="274" t="s">
        <v>2643</v>
      </c>
      <c r="F375" s="274"/>
      <c r="G375" s="274">
        <v>2E-3</v>
      </c>
      <c r="H375" s="274">
        <f>0.04+0.06</f>
        <v>0.1</v>
      </c>
      <c r="I375" s="274">
        <v>0.13</v>
      </c>
      <c r="J375" s="456">
        <f t="shared" si="16"/>
        <v>0.23200000000000001</v>
      </c>
      <c r="K375" s="583"/>
      <c r="L375" s="268" t="s">
        <v>719</v>
      </c>
      <c r="M375" s="268" t="s">
        <v>2631</v>
      </c>
      <c r="N375" s="278">
        <f>IFERROR(INDEX('Data Lokasi'!S:S,MATCH('Input Real Tanam&amp;Petik Nanas'!C375,'Data Lokasi'!C:C,0)),"")</f>
        <v>46292</v>
      </c>
      <c r="O375" s="278"/>
      <c r="P375" s="283">
        <f>IFERROR(INDEX('Data Lokasi'!V:V,MATCH(C375,'Data Lokasi'!C:C,0)),"")</f>
        <v>10.52</v>
      </c>
      <c r="Q375" s="304">
        <f t="shared" si="17"/>
        <v>0.98779342723004693</v>
      </c>
      <c r="R375" s="308">
        <v>8</v>
      </c>
    </row>
    <row r="376" spans="2:18" ht="15" hidden="1" thickTop="1">
      <c r="B376" s="269">
        <v>46205</v>
      </c>
      <c r="C376" s="268" t="s">
        <v>441</v>
      </c>
      <c r="D376" s="274">
        <f>IFERROR(VLOOKUP(C376,'Data Lokasi'!C:D,2,0),"")</f>
        <v>11.2</v>
      </c>
      <c r="E376" s="274" t="s">
        <v>2643</v>
      </c>
      <c r="F376" s="274">
        <v>3.0000000000000001E-3</v>
      </c>
      <c r="G376" s="274">
        <v>0.01</v>
      </c>
      <c r="H376" s="274"/>
      <c r="I376" s="274"/>
      <c r="J376" s="456">
        <f t="shared" si="16"/>
        <v>1.3000000000000001E-2</v>
      </c>
      <c r="K376" s="583"/>
      <c r="L376" s="268" t="s">
        <v>719</v>
      </c>
      <c r="M376" s="268" t="s">
        <v>2631</v>
      </c>
      <c r="N376" s="278">
        <f>IFERROR(INDEX('Data Lokasi'!S:S,MATCH('Input Real Tanam&amp;Petik Nanas'!C376,'Data Lokasi'!C:C,0)),"")</f>
        <v>44429</v>
      </c>
      <c r="O376" s="278"/>
      <c r="P376" s="283">
        <f>IFERROR(INDEX('Data Lokasi'!V:V,MATCH(C376,'Data Lokasi'!C:C,0)),"")</f>
        <v>0</v>
      </c>
      <c r="Q376" s="304">
        <f t="shared" si="17"/>
        <v>0</v>
      </c>
      <c r="R376" s="308">
        <v>2</v>
      </c>
    </row>
    <row r="377" spans="2:18" ht="15" hidden="1" thickTop="1">
      <c r="B377" s="269">
        <v>46205</v>
      </c>
      <c r="C377" s="268" t="s">
        <v>514</v>
      </c>
      <c r="D377" s="274">
        <f>IFERROR(VLOOKUP(C377,'Data Lokasi'!C:D,2,0),"")</f>
        <v>9.68</v>
      </c>
      <c r="E377" s="274" t="s">
        <v>2643</v>
      </c>
      <c r="F377" s="274"/>
      <c r="G377" s="274"/>
      <c r="H377" s="274"/>
      <c r="I377" s="274">
        <v>0.45</v>
      </c>
      <c r="J377" s="456">
        <f t="shared" si="16"/>
        <v>0.45</v>
      </c>
      <c r="K377" s="583"/>
      <c r="L377" s="268" t="s">
        <v>2625</v>
      </c>
      <c r="M377" s="268" t="s">
        <v>2631</v>
      </c>
      <c r="N377" s="278">
        <f>IFERROR(INDEX('Data Lokasi'!S:S,MATCH('Input Real Tanam&amp;Petik Nanas'!C377,'Data Lokasi'!C:C,0)),"")</f>
        <v>44578</v>
      </c>
      <c r="O377" s="278"/>
      <c r="P377" s="283">
        <f>IFERROR(INDEX('Data Lokasi'!V:V,MATCH(C377,'Data Lokasi'!C:C,0)),"")</f>
        <v>0</v>
      </c>
      <c r="Q377" s="304">
        <f t="shared" si="17"/>
        <v>0</v>
      </c>
      <c r="R377" s="308"/>
    </row>
    <row r="378" spans="2:18" ht="15" hidden="1" thickTop="1">
      <c r="B378" s="269">
        <v>46205</v>
      </c>
      <c r="C378" s="268" t="s">
        <v>144</v>
      </c>
      <c r="D378" s="274">
        <f>IFERROR(VLOOKUP(C378,'Data Lokasi'!C:D,2,0),"")</f>
        <v>6.64</v>
      </c>
      <c r="E378" s="274" t="s">
        <v>2643</v>
      </c>
      <c r="F378" s="274"/>
      <c r="G378" s="274"/>
      <c r="H378" s="274"/>
      <c r="I378" s="274">
        <v>0.97</v>
      </c>
      <c r="J378" s="456">
        <f t="shared" si="16"/>
        <v>0.97</v>
      </c>
      <c r="K378" s="583"/>
      <c r="L378" s="268" t="s">
        <v>2625</v>
      </c>
      <c r="M378" s="268" t="s">
        <v>2634</v>
      </c>
      <c r="N378" s="278">
        <f>IFERROR(INDEX('Data Lokasi'!S:S,MATCH('Input Real Tanam&amp;Petik Nanas'!C378,'Data Lokasi'!C:C,0)),"")</f>
        <v>0</v>
      </c>
      <c r="O378" s="278"/>
      <c r="P378" s="283">
        <f>IFERROR(INDEX('Data Lokasi'!V:V,MATCH(C378,'Data Lokasi'!C:C,0)),"")</f>
        <v>0</v>
      </c>
      <c r="Q378" s="304">
        <f t="shared" si="17"/>
        <v>0</v>
      </c>
      <c r="R378" s="308"/>
    </row>
    <row r="379" spans="2:18" ht="15" hidden="1" thickTop="1">
      <c r="B379" s="269">
        <v>46205</v>
      </c>
      <c r="C379" s="268" t="s">
        <v>337</v>
      </c>
      <c r="D379" s="274">
        <f>IFERROR(VLOOKUP(C379,'Data Lokasi'!C:D,2,0),"")</f>
        <v>9.17</v>
      </c>
      <c r="E379" s="274" t="s">
        <v>2643</v>
      </c>
      <c r="F379" s="274"/>
      <c r="G379" s="274"/>
      <c r="H379" s="274">
        <f>0.06+0.24</f>
        <v>0.3</v>
      </c>
      <c r="I379" s="274"/>
      <c r="J379" s="456">
        <f t="shared" si="16"/>
        <v>0.3</v>
      </c>
      <c r="K379" s="583"/>
      <c r="L379" s="268" t="s">
        <v>719</v>
      </c>
      <c r="M379" s="268" t="s">
        <v>2631</v>
      </c>
      <c r="N379" s="278">
        <f>IFERROR(INDEX('Data Lokasi'!S:S,MATCH('Input Real Tanam&amp;Petik Nanas'!C379,'Data Lokasi'!C:C,0)),"")</f>
        <v>44250</v>
      </c>
      <c r="O379" s="278"/>
      <c r="P379" s="283">
        <f>IFERROR(INDEX('Data Lokasi'!V:V,MATCH(C379,'Data Lokasi'!C:C,0)),"")</f>
        <v>0</v>
      </c>
      <c r="Q379" s="304">
        <f t="shared" si="17"/>
        <v>0</v>
      </c>
      <c r="R379" s="308"/>
    </row>
    <row r="380" spans="2:18" ht="15" hidden="1" thickTop="1">
      <c r="B380" s="269">
        <v>46205</v>
      </c>
      <c r="C380" s="268" t="s">
        <v>484</v>
      </c>
      <c r="D380" s="274">
        <f>IFERROR(VLOOKUP(C380,'Data Lokasi'!C:D,2,0),"")</f>
        <v>10.14</v>
      </c>
      <c r="E380" s="274" t="s">
        <v>2643</v>
      </c>
      <c r="F380" s="274"/>
      <c r="G380" s="274"/>
      <c r="H380" s="274"/>
      <c r="I380" s="274">
        <v>1.79</v>
      </c>
      <c r="J380" s="456">
        <f t="shared" si="16"/>
        <v>1.79</v>
      </c>
      <c r="K380" s="583"/>
      <c r="L380" s="268" t="s">
        <v>2625</v>
      </c>
      <c r="M380" s="268" t="s">
        <v>2634</v>
      </c>
      <c r="N380" s="278">
        <f>IFERROR(INDEX('Data Lokasi'!S:S,MATCH('Input Real Tanam&amp;Petik Nanas'!C380,'Data Lokasi'!C:C,0)),"")</f>
        <v>44518</v>
      </c>
      <c r="O380" s="278"/>
      <c r="P380" s="283">
        <f>IFERROR(INDEX('Data Lokasi'!V:V,MATCH(C380,'Data Lokasi'!C:C,0)),"")</f>
        <v>0</v>
      </c>
      <c r="Q380" s="304">
        <f t="shared" si="17"/>
        <v>0</v>
      </c>
      <c r="R380" s="308"/>
    </row>
    <row r="381" spans="2:18" ht="15" hidden="1" thickTop="1">
      <c r="B381" s="269">
        <v>46206</v>
      </c>
      <c r="C381" s="268" t="s">
        <v>685</v>
      </c>
      <c r="D381" s="274">
        <f>IFERROR(VLOOKUP(C381,'Data Lokasi'!C:D,2,0),"")</f>
        <v>5.82</v>
      </c>
      <c r="E381" s="274" t="s">
        <v>2642</v>
      </c>
      <c r="F381" s="274"/>
      <c r="G381" s="274"/>
      <c r="H381" s="274"/>
      <c r="I381" s="274">
        <v>0.49</v>
      </c>
      <c r="J381" s="456">
        <f t="shared" si="16"/>
        <v>0.49</v>
      </c>
      <c r="K381" s="583"/>
      <c r="L381" s="268" t="s">
        <v>2625</v>
      </c>
      <c r="M381" s="268" t="s">
        <v>2631</v>
      </c>
      <c r="N381" s="278">
        <f>IFERROR(INDEX('Data Lokasi'!S:S,MATCH('Input Real Tanam&amp;Petik Nanas'!C381,'Data Lokasi'!C:C,0)),"")</f>
        <v>45117</v>
      </c>
      <c r="O381" s="278"/>
      <c r="P381" s="283">
        <f>IFERROR(INDEX('Data Lokasi'!V:V,MATCH(C381,'Data Lokasi'!C:C,0)),"")</f>
        <v>0</v>
      </c>
      <c r="Q381" s="304">
        <f t="shared" si="17"/>
        <v>0</v>
      </c>
      <c r="R381" s="308"/>
    </row>
    <row r="382" spans="2:18" ht="15" hidden="1" thickTop="1">
      <c r="B382" s="269">
        <v>46206</v>
      </c>
      <c r="C382" s="268" t="s">
        <v>688</v>
      </c>
      <c r="D382" s="274">
        <f>IFERROR(VLOOKUP(C382,'Data Lokasi'!C:D,2,0),"")</f>
        <v>7.73</v>
      </c>
      <c r="E382" s="274" t="s">
        <v>2642</v>
      </c>
      <c r="F382" s="274"/>
      <c r="G382" s="274"/>
      <c r="H382" s="274"/>
      <c r="I382" s="274">
        <v>1.79</v>
      </c>
      <c r="J382" s="456">
        <f t="shared" si="16"/>
        <v>1.79</v>
      </c>
      <c r="K382" s="583"/>
      <c r="L382" s="268" t="s">
        <v>2625</v>
      </c>
      <c r="M382" s="268" t="s">
        <v>2631</v>
      </c>
      <c r="N382" s="278">
        <f>IFERROR(INDEX('Data Lokasi'!S:S,MATCH('Input Real Tanam&amp;Petik Nanas'!C382,'Data Lokasi'!C:C,0)),"")</f>
        <v>45119</v>
      </c>
      <c r="O382" s="278"/>
      <c r="P382" s="283">
        <f>IFERROR(INDEX('Data Lokasi'!V:V,MATCH(C382,'Data Lokasi'!C:C,0)),"")</f>
        <v>0</v>
      </c>
      <c r="Q382" s="304">
        <f t="shared" si="17"/>
        <v>0</v>
      </c>
      <c r="R382" s="308"/>
    </row>
    <row r="383" spans="2:18" ht="15" hidden="1" thickTop="1">
      <c r="B383" s="269">
        <v>46206</v>
      </c>
      <c r="C383" s="268" t="s">
        <v>212</v>
      </c>
      <c r="D383" s="274">
        <f>IFERROR(VLOOKUP(C383,'Data Lokasi'!C:D,2,0),"")</f>
        <v>8.39</v>
      </c>
      <c r="E383" s="274" t="s">
        <v>2642</v>
      </c>
      <c r="F383" s="274"/>
      <c r="G383" s="274"/>
      <c r="H383" s="274"/>
      <c r="I383" s="274">
        <v>0.3</v>
      </c>
      <c r="J383" s="456">
        <f t="shared" si="16"/>
        <v>0.3</v>
      </c>
      <c r="K383" s="583"/>
      <c r="L383" s="268" t="s">
        <v>2625</v>
      </c>
      <c r="M383" s="268" t="s">
        <v>2631</v>
      </c>
      <c r="N383" s="278">
        <f>IFERROR(INDEX('Data Lokasi'!S:S,MATCH('Input Real Tanam&amp;Petik Nanas'!C383,'Data Lokasi'!C:C,0)),"")</f>
        <v>43988</v>
      </c>
      <c r="O383" s="278"/>
      <c r="P383" s="283">
        <f>IFERROR(INDEX('Data Lokasi'!V:V,MATCH(C383,'Data Lokasi'!C:C,0)),"")</f>
        <v>0</v>
      </c>
      <c r="Q383" s="304">
        <f t="shared" si="17"/>
        <v>0</v>
      </c>
      <c r="R383" s="308"/>
    </row>
    <row r="384" spans="2:18" ht="15" hidden="1" thickTop="1">
      <c r="B384" s="269">
        <v>46206</v>
      </c>
      <c r="C384" s="268" t="s">
        <v>670</v>
      </c>
      <c r="D384" s="274">
        <f>IFERROR(VLOOKUP(C384,'Data Lokasi'!C:D,2,0),"")</f>
        <v>4.7</v>
      </c>
      <c r="E384" s="274" t="s">
        <v>2642</v>
      </c>
      <c r="F384" s="274"/>
      <c r="G384" s="274"/>
      <c r="H384" s="274"/>
      <c r="I384" s="274">
        <v>0.19</v>
      </c>
      <c r="J384" s="456">
        <f t="shared" si="16"/>
        <v>0.19</v>
      </c>
      <c r="K384" s="583"/>
      <c r="L384" s="268" t="s">
        <v>2625</v>
      </c>
      <c r="M384" s="268" t="s">
        <v>2631</v>
      </c>
      <c r="N384" s="278">
        <f>IFERROR(INDEX('Data Lokasi'!S:S,MATCH('Input Real Tanam&amp;Petik Nanas'!C384,'Data Lokasi'!C:C,0)),"")</f>
        <v>45071</v>
      </c>
      <c r="O384" s="278"/>
      <c r="P384" s="283">
        <f>IFERROR(INDEX('Data Lokasi'!V:V,MATCH(C384,'Data Lokasi'!C:C,0)),"")</f>
        <v>0</v>
      </c>
      <c r="Q384" s="304">
        <f t="shared" si="17"/>
        <v>0</v>
      </c>
      <c r="R384" s="308"/>
    </row>
    <row r="385" spans="2:18" ht="15" hidden="1" thickTop="1">
      <c r="B385" s="269">
        <v>46206</v>
      </c>
      <c r="C385" s="268" t="s">
        <v>2662</v>
      </c>
      <c r="D385" s="274">
        <f>IFERROR(VLOOKUP(C385,'Data Lokasi'!C:D,2,0),"")</f>
        <v>5.64</v>
      </c>
      <c r="E385" s="274" t="s">
        <v>2642</v>
      </c>
      <c r="F385" s="274"/>
      <c r="G385" s="274"/>
      <c r="H385" s="274"/>
      <c r="I385" s="274">
        <v>0.48</v>
      </c>
      <c r="J385" s="456">
        <f t="shared" si="16"/>
        <v>0.48</v>
      </c>
      <c r="K385" s="583"/>
      <c r="L385" s="268" t="s">
        <v>2625</v>
      </c>
      <c r="M385" s="268" t="s">
        <v>2634</v>
      </c>
      <c r="N385" s="278">
        <f>IFERROR(INDEX('Data Lokasi'!S:S,MATCH('Input Real Tanam&amp;Petik Nanas'!C385,'Data Lokasi'!C:C,0)),"")</f>
        <v>46204</v>
      </c>
      <c r="O385" s="278"/>
      <c r="P385" s="283">
        <f>IFERROR(INDEX('Data Lokasi'!V:V,MATCH(C385,'Data Lokasi'!C:C,0)),"")</f>
        <v>0</v>
      </c>
      <c r="Q385" s="304">
        <f t="shared" si="17"/>
        <v>0</v>
      </c>
      <c r="R385" s="308"/>
    </row>
    <row r="386" spans="2:18" ht="15" hidden="1" thickTop="1">
      <c r="B386" s="269">
        <v>46206</v>
      </c>
      <c r="C386" s="268" t="s">
        <v>2663</v>
      </c>
      <c r="D386" s="274">
        <f>IFERROR(VLOOKUP(C386,'Data Lokasi'!C:D,2,0),"")</f>
        <v>7.48</v>
      </c>
      <c r="E386" s="274" t="s">
        <v>2642</v>
      </c>
      <c r="F386" s="274"/>
      <c r="G386" s="274"/>
      <c r="H386" s="274"/>
      <c r="I386" s="274">
        <v>1.47</v>
      </c>
      <c r="J386" s="456">
        <f t="shared" si="16"/>
        <v>1.47</v>
      </c>
      <c r="K386" s="583"/>
      <c r="L386" s="268" t="s">
        <v>2625</v>
      </c>
      <c r="M386" s="268" t="s">
        <v>2634</v>
      </c>
      <c r="N386" s="278">
        <f>IFERROR(INDEX('Data Lokasi'!S:S,MATCH('Input Real Tanam&amp;Petik Nanas'!C386,'Data Lokasi'!C:C,0)),"")</f>
        <v>46206</v>
      </c>
      <c r="O386" s="278"/>
      <c r="P386" s="283">
        <f>IFERROR(INDEX('Data Lokasi'!V:V,MATCH(C386,'Data Lokasi'!C:C,0)),"")</f>
        <v>0</v>
      </c>
      <c r="Q386" s="304">
        <f t="shared" si="17"/>
        <v>0</v>
      </c>
      <c r="R386" s="308"/>
    </row>
    <row r="387" spans="2:18" ht="15" hidden="1" thickTop="1">
      <c r="B387" s="269">
        <v>46206</v>
      </c>
      <c r="C387" s="268" t="s">
        <v>373</v>
      </c>
      <c r="D387" s="274">
        <f>IFERROR(VLOOKUP(C387,'Data Lokasi'!C:D,2,0),"")</f>
        <v>10.5</v>
      </c>
      <c r="E387" s="274" t="s">
        <v>2642</v>
      </c>
      <c r="F387" s="274"/>
      <c r="G387" s="274"/>
      <c r="H387" s="274">
        <v>0.12</v>
      </c>
      <c r="I387" s="274"/>
      <c r="J387" s="456">
        <f t="shared" ref="J387:J417" si="18">IF(SUM(F387:I387)=0,"",(SUM(F387:I387)))</f>
        <v>0.12</v>
      </c>
      <c r="K387" s="583"/>
      <c r="L387" s="268" t="s">
        <v>719</v>
      </c>
      <c r="M387" s="268" t="s">
        <v>2634</v>
      </c>
      <c r="N387" s="278">
        <f>IFERROR(INDEX('Data Lokasi'!S:S,MATCH('Input Real Tanam&amp;Petik Nanas'!C387,'Data Lokasi'!C:C,0)),"")</f>
        <v>44311</v>
      </c>
      <c r="O387" s="278"/>
      <c r="P387" s="283">
        <f>IFERROR(INDEX('Data Lokasi'!V:V,MATCH(C387,'Data Lokasi'!C:C,0)),"")</f>
        <v>0</v>
      </c>
      <c r="Q387" s="304">
        <f t="shared" ref="Q387:Q417" si="19">IF(ISERROR(P387/D387),"",(P387/D387))</f>
        <v>0</v>
      </c>
      <c r="R387" s="308"/>
    </row>
    <row r="388" spans="2:18" ht="15" hidden="1" thickTop="1">
      <c r="B388" s="269">
        <v>46206</v>
      </c>
      <c r="C388" s="268" t="s">
        <v>320</v>
      </c>
      <c r="D388" s="274">
        <f>IFERROR(VLOOKUP(C388,'Data Lokasi'!C:D,2,0),"")</f>
        <v>9.0299999999999994</v>
      </c>
      <c r="E388" s="274" t="s">
        <v>2642</v>
      </c>
      <c r="F388" s="274"/>
      <c r="G388" s="274"/>
      <c r="H388" s="274">
        <v>0.57999999999999996</v>
      </c>
      <c r="I388" s="274"/>
      <c r="J388" s="456">
        <f t="shared" si="18"/>
        <v>0.57999999999999996</v>
      </c>
      <c r="K388" s="583"/>
      <c r="L388" s="268" t="s">
        <v>719</v>
      </c>
      <c r="M388" s="268" t="s">
        <v>2634</v>
      </c>
      <c r="N388" s="278">
        <f>IFERROR(INDEX('Data Lokasi'!S:S,MATCH('Input Real Tanam&amp;Petik Nanas'!C388,'Data Lokasi'!C:C,0)),"")</f>
        <v>44216</v>
      </c>
      <c r="O388" s="278"/>
      <c r="P388" s="283">
        <f>IFERROR(INDEX('Data Lokasi'!V:V,MATCH(C388,'Data Lokasi'!C:C,0)),"")</f>
        <v>0</v>
      </c>
      <c r="Q388" s="304">
        <f t="shared" si="19"/>
        <v>0</v>
      </c>
      <c r="R388" s="308"/>
    </row>
    <row r="389" spans="2:18" ht="15" hidden="1" thickTop="1">
      <c r="B389" s="269">
        <v>46206</v>
      </c>
      <c r="C389" s="268" t="s">
        <v>445</v>
      </c>
      <c r="D389" s="274">
        <f>IFERROR(VLOOKUP(C389,'Data Lokasi'!C:D,2,0),"")</f>
        <v>10.65</v>
      </c>
      <c r="E389" s="274" t="s">
        <v>2643</v>
      </c>
      <c r="F389" s="274"/>
      <c r="G389" s="274">
        <v>6.0000000000000001E-3</v>
      </c>
      <c r="H389" s="274">
        <f>0.03+0.06</f>
        <v>0.09</v>
      </c>
      <c r="I389" s="274">
        <v>0.15</v>
      </c>
      <c r="J389" s="456">
        <f t="shared" si="18"/>
        <v>0.246</v>
      </c>
      <c r="K389" s="583"/>
      <c r="L389" s="268" t="s">
        <v>719</v>
      </c>
      <c r="M389" s="268" t="s">
        <v>2631</v>
      </c>
      <c r="N389" s="278">
        <f>IFERROR(INDEX('Data Lokasi'!S:S,MATCH('Input Real Tanam&amp;Petik Nanas'!C389,'Data Lokasi'!C:C,0)),"")</f>
        <v>46292</v>
      </c>
      <c r="O389" s="278"/>
      <c r="P389" s="283">
        <f>IFERROR(INDEX('Data Lokasi'!V:V,MATCH(C389,'Data Lokasi'!C:C,0)),"")</f>
        <v>10.52</v>
      </c>
      <c r="Q389" s="304">
        <f t="shared" si="19"/>
        <v>0.98779342723004693</v>
      </c>
      <c r="R389" s="308">
        <v>8</v>
      </c>
    </row>
    <row r="390" spans="2:18" ht="15" hidden="1" thickTop="1">
      <c r="B390" s="269">
        <v>46206</v>
      </c>
      <c r="C390" s="268" t="s">
        <v>514</v>
      </c>
      <c r="D390" s="274">
        <f>IFERROR(VLOOKUP(C390,'Data Lokasi'!C:D,2,0),"")</f>
        <v>9.68</v>
      </c>
      <c r="E390" s="274" t="s">
        <v>2643</v>
      </c>
      <c r="F390" s="274"/>
      <c r="G390" s="274"/>
      <c r="H390" s="274"/>
      <c r="I390" s="274">
        <v>0.55000000000000004</v>
      </c>
      <c r="J390" s="456">
        <f t="shared" si="18"/>
        <v>0.55000000000000004</v>
      </c>
      <c r="K390" s="583"/>
      <c r="L390" s="268" t="s">
        <v>2625</v>
      </c>
      <c r="M390" s="268" t="s">
        <v>2631</v>
      </c>
      <c r="N390" s="278">
        <f>IFERROR(INDEX('Data Lokasi'!S:S,MATCH('Input Real Tanam&amp;Petik Nanas'!C390,'Data Lokasi'!C:C,0)),"")</f>
        <v>44578</v>
      </c>
      <c r="O390" s="278"/>
      <c r="P390" s="283">
        <f>IFERROR(INDEX('Data Lokasi'!V:V,MATCH(C390,'Data Lokasi'!C:C,0)),"")</f>
        <v>0</v>
      </c>
      <c r="Q390" s="304">
        <f t="shared" si="19"/>
        <v>0</v>
      </c>
      <c r="R390" s="308"/>
    </row>
    <row r="391" spans="2:18" ht="15" hidden="1" thickTop="1">
      <c r="B391" s="269">
        <v>46206</v>
      </c>
      <c r="C391" s="268" t="s">
        <v>513</v>
      </c>
      <c r="D391" s="274">
        <f>IFERROR(VLOOKUP(C391,'Data Lokasi'!C:D,2,0),"")</f>
        <v>8.8800000000000008</v>
      </c>
      <c r="E391" s="274" t="s">
        <v>2643</v>
      </c>
      <c r="F391" s="274"/>
      <c r="G391" s="274"/>
      <c r="H391" s="274"/>
      <c r="I391" s="274">
        <f>0.09+0.97</f>
        <v>1.06</v>
      </c>
      <c r="J391" s="456">
        <f t="shared" si="18"/>
        <v>1.06</v>
      </c>
      <c r="K391" s="583"/>
      <c r="L391" s="268" t="s">
        <v>2625</v>
      </c>
      <c r="M391" s="268" t="s">
        <v>2634</v>
      </c>
      <c r="N391" s="278">
        <f>IFERROR(INDEX('Data Lokasi'!S:S,MATCH('Input Real Tanam&amp;Petik Nanas'!C391,'Data Lokasi'!C:C,0)),"")</f>
        <v>44603</v>
      </c>
      <c r="O391" s="278"/>
      <c r="P391" s="283">
        <f>IFERROR(INDEX('Data Lokasi'!V:V,MATCH(C391,'Data Lokasi'!C:C,0)),"")</f>
        <v>0</v>
      </c>
      <c r="Q391" s="304">
        <f t="shared" si="19"/>
        <v>0</v>
      </c>
      <c r="R391" s="308"/>
    </row>
    <row r="392" spans="2:18" ht="15" hidden="1" thickTop="1">
      <c r="B392" s="269">
        <v>46206</v>
      </c>
      <c r="C392" s="268" t="s">
        <v>337</v>
      </c>
      <c r="D392" s="274">
        <f>IFERROR(VLOOKUP(C392,'Data Lokasi'!C:D,2,0),"")</f>
        <v>9.17</v>
      </c>
      <c r="E392" s="274" t="s">
        <v>2643</v>
      </c>
      <c r="F392" s="274"/>
      <c r="G392" s="274">
        <v>0.01</v>
      </c>
      <c r="H392" s="274">
        <f>0.08+0.29</f>
        <v>0.37</v>
      </c>
      <c r="I392" s="274"/>
      <c r="J392" s="456">
        <f t="shared" si="18"/>
        <v>0.38</v>
      </c>
      <c r="K392" s="583"/>
      <c r="L392" s="268" t="s">
        <v>719</v>
      </c>
      <c r="M392" s="268" t="s">
        <v>2631</v>
      </c>
      <c r="N392" s="278">
        <f>IFERROR(INDEX('Data Lokasi'!S:S,MATCH('Input Real Tanam&amp;Petik Nanas'!C392,'Data Lokasi'!C:C,0)),"")</f>
        <v>44250</v>
      </c>
      <c r="O392" s="278"/>
      <c r="P392" s="283">
        <f>IFERROR(INDEX('Data Lokasi'!V:V,MATCH(C392,'Data Lokasi'!C:C,0)),"")</f>
        <v>0</v>
      </c>
      <c r="Q392" s="304">
        <f t="shared" si="19"/>
        <v>0</v>
      </c>
      <c r="R392" s="308">
        <v>5</v>
      </c>
    </row>
    <row r="393" spans="2:18" ht="15" hidden="1" thickTop="1">
      <c r="B393" s="269">
        <v>46206</v>
      </c>
      <c r="C393" s="268" t="s">
        <v>484</v>
      </c>
      <c r="D393" s="274">
        <f>IFERROR(VLOOKUP(C393,'Data Lokasi'!C:D,2,0),"")</f>
        <v>10.14</v>
      </c>
      <c r="E393" s="274" t="s">
        <v>2643</v>
      </c>
      <c r="F393" s="274"/>
      <c r="G393" s="274"/>
      <c r="H393" s="274"/>
      <c r="I393" s="274">
        <v>0.16</v>
      </c>
      <c r="J393" s="456">
        <f t="shared" si="18"/>
        <v>0.16</v>
      </c>
      <c r="K393" s="583"/>
      <c r="L393" s="268" t="s">
        <v>2625</v>
      </c>
      <c r="M393" s="268" t="s">
        <v>2634</v>
      </c>
      <c r="N393" s="278">
        <f>IFERROR(INDEX('Data Lokasi'!S:S,MATCH('Input Real Tanam&amp;Petik Nanas'!C393,'Data Lokasi'!C:C,0)),"")</f>
        <v>44518</v>
      </c>
      <c r="O393" s="278"/>
      <c r="P393" s="283">
        <f>IFERROR(INDEX('Data Lokasi'!V:V,MATCH(C393,'Data Lokasi'!C:C,0)),"")</f>
        <v>0</v>
      </c>
      <c r="Q393" s="304">
        <f t="shared" si="19"/>
        <v>0</v>
      </c>
      <c r="R393" s="308"/>
    </row>
    <row r="394" spans="2:18" ht="15" hidden="1" thickTop="1">
      <c r="B394" s="269">
        <v>46206</v>
      </c>
      <c r="C394" s="268" t="s">
        <v>960</v>
      </c>
      <c r="D394" s="274">
        <f>IFERROR(VLOOKUP(C394,'Data Lokasi'!C:D,2,0),"")</f>
        <v>6.94</v>
      </c>
      <c r="E394" s="274" t="s">
        <v>2643</v>
      </c>
      <c r="F394" s="274"/>
      <c r="G394" s="274"/>
      <c r="H394" s="274"/>
      <c r="I394" s="274">
        <v>2.0099999999999998</v>
      </c>
      <c r="J394" s="456">
        <f t="shared" si="18"/>
        <v>2.0099999999999998</v>
      </c>
      <c r="K394" s="583"/>
      <c r="L394" s="268" t="s">
        <v>2625</v>
      </c>
      <c r="M394" s="268" t="s">
        <v>2631</v>
      </c>
      <c r="N394" s="278">
        <f>IFERROR(INDEX('Data Lokasi'!S:S,MATCH('Input Real Tanam&amp;Petik Nanas'!C394,'Data Lokasi'!C:C,0)),"")</f>
        <v>45652</v>
      </c>
      <c r="O394" s="278"/>
      <c r="P394" s="283">
        <f>IFERROR(INDEX('Data Lokasi'!V:V,MATCH(C394,'Data Lokasi'!C:C,0)),"")</f>
        <v>0</v>
      </c>
      <c r="Q394" s="304">
        <f t="shared" si="19"/>
        <v>0</v>
      </c>
      <c r="R394" s="308"/>
    </row>
    <row r="395" spans="2:18" ht="15" hidden="1" thickTop="1">
      <c r="B395" s="269">
        <v>46207</v>
      </c>
      <c r="C395" s="268" t="s">
        <v>547</v>
      </c>
      <c r="D395" s="274">
        <f>IFERROR(VLOOKUP(C395,'Data Lokasi'!C:D,2,0),"")</f>
        <v>5.2</v>
      </c>
      <c r="E395" s="274" t="s">
        <v>2643</v>
      </c>
      <c r="F395" s="274"/>
      <c r="G395" s="274"/>
      <c r="H395" s="274"/>
      <c r="I395" s="274">
        <v>1.89</v>
      </c>
      <c r="J395" s="456">
        <f t="shared" si="18"/>
        <v>1.89</v>
      </c>
      <c r="K395" s="583"/>
      <c r="L395" s="268" t="s">
        <v>2625</v>
      </c>
      <c r="M395" s="268" t="s">
        <v>2631</v>
      </c>
      <c r="N395" s="278">
        <f>IFERROR(INDEX('Data Lokasi'!S:S,MATCH('Input Real Tanam&amp;Petik Nanas'!C395,'Data Lokasi'!C:C,0)),"")</f>
        <v>44655</v>
      </c>
      <c r="O395" s="278"/>
      <c r="P395" s="283">
        <f>IFERROR(INDEX('Data Lokasi'!V:V,MATCH(C395,'Data Lokasi'!C:C,0)),"")</f>
        <v>0</v>
      </c>
      <c r="Q395" s="304">
        <f t="shared" si="19"/>
        <v>0</v>
      </c>
      <c r="R395" s="308"/>
    </row>
    <row r="396" spans="2:18" ht="15" hidden="1" thickTop="1">
      <c r="B396" s="269">
        <v>46207</v>
      </c>
      <c r="C396" s="268" t="s">
        <v>960</v>
      </c>
      <c r="D396" s="274">
        <f>IFERROR(VLOOKUP(C396,'Data Lokasi'!C:D,2,0),"")</f>
        <v>6.94</v>
      </c>
      <c r="E396" s="274" t="s">
        <v>2643</v>
      </c>
      <c r="F396" s="274"/>
      <c r="G396" s="274"/>
      <c r="H396" s="274"/>
      <c r="I396" s="274">
        <v>1.64</v>
      </c>
      <c r="J396" s="456">
        <f t="shared" si="18"/>
        <v>1.64</v>
      </c>
      <c r="K396" s="583"/>
      <c r="L396" s="268" t="s">
        <v>2625</v>
      </c>
      <c r="M396" s="268" t="s">
        <v>2631</v>
      </c>
      <c r="N396" s="278">
        <f>IFERROR(INDEX('Data Lokasi'!S:S,MATCH('Input Real Tanam&amp;Petik Nanas'!C396,'Data Lokasi'!C:C,0)),"")</f>
        <v>45652</v>
      </c>
      <c r="O396" s="278"/>
      <c r="P396" s="283">
        <f>IFERROR(INDEX('Data Lokasi'!V:V,MATCH(C396,'Data Lokasi'!C:C,0)),"")</f>
        <v>0</v>
      </c>
      <c r="Q396" s="304">
        <f t="shared" si="19"/>
        <v>0</v>
      </c>
      <c r="R396" s="308"/>
    </row>
    <row r="397" spans="2:18" ht="15" hidden="1" thickTop="1">
      <c r="B397" s="269">
        <v>46207</v>
      </c>
      <c r="C397" s="268" t="s">
        <v>445</v>
      </c>
      <c r="D397" s="274">
        <f>IFERROR(VLOOKUP(C397,'Data Lokasi'!C:D,2,0),"")</f>
        <v>10.65</v>
      </c>
      <c r="E397" s="274" t="s">
        <v>2643</v>
      </c>
      <c r="F397" s="274"/>
      <c r="G397" s="274"/>
      <c r="H397" s="274">
        <f>0.01+0.02</f>
        <v>0.03</v>
      </c>
      <c r="I397" s="274">
        <v>7.0000000000000007E-2</v>
      </c>
      <c r="J397" s="456">
        <f t="shared" si="18"/>
        <v>0.1</v>
      </c>
      <c r="K397" s="583"/>
      <c r="L397" s="268" t="s">
        <v>719</v>
      </c>
      <c r="M397" s="268" t="s">
        <v>2631</v>
      </c>
      <c r="N397" s="278">
        <f>IFERROR(INDEX('Data Lokasi'!S:S,MATCH('Input Real Tanam&amp;Petik Nanas'!C397,'Data Lokasi'!C:C,0)),"")</f>
        <v>46292</v>
      </c>
      <c r="O397" s="278"/>
      <c r="P397" s="283">
        <f>IFERROR(INDEX('Data Lokasi'!V:V,MATCH(C397,'Data Lokasi'!C:C,0)),"")</f>
        <v>10.52</v>
      </c>
      <c r="Q397" s="304">
        <f t="shared" si="19"/>
        <v>0.98779342723004693</v>
      </c>
      <c r="R397" s="308">
        <v>8</v>
      </c>
    </row>
    <row r="398" spans="2:18" ht="15" hidden="1" thickTop="1">
      <c r="B398" s="269">
        <v>46207</v>
      </c>
      <c r="C398" s="268" t="s">
        <v>2548</v>
      </c>
      <c r="D398" s="274">
        <f>IFERROR(VLOOKUP(C398,'Data Lokasi'!C:D,2,0),"")</f>
        <v>6.83</v>
      </c>
      <c r="E398" s="274" t="s">
        <v>2643</v>
      </c>
      <c r="F398" s="274"/>
      <c r="G398" s="274"/>
      <c r="H398" s="274"/>
      <c r="I398" s="274">
        <v>1.45</v>
      </c>
      <c r="J398" s="456">
        <f t="shared" si="18"/>
        <v>1.45</v>
      </c>
      <c r="K398" s="583"/>
      <c r="L398" s="268" t="s">
        <v>2625</v>
      </c>
      <c r="M398" s="268" t="s">
        <v>2631</v>
      </c>
      <c r="N398" s="278">
        <f>IFERROR(INDEX('Data Lokasi'!S:S,MATCH('Input Real Tanam&amp;Petik Nanas'!C398,'Data Lokasi'!C:C,0)),"")</f>
        <v>45600</v>
      </c>
      <c r="O398" s="278"/>
      <c r="P398" s="283">
        <f>IFERROR(INDEX('Data Lokasi'!V:V,MATCH(C398,'Data Lokasi'!C:C,0)),"")</f>
        <v>0</v>
      </c>
      <c r="Q398" s="304">
        <f t="shared" si="19"/>
        <v>0</v>
      </c>
      <c r="R398" s="308"/>
    </row>
    <row r="399" spans="2:18" ht="15" hidden="1" thickTop="1">
      <c r="B399" s="269">
        <v>46207</v>
      </c>
      <c r="C399" s="268" t="s">
        <v>494</v>
      </c>
      <c r="D399" s="274">
        <f>IFERROR(VLOOKUP(C399,'Data Lokasi'!C:D,2,0),"")</f>
        <v>9.68</v>
      </c>
      <c r="E399" s="274" t="s">
        <v>2643</v>
      </c>
      <c r="F399" s="274"/>
      <c r="G399" s="274"/>
      <c r="H399" s="274"/>
      <c r="I399" s="274">
        <v>0.81</v>
      </c>
      <c r="J399" s="456">
        <f t="shared" si="18"/>
        <v>0.81</v>
      </c>
      <c r="K399" s="583"/>
      <c r="L399" s="268" t="s">
        <v>2625</v>
      </c>
      <c r="M399" s="268" t="s">
        <v>2631</v>
      </c>
      <c r="N399" s="278">
        <f>IFERROR(INDEX('Data Lokasi'!S:S,MATCH('Input Real Tanam&amp;Petik Nanas'!C399,'Data Lokasi'!C:C,0)),"")</f>
        <v>44564</v>
      </c>
      <c r="O399" s="278"/>
      <c r="P399" s="283">
        <f>IFERROR(INDEX('Data Lokasi'!V:V,MATCH(C399,'Data Lokasi'!C:C,0)),"")</f>
        <v>0</v>
      </c>
      <c r="Q399" s="304">
        <f t="shared" si="19"/>
        <v>0</v>
      </c>
      <c r="R399" s="308"/>
    </row>
    <row r="400" spans="2:18" ht="15" hidden="1" thickTop="1">
      <c r="B400" s="269">
        <v>46207</v>
      </c>
      <c r="C400" s="268" t="s">
        <v>2662</v>
      </c>
      <c r="D400" s="274">
        <f>IFERROR(VLOOKUP(C400,'Data Lokasi'!C:D,2,0),"")</f>
        <v>5.64</v>
      </c>
      <c r="E400" s="274" t="s">
        <v>2642</v>
      </c>
      <c r="F400" s="274"/>
      <c r="G400" s="274"/>
      <c r="H400" s="274"/>
      <c r="I400" s="274">
        <v>0.72</v>
      </c>
      <c r="J400" s="456">
        <f t="shared" si="18"/>
        <v>0.72</v>
      </c>
      <c r="K400" s="583"/>
      <c r="L400" s="268" t="s">
        <v>2625</v>
      </c>
      <c r="M400" s="268" t="s">
        <v>2634</v>
      </c>
      <c r="N400" s="278">
        <f>IFERROR(INDEX('Data Lokasi'!S:S,MATCH('Input Real Tanam&amp;Petik Nanas'!C400,'Data Lokasi'!C:C,0)),"")</f>
        <v>46204</v>
      </c>
      <c r="O400" s="278"/>
      <c r="P400" s="283">
        <f>IFERROR(INDEX('Data Lokasi'!V:V,MATCH(C400,'Data Lokasi'!C:C,0)),"")</f>
        <v>0</v>
      </c>
      <c r="Q400" s="304">
        <f t="shared" si="19"/>
        <v>0</v>
      </c>
      <c r="R400" s="308"/>
    </row>
    <row r="401" spans="2:18" ht="15" hidden="1" thickTop="1">
      <c r="B401" s="269">
        <v>46207</v>
      </c>
      <c r="C401" s="268" t="s">
        <v>2663</v>
      </c>
      <c r="D401" s="274">
        <f>IFERROR(VLOOKUP(C401,'Data Lokasi'!C:D,2,0),"")</f>
        <v>7.48</v>
      </c>
      <c r="E401" s="274" t="s">
        <v>2642</v>
      </c>
      <c r="F401" s="274"/>
      <c r="G401" s="274"/>
      <c r="H401" s="274"/>
      <c r="I401" s="274">
        <v>1.27</v>
      </c>
      <c r="J401" s="456">
        <f t="shared" si="18"/>
        <v>1.27</v>
      </c>
      <c r="K401" s="583"/>
      <c r="L401" s="268" t="s">
        <v>2625</v>
      </c>
      <c r="M401" s="268" t="s">
        <v>2634</v>
      </c>
      <c r="N401" s="278">
        <f>IFERROR(INDEX('Data Lokasi'!S:S,MATCH('Input Real Tanam&amp;Petik Nanas'!C401,'Data Lokasi'!C:C,0)),"")</f>
        <v>46206</v>
      </c>
      <c r="O401" s="278"/>
      <c r="P401" s="283">
        <f>IFERROR(INDEX('Data Lokasi'!V:V,MATCH(C401,'Data Lokasi'!C:C,0)),"")</f>
        <v>0</v>
      </c>
      <c r="Q401" s="304">
        <f t="shared" si="19"/>
        <v>0</v>
      </c>
      <c r="R401" s="308"/>
    </row>
    <row r="402" spans="2:18" ht="15" hidden="1" thickTop="1">
      <c r="B402" s="269">
        <v>46207</v>
      </c>
      <c r="C402" s="268" t="s">
        <v>373</v>
      </c>
      <c r="D402" s="274">
        <f>IFERROR(VLOOKUP(C402,'Data Lokasi'!C:D,2,0),"")</f>
        <v>10.5</v>
      </c>
      <c r="E402" s="274" t="s">
        <v>2642</v>
      </c>
      <c r="F402" s="274"/>
      <c r="G402" s="274"/>
      <c r="H402" s="274">
        <v>0.04</v>
      </c>
      <c r="I402" s="274"/>
      <c r="J402" s="456">
        <f t="shared" si="18"/>
        <v>0.04</v>
      </c>
      <c r="K402" s="583"/>
      <c r="L402" s="268" t="s">
        <v>719</v>
      </c>
      <c r="M402" s="268" t="s">
        <v>2634</v>
      </c>
      <c r="N402" s="278">
        <f>IFERROR(INDEX('Data Lokasi'!S:S,MATCH('Input Real Tanam&amp;Petik Nanas'!C402,'Data Lokasi'!C:C,0)),"")</f>
        <v>44311</v>
      </c>
      <c r="O402" s="278"/>
      <c r="P402" s="283">
        <f>IFERROR(INDEX('Data Lokasi'!V:V,MATCH(C402,'Data Lokasi'!C:C,0)),"")</f>
        <v>0</v>
      </c>
      <c r="Q402" s="304">
        <f>IF(ISERROR(P402/D402),"",(P402/D402))</f>
        <v>0</v>
      </c>
      <c r="R402" s="308"/>
    </row>
    <row r="403" spans="2:18" ht="15" hidden="1" thickTop="1">
      <c r="B403" s="269">
        <v>46207</v>
      </c>
      <c r="C403" s="268" t="s">
        <v>366</v>
      </c>
      <c r="D403" s="274">
        <f>IFERROR(VLOOKUP(C403,'Data Lokasi'!C:D,2,0),"")</f>
        <v>5.88</v>
      </c>
      <c r="E403" s="274" t="s">
        <v>2642</v>
      </c>
      <c r="F403" s="274"/>
      <c r="G403" s="274"/>
      <c r="H403" s="274">
        <v>0.04</v>
      </c>
      <c r="I403" s="274"/>
      <c r="J403" s="456">
        <f t="shared" si="18"/>
        <v>0.04</v>
      </c>
      <c r="K403" s="583"/>
      <c r="L403" s="268" t="s">
        <v>719</v>
      </c>
      <c r="M403" s="268" t="s">
        <v>2634</v>
      </c>
      <c r="N403" s="278">
        <f>IFERROR(INDEX('Data Lokasi'!S:S,MATCH('Input Real Tanam&amp;Petik Nanas'!C403,'Data Lokasi'!C:C,0)),"")</f>
        <v>44300</v>
      </c>
      <c r="O403" s="278"/>
      <c r="P403" s="283">
        <f>IFERROR(INDEX('Data Lokasi'!V:V,MATCH(C403,'Data Lokasi'!C:C,0)),"")</f>
        <v>0</v>
      </c>
      <c r="Q403" s="304">
        <f t="shared" si="19"/>
        <v>0</v>
      </c>
      <c r="R403" s="308"/>
    </row>
    <row r="404" spans="2:18" ht="15" hidden="1" thickTop="1">
      <c r="B404" s="269">
        <v>46207</v>
      </c>
      <c r="C404" s="268" t="s">
        <v>552</v>
      </c>
      <c r="D404" s="274">
        <f>IFERROR(VLOOKUP(C404,'Data Lokasi'!C:D,2,0),"")</f>
        <v>13.36</v>
      </c>
      <c r="E404" s="274" t="s">
        <v>2642</v>
      </c>
      <c r="F404" s="274"/>
      <c r="G404" s="274"/>
      <c r="H404" s="274"/>
      <c r="I404" s="274">
        <v>0.06</v>
      </c>
      <c r="J404" s="456">
        <f t="shared" si="18"/>
        <v>0.06</v>
      </c>
      <c r="K404" s="583"/>
      <c r="L404" s="268" t="s">
        <v>2625</v>
      </c>
      <c r="M404" s="268" t="s">
        <v>2634</v>
      </c>
      <c r="N404" s="278">
        <f>IFERROR(INDEX('Data Lokasi'!S:S,MATCH('Input Real Tanam&amp;Petik Nanas'!C404,'Data Lokasi'!C:C,0)),"")</f>
        <v>44655</v>
      </c>
      <c r="O404" s="278"/>
      <c r="P404" s="283">
        <f>IFERROR(INDEX('Data Lokasi'!V:V,MATCH(C404,'Data Lokasi'!C:C,0)),"")</f>
        <v>0</v>
      </c>
      <c r="Q404" s="304">
        <f t="shared" si="19"/>
        <v>0</v>
      </c>
      <c r="R404" s="308"/>
    </row>
    <row r="405" spans="2:18" ht="15" hidden="1" thickTop="1">
      <c r="B405" s="269">
        <v>46207</v>
      </c>
      <c r="C405" s="268" t="s">
        <v>320</v>
      </c>
      <c r="D405" s="274">
        <f>IFERROR(VLOOKUP(C405,'Data Lokasi'!C:D,2,0),"")</f>
        <v>9.0299999999999994</v>
      </c>
      <c r="E405" s="274" t="s">
        <v>2642</v>
      </c>
      <c r="F405" s="274"/>
      <c r="G405" s="274"/>
      <c r="H405" s="274">
        <f>0.4+0.34</f>
        <v>0.74</v>
      </c>
      <c r="I405" s="274"/>
      <c r="J405" s="456">
        <f t="shared" si="18"/>
        <v>0.74</v>
      </c>
      <c r="K405" s="583"/>
      <c r="L405" s="268" t="s">
        <v>719</v>
      </c>
      <c r="M405" s="268" t="s">
        <v>2634</v>
      </c>
      <c r="N405" s="278">
        <f>IFERROR(INDEX('Data Lokasi'!S:S,MATCH('Input Real Tanam&amp;Petik Nanas'!C405,'Data Lokasi'!C:C,0)),"")</f>
        <v>44216</v>
      </c>
      <c r="O405" s="278"/>
      <c r="P405" s="283">
        <f>IFERROR(INDEX('Data Lokasi'!V:V,MATCH(C405,'Data Lokasi'!C:C,0)),"")</f>
        <v>0</v>
      </c>
      <c r="Q405" s="304">
        <f t="shared" si="19"/>
        <v>0</v>
      </c>
      <c r="R405" s="308"/>
    </row>
    <row r="406" spans="2:18" ht="15" hidden="1" thickTop="1">
      <c r="B406" s="269">
        <v>46207</v>
      </c>
      <c r="C406" s="268" t="s">
        <v>232</v>
      </c>
      <c r="D406" s="274">
        <f>IFERROR(VLOOKUP(C406,'Data Lokasi'!C:D,2,0),"")</f>
        <v>8.7799999999999994</v>
      </c>
      <c r="E406" s="274" t="s">
        <v>2642</v>
      </c>
      <c r="F406" s="274"/>
      <c r="G406" s="274"/>
      <c r="H406" s="274"/>
      <c r="I406" s="274">
        <v>0.04</v>
      </c>
      <c r="J406" s="456">
        <f t="shared" si="18"/>
        <v>0.04</v>
      </c>
      <c r="K406" s="583"/>
      <c r="L406" s="268" t="s">
        <v>2625</v>
      </c>
      <c r="M406" s="268" t="s">
        <v>2631</v>
      </c>
      <c r="N406" s="278">
        <f>IFERROR(INDEX('Data Lokasi'!S:S,MATCH('Input Real Tanam&amp;Petik Nanas'!C406,'Data Lokasi'!C:C,0)),"")</f>
        <v>44022</v>
      </c>
      <c r="O406" s="278"/>
      <c r="P406" s="283">
        <f>IFERROR(INDEX('Data Lokasi'!V:V,MATCH(C406,'Data Lokasi'!C:C,0)),"")</f>
        <v>0</v>
      </c>
      <c r="Q406" s="304">
        <f t="shared" si="19"/>
        <v>0</v>
      </c>
      <c r="R406" s="308"/>
    </row>
    <row r="407" spans="2:18" ht="15" hidden="1" thickTop="1">
      <c r="B407" s="269">
        <v>46207</v>
      </c>
      <c r="C407" s="268" t="s">
        <v>670</v>
      </c>
      <c r="D407" s="274">
        <f>IFERROR(VLOOKUP(C407,'Data Lokasi'!C:D,2,0),"")</f>
        <v>4.7</v>
      </c>
      <c r="E407" s="274" t="s">
        <v>2642</v>
      </c>
      <c r="F407" s="274"/>
      <c r="G407" s="274"/>
      <c r="H407" s="274"/>
      <c r="I407" s="274">
        <v>0.12</v>
      </c>
      <c r="J407" s="456">
        <f t="shared" si="18"/>
        <v>0.12</v>
      </c>
      <c r="K407" s="583"/>
      <c r="L407" s="268" t="s">
        <v>2625</v>
      </c>
      <c r="M407" s="268" t="s">
        <v>2631</v>
      </c>
      <c r="N407" s="278">
        <f>IFERROR(INDEX('Data Lokasi'!S:S,MATCH('Input Real Tanam&amp;Petik Nanas'!C407,'Data Lokasi'!C:C,0)),"")</f>
        <v>45071</v>
      </c>
      <c r="O407" s="278"/>
      <c r="P407" s="283">
        <f>IFERROR(INDEX('Data Lokasi'!V:V,MATCH(C407,'Data Lokasi'!C:C,0)),"")</f>
        <v>0</v>
      </c>
      <c r="Q407" s="304">
        <f t="shared" si="19"/>
        <v>0</v>
      </c>
      <c r="R407" s="308"/>
    </row>
    <row r="408" spans="2:18" ht="15" hidden="1" thickTop="1">
      <c r="B408" s="269">
        <v>46207</v>
      </c>
      <c r="C408" s="268" t="s">
        <v>671</v>
      </c>
      <c r="D408" s="274">
        <f>IFERROR(VLOOKUP(C408,'Data Lokasi'!C:D,2,0),"")</f>
        <v>7.82</v>
      </c>
      <c r="E408" s="274" t="s">
        <v>2642</v>
      </c>
      <c r="F408" s="274"/>
      <c r="G408" s="274"/>
      <c r="H408" s="274"/>
      <c r="I408" s="274">
        <v>0.04</v>
      </c>
      <c r="J408" s="456">
        <f t="shared" si="18"/>
        <v>0.04</v>
      </c>
      <c r="K408" s="583"/>
      <c r="L408" s="268" t="s">
        <v>2625</v>
      </c>
      <c r="M408" s="268" t="s">
        <v>2631</v>
      </c>
      <c r="N408" s="278">
        <f>IFERROR(INDEX('Data Lokasi'!S:S,MATCH('Input Real Tanam&amp;Petik Nanas'!C408,'Data Lokasi'!C:C,0)),"")</f>
        <v>45067</v>
      </c>
      <c r="O408" s="278"/>
      <c r="P408" s="283">
        <f>IFERROR(INDEX('Data Lokasi'!V:V,MATCH(C408,'Data Lokasi'!C:C,0)),"")</f>
        <v>0</v>
      </c>
      <c r="Q408" s="304">
        <f t="shared" si="19"/>
        <v>0</v>
      </c>
      <c r="R408" s="308"/>
    </row>
    <row r="409" spans="2:18" ht="15" hidden="1" thickTop="1">
      <c r="B409" s="269">
        <v>46207</v>
      </c>
      <c r="C409" s="268" t="s">
        <v>689</v>
      </c>
      <c r="D409" s="274">
        <f>IFERROR(VLOOKUP(C409,'Data Lokasi'!C:D,2,0),"")</f>
        <v>7.2</v>
      </c>
      <c r="E409" s="274" t="s">
        <v>2642</v>
      </c>
      <c r="F409" s="274"/>
      <c r="G409" s="274"/>
      <c r="H409" s="274"/>
      <c r="I409" s="274">
        <v>0.05</v>
      </c>
      <c r="J409" s="456">
        <f t="shared" si="18"/>
        <v>0.05</v>
      </c>
      <c r="K409" s="583"/>
      <c r="L409" s="268" t="s">
        <v>2625</v>
      </c>
      <c r="M409" s="268" t="s">
        <v>2631</v>
      </c>
      <c r="N409" s="278">
        <f>IFERROR(INDEX('Data Lokasi'!S:S,MATCH('Input Real Tanam&amp;Petik Nanas'!C409,'Data Lokasi'!C:C,0)),"")</f>
        <v>45132</v>
      </c>
      <c r="O409" s="278"/>
      <c r="P409" s="283">
        <f>IFERROR(INDEX('Data Lokasi'!V:V,MATCH(C409,'Data Lokasi'!C:C,0)),"")</f>
        <v>0</v>
      </c>
      <c r="Q409" s="304">
        <f t="shared" si="19"/>
        <v>0</v>
      </c>
      <c r="R409" s="308"/>
    </row>
    <row r="410" spans="2:18" ht="15" hidden="1" thickTop="1">
      <c r="B410" s="269">
        <v>46207</v>
      </c>
      <c r="C410" s="268" t="s">
        <v>685</v>
      </c>
      <c r="D410" s="274">
        <f>IFERROR(VLOOKUP(C410,'Data Lokasi'!C:D,2,0),"")</f>
        <v>5.82</v>
      </c>
      <c r="E410" s="274" t="s">
        <v>2642</v>
      </c>
      <c r="F410" s="274"/>
      <c r="G410" s="274"/>
      <c r="H410" s="274"/>
      <c r="I410" s="274">
        <v>0.24</v>
      </c>
      <c r="J410" s="456">
        <f t="shared" si="18"/>
        <v>0.24</v>
      </c>
      <c r="K410" s="583"/>
      <c r="L410" s="268" t="s">
        <v>2625</v>
      </c>
      <c r="M410" s="268" t="s">
        <v>2631</v>
      </c>
      <c r="N410" s="278">
        <f>IFERROR(INDEX('Data Lokasi'!S:S,MATCH('Input Real Tanam&amp;Petik Nanas'!C410,'Data Lokasi'!C:C,0)),"")</f>
        <v>45117</v>
      </c>
      <c r="O410" s="278"/>
      <c r="P410" s="283">
        <f>IFERROR(INDEX('Data Lokasi'!V:V,MATCH(C410,'Data Lokasi'!C:C,0)),"")</f>
        <v>0</v>
      </c>
      <c r="Q410" s="304">
        <f t="shared" si="19"/>
        <v>0</v>
      </c>
      <c r="R410" s="308"/>
    </row>
    <row r="411" spans="2:18" ht="15" hidden="1" thickTop="1">
      <c r="B411" s="269">
        <v>46207</v>
      </c>
      <c r="C411" s="268" t="s">
        <v>688</v>
      </c>
      <c r="D411" s="274">
        <f>IFERROR(VLOOKUP(C411,'Data Lokasi'!C:D,2,0),"")</f>
        <v>7.73</v>
      </c>
      <c r="E411" s="274" t="s">
        <v>2642</v>
      </c>
      <c r="F411" s="274"/>
      <c r="G411" s="274"/>
      <c r="H411" s="274"/>
      <c r="I411" s="274">
        <v>0.99</v>
      </c>
      <c r="J411" s="456">
        <f t="shared" si="18"/>
        <v>0.99</v>
      </c>
      <c r="K411" s="583"/>
      <c r="L411" s="268" t="s">
        <v>2625</v>
      </c>
      <c r="M411" s="268" t="s">
        <v>2631</v>
      </c>
      <c r="N411" s="278">
        <f>IFERROR(INDEX('Data Lokasi'!S:S,MATCH('Input Real Tanam&amp;Petik Nanas'!C411,'Data Lokasi'!C:C,0)),"")</f>
        <v>45119</v>
      </c>
      <c r="O411" s="278"/>
      <c r="P411" s="283">
        <f>IFERROR(INDEX('Data Lokasi'!V:V,MATCH(C411,'Data Lokasi'!C:C,0)),"")</f>
        <v>0</v>
      </c>
      <c r="Q411" s="304">
        <f t="shared" si="19"/>
        <v>0</v>
      </c>
      <c r="R411" s="308"/>
    </row>
    <row r="412" spans="2:18" ht="15" hidden="1" thickTop="1">
      <c r="B412" s="269">
        <v>46207</v>
      </c>
      <c r="C412" s="317" t="s">
        <v>700</v>
      </c>
      <c r="D412" s="274">
        <f>IFERROR(VLOOKUP(C412,'Data Lokasi'!C:D,2,0),"")</f>
        <v>8.44</v>
      </c>
      <c r="E412" s="274" t="s">
        <v>2642</v>
      </c>
      <c r="F412" s="274"/>
      <c r="G412" s="274"/>
      <c r="H412" s="274"/>
      <c r="I412" s="274">
        <v>1.1000000000000001</v>
      </c>
      <c r="J412" s="456">
        <f t="shared" si="18"/>
        <v>1.1000000000000001</v>
      </c>
      <c r="K412" s="583"/>
      <c r="L412" s="268" t="s">
        <v>2625</v>
      </c>
      <c r="M412" s="268" t="s">
        <v>2631</v>
      </c>
      <c r="N412" s="278">
        <f>IFERROR(INDEX('Data Lokasi'!S:S,MATCH('Input Real Tanam&amp;Petik Nanas'!C412,'Data Lokasi'!C:C,0)),"")</f>
        <v>45166</v>
      </c>
      <c r="O412" s="278"/>
      <c r="P412" s="283">
        <f>IFERROR(INDEX('Data Lokasi'!V:V,MATCH(C412,'Data Lokasi'!C:C,0)),"")</f>
        <v>0</v>
      </c>
      <c r="Q412" s="304">
        <f t="shared" si="19"/>
        <v>0</v>
      </c>
      <c r="R412" s="308"/>
    </row>
    <row r="413" spans="2:18" ht="15" hidden="1" thickTop="1">
      <c r="B413" s="269">
        <v>46208</v>
      </c>
      <c r="C413" s="268" t="s">
        <v>381</v>
      </c>
      <c r="D413" s="274">
        <f>IFERROR(VLOOKUP(C413,'Data Lokasi'!C:D,2,0),"")</f>
        <v>8.18</v>
      </c>
      <c r="E413" s="274" t="s">
        <v>2643</v>
      </c>
      <c r="F413" s="274"/>
      <c r="G413" s="274">
        <v>7.0000000000000007E-2</v>
      </c>
      <c r="H413" s="274">
        <f>0.18+0.33</f>
        <v>0.51</v>
      </c>
      <c r="I413" s="274"/>
      <c r="J413" s="456">
        <f t="shared" si="18"/>
        <v>0.58000000000000007</v>
      </c>
      <c r="K413" s="583"/>
      <c r="L413" s="268" t="s">
        <v>719</v>
      </c>
      <c r="M413" s="268" t="s">
        <v>2634</v>
      </c>
      <c r="N413" s="278">
        <f>IFERROR(INDEX('Data Lokasi'!S:S,MATCH('Input Real Tanam&amp;Petik Nanas'!C413,'Data Lokasi'!C:C,0)),"")</f>
        <v>44335</v>
      </c>
      <c r="O413" s="278"/>
      <c r="P413" s="283">
        <f>IFERROR(INDEX('Data Lokasi'!V:V,MATCH(C413,'Data Lokasi'!C:C,0)),"")</f>
        <v>0</v>
      </c>
      <c r="Q413" s="304">
        <f t="shared" si="19"/>
        <v>0</v>
      </c>
      <c r="R413" s="308">
        <v>5</v>
      </c>
    </row>
    <row r="414" spans="2:18" ht="15" hidden="1" thickTop="1">
      <c r="B414" s="269">
        <v>46208</v>
      </c>
      <c r="C414" s="268" t="s">
        <v>171</v>
      </c>
      <c r="D414" s="274">
        <f>IFERROR(VLOOKUP(C414,'Data Lokasi'!C:D,2,0),"")</f>
        <v>5.38</v>
      </c>
      <c r="E414" s="274" t="s">
        <v>2643</v>
      </c>
      <c r="F414" s="274"/>
      <c r="G414" s="274">
        <f>0.001+0.06</f>
        <v>6.0999999999999999E-2</v>
      </c>
      <c r="H414" s="274">
        <f>0.16+0.2</f>
        <v>0.36</v>
      </c>
      <c r="I414" s="274">
        <v>0.2</v>
      </c>
      <c r="J414" s="456">
        <f t="shared" si="18"/>
        <v>0.621</v>
      </c>
      <c r="K414" s="583"/>
      <c r="L414" s="268" t="s">
        <v>719</v>
      </c>
      <c r="M414" s="268" t="s">
        <v>2631</v>
      </c>
      <c r="N414" s="278">
        <f>IFERROR(INDEX('Data Lokasi'!S:S,MATCH('Input Real Tanam&amp;Petik Nanas'!C414,'Data Lokasi'!C:C,0)),"")</f>
        <v>43919</v>
      </c>
      <c r="O414" s="278"/>
      <c r="P414" s="283">
        <f>IFERROR(INDEX('Data Lokasi'!V:V,MATCH(C414,'Data Lokasi'!C:C,0)),"")</f>
        <v>0</v>
      </c>
      <c r="Q414" s="304">
        <f t="shared" si="19"/>
        <v>0</v>
      </c>
      <c r="R414" s="308">
        <v>4</v>
      </c>
    </row>
    <row r="415" spans="2:18" ht="15" hidden="1" thickTop="1">
      <c r="B415" s="269">
        <v>46208</v>
      </c>
      <c r="C415" s="268" t="s">
        <v>514</v>
      </c>
      <c r="D415" s="274">
        <f>IFERROR(VLOOKUP(C415,'Data Lokasi'!C:D,2,0),"")</f>
        <v>9.68</v>
      </c>
      <c r="E415" s="274" t="s">
        <v>2643</v>
      </c>
      <c r="F415" s="274"/>
      <c r="G415" s="274"/>
      <c r="H415" s="274"/>
      <c r="I415" s="274">
        <v>0.34</v>
      </c>
      <c r="J415" s="456">
        <f t="shared" si="18"/>
        <v>0.34</v>
      </c>
      <c r="K415" s="583"/>
      <c r="L415" s="268" t="s">
        <v>2625</v>
      </c>
      <c r="M415" s="268" t="s">
        <v>2631</v>
      </c>
      <c r="N415" s="278">
        <f>IFERROR(INDEX('Data Lokasi'!S:S,MATCH('Input Real Tanam&amp;Petik Nanas'!C415,'Data Lokasi'!C:C,0)),"")</f>
        <v>44578</v>
      </c>
      <c r="O415" s="278"/>
      <c r="P415" s="283">
        <f>IFERROR(INDEX('Data Lokasi'!V:V,MATCH(C415,'Data Lokasi'!C:C,0)),"")</f>
        <v>0</v>
      </c>
      <c r="Q415" s="304">
        <f t="shared" si="19"/>
        <v>0</v>
      </c>
      <c r="R415" s="308"/>
    </row>
    <row r="416" spans="2:18" ht="15" hidden="1" thickTop="1">
      <c r="B416" s="269">
        <v>46208</v>
      </c>
      <c r="C416" s="268" t="s">
        <v>562</v>
      </c>
      <c r="D416" s="274">
        <f>IFERROR(VLOOKUP(C416,'Data Lokasi'!C:D,2,0),"")</f>
        <v>4.57</v>
      </c>
      <c r="E416" s="274" t="s">
        <v>2643</v>
      </c>
      <c r="F416" s="274"/>
      <c r="G416" s="274"/>
      <c r="H416" s="274"/>
      <c r="I416" s="274">
        <v>0.26</v>
      </c>
      <c r="J416" s="456">
        <f t="shared" si="18"/>
        <v>0.26</v>
      </c>
      <c r="K416" s="583"/>
      <c r="L416" s="268" t="s">
        <v>2625</v>
      </c>
      <c r="M416" s="268" t="s">
        <v>2631</v>
      </c>
      <c r="N416" s="278">
        <f>IFERROR(INDEX('Data Lokasi'!S:S,MATCH('Input Real Tanam&amp;Petik Nanas'!C416,'Data Lokasi'!C:C,0)),"")</f>
        <v>44669</v>
      </c>
      <c r="O416" s="278"/>
      <c r="P416" s="283">
        <f>IFERROR(INDEX('Data Lokasi'!V:V,MATCH(C416,'Data Lokasi'!C:C,0)),"")</f>
        <v>0</v>
      </c>
      <c r="Q416" s="304">
        <f t="shared" si="19"/>
        <v>0</v>
      </c>
      <c r="R416" s="308"/>
    </row>
    <row r="417" spans="2:18" ht="15" hidden="1" thickTop="1">
      <c r="B417" s="269">
        <v>46208</v>
      </c>
      <c r="C417" s="268" t="s">
        <v>2498</v>
      </c>
      <c r="D417" s="274">
        <f>IFERROR(VLOOKUP(C417,'Data Lokasi'!C:D,2,0),"")</f>
        <v>4.6500000000000004</v>
      </c>
      <c r="E417" s="274" t="s">
        <v>2643</v>
      </c>
      <c r="F417" s="274"/>
      <c r="G417" s="274"/>
      <c r="H417" s="274"/>
      <c r="I417" s="274">
        <v>0.86</v>
      </c>
      <c r="J417" s="456">
        <f t="shared" si="18"/>
        <v>0.86</v>
      </c>
      <c r="K417" s="583"/>
      <c r="L417" s="268" t="s">
        <v>2625</v>
      </c>
      <c r="M417" s="268" t="s">
        <v>2631</v>
      </c>
      <c r="N417" s="278">
        <f>IFERROR(INDEX('Data Lokasi'!S:S,MATCH('Input Real Tanam&amp;Petik Nanas'!C417,'Data Lokasi'!C:C,0)),"")</f>
        <v>45700</v>
      </c>
      <c r="O417" s="278"/>
      <c r="P417" s="283">
        <f>IFERROR(INDEX('Data Lokasi'!V:V,MATCH(C417,'Data Lokasi'!C:C,0)),"")</f>
        <v>0</v>
      </c>
      <c r="Q417" s="304">
        <f t="shared" si="19"/>
        <v>0</v>
      </c>
      <c r="R417" s="308"/>
    </row>
    <row r="418" spans="2:18" ht="15" hidden="1" thickTop="1">
      <c r="B418" s="269">
        <v>46208</v>
      </c>
      <c r="C418" s="268" t="s">
        <v>494</v>
      </c>
      <c r="D418" s="274">
        <f>IFERROR(VLOOKUP(C418,'Data Lokasi'!C:D,2,0),"")</f>
        <v>9.68</v>
      </c>
      <c r="E418" s="274" t="s">
        <v>2643</v>
      </c>
      <c r="F418" s="274"/>
      <c r="G418" s="274"/>
      <c r="H418" s="274"/>
      <c r="I418" s="274">
        <v>0.18</v>
      </c>
      <c r="J418" s="456">
        <f t="shared" ref="J418:J481" si="20">IF(SUM(F418:I418)=0,"",(SUM(F418:I418)))</f>
        <v>0.18</v>
      </c>
      <c r="K418" s="583"/>
      <c r="L418" s="268" t="s">
        <v>2625</v>
      </c>
      <c r="M418" s="268" t="s">
        <v>2631</v>
      </c>
      <c r="N418" s="278">
        <f>IFERROR(INDEX('Data Lokasi'!S:S,MATCH('Input Real Tanam&amp;Petik Nanas'!C418,'Data Lokasi'!C:C,0)),"")</f>
        <v>44564</v>
      </c>
      <c r="O418" s="278"/>
      <c r="P418" s="283">
        <f>IFERROR(INDEX('Data Lokasi'!V:V,MATCH(C418,'Data Lokasi'!C:C,0)),"")</f>
        <v>0</v>
      </c>
      <c r="Q418" s="304">
        <f t="shared" ref="Q418:Q481" si="21">IF(ISERROR(P418/D418),"",(P418/D418))</f>
        <v>0</v>
      </c>
      <c r="R418" s="308"/>
    </row>
    <row r="419" spans="2:18" ht="15" hidden="1" thickTop="1">
      <c r="B419" s="269">
        <v>46208</v>
      </c>
      <c r="C419" s="268" t="s">
        <v>2663</v>
      </c>
      <c r="D419" s="274">
        <f>IFERROR(VLOOKUP(C419,'Data Lokasi'!C:D,2,0),"")</f>
        <v>7.48</v>
      </c>
      <c r="E419" s="274" t="s">
        <v>2642</v>
      </c>
      <c r="F419" s="274"/>
      <c r="G419" s="274"/>
      <c r="H419" s="274"/>
      <c r="I419" s="274">
        <v>1.57</v>
      </c>
      <c r="J419" s="456">
        <f t="shared" si="20"/>
        <v>1.57</v>
      </c>
      <c r="K419" s="583"/>
      <c r="L419" s="268" t="s">
        <v>2625</v>
      </c>
      <c r="M419" s="268" t="s">
        <v>2634</v>
      </c>
      <c r="N419" s="278">
        <f>IFERROR(INDEX('Data Lokasi'!S:S,MATCH('Input Real Tanam&amp;Petik Nanas'!C419,'Data Lokasi'!C:C,0)),"")</f>
        <v>46206</v>
      </c>
      <c r="O419" s="278"/>
      <c r="P419" s="283">
        <f>IFERROR(INDEX('Data Lokasi'!V:V,MATCH(C419,'Data Lokasi'!C:C,0)),"")</f>
        <v>0</v>
      </c>
      <c r="Q419" s="304">
        <f t="shared" si="21"/>
        <v>0</v>
      </c>
      <c r="R419" s="308"/>
    </row>
    <row r="420" spans="2:18" ht="15" hidden="1" thickTop="1">
      <c r="B420" s="269">
        <v>46208</v>
      </c>
      <c r="C420" s="268" t="s">
        <v>329</v>
      </c>
      <c r="D420" s="274">
        <f>IFERROR(VLOOKUP(C420,'Data Lokasi'!C:D,2,0),"")</f>
        <v>6.68</v>
      </c>
      <c r="E420" s="274" t="s">
        <v>2642</v>
      </c>
      <c r="F420" s="274"/>
      <c r="G420" s="274"/>
      <c r="H420" s="274"/>
      <c r="I420" s="274">
        <v>0.33</v>
      </c>
      <c r="J420" s="456">
        <f t="shared" si="20"/>
        <v>0.33</v>
      </c>
      <c r="K420" s="583"/>
      <c r="L420" s="268" t="s">
        <v>2625</v>
      </c>
      <c r="M420" s="268" t="s">
        <v>2634</v>
      </c>
      <c r="N420" s="278">
        <f>IFERROR(INDEX('Data Lokasi'!S:S,MATCH('Input Real Tanam&amp;Petik Nanas'!C420,'Data Lokasi'!C:C,0)),"")</f>
        <v>44218</v>
      </c>
      <c r="O420" s="278"/>
      <c r="P420" s="283">
        <f>IFERROR(INDEX('Data Lokasi'!V:V,MATCH(C420,'Data Lokasi'!C:C,0)),"")</f>
        <v>0</v>
      </c>
      <c r="Q420" s="304">
        <f t="shared" si="21"/>
        <v>0</v>
      </c>
      <c r="R420" s="308"/>
    </row>
    <row r="421" spans="2:18" ht="15" hidden="1" thickTop="1">
      <c r="B421" s="269">
        <v>46208</v>
      </c>
      <c r="C421" s="268" t="s">
        <v>320</v>
      </c>
      <c r="D421" s="274">
        <f>IFERROR(VLOOKUP(C421,'Data Lokasi'!C:D,2,0),"")</f>
        <v>9.0299999999999994</v>
      </c>
      <c r="E421" s="274" t="s">
        <v>2642</v>
      </c>
      <c r="F421" s="274"/>
      <c r="G421" s="274"/>
      <c r="H421" s="274">
        <v>0.65</v>
      </c>
      <c r="I421" s="274"/>
      <c r="J421" s="456">
        <f t="shared" si="20"/>
        <v>0.65</v>
      </c>
      <c r="K421" s="583"/>
      <c r="L421" s="268" t="s">
        <v>719</v>
      </c>
      <c r="M421" s="268" t="s">
        <v>2634</v>
      </c>
      <c r="N421" s="278">
        <f>IFERROR(INDEX('Data Lokasi'!S:S,MATCH('Input Real Tanam&amp;Petik Nanas'!C421,'Data Lokasi'!C:C,0)),"")</f>
        <v>44216</v>
      </c>
      <c r="O421" s="278"/>
      <c r="P421" s="283">
        <f>IFERROR(INDEX('Data Lokasi'!V:V,MATCH(C421,'Data Lokasi'!C:C,0)),"")</f>
        <v>0</v>
      </c>
      <c r="Q421" s="304">
        <f t="shared" si="21"/>
        <v>0</v>
      </c>
      <c r="R421" s="308"/>
    </row>
    <row r="422" spans="2:18" ht="15" hidden="1" thickTop="1">
      <c r="B422" s="269">
        <v>46208</v>
      </c>
      <c r="C422" s="268" t="s">
        <v>678</v>
      </c>
      <c r="D422" s="274">
        <f>IFERROR(VLOOKUP(C422,'Data Lokasi'!C:D,2,0),"")</f>
        <v>7.7</v>
      </c>
      <c r="E422" s="274" t="s">
        <v>2642</v>
      </c>
      <c r="F422" s="274"/>
      <c r="G422" s="274"/>
      <c r="H422" s="274">
        <v>0.15</v>
      </c>
      <c r="I422" s="274"/>
      <c r="J422" s="456">
        <f t="shared" si="20"/>
        <v>0.15</v>
      </c>
      <c r="K422" s="583"/>
      <c r="L422" s="268" t="s">
        <v>719</v>
      </c>
      <c r="M422" s="268" t="s">
        <v>2631</v>
      </c>
      <c r="N422" s="278">
        <f>IFERROR(INDEX('Data Lokasi'!S:S,MATCH('Input Real Tanam&amp;Petik Nanas'!C422,'Data Lokasi'!C:C,0)),"")</f>
        <v>45083</v>
      </c>
      <c r="O422" s="278"/>
      <c r="P422" s="283">
        <f>IFERROR(INDEX('Data Lokasi'!V:V,MATCH(C422,'Data Lokasi'!C:C,0)),"")</f>
        <v>0</v>
      </c>
      <c r="Q422" s="304">
        <f t="shared" si="21"/>
        <v>0</v>
      </c>
      <c r="R422" s="308"/>
    </row>
    <row r="423" spans="2:18" ht="15" hidden="1" thickTop="1">
      <c r="B423" s="269">
        <v>46208</v>
      </c>
      <c r="C423" s="268" t="s">
        <v>697</v>
      </c>
      <c r="D423" s="274">
        <f>IFERROR(VLOOKUP(C423,'Data Lokasi'!C:D,2,0),"")</f>
        <v>4.16</v>
      </c>
      <c r="E423" s="274" t="s">
        <v>2642</v>
      </c>
      <c r="F423" s="274"/>
      <c r="G423" s="274"/>
      <c r="H423" s="274"/>
      <c r="I423" s="274">
        <v>1.76</v>
      </c>
      <c r="J423" s="456">
        <f t="shared" si="20"/>
        <v>1.76</v>
      </c>
      <c r="K423" s="583"/>
      <c r="L423" s="268" t="s">
        <v>2625</v>
      </c>
      <c r="M423" s="268" t="s">
        <v>2631</v>
      </c>
      <c r="N423" s="278">
        <f>IFERROR(INDEX('Data Lokasi'!S:S,MATCH('Input Real Tanam&amp;Petik Nanas'!C423,'Data Lokasi'!C:C,0)),"")</f>
        <v>45159</v>
      </c>
      <c r="O423" s="278"/>
      <c r="P423" s="283">
        <f>IFERROR(INDEX('Data Lokasi'!V:V,MATCH(C423,'Data Lokasi'!C:C,0)),"")</f>
        <v>0</v>
      </c>
      <c r="Q423" s="304">
        <f t="shared" si="21"/>
        <v>0</v>
      </c>
      <c r="R423" s="308"/>
    </row>
    <row r="424" spans="2:18" ht="15" hidden="1" thickTop="1">
      <c r="B424" s="269">
        <v>46208</v>
      </c>
      <c r="C424" s="317" t="s">
        <v>700</v>
      </c>
      <c r="D424" s="274">
        <f>IFERROR(VLOOKUP(C424,'Data Lokasi'!C:D,2,0),"")</f>
        <v>8.44</v>
      </c>
      <c r="E424" s="274" t="s">
        <v>2642</v>
      </c>
      <c r="F424" s="274"/>
      <c r="G424" s="274"/>
      <c r="H424" s="274"/>
      <c r="I424" s="274">
        <v>0.64</v>
      </c>
      <c r="J424" s="456">
        <f t="shared" si="20"/>
        <v>0.64</v>
      </c>
      <c r="K424" s="583"/>
      <c r="L424" s="268" t="s">
        <v>2625</v>
      </c>
      <c r="M424" s="268" t="s">
        <v>2631</v>
      </c>
      <c r="N424" s="278">
        <f>IFERROR(INDEX('Data Lokasi'!S:S,MATCH('Input Real Tanam&amp;Petik Nanas'!C424,'Data Lokasi'!C:C,0)),"")</f>
        <v>45166</v>
      </c>
      <c r="O424" s="278"/>
      <c r="P424" s="283">
        <f>IFERROR(INDEX('Data Lokasi'!V:V,MATCH(C424,'Data Lokasi'!C:C,0)),"")</f>
        <v>0</v>
      </c>
      <c r="Q424" s="304">
        <f t="shared" si="21"/>
        <v>0</v>
      </c>
      <c r="R424" s="308"/>
    </row>
    <row r="425" spans="2:18" ht="15" hidden="1" thickTop="1">
      <c r="B425" s="269">
        <v>46209</v>
      </c>
      <c r="C425" s="268" t="s">
        <v>534</v>
      </c>
      <c r="D425" s="274">
        <f>IFERROR(VLOOKUP(C425,'Data Lokasi'!C:D,2,0),"")</f>
        <v>6.6</v>
      </c>
      <c r="E425" s="274" t="s">
        <v>2643</v>
      </c>
      <c r="F425" s="274"/>
      <c r="G425" s="274"/>
      <c r="H425" s="274">
        <f>0.09+0.17</f>
        <v>0.26</v>
      </c>
      <c r="I425" s="274"/>
      <c r="J425" s="456">
        <f t="shared" si="20"/>
        <v>0.26</v>
      </c>
      <c r="K425" s="583"/>
      <c r="L425" s="268" t="s">
        <v>719</v>
      </c>
      <c r="M425" s="268" t="s">
        <v>2631</v>
      </c>
      <c r="N425" s="278">
        <f>IFERROR(INDEX('Data Lokasi'!S:S,MATCH('Input Real Tanam&amp;Petik Nanas'!C425,'Data Lokasi'!C:C,0)),"")</f>
        <v>44639</v>
      </c>
      <c r="O425" s="278"/>
      <c r="P425" s="283">
        <f>IFERROR(INDEX('Data Lokasi'!V:V,MATCH(C425,'Data Lokasi'!C:C,0)),"")</f>
        <v>0</v>
      </c>
      <c r="Q425" s="304">
        <f t="shared" si="21"/>
        <v>0</v>
      </c>
      <c r="R425" s="308">
        <v>3</v>
      </c>
    </row>
    <row r="426" spans="2:18" ht="15" hidden="1" thickTop="1">
      <c r="B426" s="269">
        <v>46209</v>
      </c>
      <c r="C426" s="268" t="s">
        <v>547</v>
      </c>
      <c r="D426" s="274">
        <f>IFERROR(VLOOKUP(C426,'Data Lokasi'!C:D,2,0),"")</f>
        <v>5.2</v>
      </c>
      <c r="E426" s="274" t="s">
        <v>2643</v>
      </c>
      <c r="F426" s="274"/>
      <c r="G426" s="274"/>
      <c r="H426" s="274"/>
      <c r="I426" s="274">
        <v>1.34</v>
      </c>
      <c r="J426" s="456">
        <f t="shared" si="20"/>
        <v>1.34</v>
      </c>
      <c r="K426" s="583"/>
      <c r="L426" s="268" t="s">
        <v>2625</v>
      </c>
      <c r="M426" s="268" t="s">
        <v>2631</v>
      </c>
      <c r="N426" s="278">
        <f>IFERROR(INDEX('Data Lokasi'!S:S,MATCH('Input Real Tanam&amp;Petik Nanas'!C426,'Data Lokasi'!C:C,0)),"")</f>
        <v>44655</v>
      </c>
      <c r="O426" s="278"/>
      <c r="P426" s="283">
        <f>IFERROR(INDEX('Data Lokasi'!V:V,MATCH(C426,'Data Lokasi'!C:C,0)),"")</f>
        <v>0</v>
      </c>
      <c r="Q426" s="304">
        <f t="shared" si="21"/>
        <v>0</v>
      </c>
      <c r="R426" s="308"/>
    </row>
    <row r="427" spans="2:18" ht="15" hidden="1" thickTop="1">
      <c r="B427" s="269">
        <v>46209</v>
      </c>
      <c r="C427" s="268" t="s">
        <v>171</v>
      </c>
      <c r="D427" s="274">
        <f>IFERROR(VLOOKUP(C427,'Data Lokasi'!C:D,2,0),"")</f>
        <v>5.38</v>
      </c>
      <c r="E427" s="274" t="s">
        <v>2643</v>
      </c>
      <c r="F427" s="274"/>
      <c r="G427" s="274">
        <v>0.02</v>
      </c>
      <c r="H427" s="274">
        <f>0.09+0.1</f>
        <v>0.19</v>
      </c>
      <c r="I427" s="274">
        <v>0.08</v>
      </c>
      <c r="J427" s="456">
        <f t="shared" si="20"/>
        <v>0.28999999999999998</v>
      </c>
      <c r="K427" s="583"/>
      <c r="L427" s="268" t="s">
        <v>719</v>
      </c>
      <c r="M427" s="268" t="s">
        <v>2631</v>
      </c>
      <c r="N427" s="278">
        <f>IFERROR(INDEX('Data Lokasi'!S:S,MATCH('Input Real Tanam&amp;Petik Nanas'!C427,'Data Lokasi'!C:C,0)),"")</f>
        <v>43919</v>
      </c>
      <c r="O427" s="278"/>
      <c r="P427" s="283">
        <f>IFERROR(INDEX('Data Lokasi'!V:V,MATCH(C427,'Data Lokasi'!C:C,0)),"")</f>
        <v>0</v>
      </c>
      <c r="Q427" s="304">
        <f t="shared" si="21"/>
        <v>0</v>
      </c>
      <c r="R427" s="308">
        <v>4</v>
      </c>
    </row>
    <row r="428" spans="2:18" ht="15" hidden="1" thickTop="1">
      <c r="B428" s="269">
        <v>46209</v>
      </c>
      <c r="C428" s="268" t="s">
        <v>441</v>
      </c>
      <c r="D428" s="274">
        <f>IFERROR(VLOOKUP(C428,'Data Lokasi'!C:D,2,0),"")</f>
        <v>11.2</v>
      </c>
      <c r="E428" s="274" t="s">
        <v>2643</v>
      </c>
      <c r="F428" s="274"/>
      <c r="G428" s="274">
        <v>0.01</v>
      </c>
      <c r="H428" s="274"/>
      <c r="I428" s="274"/>
      <c r="J428" s="456">
        <f t="shared" si="20"/>
        <v>0.01</v>
      </c>
      <c r="K428" s="583"/>
      <c r="L428" s="268" t="s">
        <v>719</v>
      </c>
      <c r="M428" s="268" t="s">
        <v>2631</v>
      </c>
      <c r="N428" s="278">
        <f>IFERROR(INDEX('Data Lokasi'!S:S,MATCH('Input Real Tanam&amp;Petik Nanas'!C428,'Data Lokasi'!C:C,0)),"")</f>
        <v>44429</v>
      </c>
      <c r="O428" s="278"/>
      <c r="P428" s="283">
        <f>IFERROR(INDEX('Data Lokasi'!V:V,MATCH(C428,'Data Lokasi'!C:C,0)),"")</f>
        <v>0</v>
      </c>
      <c r="Q428" s="304">
        <f t="shared" si="21"/>
        <v>0</v>
      </c>
      <c r="R428" s="308">
        <v>2</v>
      </c>
    </row>
    <row r="429" spans="2:18" ht="15" hidden="1" thickTop="1">
      <c r="B429" s="269">
        <v>46209</v>
      </c>
      <c r="C429" s="268" t="s">
        <v>374</v>
      </c>
      <c r="D429" s="274">
        <f>IFERROR(VLOOKUP(C429,'Data Lokasi'!C:D,2,0),"")</f>
        <v>6.94</v>
      </c>
      <c r="E429" s="274" t="s">
        <v>2643</v>
      </c>
      <c r="F429" s="274"/>
      <c r="G429" s="274"/>
      <c r="H429" s="274"/>
      <c r="I429" s="274">
        <v>0.71</v>
      </c>
      <c r="J429" s="456">
        <f t="shared" si="20"/>
        <v>0.71</v>
      </c>
      <c r="K429" s="583"/>
      <c r="L429" s="268" t="s">
        <v>2625</v>
      </c>
      <c r="M429" s="268" t="s">
        <v>2631</v>
      </c>
      <c r="N429" s="278">
        <f>IFERROR(INDEX('Data Lokasi'!S:S,MATCH('Input Real Tanam&amp;Petik Nanas'!C429,'Data Lokasi'!C:C,0)),"")</f>
        <v>44338</v>
      </c>
      <c r="O429" s="278"/>
      <c r="P429" s="283">
        <f>IFERROR(INDEX('Data Lokasi'!V:V,MATCH(C429,'Data Lokasi'!C:C,0)),"")</f>
        <v>0</v>
      </c>
      <c r="Q429" s="304">
        <f t="shared" si="21"/>
        <v>0</v>
      </c>
      <c r="R429" s="308"/>
    </row>
    <row r="430" spans="2:18" ht="15" hidden="1" thickTop="1">
      <c r="B430" s="269">
        <v>46209</v>
      </c>
      <c r="C430" s="268" t="s">
        <v>2498</v>
      </c>
      <c r="D430" s="274">
        <f>IFERROR(VLOOKUP(C430,'Data Lokasi'!C:D,2,0),"")</f>
        <v>4.6500000000000004</v>
      </c>
      <c r="E430" s="274" t="s">
        <v>2643</v>
      </c>
      <c r="F430" s="274"/>
      <c r="G430" s="274"/>
      <c r="H430" s="274"/>
      <c r="I430" s="274">
        <v>1.4</v>
      </c>
      <c r="J430" s="456">
        <f t="shared" si="20"/>
        <v>1.4</v>
      </c>
      <c r="K430" s="583"/>
      <c r="L430" s="268" t="s">
        <v>2625</v>
      </c>
      <c r="M430" s="268" t="s">
        <v>2631</v>
      </c>
      <c r="N430" s="278">
        <f>IFERROR(INDEX('Data Lokasi'!S:S,MATCH('Input Real Tanam&amp;Petik Nanas'!C430,'Data Lokasi'!C:C,0)),"")</f>
        <v>45700</v>
      </c>
      <c r="O430" s="278"/>
      <c r="P430" s="283">
        <f>IFERROR(INDEX('Data Lokasi'!V:V,MATCH(C430,'Data Lokasi'!C:C,0)),"")</f>
        <v>0</v>
      </c>
      <c r="Q430" s="304">
        <f t="shared" si="21"/>
        <v>0</v>
      </c>
      <c r="R430" s="308"/>
    </row>
    <row r="431" spans="2:18" ht="15" hidden="1" thickTop="1">
      <c r="B431" s="269">
        <v>46209</v>
      </c>
      <c r="C431" s="268" t="s">
        <v>494</v>
      </c>
      <c r="D431" s="274">
        <f>IFERROR(VLOOKUP(C431,'Data Lokasi'!C:D,2,0),"")</f>
        <v>9.68</v>
      </c>
      <c r="E431" s="274" t="s">
        <v>2643</v>
      </c>
      <c r="F431" s="274"/>
      <c r="G431" s="274"/>
      <c r="H431" s="274"/>
      <c r="I431" s="274">
        <v>0.12</v>
      </c>
      <c r="J431" s="456">
        <f t="shared" si="20"/>
        <v>0.12</v>
      </c>
      <c r="K431" s="583"/>
      <c r="L431" s="268" t="s">
        <v>2625</v>
      </c>
      <c r="M431" s="268" t="s">
        <v>2631</v>
      </c>
      <c r="N431" s="278">
        <f>IFERROR(INDEX('Data Lokasi'!S:S,MATCH('Input Real Tanam&amp;Petik Nanas'!C431,'Data Lokasi'!C:C,0)),"")</f>
        <v>44564</v>
      </c>
      <c r="O431" s="278"/>
      <c r="P431" s="283">
        <f>IFERROR(INDEX('Data Lokasi'!V:V,MATCH(C431,'Data Lokasi'!C:C,0)),"")</f>
        <v>0</v>
      </c>
      <c r="Q431" s="304">
        <f t="shared" si="21"/>
        <v>0</v>
      </c>
      <c r="R431" s="308"/>
    </row>
    <row r="432" spans="2:18" ht="15" hidden="1" thickTop="1">
      <c r="B432" s="269">
        <v>46209</v>
      </c>
      <c r="C432" s="268" t="s">
        <v>381</v>
      </c>
      <c r="D432" s="274">
        <f>IFERROR(VLOOKUP(C432,'Data Lokasi'!C:D,2,0),"")</f>
        <v>8.18</v>
      </c>
      <c r="E432" s="274" t="s">
        <v>2643</v>
      </c>
      <c r="F432" s="274"/>
      <c r="G432" s="274">
        <v>0.04</v>
      </c>
      <c r="H432" s="274">
        <f>0.12+0.21</f>
        <v>0.32999999999999996</v>
      </c>
      <c r="I432" s="274"/>
      <c r="J432" s="456">
        <f t="shared" si="20"/>
        <v>0.36999999999999994</v>
      </c>
      <c r="K432" s="583"/>
      <c r="L432" s="268" t="s">
        <v>719</v>
      </c>
      <c r="M432" s="268" t="s">
        <v>2634</v>
      </c>
      <c r="N432" s="278">
        <f>IFERROR(INDEX('Data Lokasi'!S:S,MATCH('Input Real Tanam&amp;Petik Nanas'!C432,'Data Lokasi'!C:C,0)),"")</f>
        <v>44335</v>
      </c>
      <c r="O432" s="278"/>
      <c r="P432" s="283">
        <f>IFERROR(INDEX('Data Lokasi'!V:V,MATCH(C432,'Data Lokasi'!C:C,0)),"")</f>
        <v>0</v>
      </c>
      <c r="Q432" s="304">
        <f t="shared" si="21"/>
        <v>0</v>
      </c>
      <c r="R432" s="308">
        <v>5</v>
      </c>
    </row>
    <row r="433" spans="2:18" ht="15" hidden="1" thickTop="1">
      <c r="B433" s="269">
        <v>46209</v>
      </c>
      <c r="C433" s="268" t="s">
        <v>2662</v>
      </c>
      <c r="D433" s="274">
        <f>IFERROR(VLOOKUP(C433,'Data Lokasi'!C:D,2,0),"")</f>
        <v>5.64</v>
      </c>
      <c r="E433" s="274" t="s">
        <v>2642</v>
      </c>
      <c r="F433" s="274"/>
      <c r="G433" s="274"/>
      <c r="H433" s="274"/>
      <c r="I433" s="274">
        <v>0.03</v>
      </c>
      <c r="J433" s="456">
        <f t="shared" si="20"/>
        <v>0.03</v>
      </c>
      <c r="K433" s="583"/>
      <c r="L433" s="268" t="s">
        <v>2625</v>
      </c>
      <c r="M433" s="268" t="s">
        <v>2634</v>
      </c>
      <c r="N433" s="278">
        <f>IFERROR(INDEX('Data Lokasi'!S:S,MATCH('Input Real Tanam&amp;Petik Nanas'!C433,'Data Lokasi'!C:C,0)),"")</f>
        <v>46204</v>
      </c>
      <c r="O433" s="278"/>
      <c r="P433" s="283">
        <f>IFERROR(INDEX('Data Lokasi'!V:V,MATCH(C433,'Data Lokasi'!C:C,0)),"")</f>
        <v>0</v>
      </c>
      <c r="Q433" s="304">
        <f t="shared" si="21"/>
        <v>0</v>
      </c>
      <c r="R433" s="308"/>
    </row>
    <row r="434" spans="2:18" ht="15" hidden="1" thickTop="1">
      <c r="B434" s="269">
        <v>46209</v>
      </c>
      <c r="C434" s="268" t="s">
        <v>2663</v>
      </c>
      <c r="D434" s="274">
        <f>IFERROR(VLOOKUP(C434,'Data Lokasi'!C:D,2,0),"")</f>
        <v>7.48</v>
      </c>
      <c r="E434" s="274" t="s">
        <v>2642</v>
      </c>
      <c r="F434" s="274"/>
      <c r="G434" s="274"/>
      <c r="H434" s="274"/>
      <c r="I434" s="274">
        <v>0.33</v>
      </c>
      <c r="J434" s="456">
        <f t="shared" si="20"/>
        <v>0.33</v>
      </c>
      <c r="K434" s="583"/>
      <c r="L434" s="268" t="s">
        <v>2625</v>
      </c>
      <c r="M434" s="268" t="s">
        <v>2634</v>
      </c>
      <c r="N434" s="278">
        <f>IFERROR(INDEX('Data Lokasi'!S:S,MATCH('Input Real Tanam&amp;Petik Nanas'!C434,'Data Lokasi'!C:C,0)),"")</f>
        <v>46206</v>
      </c>
      <c r="O434" s="278"/>
      <c r="P434" s="283">
        <f>IFERROR(INDEX('Data Lokasi'!V:V,MATCH(C434,'Data Lokasi'!C:C,0)),"")</f>
        <v>0</v>
      </c>
      <c r="Q434" s="304">
        <f t="shared" si="21"/>
        <v>0</v>
      </c>
      <c r="R434" s="308"/>
    </row>
    <row r="435" spans="2:18" ht="15" hidden="1" thickTop="1">
      <c r="B435" s="269">
        <v>46209</v>
      </c>
      <c r="C435" s="268" t="s">
        <v>650</v>
      </c>
      <c r="D435" s="274">
        <f>IFERROR(VLOOKUP(C435,'Data Lokasi'!C:D,2,0),"")</f>
        <v>8.02</v>
      </c>
      <c r="E435" s="274" t="s">
        <v>2642</v>
      </c>
      <c r="F435" s="274"/>
      <c r="G435" s="274"/>
      <c r="H435" s="274"/>
      <c r="I435" s="274">
        <v>0.71</v>
      </c>
      <c r="J435" s="456">
        <f t="shared" si="20"/>
        <v>0.71</v>
      </c>
      <c r="K435" s="583"/>
      <c r="L435" s="268" t="s">
        <v>2625</v>
      </c>
      <c r="M435" s="268" t="s">
        <v>2634</v>
      </c>
      <c r="N435" s="278">
        <f>IFERROR(INDEX('Data Lokasi'!S:S,MATCH('Input Real Tanam&amp;Petik Nanas'!C435,'Data Lokasi'!C:C,0)),"")</f>
        <v>44970</v>
      </c>
      <c r="O435" s="278"/>
      <c r="P435" s="283">
        <f>IFERROR(INDEX('Data Lokasi'!V:V,MATCH(C435,'Data Lokasi'!C:C,0)),"")</f>
        <v>0</v>
      </c>
      <c r="Q435" s="304">
        <f t="shared" si="21"/>
        <v>0</v>
      </c>
      <c r="R435" s="308"/>
    </row>
    <row r="436" spans="2:18" ht="15" hidden="1" thickTop="1">
      <c r="B436" s="269">
        <v>46209</v>
      </c>
      <c r="C436" s="268" t="s">
        <v>366</v>
      </c>
      <c r="D436" s="274">
        <f>IFERROR(VLOOKUP(C436,'Data Lokasi'!C:D,2,0),"")</f>
        <v>5.88</v>
      </c>
      <c r="E436" s="274" t="s">
        <v>2642</v>
      </c>
      <c r="F436" s="274"/>
      <c r="G436" s="274"/>
      <c r="H436" s="274">
        <v>0.04</v>
      </c>
      <c r="I436" s="274"/>
      <c r="J436" s="456">
        <f t="shared" si="20"/>
        <v>0.04</v>
      </c>
      <c r="K436" s="583"/>
      <c r="L436" s="268" t="s">
        <v>719</v>
      </c>
      <c r="M436" s="268" t="s">
        <v>2634</v>
      </c>
      <c r="N436" s="278">
        <f>IFERROR(INDEX('Data Lokasi'!S:S,MATCH('Input Real Tanam&amp;Petik Nanas'!C436,'Data Lokasi'!C:C,0)),"")</f>
        <v>44300</v>
      </c>
      <c r="O436" s="278"/>
      <c r="P436" s="283">
        <f>IFERROR(INDEX('Data Lokasi'!V:V,MATCH(C436,'Data Lokasi'!C:C,0)),"")</f>
        <v>0</v>
      </c>
      <c r="Q436" s="304">
        <f t="shared" si="21"/>
        <v>0</v>
      </c>
      <c r="R436" s="308"/>
    </row>
    <row r="437" spans="2:18" ht="15" hidden="1" thickTop="1">
      <c r="B437" s="269">
        <v>46209</v>
      </c>
      <c r="C437" s="268" t="s">
        <v>329</v>
      </c>
      <c r="D437" s="274">
        <f>IFERROR(VLOOKUP(C437,'Data Lokasi'!C:D,2,0),"")</f>
        <v>6.68</v>
      </c>
      <c r="E437" s="274" t="s">
        <v>2642</v>
      </c>
      <c r="F437" s="274"/>
      <c r="G437" s="274"/>
      <c r="H437" s="274"/>
      <c r="I437" s="274">
        <v>0.8</v>
      </c>
      <c r="J437" s="456">
        <f t="shared" si="20"/>
        <v>0.8</v>
      </c>
      <c r="K437" s="583"/>
      <c r="L437" s="268" t="s">
        <v>2625</v>
      </c>
      <c r="M437" s="268" t="s">
        <v>2634</v>
      </c>
      <c r="N437" s="278">
        <f>IFERROR(INDEX('Data Lokasi'!S:S,MATCH('Input Real Tanam&amp;Petik Nanas'!C437,'Data Lokasi'!C:C,0)),"")</f>
        <v>44218</v>
      </c>
      <c r="O437" s="278"/>
      <c r="P437" s="283">
        <f>IFERROR(INDEX('Data Lokasi'!V:V,MATCH(C437,'Data Lokasi'!C:C,0)),"")</f>
        <v>0</v>
      </c>
      <c r="Q437" s="304">
        <f t="shared" si="21"/>
        <v>0</v>
      </c>
      <c r="R437" s="308"/>
    </row>
    <row r="438" spans="2:18" ht="15" hidden="1" thickTop="1">
      <c r="B438" s="269">
        <v>46209</v>
      </c>
      <c r="C438" s="268" t="s">
        <v>320</v>
      </c>
      <c r="D438" s="274">
        <f>IFERROR(VLOOKUP(C438,'Data Lokasi'!C:D,2,0),"")</f>
        <v>9.0299999999999994</v>
      </c>
      <c r="E438" s="274" t="s">
        <v>2642</v>
      </c>
      <c r="F438" s="274"/>
      <c r="G438" s="274"/>
      <c r="H438" s="274"/>
      <c r="I438" s="274">
        <v>0.71</v>
      </c>
      <c r="J438" s="456">
        <f t="shared" si="20"/>
        <v>0.71</v>
      </c>
      <c r="K438" s="583"/>
      <c r="L438" s="268" t="s">
        <v>719</v>
      </c>
      <c r="M438" s="268" t="s">
        <v>2634</v>
      </c>
      <c r="N438" s="278">
        <f>IFERROR(INDEX('Data Lokasi'!S:S,MATCH('Input Real Tanam&amp;Petik Nanas'!C438,'Data Lokasi'!C:C,0)),"")</f>
        <v>44216</v>
      </c>
      <c r="O438" s="278"/>
      <c r="P438" s="283">
        <f>IFERROR(INDEX('Data Lokasi'!V:V,MATCH(C438,'Data Lokasi'!C:C,0)),"")</f>
        <v>0</v>
      </c>
      <c r="Q438" s="304">
        <f t="shared" si="21"/>
        <v>0</v>
      </c>
      <c r="R438" s="308"/>
    </row>
    <row r="439" spans="2:18" ht="15" hidden="1" thickTop="1">
      <c r="B439" s="269">
        <v>46209</v>
      </c>
      <c r="C439" s="268" t="s">
        <v>212</v>
      </c>
      <c r="D439" s="274">
        <f>IFERROR(VLOOKUP(C439,'Data Lokasi'!C:D,2,0),"")</f>
        <v>8.39</v>
      </c>
      <c r="E439" s="274" t="s">
        <v>2642</v>
      </c>
      <c r="F439" s="274"/>
      <c r="G439" s="274"/>
      <c r="H439" s="274"/>
      <c r="I439" s="274">
        <v>0.24</v>
      </c>
      <c r="J439" s="456">
        <f t="shared" si="20"/>
        <v>0.24</v>
      </c>
      <c r="K439" s="583"/>
      <c r="L439" s="268" t="s">
        <v>2625</v>
      </c>
      <c r="M439" s="268" t="s">
        <v>2631</v>
      </c>
      <c r="N439" s="278">
        <f>IFERROR(INDEX('Data Lokasi'!S:S,MATCH('Input Real Tanam&amp;Petik Nanas'!C439,'Data Lokasi'!C:C,0)),"")</f>
        <v>43988</v>
      </c>
      <c r="O439" s="278"/>
      <c r="P439" s="283">
        <f>IFERROR(INDEX('Data Lokasi'!V:V,MATCH(C439,'Data Lokasi'!C:C,0)),"")</f>
        <v>0</v>
      </c>
      <c r="Q439" s="304">
        <f t="shared" si="21"/>
        <v>0</v>
      </c>
      <c r="R439" s="308"/>
    </row>
    <row r="440" spans="2:18" ht="15" hidden="1" thickTop="1">
      <c r="B440" s="269">
        <v>46209</v>
      </c>
      <c r="C440" s="317" t="s">
        <v>700</v>
      </c>
      <c r="D440" s="274">
        <f>IFERROR(VLOOKUP(C440,'Data Lokasi'!C:D,2,0),"")</f>
        <v>8.44</v>
      </c>
      <c r="E440" s="274" t="s">
        <v>2642</v>
      </c>
      <c r="F440" s="274"/>
      <c r="G440" s="274"/>
      <c r="H440" s="274"/>
      <c r="I440" s="274">
        <v>1.1100000000000001</v>
      </c>
      <c r="J440" s="456">
        <f t="shared" si="20"/>
        <v>1.1100000000000001</v>
      </c>
      <c r="K440" s="583"/>
      <c r="L440" s="268" t="s">
        <v>2625</v>
      </c>
      <c r="M440" s="268" t="s">
        <v>2631</v>
      </c>
      <c r="N440" s="278">
        <f>IFERROR(INDEX('Data Lokasi'!S:S,MATCH('Input Real Tanam&amp;Petik Nanas'!C440,'Data Lokasi'!C:C,0)),"")</f>
        <v>45166</v>
      </c>
      <c r="O440" s="278"/>
      <c r="P440" s="283">
        <f>IFERROR(INDEX('Data Lokasi'!V:V,MATCH(C440,'Data Lokasi'!C:C,0)),"")</f>
        <v>0</v>
      </c>
      <c r="Q440" s="304">
        <f t="shared" si="21"/>
        <v>0</v>
      </c>
      <c r="R440" s="308"/>
    </row>
    <row r="441" spans="2:18" ht="15" hidden="1" thickTop="1">
      <c r="B441" s="269">
        <v>46209</v>
      </c>
      <c r="C441" s="268" t="s">
        <v>697</v>
      </c>
      <c r="D441" s="274">
        <f>IFERROR(VLOOKUP(C441,'Data Lokasi'!C:D,2,0),"")</f>
        <v>4.16</v>
      </c>
      <c r="E441" s="274" t="s">
        <v>2642</v>
      </c>
      <c r="F441" s="274"/>
      <c r="G441" s="274"/>
      <c r="H441" s="274"/>
      <c r="I441" s="274">
        <v>1.24</v>
      </c>
      <c r="J441" s="456">
        <f t="shared" si="20"/>
        <v>1.24</v>
      </c>
      <c r="K441" s="583"/>
      <c r="L441" s="268" t="s">
        <v>2625</v>
      </c>
      <c r="M441" s="268" t="s">
        <v>2631</v>
      </c>
      <c r="N441" s="278">
        <f>IFERROR(INDEX('Data Lokasi'!S:S,MATCH('Input Real Tanam&amp;Petik Nanas'!C441,'Data Lokasi'!C:C,0)),"")</f>
        <v>45159</v>
      </c>
      <c r="O441" s="278"/>
      <c r="P441" s="283">
        <f>IFERROR(INDEX('Data Lokasi'!V:V,MATCH(C441,'Data Lokasi'!C:C,0)),"")</f>
        <v>0</v>
      </c>
      <c r="Q441" s="304">
        <f t="shared" si="21"/>
        <v>0</v>
      </c>
      <c r="R441" s="308"/>
    </row>
    <row r="442" spans="2:18" ht="15" hidden="1" thickTop="1">
      <c r="B442" s="269">
        <v>46209</v>
      </c>
      <c r="C442" s="268" t="s">
        <v>685</v>
      </c>
      <c r="D442" s="274">
        <f>IFERROR(VLOOKUP(C442,'Data Lokasi'!C:D,2,0),"")</f>
        <v>5.82</v>
      </c>
      <c r="E442" s="274" t="s">
        <v>2642</v>
      </c>
      <c r="F442" s="274"/>
      <c r="G442" s="274"/>
      <c r="H442" s="274"/>
      <c r="I442" s="274">
        <v>0.06</v>
      </c>
      <c r="J442" s="456">
        <f t="shared" si="20"/>
        <v>0.06</v>
      </c>
      <c r="K442" s="583"/>
      <c r="L442" s="268" t="s">
        <v>2625</v>
      </c>
      <c r="M442" s="268" t="s">
        <v>2631</v>
      </c>
      <c r="N442" s="278">
        <f>IFERROR(INDEX('Data Lokasi'!S:S,MATCH('Input Real Tanam&amp;Petik Nanas'!C442,'Data Lokasi'!C:C,0)),"")</f>
        <v>45117</v>
      </c>
      <c r="O442" s="278"/>
      <c r="P442" s="283">
        <f>IFERROR(INDEX('Data Lokasi'!V:V,MATCH(C442,'Data Lokasi'!C:C,0)),"")</f>
        <v>0</v>
      </c>
      <c r="Q442" s="304">
        <f t="shared" si="21"/>
        <v>0</v>
      </c>
      <c r="R442" s="308"/>
    </row>
    <row r="443" spans="2:18" ht="15" hidden="1" thickTop="1">
      <c r="B443" s="269">
        <v>46209</v>
      </c>
      <c r="C443" s="268" t="s">
        <v>678</v>
      </c>
      <c r="D443" s="274">
        <f>IFERROR(VLOOKUP(C443,'Data Lokasi'!C:D,2,0),"")</f>
        <v>7.7</v>
      </c>
      <c r="E443" s="274" t="s">
        <v>2642</v>
      </c>
      <c r="F443" s="274"/>
      <c r="G443" s="274"/>
      <c r="H443" s="274">
        <v>0.04</v>
      </c>
      <c r="I443" s="274"/>
      <c r="J443" s="456">
        <f t="shared" si="20"/>
        <v>0.04</v>
      </c>
      <c r="K443" s="583"/>
      <c r="L443" s="268" t="s">
        <v>719</v>
      </c>
      <c r="M443" s="268" t="s">
        <v>2631</v>
      </c>
      <c r="N443" s="278">
        <f>IFERROR(INDEX('Data Lokasi'!S:S,MATCH('Input Real Tanam&amp;Petik Nanas'!C443,'Data Lokasi'!C:C,0)),"")</f>
        <v>45083</v>
      </c>
      <c r="O443" s="278"/>
      <c r="P443" s="283">
        <f>IFERROR(INDEX('Data Lokasi'!V:V,MATCH(C443,'Data Lokasi'!C:C,0)),"")</f>
        <v>0</v>
      </c>
      <c r="Q443" s="304">
        <f t="shared" si="21"/>
        <v>0</v>
      </c>
      <c r="R443" s="308"/>
    </row>
    <row r="444" spans="2:18" ht="15" hidden="1" thickTop="1">
      <c r="B444" s="269">
        <v>46211</v>
      </c>
      <c r="C444" s="268" t="s">
        <v>171</v>
      </c>
      <c r="D444" s="274">
        <f>IFERROR(VLOOKUP(C444,'Data Lokasi'!C:D,2,0),"")</f>
        <v>5.38</v>
      </c>
      <c r="E444" s="274" t="s">
        <v>2643</v>
      </c>
      <c r="F444" s="274"/>
      <c r="G444" s="274">
        <v>0.02</v>
      </c>
      <c r="H444" s="274">
        <f>0.08+0.09</f>
        <v>0.16999999999999998</v>
      </c>
      <c r="I444" s="274">
        <v>7.0000000000000007E-2</v>
      </c>
      <c r="J444" s="456">
        <f t="shared" si="20"/>
        <v>0.26</v>
      </c>
      <c r="K444" s="583"/>
      <c r="L444" s="268" t="s">
        <v>719</v>
      </c>
      <c r="M444" s="268" t="s">
        <v>2631</v>
      </c>
      <c r="N444" s="278">
        <f>IFERROR(INDEX('Data Lokasi'!S:S,MATCH('Input Real Tanam&amp;Petik Nanas'!C444,'Data Lokasi'!C:C,0)),"")</f>
        <v>43919</v>
      </c>
      <c r="O444" s="278"/>
      <c r="P444" s="283">
        <f>IFERROR(INDEX('Data Lokasi'!V:V,MATCH(C444,'Data Lokasi'!C:C,0)),"")</f>
        <v>0</v>
      </c>
      <c r="Q444" s="304">
        <f t="shared" si="21"/>
        <v>0</v>
      </c>
      <c r="R444" s="308">
        <v>4</v>
      </c>
    </row>
    <row r="445" spans="2:18" ht="15" hidden="1" thickTop="1">
      <c r="B445" s="269">
        <v>46211</v>
      </c>
      <c r="C445" s="268" t="s">
        <v>441</v>
      </c>
      <c r="D445" s="274">
        <f>IFERROR(VLOOKUP(C445,'Data Lokasi'!C:D,2,0),"")</f>
        <v>11.2</v>
      </c>
      <c r="E445" s="274" t="s">
        <v>2643</v>
      </c>
      <c r="F445" s="274">
        <v>3.0000000000000001E-3</v>
      </c>
      <c r="G445" s="274">
        <f>0.009+0.005</f>
        <v>1.3999999999999999E-2</v>
      </c>
      <c r="H445" s="274"/>
      <c r="I445" s="274"/>
      <c r="J445" s="456">
        <f t="shared" si="20"/>
        <v>1.6999999999999998E-2</v>
      </c>
      <c r="K445" s="583"/>
      <c r="L445" s="268" t="s">
        <v>719</v>
      </c>
      <c r="M445" s="268" t="s">
        <v>2631</v>
      </c>
      <c r="N445" s="278">
        <f>IFERROR(INDEX('Data Lokasi'!S:S,MATCH('Input Real Tanam&amp;Petik Nanas'!C445,'Data Lokasi'!C:C,0)),"")</f>
        <v>44429</v>
      </c>
      <c r="O445" s="278"/>
      <c r="P445" s="283">
        <f>IFERROR(INDEX('Data Lokasi'!V:V,MATCH(C445,'Data Lokasi'!C:C,0)),"")</f>
        <v>0</v>
      </c>
      <c r="Q445" s="304">
        <f t="shared" si="21"/>
        <v>0</v>
      </c>
      <c r="R445" s="308">
        <v>2</v>
      </c>
    </row>
    <row r="446" spans="2:18" ht="15" hidden="1" thickTop="1">
      <c r="B446" s="269">
        <v>46211</v>
      </c>
      <c r="C446" s="268" t="s">
        <v>374</v>
      </c>
      <c r="D446" s="274">
        <f>IFERROR(VLOOKUP(C446,'Data Lokasi'!C:D,2,0),"")</f>
        <v>6.94</v>
      </c>
      <c r="E446" s="274" t="s">
        <v>2643</v>
      </c>
      <c r="F446" s="274"/>
      <c r="G446" s="274"/>
      <c r="H446" s="274"/>
      <c r="I446" s="274">
        <v>0.2</v>
      </c>
      <c r="J446" s="456">
        <f t="shared" si="20"/>
        <v>0.2</v>
      </c>
      <c r="K446" s="583"/>
      <c r="L446" s="268" t="s">
        <v>2625</v>
      </c>
      <c r="M446" s="268" t="s">
        <v>2631</v>
      </c>
      <c r="N446" s="278">
        <f>IFERROR(INDEX('Data Lokasi'!S:S,MATCH('Input Real Tanam&amp;Petik Nanas'!C446,'Data Lokasi'!C:C,0)),"")</f>
        <v>44338</v>
      </c>
      <c r="O446" s="278"/>
      <c r="P446" s="283">
        <f>IFERROR(INDEX('Data Lokasi'!V:V,MATCH(C446,'Data Lokasi'!C:C,0)),"")</f>
        <v>0</v>
      </c>
      <c r="Q446" s="304">
        <f t="shared" si="21"/>
        <v>0</v>
      </c>
      <c r="R446" s="308"/>
    </row>
    <row r="447" spans="2:18" ht="15" hidden="1" thickTop="1">
      <c r="B447" s="269">
        <v>46211</v>
      </c>
      <c r="C447" s="268" t="s">
        <v>2498</v>
      </c>
      <c r="D447" s="274">
        <f>IFERROR(VLOOKUP(C447,'Data Lokasi'!C:D,2,0),"")</f>
        <v>4.6500000000000004</v>
      </c>
      <c r="E447" s="274" t="s">
        <v>2643</v>
      </c>
      <c r="F447" s="274"/>
      <c r="G447" s="274"/>
      <c r="H447" s="274"/>
      <c r="I447" s="274">
        <v>0.35</v>
      </c>
      <c r="J447" s="456">
        <f t="shared" si="20"/>
        <v>0.35</v>
      </c>
      <c r="K447" s="583"/>
      <c r="L447" s="268" t="s">
        <v>2625</v>
      </c>
      <c r="M447" s="268" t="s">
        <v>2631</v>
      </c>
      <c r="N447" s="278">
        <f>IFERROR(INDEX('Data Lokasi'!S:S,MATCH('Input Real Tanam&amp;Petik Nanas'!C447,'Data Lokasi'!C:C,0)),"")</f>
        <v>45700</v>
      </c>
      <c r="O447" s="278"/>
      <c r="P447" s="283">
        <f>IFERROR(INDEX('Data Lokasi'!V:V,MATCH(C447,'Data Lokasi'!C:C,0)),"")</f>
        <v>0</v>
      </c>
      <c r="Q447" s="304">
        <f t="shared" si="21"/>
        <v>0</v>
      </c>
      <c r="R447" s="308"/>
    </row>
    <row r="448" spans="2:18" ht="15" hidden="1" thickTop="1">
      <c r="B448" s="269">
        <v>46211</v>
      </c>
      <c r="C448" s="268" t="s">
        <v>562</v>
      </c>
      <c r="D448" s="274">
        <f>IFERROR(VLOOKUP(C448,'Data Lokasi'!C:D,2,0),"")</f>
        <v>4.57</v>
      </c>
      <c r="E448" s="274" t="s">
        <v>2643</v>
      </c>
      <c r="F448" s="274"/>
      <c r="G448" s="274"/>
      <c r="H448" s="274"/>
      <c r="I448" s="274">
        <v>1.02</v>
      </c>
      <c r="J448" s="456">
        <f t="shared" si="20"/>
        <v>1.02</v>
      </c>
      <c r="K448" s="583"/>
      <c r="L448" s="268" t="s">
        <v>2625</v>
      </c>
      <c r="M448" s="268" t="s">
        <v>2631</v>
      </c>
      <c r="N448" s="278">
        <f>IFERROR(INDEX('Data Lokasi'!S:S,MATCH('Input Real Tanam&amp;Petik Nanas'!C448,'Data Lokasi'!C:C,0)),"")</f>
        <v>44669</v>
      </c>
      <c r="O448" s="278"/>
      <c r="P448" s="283">
        <f>IFERROR(INDEX('Data Lokasi'!V:V,MATCH(C448,'Data Lokasi'!C:C,0)),"")</f>
        <v>0</v>
      </c>
      <c r="Q448" s="304">
        <f t="shared" si="21"/>
        <v>0</v>
      </c>
      <c r="R448" s="308"/>
    </row>
    <row r="449" spans="2:18" ht="15" hidden="1" thickTop="1">
      <c r="B449" s="269">
        <v>46211</v>
      </c>
      <c r="C449" s="268" t="s">
        <v>534</v>
      </c>
      <c r="D449" s="274">
        <f>IFERROR(VLOOKUP(C449,'Data Lokasi'!C:D,2,0),"")</f>
        <v>6.6</v>
      </c>
      <c r="E449" s="274" t="s">
        <v>2643</v>
      </c>
      <c r="F449" s="274"/>
      <c r="G449" s="274"/>
      <c r="H449" s="274">
        <f>0.09+0.27</f>
        <v>0.36</v>
      </c>
      <c r="I449" s="274"/>
      <c r="J449" s="456">
        <f t="shared" si="20"/>
        <v>0.36</v>
      </c>
      <c r="K449" s="583"/>
      <c r="L449" s="268" t="s">
        <v>719</v>
      </c>
      <c r="M449" s="268" t="s">
        <v>2631</v>
      </c>
      <c r="N449" s="278">
        <f>IFERROR(INDEX('Data Lokasi'!S:S,MATCH('Input Real Tanam&amp;Petik Nanas'!C449,'Data Lokasi'!C:C,0)),"")</f>
        <v>44639</v>
      </c>
      <c r="O449" s="278"/>
      <c r="P449" s="283">
        <f>IFERROR(INDEX('Data Lokasi'!V:V,MATCH(C449,'Data Lokasi'!C:C,0)),"")</f>
        <v>0</v>
      </c>
      <c r="Q449" s="304">
        <f t="shared" si="21"/>
        <v>0</v>
      </c>
      <c r="R449" s="308">
        <v>3</v>
      </c>
    </row>
    <row r="450" spans="2:18" ht="15" hidden="1" thickTop="1">
      <c r="B450" s="269">
        <v>46211</v>
      </c>
      <c r="C450" s="268" t="s">
        <v>2553</v>
      </c>
      <c r="D450" s="274">
        <f>IFERROR(VLOOKUP(C450,'Data Lokasi'!C:D,2,0),"")</f>
        <v>8.2899999999999991</v>
      </c>
      <c r="E450" s="274" t="s">
        <v>2643</v>
      </c>
      <c r="F450" s="274"/>
      <c r="G450" s="274"/>
      <c r="H450" s="274"/>
      <c r="I450" s="274">
        <v>1.96</v>
      </c>
      <c r="J450" s="456">
        <f t="shared" si="20"/>
        <v>1.96</v>
      </c>
      <c r="K450" s="583"/>
      <c r="L450" s="268" t="s">
        <v>2625</v>
      </c>
      <c r="M450" s="268" t="s">
        <v>2631</v>
      </c>
      <c r="N450" s="278">
        <f>IFERROR(INDEX('Data Lokasi'!S:S,MATCH('Input Real Tanam&amp;Petik Nanas'!C450,'Data Lokasi'!C:C,0)),"")</f>
        <v>45619</v>
      </c>
      <c r="O450" s="278"/>
      <c r="P450" s="283">
        <f>IFERROR(INDEX('Data Lokasi'!V:V,MATCH(C450,'Data Lokasi'!C:C,0)),"")</f>
        <v>0</v>
      </c>
      <c r="Q450" s="304">
        <f t="shared" si="21"/>
        <v>0</v>
      </c>
      <c r="R450" s="308"/>
    </row>
    <row r="451" spans="2:18" ht="15" hidden="1" thickTop="1">
      <c r="B451" s="269">
        <v>46211</v>
      </c>
      <c r="C451" s="268" t="s">
        <v>678</v>
      </c>
      <c r="D451" s="274">
        <f>IFERROR(VLOOKUP(C451,'Data Lokasi'!C:D,2,0),"")</f>
        <v>7.7</v>
      </c>
      <c r="E451" s="274" t="s">
        <v>2642</v>
      </c>
      <c r="F451" s="274"/>
      <c r="G451" s="274"/>
      <c r="H451" s="274">
        <v>0.08</v>
      </c>
      <c r="I451" s="274"/>
      <c r="J451" s="456">
        <f t="shared" si="20"/>
        <v>0.08</v>
      </c>
      <c r="K451" s="583"/>
      <c r="L451" s="268" t="s">
        <v>719</v>
      </c>
      <c r="M451" s="268" t="s">
        <v>2631</v>
      </c>
      <c r="N451" s="278">
        <f>IFERROR(INDEX('Data Lokasi'!S:S,MATCH('Input Real Tanam&amp;Petik Nanas'!C451,'Data Lokasi'!C:C,0)),"")</f>
        <v>45083</v>
      </c>
      <c r="O451" s="278"/>
      <c r="P451" s="283">
        <f>IFERROR(INDEX('Data Lokasi'!V:V,MATCH(C451,'Data Lokasi'!C:C,0)),"")</f>
        <v>0</v>
      </c>
      <c r="Q451" s="304">
        <f t="shared" si="21"/>
        <v>0</v>
      </c>
      <c r="R451" s="308"/>
    </row>
    <row r="452" spans="2:18" ht="15" hidden="1" thickTop="1">
      <c r="B452" s="269">
        <v>46211</v>
      </c>
      <c r="C452" s="317" t="s">
        <v>700</v>
      </c>
      <c r="D452" s="274">
        <f>IFERROR(VLOOKUP(C452,'Data Lokasi'!C:D,2,0),"")</f>
        <v>8.44</v>
      </c>
      <c r="E452" s="274" t="s">
        <v>2642</v>
      </c>
      <c r="F452" s="274"/>
      <c r="G452" s="274"/>
      <c r="H452" s="274"/>
      <c r="I452" s="274">
        <v>1.95</v>
      </c>
      <c r="J452" s="456">
        <f t="shared" si="20"/>
        <v>1.95</v>
      </c>
      <c r="K452" s="583"/>
      <c r="L452" s="268" t="s">
        <v>2625</v>
      </c>
      <c r="M452" s="268" t="s">
        <v>2631</v>
      </c>
      <c r="N452" s="278">
        <f>IFERROR(INDEX('Data Lokasi'!S:S,MATCH('Input Real Tanam&amp;Petik Nanas'!C452,'Data Lokasi'!C:C,0)),"")</f>
        <v>45166</v>
      </c>
      <c r="O452" s="278"/>
      <c r="P452" s="283">
        <f>IFERROR(INDEX('Data Lokasi'!V:V,MATCH(C452,'Data Lokasi'!C:C,0)),"")</f>
        <v>0</v>
      </c>
      <c r="Q452" s="304">
        <f t="shared" si="21"/>
        <v>0</v>
      </c>
      <c r="R452" s="308"/>
    </row>
    <row r="453" spans="2:18" ht="15" hidden="1" thickTop="1">
      <c r="B453" s="269">
        <v>46211</v>
      </c>
      <c r="C453" s="268" t="s">
        <v>697</v>
      </c>
      <c r="D453" s="274">
        <f>IFERROR(VLOOKUP(C453,'Data Lokasi'!C:D,2,0),"")</f>
        <v>4.16</v>
      </c>
      <c r="E453" s="274" t="s">
        <v>2642</v>
      </c>
      <c r="F453" s="274"/>
      <c r="G453" s="274"/>
      <c r="H453" s="274"/>
      <c r="I453" s="274">
        <v>0.27</v>
      </c>
      <c r="J453" s="456">
        <f t="shared" si="20"/>
        <v>0.27</v>
      </c>
      <c r="K453" s="583"/>
      <c r="L453" s="268" t="s">
        <v>2625</v>
      </c>
      <c r="M453" s="268" t="s">
        <v>2631</v>
      </c>
      <c r="N453" s="278">
        <f>IFERROR(INDEX('Data Lokasi'!S:S,MATCH('Input Real Tanam&amp;Petik Nanas'!C453,'Data Lokasi'!C:C,0)),"")</f>
        <v>45159</v>
      </c>
      <c r="O453" s="278"/>
      <c r="P453" s="283">
        <f>IFERROR(INDEX('Data Lokasi'!V:V,MATCH(C453,'Data Lokasi'!C:C,0)),"")</f>
        <v>0</v>
      </c>
      <c r="Q453" s="304">
        <f t="shared" si="21"/>
        <v>0</v>
      </c>
      <c r="R453" s="308"/>
    </row>
    <row r="454" spans="2:18" ht="15" hidden="1" thickTop="1">
      <c r="B454" s="269">
        <v>46211</v>
      </c>
      <c r="C454" s="268" t="s">
        <v>685</v>
      </c>
      <c r="D454" s="274">
        <f>IFERROR(VLOOKUP(C454,'Data Lokasi'!C:D,2,0),"")</f>
        <v>5.82</v>
      </c>
      <c r="E454" s="274" t="s">
        <v>2642</v>
      </c>
      <c r="F454" s="274"/>
      <c r="G454" s="274"/>
      <c r="H454" s="274"/>
      <c r="I454" s="274">
        <v>0.11</v>
      </c>
      <c r="J454" s="456">
        <f t="shared" si="20"/>
        <v>0.11</v>
      </c>
      <c r="K454" s="583"/>
      <c r="L454" s="268" t="s">
        <v>2625</v>
      </c>
      <c r="M454" s="268" t="s">
        <v>2631</v>
      </c>
      <c r="N454" s="278">
        <f>IFERROR(INDEX('Data Lokasi'!S:S,MATCH('Input Real Tanam&amp;Petik Nanas'!C454,'Data Lokasi'!C:C,0)),"")</f>
        <v>45117</v>
      </c>
      <c r="O454" s="278"/>
      <c r="P454" s="283">
        <f>IFERROR(INDEX('Data Lokasi'!V:V,MATCH(C454,'Data Lokasi'!C:C,0)),"")</f>
        <v>0</v>
      </c>
      <c r="Q454" s="304">
        <f t="shared" si="21"/>
        <v>0</v>
      </c>
      <c r="R454" s="308"/>
    </row>
    <row r="455" spans="2:18" ht="15" hidden="1" thickTop="1">
      <c r="B455" s="269">
        <v>46211</v>
      </c>
      <c r="C455" s="268" t="s">
        <v>689</v>
      </c>
      <c r="D455" s="274">
        <f>IFERROR(VLOOKUP(C455,'Data Lokasi'!C:D,2,0),"")</f>
        <v>7.2</v>
      </c>
      <c r="E455" s="274" t="s">
        <v>2642</v>
      </c>
      <c r="F455" s="274"/>
      <c r="G455" s="274"/>
      <c r="H455" s="274"/>
      <c r="I455" s="274">
        <v>0.09</v>
      </c>
      <c r="J455" s="456">
        <f t="shared" si="20"/>
        <v>0.09</v>
      </c>
      <c r="K455" s="583"/>
      <c r="L455" s="268" t="s">
        <v>2625</v>
      </c>
      <c r="M455" s="268" t="s">
        <v>2631</v>
      </c>
      <c r="N455" s="278">
        <f>IFERROR(INDEX('Data Lokasi'!S:S,MATCH('Input Real Tanam&amp;Petik Nanas'!C455,'Data Lokasi'!C:C,0)),"")</f>
        <v>45132</v>
      </c>
      <c r="O455" s="278"/>
      <c r="P455" s="283">
        <f>IFERROR(INDEX('Data Lokasi'!V:V,MATCH(C455,'Data Lokasi'!C:C,0)),"")</f>
        <v>0</v>
      </c>
      <c r="Q455" s="304">
        <f t="shared" si="21"/>
        <v>0</v>
      </c>
      <c r="R455" s="308"/>
    </row>
    <row r="456" spans="2:18" ht="15" hidden="1" thickTop="1">
      <c r="B456" s="269">
        <v>46211</v>
      </c>
      <c r="C456" s="268" t="s">
        <v>580</v>
      </c>
      <c r="D456" s="274">
        <f>IFERROR(VLOOKUP(C456,'Data Lokasi'!C:D,2,0),"")</f>
        <v>3.08</v>
      </c>
      <c r="E456" s="274" t="s">
        <v>2642</v>
      </c>
      <c r="F456" s="274"/>
      <c r="G456" s="274"/>
      <c r="H456" s="274"/>
      <c r="I456" s="274">
        <v>0.05</v>
      </c>
      <c r="J456" s="456">
        <f t="shared" si="20"/>
        <v>0.05</v>
      </c>
      <c r="K456" s="583"/>
      <c r="L456" s="268" t="s">
        <v>2625</v>
      </c>
      <c r="M456" s="268" t="s">
        <v>2634</v>
      </c>
      <c r="N456" s="278">
        <f>IFERROR(INDEX('Data Lokasi'!S:S,MATCH('Input Real Tanam&amp;Petik Nanas'!C456,'Data Lokasi'!C:C,0)),"")</f>
        <v>44781</v>
      </c>
      <c r="O456" s="278"/>
      <c r="P456" s="283">
        <f>IFERROR(INDEX('Data Lokasi'!V:V,MATCH(C456,'Data Lokasi'!C:C,0)),"")</f>
        <v>0</v>
      </c>
      <c r="Q456" s="304">
        <f t="shared" si="21"/>
        <v>0</v>
      </c>
      <c r="R456" s="308"/>
    </row>
    <row r="457" spans="2:18" ht="15" hidden="1" thickTop="1">
      <c r="B457" s="269">
        <v>46211</v>
      </c>
      <c r="C457" s="268" t="s">
        <v>2663</v>
      </c>
      <c r="D457" s="274">
        <f>IFERROR(VLOOKUP(C457,'Data Lokasi'!C:D,2,0),"")</f>
        <v>7.48</v>
      </c>
      <c r="E457" s="274" t="s">
        <v>2642</v>
      </c>
      <c r="F457" s="274"/>
      <c r="G457" s="274"/>
      <c r="H457" s="274"/>
      <c r="I457" s="274">
        <v>0.74</v>
      </c>
      <c r="J457" s="456">
        <f t="shared" si="20"/>
        <v>0.74</v>
      </c>
      <c r="K457" s="583"/>
      <c r="L457" s="268" t="s">
        <v>2625</v>
      </c>
      <c r="M457" s="268" t="s">
        <v>2634</v>
      </c>
      <c r="N457" s="278">
        <f>IFERROR(INDEX('Data Lokasi'!S:S,MATCH('Input Real Tanam&amp;Petik Nanas'!C457,'Data Lokasi'!C:C,0)),"")</f>
        <v>46206</v>
      </c>
      <c r="O457" s="278"/>
      <c r="P457" s="283">
        <f>IFERROR(INDEX('Data Lokasi'!V:V,MATCH(C457,'Data Lokasi'!C:C,0)),"")</f>
        <v>0</v>
      </c>
      <c r="Q457" s="304">
        <f t="shared" si="21"/>
        <v>0</v>
      </c>
      <c r="R457" s="308"/>
    </row>
    <row r="458" spans="2:18" ht="15" hidden="1" thickTop="1">
      <c r="B458" s="269">
        <v>46211</v>
      </c>
      <c r="C458" s="268" t="s">
        <v>650</v>
      </c>
      <c r="D458" s="274">
        <f>IFERROR(VLOOKUP(C458,'Data Lokasi'!C:D,2,0),"")</f>
        <v>8.02</v>
      </c>
      <c r="E458" s="274" t="s">
        <v>2642</v>
      </c>
      <c r="F458" s="274"/>
      <c r="G458" s="274"/>
      <c r="H458" s="274"/>
      <c r="I458" s="274">
        <v>0.54</v>
      </c>
      <c r="J458" s="456">
        <f t="shared" si="20"/>
        <v>0.54</v>
      </c>
      <c r="K458" s="583"/>
      <c r="L458" s="268" t="s">
        <v>2625</v>
      </c>
      <c r="M458" s="268" t="s">
        <v>2634</v>
      </c>
      <c r="N458" s="278">
        <f>IFERROR(INDEX('Data Lokasi'!S:S,MATCH('Input Real Tanam&amp;Petik Nanas'!C458,'Data Lokasi'!C:C,0)),"")</f>
        <v>44970</v>
      </c>
      <c r="O458" s="278"/>
      <c r="P458" s="283">
        <f>IFERROR(INDEX('Data Lokasi'!V:V,MATCH(C458,'Data Lokasi'!C:C,0)),"")</f>
        <v>0</v>
      </c>
      <c r="Q458" s="304">
        <f t="shared" si="21"/>
        <v>0</v>
      </c>
      <c r="R458" s="308"/>
    </row>
    <row r="459" spans="2:18" ht="15" hidden="1" thickTop="1">
      <c r="B459" s="269">
        <v>46211</v>
      </c>
      <c r="C459" s="268" t="s">
        <v>329</v>
      </c>
      <c r="D459" s="274">
        <f>IFERROR(VLOOKUP(C459,'Data Lokasi'!C:D,2,0),"")</f>
        <v>6.68</v>
      </c>
      <c r="E459" s="274" t="s">
        <v>2642</v>
      </c>
      <c r="F459" s="274"/>
      <c r="G459" s="274"/>
      <c r="H459" s="274"/>
      <c r="I459" s="274">
        <v>0.87</v>
      </c>
      <c r="J459" s="456">
        <f t="shared" si="20"/>
        <v>0.87</v>
      </c>
      <c r="K459" s="583"/>
      <c r="L459" s="268" t="s">
        <v>2625</v>
      </c>
      <c r="M459" s="268" t="s">
        <v>2634</v>
      </c>
      <c r="N459" s="278">
        <f>IFERROR(INDEX('Data Lokasi'!S:S,MATCH('Input Real Tanam&amp;Petik Nanas'!C459,'Data Lokasi'!C:C,0)),"")</f>
        <v>44218</v>
      </c>
      <c r="O459" s="278"/>
      <c r="P459" s="283">
        <f>IFERROR(INDEX('Data Lokasi'!V:V,MATCH(C459,'Data Lokasi'!C:C,0)),"")</f>
        <v>0</v>
      </c>
      <c r="Q459" s="304">
        <f t="shared" si="21"/>
        <v>0</v>
      </c>
      <c r="R459" s="308"/>
    </row>
    <row r="460" spans="2:18" ht="15" hidden="1" thickTop="1">
      <c r="B460" s="269">
        <v>46211</v>
      </c>
      <c r="C460" s="268" t="s">
        <v>320</v>
      </c>
      <c r="D460" s="274">
        <f>IFERROR(VLOOKUP(C460,'Data Lokasi'!C:D,2,0),"")</f>
        <v>9.0299999999999994</v>
      </c>
      <c r="E460" s="274" t="s">
        <v>2642</v>
      </c>
      <c r="F460" s="274"/>
      <c r="G460" s="274"/>
      <c r="H460" s="274">
        <v>0.46</v>
      </c>
      <c r="I460" s="274"/>
      <c r="J460" s="456">
        <f t="shared" si="20"/>
        <v>0.46</v>
      </c>
      <c r="K460" s="583"/>
      <c r="L460" s="268" t="s">
        <v>719</v>
      </c>
      <c r="M460" s="268" t="s">
        <v>2634</v>
      </c>
      <c r="N460" s="278">
        <f>IFERROR(INDEX('Data Lokasi'!S:S,MATCH('Input Real Tanam&amp;Petik Nanas'!C460,'Data Lokasi'!C:C,0)),"")</f>
        <v>44216</v>
      </c>
      <c r="O460" s="278"/>
      <c r="P460" s="283">
        <f>IFERROR(INDEX('Data Lokasi'!V:V,MATCH(C460,'Data Lokasi'!C:C,0)),"")</f>
        <v>0</v>
      </c>
      <c r="Q460" s="304">
        <f t="shared" si="21"/>
        <v>0</v>
      </c>
      <c r="R460" s="308"/>
    </row>
    <row r="461" spans="2:18" ht="15" hidden="1" thickTop="1">
      <c r="B461" s="269">
        <v>46211</v>
      </c>
      <c r="C461" s="268" t="s">
        <v>381</v>
      </c>
      <c r="D461" s="274">
        <f>IFERROR(VLOOKUP(C461,'Data Lokasi'!C:D,2,0),"")</f>
        <v>8.18</v>
      </c>
      <c r="E461" s="274" t="s">
        <v>2643</v>
      </c>
      <c r="F461" s="274"/>
      <c r="G461" s="274">
        <v>0.02</v>
      </c>
      <c r="H461" s="274">
        <f>0.14+0.17</f>
        <v>0.31000000000000005</v>
      </c>
      <c r="I461" s="274"/>
      <c r="J461" s="456">
        <f t="shared" si="20"/>
        <v>0.33000000000000007</v>
      </c>
      <c r="K461" s="583"/>
      <c r="L461" s="268" t="s">
        <v>719</v>
      </c>
      <c r="M461" s="268" t="s">
        <v>2634</v>
      </c>
      <c r="N461" s="278">
        <f>IFERROR(INDEX('Data Lokasi'!S:S,MATCH('Input Real Tanam&amp;Petik Nanas'!C461,'Data Lokasi'!C:C,0)),"")</f>
        <v>44335</v>
      </c>
      <c r="O461" s="278"/>
      <c r="P461" s="283">
        <f>IFERROR(INDEX('Data Lokasi'!V:V,MATCH(C461,'Data Lokasi'!C:C,0)),"")</f>
        <v>0</v>
      </c>
      <c r="Q461" s="304">
        <f t="shared" si="21"/>
        <v>0</v>
      </c>
      <c r="R461" s="308">
        <v>5</v>
      </c>
    </row>
    <row r="462" spans="2:18" ht="15" hidden="1" thickTop="1">
      <c r="B462" s="269">
        <v>46212</v>
      </c>
      <c r="C462" s="268" t="s">
        <v>620</v>
      </c>
      <c r="D462" s="274">
        <f>IFERROR(VLOOKUP(C462,'Data Lokasi'!C:D,2,0),"")</f>
        <v>5.59</v>
      </c>
      <c r="E462" s="274" t="s">
        <v>2642</v>
      </c>
      <c r="F462" s="274"/>
      <c r="G462" s="274"/>
      <c r="H462" s="274"/>
      <c r="I462" s="274">
        <v>0.21</v>
      </c>
      <c r="J462" s="456">
        <f t="shared" si="20"/>
        <v>0.21</v>
      </c>
      <c r="K462" s="583"/>
      <c r="L462" s="268" t="s">
        <v>2625</v>
      </c>
      <c r="M462" s="268" t="s">
        <v>2631</v>
      </c>
      <c r="N462" s="278">
        <f>IFERROR(INDEX('Data Lokasi'!S:S,MATCH('Input Real Tanam&amp;Petik Nanas'!C462,'Data Lokasi'!C:C,0)),"")</f>
        <v>44859</v>
      </c>
      <c r="O462" s="278"/>
      <c r="P462" s="283">
        <f>IFERROR(INDEX('Data Lokasi'!V:V,MATCH(C462,'Data Lokasi'!C:C,0)),"")</f>
        <v>0</v>
      </c>
      <c r="Q462" s="304">
        <f t="shared" si="21"/>
        <v>0</v>
      </c>
      <c r="R462" s="308"/>
    </row>
    <row r="463" spans="2:18" ht="15" hidden="1" thickTop="1">
      <c r="B463" s="269">
        <v>46212</v>
      </c>
      <c r="C463" s="268" t="s">
        <v>182</v>
      </c>
      <c r="D463" s="274">
        <f>IFERROR(VLOOKUP(C463,'Data Lokasi'!C:D,2,0),"")</f>
        <v>8.7200000000000006</v>
      </c>
      <c r="E463" s="274" t="s">
        <v>2642</v>
      </c>
      <c r="F463" s="274"/>
      <c r="G463" s="274"/>
      <c r="H463" s="274"/>
      <c r="I463" s="274">
        <v>0.34</v>
      </c>
      <c r="J463" s="456">
        <f t="shared" si="20"/>
        <v>0.34</v>
      </c>
      <c r="K463" s="583"/>
      <c r="L463" s="268" t="s">
        <v>2625</v>
      </c>
      <c r="M463" s="268" t="s">
        <v>2631</v>
      </c>
      <c r="N463" s="278">
        <f>IFERROR(INDEX('Data Lokasi'!S:S,MATCH('Input Real Tanam&amp;Petik Nanas'!C463,'Data Lokasi'!C:C,0)),"")</f>
        <v>43935</v>
      </c>
      <c r="O463" s="278"/>
      <c r="P463" s="283">
        <f>IFERROR(INDEX('Data Lokasi'!V:V,MATCH(C463,'Data Lokasi'!C:C,0)),"")</f>
        <v>0</v>
      </c>
      <c r="Q463" s="304">
        <f t="shared" si="21"/>
        <v>0</v>
      </c>
      <c r="R463" s="308"/>
    </row>
    <row r="464" spans="2:18" ht="15" hidden="1" thickTop="1">
      <c r="B464" s="269">
        <v>46212</v>
      </c>
      <c r="C464" s="317" t="s">
        <v>700</v>
      </c>
      <c r="D464" s="274">
        <f>IFERROR(VLOOKUP(C464,'Data Lokasi'!C:D,2,0),"")</f>
        <v>8.44</v>
      </c>
      <c r="E464" s="274" t="s">
        <v>2642</v>
      </c>
      <c r="F464" s="274"/>
      <c r="G464" s="274"/>
      <c r="H464" s="274"/>
      <c r="I464" s="274">
        <v>0.88</v>
      </c>
      <c r="J464" s="456">
        <f t="shared" si="20"/>
        <v>0.88</v>
      </c>
      <c r="K464" s="583"/>
      <c r="L464" s="268" t="s">
        <v>2625</v>
      </c>
      <c r="M464" s="268" t="s">
        <v>2631</v>
      </c>
      <c r="N464" s="278">
        <f>IFERROR(INDEX('Data Lokasi'!S:S,MATCH('Input Real Tanam&amp;Petik Nanas'!C464,'Data Lokasi'!C:C,0)),"")</f>
        <v>45166</v>
      </c>
      <c r="O464" s="278"/>
      <c r="P464" s="283">
        <f>IFERROR(INDEX('Data Lokasi'!V:V,MATCH(C464,'Data Lokasi'!C:C,0)),"")</f>
        <v>0</v>
      </c>
      <c r="Q464" s="304">
        <f t="shared" si="21"/>
        <v>0</v>
      </c>
      <c r="R464" s="308"/>
    </row>
    <row r="465" spans="2:18" ht="15" hidden="1" thickTop="1">
      <c r="B465" s="269">
        <v>46212</v>
      </c>
      <c r="C465" s="317" t="s">
        <v>706</v>
      </c>
      <c r="D465" s="274">
        <f>IFERROR(VLOOKUP(C465,'Data Lokasi'!C:D,2,0),"")</f>
        <v>5.44</v>
      </c>
      <c r="E465" s="274" t="s">
        <v>2642</v>
      </c>
      <c r="F465" s="274"/>
      <c r="G465" s="274"/>
      <c r="H465" s="274"/>
      <c r="I465" s="274">
        <v>1.28</v>
      </c>
      <c r="J465" s="456">
        <f t="shared" si="20"/>
        <v>1.28</v>
      </c>
      <c r="K465" s="583"/>
      <c r="L465" s="268" t="s">
        <v>2625</v>
      </c>
      <c r="M465" s="268" t="s">
        <v>2631</v>
      </c>
      <c r="N465" s="278">
        <f>IFERROR(INDEX('Data Lokasi'!S:S,MATCH('Input Real Tanam&amp;Petik Nanas'!C465,'Data Lokasi'!C:C,0)),"")</f>
        <v>45205</v>
      </c>
      <c r="O465" s="278"/>
      <c r="P465" s="283">
        <f>IFERROR(INDEX('Data Lokasi'!V:V,MATCH(C465,'Data Lokasi'!C:C,0)),"")</f>
        <v>0</v>
      </c>
      <c r="Q465" s="304">
        <f t="shared" si="21"/>
        <v>0</v>
      </c>
      <c r="R465" s="308"/>
    </row>
    <row r="466" spans="2:18" ht="15" hidden="1" thickTop="1">
      <c r="B466" s="269">
        <v>46212</v>
      </c>
      <c r="C466" s="268" t="s">
        <v>106</v>
      </c>
      <c r="D466" s="274">
        <f>IFERROR(VLOOKUP(C466,'Data Lokasi'!C:D,2,0),"")</f>
        <v>3.86</v>
      </c>
      <c r="E466" s="274" t="s">
        <v>2642</v>
      </c>
      <c r="F466" s="274"/>
      <c r="G466" s="274"/>
      <c r="H466" s="274"/>
      <c r="I466" s="274">
        <v>0.22</v>
      </c>
      <c r="J466" s="456">
        <f t="shared" si="20"/>
        <v>0.22</v>
      </c>
      <c r="K466" s="583"/>
      <c r="L466" s="268" t="s">
        <v>2625</v>
      </c>
      <c r="M466" s="268" t="s">
        <v>2631</v>
      </c>
      <c r="N466" s="278">
        <f>IFERROR(INDEX('Data Lokasi'!S:S,MATCH('Input Real Tanam&amp;Petik Nanas'!C466,'Data Lokasi'!C:C,0)),"")</f>
        <v>45241</v>
      </c>
      <c r="O466" s="278"/>
      <c r="P466" s="283">
        <f>IFERROR(INDEX('Data Lokasi'!V:V,MATCH(C466,'Data Lokasi'!C:C,0)),"")</f>
        <v>0</v>
      </c>
      <c r="Q466" s="304">
        <f t="shared" si="21"/>
        <v>0</v>
      </c>
      <c r="R466" s="308"/>
    </row>
    <row r="467" spans="2:18" ht="15" hidden="1" thickTop="1">
      <c r="B467" s="269">
        <v>46212</v>
      </c>
      <c r="C467" s="268" t="s">
        <v>678</v>
      </c>
      <c r="D467" s="274">
        <f>IFERROR(VLOOKUP(C467,'Data Lokasi'!C:D,2,0),"")</f>
        <v>7.7</v>
      </c>
      <c r="E467" s="274" t="s">
        <v>2642</v>
      </c>
      <c r="F467" s="274"/>
      <c r="G467" s="274"/>
      <c r="H467" s="274">
        <v>0.06</v>
      </c>
      <c r="I467" s="274"/>
      <c r="J467" s="456">
        <f t="shared" si="20"/>
        <v>0.06</v>
      </c>
      <c r="K467" s="583"/>
      <c r="L467" s="268" t="s">
        <v>719</v>
      </c>
      <c r="M467" s="268" t="s">
        <v>2631</v>
      </c>
      <c r="N467" s="278">
        <f>IFERROR(INDEX('Data Lokasi'!S:S,MATCH('Input Real Tanam&amp;Petik Nanas'!C467,'Data Lokasi'!C:C,0)),"")</f>
        <v>45083</v>
      </c>
      <c r="O467" s="278"/>
      <c r="P467" s="283">
        <f>IFERROR(INDEX('Data Lokasi'!V:V,MATCH(C467,'Data Lokasi'!C:C,0)),"")</f>
        <v>0</v>
      </c>
      <c r="Q467" s="304">
        <f t="shared" si="21"/>
        <v>0</v>
      </c>
      <c r="R467" s="308"/>
    </row>
    <row r="468" spans="2:18" ht="15" hidden="1" thickTop="1">
      <c r="B468" s="269">
        <v>46212</v>
      </c>
      <c r="C468" s="268" t="s">
        <v>580</v>
      </c>
      <c r="D468" s="274">
        <f>IFERROR(VLOOKUP(C468,'Data Lokasi'!C:D,2,0),"")</f>
        <v>3.08</v>
      </c>
      <c r="E468" s="274" t="s">
        <v>2642</v>
      </c>
      <c r="F468" s="274"/>
      <c r="G468" s="274"/>
      <c r="H468" s="274"/>
      <c r="I468" s="274">
        <v>0.31</v>
      </c>
      <c r="J468" s="456">
        <f t="shared" si="20"/>
        <v>0.31</v>
      </c>
      <c r="K468" s="583"/>
      <c r="L468" s="268" t="s">
        <v>2625</v>
      </c>
      <c r="M468" s="268" t="s">
        <v>2634</v>
      </c>
      <c r="N468" s="278">
        <f>IFERROR(INDEX('Data Lokasi'!S:S,MATCH('Input Real Tanam&amp;Petik Nanas'!C468,'Data Lokasi'!C:C,0)),"")</f>
        <v>44781</v>
      </c>
      <c r="O468" s="278"/>
      <c r="P468" s="283">
        <f>IFERROR(INDEX('Data Lokasi'!V:V,MATCH(C468,'Data Lokasi'!C:C,0)),"")</f>
        <v>0</v>
      </c>
      <c r="Q468" s="304">
        <f t="shared" si="21"/>
        <v>0</v>
      </c>
      <c r="R468" s="308"/>
    </row>
    <row r="469" spans="2:18" ht="15" hidden="1" thickTop="1">
      <c r="B469" s="269">
        <v>46212</v>
      </c>
      <c r="C469" s="268" t="s">
        <v>2663</v>
      </c>
      <c r="D469" s="274">
        <f>IFERROR(VLOOKUP(C469,'Data Lokasi'!C:D,2,0),"")</f>
        <v>7.48</v>
      </c>
      <c r="E469" s="274" t="s">
        <v>2642</v>
      </c>
      <c r="F469" s="274"/>
      <c r="G469" s="274"/>
      <c r="H469" s="274"/>
      <c r="I469" s="274">
        <v>0.27</v>
      </c>
      <c r="J469" s="456">
        <f t="shared" si="20"/>
        <v>0.27</v>
      </c>
      <c r="K469" s="583"/>
      <c r="L469" s="268" t="s">
        <v>2625</v>
      </c>
      <c r="M469" s="268" t="s">
        <v>2634</v>
      </c>
      <c r="N469" s="278">
        <f>IFERROR(INDEX('Data Lokasi'!S:S,MATCH('Input Real Tanam&amp;Petik Nanas'!C469,'Data Lokasi'!C:C,0)),"")</f>
        <v>46206</v>
      </c>
      <c r="O469" s="278"/>
      <c r="P469" s="283">
        <f>IFERROR(INDEX('Data Lokasi'!V:V,MATCH(C469,'Data Lokasi'!C:C,0)),"")</f>
        <v>0</v>
      </c>
      <c r="Q469" s="304">
        <f t="shared" si="21"/>
        <v>0</v>
      </c>
      <c r="R469" s="308"/>
    </row>
    <row r="470" spans="2:18" ht="15" hidden="1" thickTop="1">
      <c r="B470" s="269">
        <v>46212</v>
      </c>
      <c r="C470" s="268" t="s">
        <v>650</v>
      </c>
      <c r="D470" s="274">
        <f>IFERROR(VLOOKUP(C470,'Data Lokasi'!C:D,2,0),"")</f>
        <v>8.02</v>
      </c>
      <c r="E470" s="274" t="s">
        <v>2642</v>
      </c>
      <c r="F470" s="274"/>
      <c r="G470" s="274"/>
      <c r="H470" s="274"/>
      <c r="I470" s="274">
        <v>0.34</v>
      </c>
      <c r="J470" s="456">
        <f t="shared" si="20"/>
        <v>0.34</v>
      </c>
      <c r="K470" s="583"/>
      <c r="L470" s="268" t="s">
        <v>2625</v>
      </c>
      <c r="M470" s="268" t="s">
        <v>2634</v>
      </c>
      <c r="N470" s="278">
        <f>IFERROR(INDEX('Data Lokasi'!S:S,MATCH('Input Real Tanam&amp;Petik Nanas'!C470,'Data Lokasi'!C:C,0)),"")</f>
        <v>44970</v>
      </c>
      <c r="O470" s="278"/>
      <c r="P470" s="283">
        <f>IFERROR(INDEX('Data Lokasi'!V:V,MATCH(C470,'Data Lokasi'!C:C,0)),"")</f>
        <v>0</v>
      </c>
      <c r="Q470" s="304">
        <f t="shared" si="21"/>
        <v>0</v>
      </c>
      <c r="R470" s="308"/>
    </row>
    <row r="471" spans="2:18" ht="15" hidden="1" thickTop="1">
      <c r="B471" s="269">
        <v>46212</v>
      </c>
      <c r="C471" s="268" t="s">
        <v>366</v>
      </c>
      <c r="D471" s="274">
        <f>IFERROR(VLOOKUP(C471,'Data Lokasi'!C:D,2,0),"")</f>
        <v>5.88</v>
      </c>
      <c r="E471" s="274" t="s">
        <v>2642</v>
      </c>
      <c r="F471" s="274"/>
      <c r="G471" s="274"/>
      <c r="H471" s="274">
        <v>0.03</v>
      </c>
      <c r="I471" s="274"/>
      <c r="J471" s="456">
        <f t="shared" si="20"/>
        <v>0.03</v>
      </c>
      <c r="K471" s="583"/>
      <c r="L471" s="268" t="s">
        <v>719</v>
      </c>
      <c r="M471" s="268" t="s">
        <v>2634</v>
      </c>
      <c r="N471" s="278">
        <f>IFERROR(INDEX('Data Lokasi'!S:S,MATCH('Input Real Tanam&amp;Petik Nanas'!C471,'Data Lokasi'!C:C,0)),"")</f>
        <v>44300</v>
      </c>
      <c r="O471" s="278"/>
      <c r="P471" s="283">
        <f>IFERROR(INDEX('Data Lokasi'!V:V,MATCH(C471,'Data Lokasi'!C:C,0)),"")</f>
        <v>0</v>
      </c>
      <c r="Q471" s="304">
        <f t="shared" si="21"/>
        <v>0</v>
      </c>
      <c r="R471" s="308"/>
    </row>
    <row r="472" spans="2:18" ht="15" hidden="1" thickTop="1">
      <c r="B472" s="269">
        <v>46212</v>
      </c>
      <c r="C472" s="268" t="s">
        <v>329</v>
      </c>
      <c r="D472" s="274">
        <f>IFERROR(VLOOKUP(C472,'Data Lokasi'!C:D,2,0),"")</f>
        <v>6.68</v>
      </c>
      <c r="E472" s="274" t="s">
        <v>2642</v>
      </c>
      <c r="F472" s="274"/>
      <c r="G472" s="274"/>
      <c r="H472" s="274"/>
      <c r="I472" s="274">
        <v>1.79</v>
      </c>
      <c r="J472" s="456">
        <f t="shared" si="20"/>
        <v>1.79</v>
      </c>
      <c r="K472" s="583"/>
      <c r="L472" s="268" t="s">
        <v>2625</v>
      </c>
      <c r="M472" s="268" t="s">
        <v>2634</v>
      </c>
      <c r="N472" s="278">
        <f>IFERROR(INDEX('Data Lokasi'!S:S,MATCH('Input Real Tanam&amp;Petik Nanas'!C472,'Data Lokasi'!C:C,0)),"")</f>
        <v>44218</v>
      </c>
      <c r="O472" s="278"/>
      <c r="P472" s="283">
        <f>IFERROR(INDEX('Data Lokasi'!V:V,MATCH(C472,'Data Lokasi'!C:C,0)),"")</f>
        <v>0</v>
      </c>
      <c r="Q472" s="304">
        <f t="shared" si="21"/>
        <v>0</v>
      </c>
      <c r="R472" s="308"/>
    </row>
    <row r="473" spans="2:18" ht="15" hidden="1" thickTop="1">
      <c r="B473" s="269">
        <v>46212</v>
      </c>
      <c r="C473" s="268" t="s">
        <v>320</v>
      </c>
      <c r="D473" s="274">
        <f>IFERROR(VLOOKUP(C473,'Data Lokasi'!C:D,2,0),"")</f>
        <v>9.0299999999999994</v>
      </c>
      <c r="E473" s="274" t="s">
        <v>2642</v>
      </c>
      <c r="F473" s="274"/>
      <c r="G473" s="274"/>
      <c r="H473" s="274">
        <v>0.2</v>
      </c>
      <c r="I473" s="274"/>
      <c r="J473" s="456">
        <f t="shared" si="20"/>
        <v>0.2</v>
      </c>
      <c r="K473" s="583"/>
      <c r="L473" s="268" t="s">
        <v>719</v>
      </c>
      <c r="M473" s="268" t="s">
        <v>2634</v>
      </c>
      <c r="N473" s="278">
        <f>IFERROR(INDEX('Data Lokasi'!S:S,MATCH('Input Real Tanam&amp;Petik Nanas'!C473,'Data Lokasi'!C:C,0)),"")</f>
        <v>44216</v>
      </c>
      <c r="O473" s="278"/>
      <c r="P473" s="283">
        <f>IFERROR(INDEX('Data Lokasi'!V:V,MATCH(C473,'Data Lokasi'!C:C,0)),"")</f>
        <v>0</v>
      </c>
      <c r="Q473" s="304">
        <f t="shared" si="21"/>
        <v>0</v>
      </c>
      <c r="R473" s="308"/>
    </row>
    <row r="474" spans="2:18" ht="15" hidden="1" thickTop="1">
      <c r="B474" s="269">
        <v>46212</v>
      </c>
      <c r="C474" s="268" t="s">
        <v>554</v>
      </c>
      <c r="D474" s="274">
        <f>IFERROR(VLOOKUP(C474,'Data Lokasi'!C:D,2,0),"")</f>
        <v>5.62</v>
      </c>
      <c r="E474" s="274" t="s">
        <v>2643</v>
      </c>
      <c r="F474" s="274"/>
      <c r="G474" s="274">
        <v>0.02</v>
      </c>
      <c r="H474" s="274">
        <f>0.11+0.31</f>
        <v>0.42</v>
      </c>
      <c r="I474" s="274"/>
      <c r="J474" s="456">
        <f t="shared" si="20"/>
        <v>0.44</v>
      </c>
      <c r="K474" s="583"/>
      <c r="L474" s="268" t="s">
        <v>719</v>
      </c>
      <c r="M474" s="268" t="s">
        <v>2634</v>
      </c>
      <c r="N474" s="278">
        <f>IFERROR(INDEX('Data Lokasi'!S:S,MATCH('Input Real Tanam&amp;Petik Nanas'!C474,'Data Lokasi'!C:C,0)),"")</f>
        <v>44655</v>
      </c>
      <c r="O474" s="278"/>
      <c r="P474" s="283">
        <f>IFERROR(INDEX('Data Lokasi'!V:V,MATCH(C474,'Data Lokasi'!C:C,0)),"")</f>
        <v>0</v>
      </c>
      <c r="Q474" s="304">
        <f t="shared" si="21"/>
        <v>0</v>
      </c>
      <c r="R474" s="308">
        <v>1</v>
      </c>
    </row>
    <row r="475" spans="2:18" ht="15" hidden="1" thickTop="1">
      <c r="B475" s="269">
        <v>46212</v>
      </c>
      <c r="C475" s="268" t="s">
        <v>171</v>
      </c>
      <c r="D475" s="274">
        <f>IFERROR(VLOOKUP(C475,'Data Lokasi'!C:D,2,0),"")</f>
        <v>5.38</v>
      </c>
      <c r="E475" s="274" t="s">
        <v>2643</v>
      </c>
      <c r="F475" s="274"/>
      <c r="G475" s="274">
        <v>0.03</v>
      </c>
      <c r="H475" s="274">
        <f>0.08+0.13</f>
        <v>0.21000000000000002</v>
      </c>
      <c r="I475" s="274">
        <v>0.09</v>
      </c>
      <c r="J475" s="456">
        <f t="shared" si="20"/>
        <v>0.33</v>
      </c>
      <c r="K475" s="583"/>
      <c r="L475" s="268" t="s">
        <v>719</v>
      </c>
      <c r="M475" s="268" t="s">
        <v>2631</v>
      </c>
      <c r="N475" s="278">
        <f>IFERROR(INDEX('Data Lokasi'!S:S,MATCH('Input Real Tanam&amp;Petik Nanas'!C475,'Data Lokasi'!C:C,0)),"")</f>
        <v>43919</v>
      </c>
      <c r="O475" s="278"/>
      <c r="P475" s="283">
        <f>IFERROR(INDEX('Data Lokasi'!V:V,MATCH(C475,'Data Lokasi'!C:C,0)),"")</f>
        <v>0</v>
      </c>
      <c r="Q475" s="304">
        <f t="shared" si="21"/>
        <v>0</v>
      </c>
      <c r="R475" s="308">
        <v>4</v>
      </c>
    </row>
    <row r="476" spans="2:18" ht="15" hidden="1" thickTop="1">
      <c r="B476" s="269">
        <v>46212</v>
      </c>
      <c r="C476" s="268" t="s">
        <v>562</v>
      </c>
      <c r="D476" s="274">
        <f>IFERROR(VLOOKUP(C476,'Data Lokasi'!C:D,2,0),"")</f>
        <v>4.57</v>
      </c>
      <c r="E476" s="274" t="s">
        <v>2643</v>
      </c>
      <c r="F476" s="274"/>
      <c r="G476" s="274"/>
      <c r="H476" s="274"/>
      <c r="I476" s="274">
        <v>0.83</v>
      </c>
      <c r="J476" s="456">
        <f t="shared" si="20"/>
        <v>0.83</v>
      </c>
      <c r="K476" s="583"/>
      <c r="L476" s="268" t="s">
        <v>2625</v>
      </c>
      <c r="M476" s="268" t="s">
        <v>2631</v>
      </c>
      <c r="N476" s="278">
        <f>IFERROR(INDEX('Data Lokasi'!S:S,MATCH('Input Real Tanam&amp;Petik Nanas'!C476,'Data Lokasi'!C:C,0)),"")</f>
        <v>44669</v>
      </c>
      <c r="O476" s="278"/>
      <c r="P476" s="283">
        <f>IFERROR(INDEX('Data Lokasi'!V:V,MATCH(C476,'Data Lokasi'!C:C,0)),"")</f>
        <v>0</v>
      </c>
      <c r="Q476" s="304">
        <f t="shared" si="21"/>
        <v>0</v>
      </c>
      <c r="R476" s="308"/>
    </row>
    <row r="477" spans="2:18" ht="15" hidden="1" thickTop="1">
      <c r="B477" s="269">
        <v>46212</v>
      </c>
      <c r="C477" s="268" t="s">
        <v>534</v>
      </c>
      <c r="D477" s="274">
        <f>IFERROR(VLOOKUP(C477,'Data Lokasi'!C:D,2,0),"")</f>
        <v>6.6</v>
      </c>
      <c r="E477" s="274" t="s">
        <v>2643</v>
      </c>
      <c r="F477" s="274"/>
      <c r="G477" s="274"/>
      <c r="H477" s="274">
        <f>0.06+0.22</f>
        <v>0.28000000000000003</v>
      </c>
      <c r="I477" s="274"/>
      <c r="J477" s="456">
        <f t="shared" si="20"/>
        <v>0.28000000000000003</v>
      </c>
      <c r="K477" s="583"/>
      <c r="L477" s="268" t="s">
        <v>719</v>
      </c>
      <c r="M477" s="268" t="s">
        <v>2631</v>
      </c>
      <c r="N477" s="278">
        <f>IFERROR(INDEX('Data Lokasi'!S:S,MATCH('Input Real Tanam&amp;Petik Nanas'!C477,'Data Lokasi'!C:C,0)),"")</f>
        <v>44639</v>
      </c>
      <c r="O477" s="278"/>
      <c r="P477" s="283">
        <f>IFERROR(INDEX('Data Lokasi'!V:V,MATCH(C477,'Data Lokasi'!C:C,0)),"")</f>
        <v>0</v>
      </c>
      <c r="Q477" s="304">
        <f t="shared" si="21"/>
        <v>0</v>
      </c>
      <c r="R477" s="308">
        <v>3</v>
      </c>
    </row>
    <row r="478" spans="2:18" ht="15" hidden="1" thickTop="1">
      <c r="B478" s="269">
        <v>46212</v>
      </c>
      <c r="C478" s="268" t="s">
        <v>2552</v>
      </c>
      <c r="D478" s="274">
        <f>IFERROR(VLOOKUP(C478,'Data Lokasi'!C:D,2,0),"")</f>
        <v>3.41</v>
      </c>
      <c r="E478" s="274" t="s">
        <v>2643</v>
      </c>
      <c r="F478" s="274"/>
      <c r="G478" s="274"/>
      <c r="H478" s="274"/>
      <c r="I478" s="274">
        <v>1.51</v>
      </c>
      <c r="J478" s="456">
        <f t="shared" si="20"/>
        <v>1.51</v>
      </c>
      <c r="K478" s="583"/>
      <c r="L478" s="268" t="s">
        <v>2625</v>
      </c>
      <c r="M478" s="268" t="s">
        <v>2631</v>
      </c>
      <c r="N478" s="278">
        <f>IFERROR(INDEX('Data Lokasi'!S:S,MATCH('Input Real Tanam&amp;Petik Nanas'!C478,'Data Lokasi'!C:C,0)),"")</f>
        <v>45617</v>
      </c>
      <c r="O478" s="278"/>
      <c r="P478" s="283">
        <f>IFERROR(INDEX('Data Lokasi'!V:V,MATCH(C478,'Data Lokasi'!C:C,0)),"")</f>
        <v>0</v>
      </c>
      <c r="Q478" s="304">
        <f t="shared" si="21"/>
        <v>0</v>
      </c>
      <c r="R478" s="308"/>
    </row>
    <row r="479" spans="2:18" ht="15" hidden="1" thickTop="1">
      <c r="B479" s="269">
        <v>46212</v>
      </c>
      <c r="C479" s="268" t="s">
        <v>2553</v>
      </c>
      <c r="D479" s="274">
        <f>IFERROR(VLOOKUP(C479,'Data Lokasi'!C:D,2,0),"")</f>
        <v>8.2899999999999991</v>
      </c>
      <c r="E479" s="274" t="s">
        <v>2643</v>
      </c>
      <c r="F479" s="274"/>
      <c r="G479" s="274"/>
      <c r="H479" s="274"/>
      <c r="I479" s="274">
        <v>1.1200000000000001</v>
      </c>
      <c r="J479" s="456">
        <f t="shared" si="20"/>
        <v>1.1200000000000001</v>
      </c>
      <c r="K479" s="583"/>
      <c r="L479" s="268" t="s">
        <v>2625</v>
      </c>
      <c r="M479" s="268" t="s">
        <v>2631</v>
      </c>
      <c r="N479" s="278">
        <f>IFERROR(INDEX('Data Lokasi'!S:S,MATCH('Input Real Tanam&amp;Petik Nanas'!C479,'Data Lokasi'!C:C,0)),"")</f>
        <v>45619</v>
      </c>
      <c r="O479" s="278"/>
      <c r="P479" s="283">
        <f>IFERROR(INDEX('Data Lokasi'!V:V,MATCH(C479,'Data Lokasi'!C:C,0)),"")</f>
        <v>0</v>
      </c>
      <c r="Q479" s="304">
        <f t="shared" si="21"/>
        <v>0</v>
      </c>
      <c r="R479" s="308"/>
    </row>
    <row r="480" spans="2:18" ht="15" hidden="1" thickTop="1">
      <c r="B480" s="269">
        <v>46213</v>
      </c>
      <c r="C480" s="268" t="s">
        <v>620</v>
      </c>
      <c r="D480" s="274">
        <f>IFERROR(VLOOKUP(C480,'Data Lokasi'!C:D,2,0),"")</f>
        <v>5.59</v>
      </c>
      <c r="E480" s="274" t="s">
        <v>2642</v>
      </c>
      <c r="F480" s="274"/>
      <c r="G480" s="274"/>
      <c r="H480" s="274"/>
      <c r="I480" s="274">
        <v>0.12</v>
      </c>
      <c r="J480" s="456">
        <f t="shared" si="20"/>
        <v>0.12</v>
      </c>
      <c r="K480" s="583"/>
      <c r="L480" s="268" t="s">
        <v>2625</v>
      </c>
      <c r="M480" s="268" t="s">
        <v>2631</v>
      </c>
      <c r="N480" s="278">
        <f>IFERROR(INDEX('Data Lokasi'!S:S,MATCH('Input Real Tanam&amp;Petik Nanas'!C480,'Data Lokasi'!C:C,0)),"")</f>
        <v>44859</v>
      </c>
      <c r="O480" s="278"/>
      <c r="P480" s="283">
        <f>IFERROR(INDEX('Data Lokasi'!V:V,MATCH(C480,'Data Lokasi'!C:C,0)),"")</f>
        <v>0</v>
      </c>
      <c r="Q480" s="304">
        <f t="shared" si="21"/>
        <v>0</v>
      </c>
      <c r="R480" s="308"/>
    </row>
    <row r="481" spans="2:18" ht="15" hidden="1" thickTop="1">
      <c r="B481" s="269">
        <v>46213</v>
      </c>
      <c r="C481" s="268" t="s">
        <v>678</v>
      </c>
      <c r="D481" s="274">
        <f>IFERROR(VLOOKUP(C481,'Data Lokasi'!C:D,2,0),"")</f>
        <v>7.7</v>
      </c>
      <c r="E481" s="274" t="s">
        <v>2642</v>
      </c>
      <c r="F481" s="274"/>
      <c r="G481" s="274"/>
      <c r="H481" s="274">
        <v>0.23</v>
      </c>
      <c r="I481" s="274"/>
      <c r="J481" s="456">
        <f t="shared" si="20"/>
        <v>0.23</v>
      </c>
      <c r="K481" s="583"/>
      <c r="L481" s="268" t="s">
        <v>719</v>
      </c>
      <c r="M481" s="268" t="s">
        <v>2631</v>
      </c>
      <c r="N481" s="278">
        <f>IFERROR(INDEX('Data Lokasi'!S:S,MATCH('Input Real Tanam&amp;Petik Nanas'!C481,'Data Lokasi'!C:C,0)),"")</f>
        <v>45083</v>
      </c>
      <c r="O481" s="278"/>
      <c r="P481" s="283">
        <f>IFERROR(INDEX('Data Lokasi'!V:V,MATCH(C481,'Data Lokasi'!C:C,0)),"")</f>
        <v>0</v>
      </c>
      <c r="Q481" s="304">
        <f t="shared" si="21"/>
        <v>0</v>
      </c>
      <c r="R481" s="308"/>
    </row>
    <row r="482" spans="2:18" ht="15" hidden="1" thickTop="1">
      <c r="B482" s="269">
        <v>46213</v>
      </c>
      <c r="C482" s="268" t="s">
        <v>706</v>
      </c>
      <c r="D482" s="274">
        <f>IFERROR(VLOOKUP(C482,'Data Lokasi'!C:D,2,0),"")</f>
        <v>5.44</v>
      </c>
      <c r="E482" s="274" t="s">
        <v>2642</v>
      </c>
      <c r="F482" s="274"/>
      <c r="G482" s="274"/>
      <c r="H482" s="274"/>
      <c r="I482" s="274">
        <v>1.05</v>
      </c>
      <c r="J482" s="456">
        <f t="shared" ref="J482:J545" si="22">IF(SUM(F482:I482)=0,"",(SUM(F482:I482)))</f>
        <v>1.05</v>
      </c>
      <c r="K482" s="583"/>
      <c r="L482" s="268" t="s">
        <v>2625</v>
      </c>
      <c r="M482" s="268" t="s">
        <v>2631</v>
      </c>
      <c r="N482" s="278">
        <f>IFERROR(INDEX('Data Lokasi'!S:S,MATCH('Input Real Tanam&amp;Petik Nanas'!C482,'Data Lokasi'!C:C,0)),"")</f>
        <v>45205</v>
      </c>
      <c r="O482" s="278"/>
      <c r="P482" s="283">
        <f>IFERROR(INDEX('Data Lokasi'!V:V,MATCH(C482,'Data Lokasi'!C:C,0)),"")</f>
        <v>0</v>
      </c>
      <c r="Q482" s="304">
        <f t="shared" ref="Q482:Q545" si="23">IF(ISERROR(P482/D482),"",(P482/D482))</f>
        <v>0</v>
      </c>
      <c r="R482" s="308"/>
    </row>
    <row r="483" spans="2:18" ht="15" hidden="1" thickTop="1">
      <c r="B483" s="269">
        <v>46213</v>
      </c>
      <c r="C483" s="317" t="s">
        <v>700</v>
      </c>
      <c r="D483" s="274">
        <f>IFERROR(VLOOKUP(C483,'Data Lokasi'!C:D,2,0),"")</f>
        <v>8.44</v>
      </c>
      <c r="E483" s="274" t="s">
        <v>2642</v>
      </c>
      <c r="F483" s="274"/>
      <c r="G483" s="274"/>
      <c r="H483" s="274"/>
      <c r="I483" s="274">
        <v>1.29</v>
      </c>
      <c r="J483" s="456">
        <f t="shared" si="22"/>
        <v>1.29</v>
      </c>
      <c r="K483" s="583"/>
      <c r="L483" s="268" t="s">
        <v>2625</v>
      </c>
      <c r="M483" s="268" t="s">
        <v>2631</v>
      </c>
      <c r="N483" s="278">
        <f>IFERROR(INDEX('Data Lokasi'!S:S,MATCH('Input Real Tanam&amp;Petik Nanas'!C483,'Data Lokasi'!C:C,0)),"")</f>
        <v>45166</v>
      </c>
      <c r="O483" s="278"/>
      <c r="P483" s="283">
        <f>IFERROR(INDEX('Data Lokasi'!V:V,MATCH(C483,'Data Lokasi'!C:C,0)),"")</f>
        <v>0</v>
      </c>
      <c r="Q483" s="304">
        <f t="shared" si="23"/>
        <v>0</v>
      </c>
      <c r="R483" s="308"/>
    </row>
    <row r="484" spans="2:18" ht="15" hidden="1" thickTop="1">
      <c r="B484" s="269">
        <v>46213</v>
      </c>
      <c r="C484" s="268" t="s">
        <v>670</v>
      </c>
      <c r="D484" s="274">
        <f>IFERROR(VLOOKUP(C484,'Data Lokasi'!C:D,2,0),"")</f>
        <v>4.7</v>
      </c>
      <c r="E484" s="274" t="s">
        <v>2642</v>
      </c>
      <c r="F484" s="274"/>
      <c r="G484" s="274"/>
      <c r="H484" s="274"/>
      <c r="I484" s="274">
        <v>0.06</v>
      </c>
      <c r="J484" s="456">
        <f t="shared" si="22"/>
        <v>0.06</v>
      </c>
      <c r="K484" s="583"/>
      <c r="L484" s="268" t="s">
        <v>2625</v>
      </c>
      <c r="M484" s="268" t="s">
        <v>2631</v>
      </c>
      <c r="N484" s="278">
        <f>IFERROR(INDEX('Data Lokasi'!S:S,MATCH('Input Real Tanam&amp;Petik Nanas'!C484,'Data Lokasi'!C:C,0)),"")</f>
        <v>45071</v>
      </c>
      <c r="O484" s="278"/>
      <c r="P484" s="283">
        <f>IFERROR(INDEX('Data Lokasi'!V:V,MATCH(C484,'Data Lokasi'!C:C,0)),"")</f>
        <v>0</v>
      </c>
      <c r="Q484" s="304">
        <f t="shared" si="23"/>
        <v>0</v>
      </c>
      <c r="R484" s="308"/>
    </row>
    <row r="485" spans="2:18" ht="15" hidden="1" thickTop="1">
      <c r="B485" s="269">
        <v>46213</v>
      </c>
      <c r="C485" s="268" t="s">
        <v>182</v>
      </c>
      <c r="D485" s="274">
        <f>IFERROR(VLOOKUP(C485,'Data Lokasi'!C:D,2,0),"")</f>
        <v>8.7200000000000006</v>
      </c>
      <c r="E485" s="274" t="s">
        <v>2642</v>
      </c>
      <c r="F485" s="274"/>
      <c r="G485" s="274"/>
      <c r="H485" s="274"/>
      <c r="I485" s="274">
        <v>0.28000000000000003</v>
      </c>
      <c r="J485" s="456">
        <f t="shared" si="22"/>
        <v>0.28000000000000003</v>
      </c>
      <c r="K485" s="583"/>
      <c r="L485" s="268" t="s">
        <v>2625</v>
      </c>
      <c r="M485" s="268" t="s">
        <v>2631</v>
      </c>
      <c r="N485" s="278">
        <f>IFERROR(INDEX('Data Lokasi'!S:S,MATCH('Input Real Tanam&amp;Petik Nanas'!C485,'Data Lokasi'!C:C,0)),"")</f>
        <v>43935</v>
      </c>
      <c r="O485" s="278"/>
      <c r="P485" s="283">
        <f>IFERROR(INDEX('Data Lokasi'!V:V,MATCH(C485,'Data Lokasi'!C:C,0)),"")</f>
        <v>0</v>
      </c>
      <c r="Q485" s="304">
        <f t="shared" si="23"/>
        <v>0</v>
      </c>
      <c r="R485" s="308"/>
    </row>
    <row r="486" spans="2:18" ht="15" hidden="1" thickTop="1">
      <c r="B486" s="269">
        <v>46213</v>
      </c>
      <c r="C486" s="268" t="s">
        <v>329</v>
      </c>
      <c r="D486" s="274">
        <f>IFERROR(VLOOKUP(C486,'Data Lokasi'!C:D,2,0),"")</f>
        <v>6.68</v>
      </c>
      <c r="E486" s="274" t="s">
        <v>2642</v>
      </c>
      <c r="F486" s="274"/>
      <c r="G486" s="274"/>
      <c r="H486" s="274"/>
      <c r="I486" s="274">
        <v>0.41</v>
      </c>
      <c r="J486" s="456">
        <f t="shared" si="22"/>
        <v>0.41</v>
      </c>
      <c r="K486" s="583"/>
      <c r="L486" s="268" t="s">
        <v>2625</v>
      </c>
      <c r="M486" s="268" t="s">
        <v>2634</v>
      </c>
      <c r="N486" s="278">
        <f>IFERROR(INDEX('Data Lokasi'!S:S,MATCH('Input Real Tanam&amp;Petik Nanas'!C486,'Data Lokasi'!C:C,0)),"")</f>
        <v>44218</v>
      </c>
      <c r="O486" s="278"/>
      <c r="P486" s="283">
        <f>IFERROR(INDEX('Data Lokasi'!V:V,MATCH(C486,'Data Lokasi'!C:C,0)),"")</f>
        <v>0</v>
      </c>
      <c r="Q486" s="304">
        <f t="shared" si="23"/>
        <v>0</v>
      </c>
      <c r="R486" s="308"/>
    </row>
    <row r="487" spans="2:18" ht="15" hidden="1" thickTop="1">
      <c r="B487" s="269">
        <v>46213</v>
      </c>
      <c r="C487" s="268" t="s">
        <v>706</v>
      </c>
      <c r="D487" s="274">
        <f>IFERROR(VLOOKUP(C487,'Data Lokasi'!C:D,2,0),"")</f>
        <v>5.44</v>
      </c>
      <c r="E487" s="274" t="s">
        <v>2642</v>
      </c>
      <c r="F487" s="274"/>
      <c r="G487" s="274"/>
      <c r="H487" s="274"/>
      <c r="I487" s="274">
        <v>0.83</v>
      </c>
      <c r="J487" s="456">
        <f t="shared" si="22"/>
        <v>0.83</v>
      </c>
      <c r="K487" s="583"/>
      <c r="L487" s="268" t="s">
        <v>2625</v>
      </c>
      <c r="M487" s="268" t="s">
        <v>2634</v>
      </c>
      <c r="N487" s="278">
        <f>IFERROR(INDEX('Data Lokasi'!S:S,MATCH('Input Real Tanam&amp;Petik Nanas'!C487,'Data Lokasi'!C:C,0)),"")</f>
        <v>45205</v>
      </c>
      <c r="O487" s="278"/>
      <c r="P487" s="283">
        <f>IFERROR(INDEX('Data Lokasi'!V:V,MATCH(C487,'Data Lokasi'!C:C,0)),"")</f>
        <v>0</v>
      </c>
      <c r="Q487" s="304">
        <f t="shared" si="23"/>
        <v>0</v>
      </c>
      <c r="R487" s="308"/>
    </row>
    <row r="488" spans="2:18" ht="15" hidden="1" thickTop="1">
      <c r="B488" s="269">
        <v>46213</v>
      </c>
      <c r="C488" s="268" t="s">
        <v>2663</v>
      </c>
      <c r="D488" s="274">
        <f>IFERROR(VLOOKUP(C488,'Data Lokasi'!C:D,2,0),"")</f>
        <v>7.48</v>
      </c>
      <c r="E488" s="274" t="s">
        <v>2642</v>
      </c>
      <c r="F488" s="274"/>
      <c r="G488" s="274"/>
      <c r="H488" s="274"/>
      <c r="I488" s="274">
        <v>0.46</v>
      </c>
      <c r="J488" s="456">
        <f t="shared" si="22"/>
        <v>0.46</v>
      </c>
      <c r="K488" s="583"/>
      <c r="L488" s="268" t="s">
        <v>2625</v>
      </c>
      <c r="M488" s="268" t="s">
        <v>2634</v>
      </c>
      <c r="N488" s="278">
        <f>IFERROR(INDEX('Data Lokasi'!S:S,MATCH('Input Real Tanam&amp;Petik Nanas'!C488,'Data Lokasi'!C:C,0)),"")</f>
        <v>46206</v>
      </c>
      <c r="O488" s="278"/>
      <c r="P488" s="283">
        <f>IFERROR(INDEX('Data Lokasi'!V:V,MATCH(C488,'Data Lokasi'!C:C,0)),"")</f>
        <v>0</v>
      </c>
      <c r="Q488" s="304">
        <f t="shared" si="23"/>
        <v>0</v>
      </c>
      <c r="R488" s="308"/>
    </row>
    <row r="489" spans="2:18" ht="15" hidden="1" thickTop="1">
      <c r="B489" s="269">
        <v>46213</v>
      </c>
      <c r="C489" s="268" t="s">
        <v>286</v>
      </c>
      <c r="D489" s="274">
        <f>IFERROR(VLOOKUP(C489,'Data Lokasi'!C:D,2,0),"")</f>
        <v>8.33</v>
      </c>
      <c r="E489" s="274" t="s">
        <v>2642</v>
      </c>
      <c r="F489" s="274"/>
      <c r="G489" s="274"/>
      <c r="H489" s="274"/>
      <c r="I489" s="274">
        <v>0.03</v>
      </c>
      <c r="J489" s="456">
        <f t="shared" si="22"/>
        <v>0.03</v>
      </c>
      <c r="K489" s="583"/>
      <c r="L489" s="268" t="s">
        <v>2625</v>
      </c>
      <c r="M489" s="268" t="s">
        <v>2634</v>
      </c>
      <c r="N489" s="278">
        <f>IFERROR(INDEX('Data Lokasi'!S:S,MATCH('Input Real Tanam&amp;Petik Nanas'!C489,'Data Lokasi'!C:C,0)),"")</f>
        <v>44125</v>
      </c>
      <c r="O489" s="278"/>
      <c r="P489" s="283">
        <f>IFERROR(INDEX('Data Lokasi'!V:V,MATCH(C489,'Data Lokasi'!C:C,0)),"")</f>
        <v>0</v>
      </c>
      <c r="Q489" s="304">
        <f t="shared" si="23"/>
        <v>0</v>
      </c>
      <c r="R489" s="308"/>
    </row>
    <row r="490" spans="2:18" ht="15" hidden="1" thickTop="1">
      <c r="B490" s="269">
        <v>46213</v>
      </c>
      <c r="C490" s="268" t="s">
        <v>106</v>
      </c>
      <c r="D490" s="274">
        <f>IFERROR(VLOOKUP(C490,'Data Lokasi'!C:D,2,0),"")</f>
        <v>3.86</v>
      </c>
      <c r="E490" s="274" t="s">
        <v>2642</v>
      </c>
      <c r="F490" s="274"/>
      <c r="G490" s="274"/>
      <c r="H490" s="274"/>
      <c r="I490" s="274">
        <v>0.16</v>
      </c>
      <c r="J490" s="456">
        <f t="shared" si="22"/>
        <v>0.16</v>
      </c>
      <c r="K490" s="583"/>
      <c r="L490" s="268" t="s">
        <v>2625</v>
      </c>
      <c r="M490" s="268" t="s">
        <v>2634</v>
      </c>
      <c r="N490" s="278">
        <f>IFERROR(INDEX('Data Lokasi'!S:S,MATCH('Input Real Tanam&amp;Petik Nanas'!C490,'Data Lokasi'!C:C,0)),"")</f>
        <v>45241</v>
      </c>
      <c r="O490" s="278"/>
      <c r="P490" s="283">
        <f>IFERROR(INDEX('Data Lokasi'!V:V,MATCH(C490,'Data Lokasi'!C:C,0)),"")</f>
        <v>0</v>
      </c>
      <c r="Q490" s="304">
        <f>IF(ISERROR(P490/D490),"",(P490/D490))</f>
        <v>0</v>
      </c>
      <c r="R490" s="308"/>
    </row>
    <row r="491" spans="2:18" ht="15" hidden="1" thickTop="1">
      <c r="B491" s="269">
        <v>46213</v>
      </c>
      <c r="C491" s="268" t="s">
        <v>580</v>
      </c>
      <c r="D491" s="274">
        <f>IFERROR(VLOOKUP(C491,'Data Lokasi'!C:D,2,0),"")</f>
        <v>3.08</v>
      </c>
      <c r="E491" s="274" t="s">
        <v>2642</v>
      </c>
      <c r="F491" s="274"/>
      <c r="G491" s="274"/>
      <c r="H491" s="274"/>
      <c r="I491" s="274">
        <v>0.28000000000000003</v>
      </c>
      <c r="J491" s="456">
        <f t="shared" si="22"/>
        <v>0.28000000000000003</v>
      </c>
      <c r="K491" s="583"/>
      <c r="L491" s="268" t="s">
        <v>2625</v>
      </c>
      <c r="M491" s="268" t="s">
        <v>2634</v>
      </c>
      <c r="N491" s="278">
        <f>IFERROR(INDEX('Data Lokasi'!S:S,MATCH('Input Real Tanam&amp;Petik Nanas'!C491,'Data Lokasi'!C:C,0)),"")</f>
        <v>44781</v>
      </c>
      <c r="O491" s="278"/>
      <c r="P491" s="283">
        <f>IFERROR(INDEX('Data Lokasi'!V:V,MATCH(C491,'Data Lokasi'!C:C,0)),"")</f>
        <v>0</v>
      </c>
      <c r="Q491" s="304">
        <f t="shared" si="23"/>
        <v>0</v>
      </c>
      <c r="R491" s="308"/>
    </row>
    <row r="492" spans="2:18" ht="15" hidden="1" thickTop="1">
      <c r="B492" s="269">
        <v>46213</v>
      </c>
      <c r="C492" s="268" t="s">
        <v>650</v>
      </c>
      <c r="D492" s="274">
        <f>IFERROR(VLOOKUP(C492,'Data Lokasi'!C:D,2,0),"")</f>
        <v>8.02</v>
      </c>
      <c r="E492" s="274" t="s">
        <v>2642</v>
      </c>
      <c r="F492" s="274"/>
      <c r="G492" s="274"/>
      <c r="H492" s="274"/>
      <c r="I492" s="274">
        <v>0.45</v>
      </c>
      <c r="J492" s="456">
        <f t="shared" si="22"/>
        <v>0.45</v>
      </c>
      <c r="K492" s="583"/>
      <c r="L492" s="268" t="s">
        <v>2625</v>
      </c>
      <c r="M492" s="268" t="s">
        <v>2634</v>
      </c>
      <c r="N492" s="278">
        <f>IFERROR(INDEX('Data Lokasi'!S:S,MATCH('Input Real Tanam&amp;Petik Nanas'!C492,'Data Lokasi'!C:C,0)),"")</f>
        <v>44970</v>
      </c>
      <c r="O492" s="278"/>
      <c r="P492" s="283">
        <f>IFERROR(INDEX('Data Lokasi'!V:V,MATCH(C492,'Data Lokasi'!C:C,0)),"")</f>
        <v>0</v>
      </c>
      <c r="Q492" s="304">
        <f t="shared" si="23"/>
        <v>0</v>
      </c>
      <c r="R492" s="308"/>
    </row>
    <row r="493" spans="2:18" ht="15" hidden="1" thickTop="1">
      <c r="B493" s="269">
        <v>46213</v>
      </c>
      <c r="C493" s="268" t="s">
        <v>320</v>
      </c>
      <c r="D493" s="274">
        <f>IFERROR(VLOOKUP(C493,'Data Lokasi'!C:D,2,0),"")</f>
        <v>9.0299999999999994</v>
      </c>
      <c r="E493" s="274" t="s">
        <v>2642</v>
      </c>
      <c r="F493" s="274"/>
      <c r="G493" s="274"/>
      <c r="H493" s="274">
        <v>0.09</v>
      </c>
      <c r="I493" s="274"/>
      <c r="J493" s="456">
        <f t="shared" si="22"/>
        <v>0.09</v>
      </c>
      <c r="K493" s="583"/>
      <c r="L493" s="268" t="s">
        <v>719</v>
      </c>
      <c r="M493" s="268" t="s">
        <v>2634</v>
      </c>
      <c r="N493" s="278">
        <f>IFERROR(INDEX('Data Lokasi'!S:S,MATCH('Input Real Tanam&amp;Petik Nanas'!C493,'Data Lokasi'!C:C,0)),"")</f>
        <v>44216</v>
      </c>
      <c r="O493" s="278"/>
      <c r="P493" s="283">
        <f>IFERROR(INDEX('Data Lokasi'!V:V,MATCH(C493,'Data Lokasi'!C:C,0)),"")</f>
        <v>0</v>
      </c>
      <c r="Q493" s="304">
        <f t="shared" si="23"/>
        <v>0</v>
      </c>
      <c r="R493" s="308"/>
    </row>
    <row r="494" spans="2:18" ht="15" hidden="1" thickTop="1">
      <c r="B494" s="269">
        <v>46213</v>
      </c>
      <c r="C494" s="268" t="s">
        <v>171</v>
      </c>
      <c r="D494" s="274">
        <f>IFERROR(VLOOKUP(C494,'Data Lokasi'!C:D,2,0),"")</f>
        <v>5.38</v>
      </c>
      <c r="E494" s="274" t="s">
        <v>2643</v>
      </c>
      <c r="F494" s="274"/>
      <c r="G494" s="274">
        <v>0.03</v>
      </c>
      <c r="H494" s="274">
        <f>0.13+0.16</f>
        <v>0.29000000000000004</v>
      </c>
      <c r="I494" s="274">
        <v>0.16</v>
      </c>
      <c r="J494" s="456">
        <f t="shared" si="22"/>
        <v>0.48000000000000009</v>
      </c>
      <c r="K494" s="583"/>
      <c r="L494" s="268" t="s">
        <v>719</v>
      </c>
      <c r="M494" s="268" t="s">
        <v>2631</v>
      </c>
      <c r="N494" s="278">
        <f>IFERROR(INDEX('Data Lokasi'!S:S,MATCH('Input Real Tanam&amp;Petik Nanas'!C494,'Data Lokasi'!C:C,0)),"")</f>
        <v>43919</v>
      </c>
      <c r="O494" s="278"/>
      <c r="P494" s="283">
        <f>IFERROR(INDEX('Data Lokasi'!V:V,MATCH(C494,'Data Lokasi'!C:C,0)),"")</f>
        <v>0</v>
      </c>
      <c r="Q494" s="304">
        <f t="shared" si="23"/>
        <v>0</v>
      </c>
      <c r="R494" s="308">
        <v>4</v>
      </c>
    </row>
    <row r="495" spans="2:18" ht="15" hidden="1" thickTop="1">
      <c r="B495" s="269">
        <v>46213</v>
      </c>
      <c r="C495" s="268" t="s">
        <v>492</v>
      </c>
      <c r="D495" s="274">
        <f>IFERROR(VLOOKUP(C495,'Data Lokasi'!C:D,2,0),"")</f>
        <v>9.2100000000000009</v>
      </c>
      <c r="E495" s="274" t="s">
        <v>2643</v>
      </c>
      <c r="F495" s="274"/>
      <c r="G495" s="274">
        <v>5.0000000000000001E-3</v>
      </c>
      <c r="H495" s="274">
        <f>0.02+0.08</f>
        <v>0.1</v>
      </c>
      <c r="I495" s="274"/>
      <c r="J495" s="456">
        <f t="shared" si="22"/>
        <v>0.10500000000000001</v>
      </c>
      <c r="K495" s="583"/>
      <c r="L495" s="268" t="s">
        <v>719</v>
      </c>
      <c r="M495" s="268" t="s">
        <v>2631</v>
      </c>
      <c r="N495" s="278">
        <f>IFERROR(INDEX('Data Lokasi'!S:S,MATCH('Input Real Tanam&amp;Petik Nanas'!C495,'Data Lokasi'!C:C,0)),"")</f>
        <v>44536</v>
      </c>
      <c r="O495" s="278"/>
      <c r="P495" s="283">
        <f>IFERROR(INDEX('Data Lokasi'!V:V,MATCH(C495,'Data Lokasi'!C:C,0)),"")</f>
        <v>0</v>
      </c>
      <c r="Q495" s="304">
        <f t="shared" si="23"/>
        <v>0</v>
      </c>
      <c r="R495" s="308">
        <v>1</v>
      </c>
    </row>
    <row r="496" spans="2:18" ht="15" hidden="1" thickTop="1">
      <c r="B496" s="269">
        <v>46213</v>
      </c>
      <c r="C496" s="268" t="s">
        <v>409</v>
      </c>
      <c r="D496" s="274">
        <f>IFERROR(VLOOKUP(C496,'Data Lokasi'!C:D,2,0),"")</f>
        <v>8.83</v>
      </c>
      <c r="E496" s="274" t="s">
        <v>2643</v>
      </c>
      <c r="F496" s="274"/>
      <c r="G496" s="274">
        <v>0.06</v>
      </c>
      <c r="H496" s="274">
        <f>0.12+0.17</f>
        <v>0.29000000000000004</v>
      </c>
      <c r="I496" s="274"/>
      <c r="J496" s="456">
        <f t="shared" si="22"/>
        <v>0.35000000000000003</v>
      </c>
      <c r="K496" s="583"/>
      <c r="L496" s="268" t="s">
        <v>719</v>
      </c>
      <c r="M496" s="268" t="s">
        <v>2634</v>
      </c>
      <c r="N496" s="278">
        <f>IFERROR(INDEX('Data Lokasi'!S:S,MATCH('Input Real Tanam&amp;Petik Nanas'!C496,'Data Lokasi'!C:C,0)),"")</f>
        <v>44365</v>
      </c>
      <c r="O496" s="278"/>
      <c r="P496" s="283">
        <f>IFERROR(INDEX('Data Lokasi'!V:V,MATCH(C496,'Data Lokasi'!C:C,0)),"")</f>
        <v>0</v>
      </c>
      <c r="Q496" s="304">
        <f t="shared" si="23"/>
        <v>0</v>
      </c>
      <c r="R496" s="308">
        <v>5</v>
      </c>
    </row>
    <row r="497" spans="2:18" ht="15" hidden="1" thickTop="1">
      <c r="B497" s="269">
        <v>46213</v>
      </c>
      <c r="C497" s="268" t="s">
        <v>554</v>
      </c>
      <c r="D497" s="274">
        <f>IFERROR(VLOOKUP(C497,'Data Lokasi'!C:D,2,0),"")</f>
        <v>5.62</v>
      </c>
      <c r="E497" s="274" t="s">
        <v>2643</v>
      </c>
      <c r="F497" s="274"/>
      <c r="G497" s="274">
        <v>0.02</v>
      </c>
      <c r="H497" s="274">
        <f>0.04+0.11</f>
        <v>0.15</v>
      </c>
      <c r="I497" s="274"/>
      <c r="J497" s="456">
        <f t="shared" si="22"/>
        <v>0.16999999999999998</v>
      </c>
      <c r="K497" s="583"/>
      <c r="L497" s="268" t="s">
        <v>719</v>
      </c>
      <c r="M497" s="268" t="s">
        <v>2634</v>
      </c>
      <c r="N497" s="278">
        <f>IFERROR(INDEX('Data Lokasi'!S:S,MATCH('Input Real Tanam&amp;Petik Nanas'!C497,'Data Lokasi'!C:C,0)),"")</f>
        <v>44655</v>
      </c>
      <c r="O497" s="278"/>
      <c r="P497" s="283">
        <f>IFERROR(INDEX('Data Lokasi'!V:V,MATCH(C497,'Data Lokasi'!C:C,0)),"")</f>
        <v>0</v>
      </c>
      <c r="Q497" s="304">
        <f t="shared" si="23"/>
        <v>0</v>
      </c>
      <c r="R497" s="308">
        <v>1</v>
      </c>
    </row>
    <row r="498" spans="2:18" ht="15" hidden="1" thickTop="1">
      <c r="B498" s="269">
        <v>46213</v>
      </c>
      <c r="C498" s="268" t="s">
        <v>513</v>
      </c>
      <c r="D498" s="274">
        <f>IFERROR(VLOOKUP(C498,'Data Lokasi'!C:D,2,0),"")</f>
        <v>8.8800000000000008</v>
      </c>
      <c r="E498" s="274" t="s">
        <v>2643</v>
      </c>
      <c r="F498" s="274"/>
      <c r="G498" s="274"/>
      <c r="H498" s="274"/>
      <c r="I498" s="274">
        <v>0.53</v>
      </c>
      <c r="J498" s="456">
        <f t="shared" si="22"/>
        <v>0.53</v>
      </c>
      <c r="K498" s="583"/>
      <c r="L498" s="268" t="s">
        <v>2625</v>
      </c>
      <c r="M498" s="268" t="s">
        <v>2634</v>
      </c>
      <c r="N498" s="278">
        <f>IFERROR(INDEX('Data Lokasi'!S:S,MATCH('Input Real Tanam&amp;Petik Nanas'!C498,'Data Lokasi'!C:C,0)),"")</f>
        <v>44603</v>
      </c>
      <c r="O498" s="278"/>
      <c r="P498" s="283">
        <f>IFERROR(INDEX('Data Lokasi'!V:V,MATCH(C498,'Data Lokasi'!C:C,0)),"")</f>
        <v>0</v>
      </c>
      <c r="Q498" s="304">
        <f t="shared" si="23"/>
        <v>0</v>
      </c>
      <c r="R498" s="308"/>
    </row>
    <row r="499" spans="2:18" ht="15" hidden="1" thickTop="1">
      <c r="B499" s="269">
        <v>46213</v>
      </c>
      <c r="C499" s="268" t="s">
        <v>534</v>
      </c>
      <c r="D499" s="274">
        <f>IFERROR(VLOOKUP(C499,'Data Lokasi'!C:D,2,0),"")</f>
        <v>6.6</v>
      </c>
      <c r="E499" s="274" t="s">
        <v>2643</v>
      </c>
      <c r="F499" s="274"/>
      <c r="G499" s="274"/>
      <c r="H499" s="274">
        <f>0.04+0.08</f>
        <v>0.12</v>
      </c>
      <c r="I499" s="274"/>
      <c r="J499" s="456">
        <f t="shared" si="22"/>
        <v>0.12</v>
      </c>
      <c r="K499" s="583"/>
      <c r="L499" s="268" t="s">
        <v>719</v>
      </c>
      <c r="M499" s="268" t="s">
        <v>2631</v>
      </c>
      <c r="N499" s="278">
        <f>IFERROR(INDEX('Data Lokasi'!S:S,MATCH('Input Real Tanam&amp;Petik Nanas'!C499,'Data Lokasi'!C:C,0)),"")</f>
        <v>44639</v>
      </c>
      <c r="O499" s="278"/>
      <c r="P499" s="283">
        <f>IFERROR(INDEX('Data Lokasi'!V:V,MATCH(C499,'Data Lokasi'!C:C,0)),"")</f>
        <v>0</v>
      </c>
      <c r="Q499" s="304">
        <f t="shared" si="23"/>
        <v>0</v>
      </c>
      <c r="R499" s="308">
        <v>3</v>
      </c>
    </row>
    <row r="500" spans="2:18" ht="15" hidden="1" thickTop="1">
      <c r="B500" s="269">
        <v>46213</v>
      </c>
      <c r="C500" s="268" t="s">
        <v>2552</v>
      </c>
      <c r="D500" s="274">
        <f>IFERROR(VLOOKUP(C500,'Data Lokasi'!C:D,2,0),"")</f>
        <v>3.41</v>
      </c>
      <c r="E500" s="274" t="s">
        <v>2643</v>
      </c>
      <c r="F500" s="274"/>
      <c r="G500" s="274"/>
      <c r="H500" s="274"/>
      <c r="I500" s="274">
        <v>1.98</v>
      </c>
      <c r="J500" s="456">
        <f t="shared" si="22"/>
        <v>1.98</v>
      </c>
      <c r="K500" s="583"/>
      <c r="L500" s="268" t="s">
        <v>2625</v>
      </c>
      <c r="M500" s="268" t="s">
        <v>2631</v>
      </c>
      <c r="N500" s="278">
        <f>IFERROR(INDEX('Data Lokasi'!S:S,MATCH('Input Real Tanam&amp;Petik Nanas'!C500,'Data Lokasi'!C:C,0)),"")</f>
        <v>45617</v>
      </c>
      <c r="O500" s="278"/>
      <c r="P500" s="283">
        <f>IFERROR(INDEX('Data Lokasi'!V:V,MATCH(C500,'Data Lokasi'!C:C,0)),"")</f>
        <v>0</v>
      </c>
      <c r="Q500" s="304">
        <f t="shared" si="23"/>
        <v>0</v>
      </c>
      <c r="R500" s="308"/>
    </row>
    <row r="501" spans="2:18" ht="15" hidden="1" thickTop="1">
      <c r="B501" s="269">
        <v>46213</v>
      </c>
      <c r="C501" s="268" t="s">
        <v>2553</v>
      </c>
      <c r="D501" s="274">
        <f>IFERROR(VLOOKUP(C501,'Data Lokasi'!C:D,2,0),"")</f>
        <v>8.2899999999999991</v>
      </c>
      <c r="E501" s="274" t="s">
        <v>2643</v>
      </c>
      <c r="F501" s="274"/>
      <c r="G501" s="274"/>
      <c r="H501" s="274"/>
      <c r="I501" s="274">
        <v>0.72</v>
      </c>
      <c r="J501" s="456">
        <f t="shared" si="22"/>
        <v>0.72</v>
      </c>
      <c r="K501" s="583"/>
      <c r="L501" s="268" t="s">
        <v>2625</v>
      </c>
      <c r="M501" s="268" t="s">
        <v>2631</v>
      </c>
      <c r="N501" s="278">
        <f>IFERROR(INDEX('Data Lokasi'!S:S,MATCH('Input Real Tanam&amp;Petik Nanas'!C501,'Data Lokasi'!C:C,0)),"")</f>
        <v>45619</v>
      </c>
      <c r="O501" s="278"/>
      <c r="P501" s="283">
        <f>IFERROR(INDEX('Data Lokasi'!V:V,MATCH(C501,'Data Lokasi'!C:C,0)),"")</f>
        <v>0</v>
      </c>
      <c r="Q501" s="304">
        <f t="shared" si="23"/>
        <v>0</v>
      </c>
      <c r="R501" s="308"/>
    </row>
    <row r="502" spans="2:18" ht="15" hidden="1" thickTop="1">
      <c r="B502" s="269">
        <v>46214</v>
      </c>
      <c r="C502" s="268" t="s">
        <v>329</v>
      </c>
      <c r="D502" s="274">
        <f>IFERROR(VLOOKUP(C502,'Data Lokasi'!C:D,2,0),"")</f>
        <v>6.68</v>
      </c>
      <c r="E502" s="274" t="s">
        <v>2642</v>
      </c>
      <c r="F502" s="274"/>
      <c r="G502" s="274"/>
      <c r="H502" s="274"/>
      <c r="I502" s="274">
        <v>0.73</v>
      </c>
      <c r="J502" s="456">
        <f t="shared" si="22"/>
        <v>0.73</v>
      </c>
      <c r="K502" s="583"/>
      <c r="L502" s="268" t="s">
        <v>2625</v>
      </c>
      <c r="M502" s="268" t="s">
        <v>2634</v>
      </c>
      <c r="N502" s="278">
        <f>IFERROR(INDEX('Data Lokasi'!S:S,MATCH('Input Real Tanam&amp;Petik Nanas'!C502,'Data Lokasi'!C:C,0)),"")</f>
        <v>44218</v>
      </c>
      <c r="O502" s="278"/>
      <c r="P502" s="283">
        <f>IFERROR(INDEX('Data Lokasi'!V:V,MATCH(C502,'Data Lokasi'!C:C,0)),"")</f>
        <v>0</v>
      </c>
      <c r="Q502" s="304">
        <f t="shared" si="23"/>
        <v>0</v>
      </c>
      <c r="R502" s="308"/>
    </row>
    <row r="503" spans="2:18" ht="15" hidden="1" thickTop="1">
      <c r="B503" s="269">
        <v>46214</v>
      </c>
      <c r="C503" s="268" t="s">
        <v>706</v>
      </c>
      <c r="D503" s="274">
        <f>IFERROR(VLOOKUP(C503,'Data Lokasi'!C:D,2,0),"")</f>
        <v>5.44</v>
      </c>
      <c r="E503" s="274" t="s">
        <v>2642</v>
      </c>
      <c r="F503" s="274"/>
      <c r="G503" s="274"/>
      <c r="H503" s="274"/>
      <c r="I503" s="274">
        <v>0.9</v>
      </c>
      <c r="J503" s="456">
        <f t="shared" si="22"/>
        <v>0.9</v>
      </c>
      <c r="K503" s="583"/>
      <c r="L503" s="268" t="s">
        <v>2625</v>
      </c>
      <c r="M503" s="268" t="s">
        <v>2634</v>
      </c>
      <c r="N503" s="278">
        <f>IFERROR(INDEX('Data Lokasi'!S:S,MATCH('Input Real Tanam&amp;Petik Nanas'!C503,'Data Lokasi'!C:C,0)),"")</f>
        <v>45205</v>
      </c>
      <c r="O503" s="278"/>
      <c r="P503" s="283">
        <f>IFERROR(INDEX('Data Lokasi'!V:V,MATCH(C503,'Data Lokasi'!C:C,0)),"")</f>
        <v>0</v>
      </c>
      <c r="Q503" s="304">
        <f t="shared" si="23"/>
        <v>0</v>
      </c>
      <c r="R503" s="308"/>
    </row>
    <row r="504" spans="2:18" ht="15" hidden="1" thickTop="1">
      <c r="B504" s="269">
        <v>46214</v>
      </c>
      <c r="C504" s="268" t="s">
        <v>2662</v>
      </c>
      <c r="D504" s="274">
        <f>IFERROR(VLOOKUP(C504,'Data Lokasi'!C:D,2,0),"")</f>
        <v>5.64</v>
      </c>
      <c r="E504" s="274" t="s">
        <v>2642</v>
      </c>
      <c r="F504" s="274"/>
      <c r="G504" s="274"/>
      <c r="H504" s="274"/>
      <c r="I504" s="274">
        <v>0.17</v>
      </c>
      <c r="J504" s="456">
        <f t="shared" si="22"/>
        <v>0.17</v>
      </c>
      <c r="K504" s="583"/>
      <c r="L504" s="268" t="s">
        <v>2625</v>
      </c>
      <c r="M504" s="268" t="s">
        <v>2634</v>
      </c>
      <c r="N504" s="278">
        <f>IFERROR(INDEX('Data Lokasi'!S:S,MATCH('Input Real Tanam&amp;Petik Nanas'!C504,'Data Lokasi'!C:C,0)),"")</f>
        <v>46204</v>
      </c>
      <c r="O504" s="278"/>
      <c r="P504" s="283">
        <f>IFERROR(INDEX('Data Lokasi'!V:V,MATCH(C504,'Data Lokasi'!C:C,0)),"")</f>
        <v>0</v>
      </c>
      <c r="Q504" s="304">
        <f t="shared" si="23"/>
        <v>0</v>
      </c>
      <c r="R504" s="308"/>
    </row>
    <row r="505" spans="2:18" ht="15" hidden="1" thickTop="1">
      <c r="B505" s="269">
        <v>46214</v>
      </c>
      <c r="C505" s="268" t="s">
        <v>286</v>
      </c>
      <c r="D505" s="274">
        <f>IFERROR(VLOOKUP(C505,'Data Lokasi'!C:D,2,0),"")</f>
        <v>8.33</v>
      </c>
      <c r="E505" s="274" t="s">
        <v>2642</v>
      </c>
      <c r="F505" s="274"/>
      <c r="G505" s="274"/>
      <c r="H505" s="274"/>
      <c r="I505" s="274">
        <v>0.15</v>
      </c>
      <c r="J505" s="456">
        <f t="shared" si="22"/>
        <v>0.15</v>
      </c>
      <c r="K505" s="583"/>
      <c r="L505" s="268" t="s">
        <v>2625</v>
      </c>
      <c r="M505" s="268" t="s">
        <v>2634</v>
      </c>
      <c r="N505" s="278">
        <f>IFERROR(INDEX('Data Lokasi'!S:S,MATCH('Input Real Tanam&amp;Petik Nanas'!C505,'Data Lokasi'!C:C,0)),"")</f>
        <v>44125</v>
      </c>
      <c r="O505" s="278"/>
      <c r="P505" s="283">
        <f>IFERROR(INDEX('Data Lokasi'!V:V,MATCH(C505,'Data Lokasi'!C:C,0)),"")</f>
        <v>0</v>
      </c>
      <c r="Q505" s="304">
        <f t="shared" si="23"/>
        <v>0</v>
      </c>
      <c r="R505" s="308"/>
    </row>
    <row r="506" spans="2:18" ht="15" hidden="1" thickTop="1">
      <c r="B506" s="269">
        <v>46214</v>
      </c>
      <c r="C506" s="268" t="s">
        <v>250</v>
      </c>
      <c r="D506" s="274">
        <f>IFERROR(VLOOKUP(C506,'Data Lokasi'!C:D,2,0),"")</f>
        <v>9.2799999999999994</v>
      </c>
      <c r="E506" s="274" t="s">
        <v>2642</v>
      </c>
      <c r="F506" s="274"/>
      <c r="G506" s="274"/>
      <c r="H506" s="274"/>
      <c r="I506" s="274">
        <v>0.38</v>
      </c>
      <c r="J506" s="456">
        <f t="shared" si="22"/>
        <v>0.38</v>
      </c>
      <c r="K506" s="583"/>
      <c r="L506" s="268" t="s">
        <v>2625</v>
      </c>
      <c r="M506" s="268" t="s">
        <v>2634</v>
      </c>
      <c r="N506" s="278">
        <f>IFERROR(INDEX('Data Lokasi'!S:S,MATCH('Input Real Tanam&amp;Petik Nanas'!C506,'Data Lokasi'!C:C,0)),"")</f>
        <v>44064</v>
      </c>
      <c r="O506" s="278"/>
      <c r="P506" s="283">
        <f>IFERROR(INDEX('Data Lokasi'!V:V,MATCH(C506,'Data Lokasi'!C:C,0)),"")</f>
        <v>0</v>
      </c>
      <c r="Q506" s="304">
        <f t="shared" si="23"/>
        <v>0</v>
      </c>
      <c r="R506" s="308"/>
    </row>
    <row r="507" spans="2:18" ht="15" hidden="1" thickTop="1">
      <c r="B507" s="269">
        <v>46214</v>
      </c>
      <c r="C507" s="268" t="s">
        <v>650</v>
      </c>
      <c r="D507" s="274">
        <f>IFERROR(VLOOKUP(C507,'Data Lokasi'!C:D,2,0),"")</f>
        <v>8.02</v>
      </c>
      <c r="E507" s="274" t="s">
        <v>2642</v>
      </c>
      <c r="F507" s="274"/>
      <c r="G507" s="274"/>
      <c r="H507" s="274"/>
      <c r="I507" s="274">
        <v>0.04</v>
      </c>
      <c r="J507" s="456">
        <f t="shared" si="22"/>
        <v>0.04</v>
      </c>
      <c r="K507" s="583"/>
      <c r="L507" s="268" t="s">
        <v>2625</v>
      </c>
      <c r="M507" s="268" t="s">
        <v>2634</v>
      </c>
      <c r="N507" s="278">
        <f>IFERROR(INDEX('Data Lokasi'!S:S,MATCH('Input Real Tanam&amp;Petik Nanas'!C507,'Data Lokasi'!C:C,0)),"")</f>
        <v>44970</v>
      </c>
      <c r="O507" s="278"/>
      <c r="P507" s="283">
        <f>IFERROR(INDEX('Data Lokasi'!V:V,MATCH(C507,'Data Lokasi'!C:C,0)),"")</f>
        <v>0</v>
      </c>
      <c r="Q507" s="304">
        <f t="shared" si="23"/>
        <v>0</v>
      </c>
      <c r="R507" s="308"/>
    </row>
    <row r="508" spans="2:18" ht="15" hidden="1" thickTop="1">
      <c r="B508" s="269">
        <v>46214</v>
      </c>
      <c r="C508" s="268" t="s">
        <v>320</v>
      </c>
      <c r="D508" s="274">
        <f>IFERROR(VLOOKUP(C508,'Data Lokasi'!C:D,2,0),"")</f>
        <v>9.0299999999999994</v>
      </c>
      <c r="E508" s="274" t="s">
        <v>2642</v>
      </c>
      <c r="F508" s="274"/>
      <c r="G508" s="274"/>
      <c r="H508" s="274">
        <v>0.53</v>
      </c>
      <c r="I508" s="274"/>
      <c r="J508" s="456">
        <f t="shared" si="22"/>
        <v>0.53</v>
      </c>
      <c r="K508" s="583"/>
      <c r="L508" s="268" t="s">
        <v>719</v>
      </c>
      <c r="M508" s="268" t="s">
        <v>2634</v>
      </c>
      <c r="N508" s="278">
        <f>IFERROR(INDEX('Data Lokasi'!S:S,MATCH('Input Real Tanam&amp;Petik Nanas'!C508,'Data Lokasi'!C:C,0)),"")</f>
        <v>44216</v>
      </c>
      <c r="O508" s="278"/>
      <c r="P508" s="283">
        <f>IFERROR(INDEX('Data Lokasi'!V:V,MATCH(C508,'Data Lokasi'!C:C,0)),"")</f>
        <v>0</v>
      </c>
      <c r="Q508" s="304">
        <f t="shared" si="23"/>
        <v>0</v>
      </c>
      <c r="R508" s="308"/>
    </row>
    <row r="509" spans="2:18" ht="15" hidden="1" thickTop="1">
      <c r="B509" s="269">
        <v>46214</v>
      </c>
      <c r="C509" s="268" t="s">
        <v>706</v>
      </c>
      <c r="D509" s="274">
        <f>IFERROR(VLOOKUP(C509,'Data Lokasi'!C:D,2,0),"")</f>
        <v>5.44</v>
      </c>
      <c r="E509" s="274" t="s">
        <v>2642</v>
      </c>
      <c r="F509" s="274"/>
      <c r="G509" s="274"/>
      <c r="H509" s="274"/>
      <c r="I509" s="274">
        <v>0.18</v>
      </c>
      <c r="J509" s="456">
        <f t="shared" si="22"/>
        <v>0.18</v>
      </c>
      <c r="K509" s="583"/>
      <c r="L509" s="268" t="s">
        <v>2625</v>
      </c>
      <c r="M509" s="268" t="s">
        <v>2631</v>
      </c>
      <c r="N509" s="278">
        <f>IFERROR(INDEX('Data Lokasi'!S:S,MATCH('Input Real Tanam&amp;Petik Nanas'!C509,'Data Lokasi'!C:C,0)),"")</f>
        <v>45205</v>
      </c>
      <c r="O509" s="278"/>
      <c r="P509" s="283">
        <f>IFERROR(INDEX('Data Lokasi'!V:V,MATCH(C509,'Data Lokasi'!C:C,0)),"")</f>
        <v>0</v>
      </c>
      <c r="Q509" s="304">
        <f t="shared" si="23"/>
        <v>0</v>
      </c>
      <c r="R509" s="308"/>
    </row>
    <row r="510" spans="2:18" ht="15" hidden="1" thickTop="1">
      <c r="B510" s="269">
        <v>46214</v>
      </c>
      <c r="C510" s="317" t="s">
        <v>700</v>
      </c>
      <c r="D510" s="274">
        <f>IFERROR(VLOOKUP(C510,'Data Lokasi'!C:D,2,0),"")</f>
        <v>8.44</v>
      </c>
      <c r="E510" s="274" t="s">
        <v>2642</v>
      </c>
      <c r="F510" s="274"/>
      <c r="G510" s="274"/>
      <c r="H510" s="274"/>
      <c r="I510" s="274">
        <v>0.42</v>
      </c>
      <c r="J510" s="456">
        <f t="shared" si="22"/>
        <v>0.42</v>
      </c>
      <c r="K510" s="583"/>
      <c r="L510" s="268" t="s">
        <v>2625</v>
      </c>
      <c r="M510" s="268" t="s">
        <v>2631</v>
      </c>
      <c r="N510" s="278">
        <f>IFERROR(INDEX('Data Lokasi'!S:S,MATCH('Input Real Tanam&amp;Petik Nanas'!C510,'Data Lokasi'!C:C,0)),"")</f>
        <v>45166</v>
      </c>
      <c r="O510" s="278"/>
      <c r="P510" s="283">
        <f>IFERROR(INDEX('Data Lokasi'!V:V,MATCH(C510,'Data Lokasi'!C:C,0)),"")</f>
        <v>0</v>
      </c>
      <c r="Q510" s="304">
        <f t="shared" si="23"/>
        <v>0</v>
      </c>
      <c r="R510" s="308"/>
    </row>
    <row r="511" spans="2:18" ht="15" hidden="1" thickTop="1">
      <c r="B511" s="269">
        <v>46214</v>
      </c>
      <c r="C511" s="268" t="s">
        <v>688</v>
      </c>
      <c r="D511" s="274">
        <f>IFERROR(VLOOKUP(C511,'Data Lokasi'!C:D,2,0),"")</f>
        <v>7.73</v>
      </c>
      <c r="E511" s="274" t="s">
        <v>2642</v>
      </c>
      <c r="F511" s="274"/>
      <c r="G511" s="274"/>
      <c r="H511" s="274"/>
      <c r="I511" s="274">
        <v>0.97</v>
      </c>
      <c r="J511" s="456">
        <f t="shared" si="22"/>
        <v>0.97</v>
      </c>
      <c r="K511" s="583"/>
      <c r="L511" s="268" t="s">
        <v>2625</v>
      </c>
      <c r="M511" s="268" t="s">
        <v>2631</v>
      </c>
      <c r="N511" s="278">
        <f>IFERROR(INDEX('Data Lokasi'!S:S,MATCH('Input Real Tanam&amp;Petik Nanas'!C511,'Data Lokasi'!C:C,0)),"")</f>
        <v>45119</v>
      </c>
      <c r="O511" s="278"/>
      <c r="P511" s="283">
        <f>IFERROR(INDEX('Data Lokasi'!V:V,MATCH(C511,'Data Lokasi'!C:C,0)),"")</f>
        <v>0</v>
      </c>
      <c r="Q511" s="304">
        <f t="shared" si="23"/>
        <v>0</v>
      </c>
      <c r="R511" s="308"/>
    </row>
    <row r="512" spans="2:18" ht="15" hidden="1" thickTop="1">
      <c r="B512" s="269">
        <v>46214</v>
      </c>
      <c r="C512" s="268" t="s">
        <v>685</v>
      </c>
      <c r="D512" s="274">
        <f>IFERROR(VLOOKUP(C512,'Data Lokasi'!C:D,2,0),"")</f>
        <v>5.82</v>
      </c>
      <c r="E512" s="274" t="s">
        <v>2642</v>
      </c>
      <c r="F512" s="274"/>
      <c r="G512" s="274"/>
      <c r="H512" s="274"/>
      <c r="I512" s="274">
        <v>0.26</v>
      </c>
      <c r="J512" s="456">
        <f t="shared" si="22"/>
        <v>0.26</v>
      </c>
      <c r="K512" s="583"/>
      <c r="L512" s="268" t="s">
        <v>2625</v>
      </c>
      <c r="M512" s="268" t="s">
        <v>2631</v>
      </c>
      <c r="N512" s="278">
        <f>IFERROR(INDEX('Data Lokasi'!S:S,MATCH('Input Real Tanam&amp;Petik Nanas'!C512,'Data Lokasi'!C:C,0)),"")</f>
        <v>45117</v>
      </c>
      <c r="O512" s="278"/>
      <c r="P512" s="283">
        <f>IFERROR(INDEX('Data Lokasi'!V:V,MATCH(C512,'Data Lokasi'!C:C,0)),"")</f>
        <v>0</v>
      </c>
      <c r="Q512" s="304">
        <f t="shared" si="23"/>
        <v>0</v>
      </c>
      <c r="R512" s="308"/>
    </row>
    <row r="513" spans="2:18" ht="15" hidden="1" thickTop="1">
      <c r="B513" s="269">
        <v>46214</v>
      </c>
      <c r="C513" s="268" t="s">
        <v>251</v>
      </c>
      <c r="D513" s="274">
        <f>IFERROR(VLOOKUP(C513,'Data Lokasi'!C:D,2,0),"")</f>
        <v>7.72</v>
      </c>
      <c r="E513" s="274" t="s">
        <v>2642</v>
      </c>
      <c r="F513" s="274"/>
      <c r="G513" s="274"/>
      <c r="H513" s="274"/>
      <c r="I513" s="274">
        <f>0.98-0.03</f>
        <v>0.95</v>
      </c>
      <c r="J513" s="456">
        <f t="shared" si="22"/>
        <v>0.95</v>
      </c>
      <c r="K513" s="583"/>
      <c r="L513" s="268" t="s">
        <v>2625</v>
      </c>
      <c r="M513" s="268" t="s">
        <v>2631</v>
      </c>
      <c r="N513" s="278">
        <f>IFERROR(INDEX('Data Lokasi'!S:S,MATCH('Input Real Tanam&amp;Petik Nanas'!C513,'Data Lokasi'!C:C,0)),"")</f>
        <v>44067</v>
      </c>
      <c r="O513" s="278"/>
      <c r="P513" s="283">
        <f>IFERROR(INDEX('Data Lokasi'!V:V,MATCH(C513,'Data Lokasi'!C:C,0)),"")</f>
        <v>0</v>
      </c>
      <c r="Q513" s="304">
        <f t="shared" si="23"/>
        <v>0</v>
      </c>
      <c r="R513" s="308"/>
    </row>
    <row r="514" spans="2:18" ht="15" hidden="1" thickTop="1">
      <c r="B514" s="269">
        <v>46214</v>
      </c>
      <c r="C514" s="268" t="s">
        <v>620</v>
      </c>
      <c r="D514" s="274">
        <f>IFERROR(VLOOKUP(C514,'Data Lokasi'!C:D,2,0),"")</f>
        <v>5.59</v>
      </c>
      <c r="E514" s="274" t="s">
        <v>2642</v>
      </c>
      <c r="F514" s="274"/>
      <c r="G514" s="274"/>
      <c r="H514" s="274"/>
      <c r="I514" s="274">
        <v>0.09</v>
      </c>
      <c r="J514" s="456">
        <f t="shared" si="22"/>
        <v>0.09</v>
      </c>
      <c r="K514" s="583"/>
      <c r="L514" s="268" t="s">
        <v>2625</v>
      </c>
      <c r="M514" s="268" t="s">
        <v>2631</v>
      </c>
      <c r="N514" s="278">
        <f>IFERROR(INDEX('Data Lokasi'!S:S,MATCH('Input Real Tanam&amp;Petik Nanas'!C514,'Data Lokasi'!C:C,0)),"")</f>
        <v>44859</v>
      </c>
      <c r="O514" s="278"/>
      <c r="P514" s="283">
        <f>IFERROR(INDEX('Data Lokasi'!V:V,MATCH(C514,'Data Lokasi'!C:C,0)),"")</f>
        <v>0</v>
      </c>
      <c r="Q514" s="304">
        <f t="shared" si="23"/>
        <v>0</v>
      </c>
      <c r="R514" s="308"/>
    </row>
    <row r="515" spans="2:18" ht="15" hidden="1" thickTop="1">
      <c r="B515" s="269">
        <v>46215</v>
      </c>
      <c r="C515" s="268" t="s">
        <v>681</v>
      </c>
      <c r="D515" s="274">
        <f>IFERROR(VLOOKUP(C515,'Data Lokasi'!C:D,2,0),"")</f>
        <v>6.35</v>
      </c>
      <c r="E515" s="274" t="s">
        <v>2642</v>
      </c>
      <c r="F515" s="274"/>
      <c r="G515" s="274"/>
      <c r="H515" s="274"/>
      <c r="I515" s="274">
        <f>2.08+0.55</f>
        <v>2.63</v>
      </c>
      <c r="J515" s="456">
        <f t="shared" si="22"/>
        <v>2.63</v>
      </c>
      <c r="K515" s="583"/>
      <c r="L515" s="268" t="s">
        <v>2625</v>
      </c>
      <c r="M515" s="268" t="s">
        <v>2631</v>
      </c>
      <c r="N515" s="278">
        <f>IFERROR(INDEX('Data Lokasi'!S:S,MATCH('Input Real Tanam&amp;Petik Nanas'!C515,'Data Lokasi'!C:C,0)),"")</f>
        <v>45097</v>
      </c>
      <c r="O515" s="278"/>
      <c r="P515" s="283">
        <f>IFERROR(INDEX('Data Lokasi'!V:V,MATCH(C515,'Data Lokasi'!C:C,0)),"")</f>
        <v>0</v>
      </c>
      <c r="Q515" s="304">
        <f>IF(ISERROR(P515/D515),"",(P515/D515))</f>
        <v>0</v>
      </c>
      <c r="R515" s="308"/>
    </row>
    <row r="516" spans="2:18" ht="15" hidden="1" thickTop="1">
      <c r="B516" s="269">
        <v>46215</v>
      </c>
      <c r="C516" s="268" t="s">
        <v>706</v>
      </c>
      <c r="D516" s="274">
        <f>IFERROR(VLOOKUP(C516,'Data Lokasi'!C:D,2,0),"")</f>
        <v>5.44</v>
      </c>
      <c r="E516" s="274" t="s">
        <v>2642</v>
      </c>
      <c r="F516" s="274"/>
      <c r="G516" s="274"/>
      <c r="H516" s="274"/>
      <c r="I516" s="274">
        <v>0.22</v>
      </c>
      <c r="J516" s="456">
        <f t="shared" si="22"/>
        <v>0.22</v>
      </c>
      <c r="K516" s="583"/>
      <c r="L516" s="268" t="s">
        <v>2625</v>
      </c>
      <c r="M516" s="268" t="s">
        <v>2631</v>
      </c>
      <c r="N516" s="278">
        <f>IFERROR(INDEX('Data Lokasi'!S:S,MATCH('Input Real Tanam&amp;Petik Nanas'!C516,'Data Lokasi'!C:C,0)),"")</f>
        <v>45205</v>
      </c>
      <c r="O516" s="278"/>
      <c r="P516" s="283">
        <f>IFERROR(INDEX('Data Lokasi'!V:V,MATCH(C516,'Data Lokasi'!C:C,0)),"")</f>
        <v>0</v>
      </c>
      <c r="Q516" s="304">
        <f t="shared" si="23"/>
        <v>0</v>
      </c>
      <c r="R516" s="308"/>
    </row>
    <row r="517" spans="2:18" ht="15" hidden="1" thickTop="1">
      <c r="B517" s="269">
        <v>46215</v>
      </c>
      <c r="C517" s="268" t="s">
        <v>697</v>
      </c>
      <c r="D517" s="274">
        <f>IFERROR(VLOOKUP(C517,'Data Lokasi'!C:D,2,0),"")</f>
        <v>4.16</v>
      </c>
      <c r="E517" s="274" t="s">
        <v>2642</v>
      </c>
      <c r="F517" s="274"/>
      <c r="G517" s="274"/>
      <c r="H517" s="274"/>
      <c r="I517" s="274">
        <v>0.06</v>
      </c>
      <c r="J517" s="456">
        <f t="shared" si="22"/>
        <v>0.06</v>
      </c>
      <c r="K517" s="583"/>
      <c r="L517" s="268" t="s">
        <v>2625</v>
      </c>
      <c r="M517" s="268" t="s">
        <v>2631</v>
      </c>
      <c r="N517" s="278">
        <f>IFERROR(INDEX('Data Lokasi'!S:S,MATCH('Input Real Tanam&amp;Petik Nanas'!C517,'Data Lokasi'!C:C,0)),"")</f>
        <v>45159</v>
      </c>
      <c r="O517" s="278"/>
      <c r="P517" s="283">
        <f>IFERROR(INDEX('Data Lokasi'!V:V,MATCH(C517,'Data Lokasi'!C:C,0)),"")</f>
        <v>0</v>
      </c>
      <c r="Q517" s="304">
        <f t="shared" si="23"/>
        <v>0</v>
      </c>
      <c r="R517" s="308"/>
    </row>
    <row r="518" spans="2:18" ht="15" hidden="1" thickTop="1">
      <c r="B518" s="269">
        <v>46215</v>
      </c>
      <c r="C518" s="268" t="s">
        <v>286</v>
      </c>
      <c r="D518" s="274">
        <f>IFERROR(VLOOKUP(C518,'Data Lokasi'!C:D,2,0),"")</f>
        <v>8.33</v>
      </c>
      <c r="E518" s="274" t="s">
        <v>2642</v>
      </c>
      <c r="F518" s="274"/>
      <c r="G518" s="274"/>
      <c r="H518" s="274"/>
      <c r="I518" s="274">
        <v>0.44</v>
      </c>
      <c r="J518" s="456">
        <f t="shared" si="22"/>
        <v>0.44</v>
      </c>
      <c r="K518" s="583"/>
      <c r="L518" s="268" t="s">
        <v>2625</v>
      </c>
      <c r="M518" s="268" t="s">
        <v>2631</v>
      </c>
      <c r="N518" s="278">
        <f>IFERROR(INDEX('Data Lokasi'!S:S,MATCH('Input Real Tanam&amp;Petik Nanas'!C518,'Data Lokasi'!C:C,0)),"")</f>
        <v>44125</v>
      </c>
      <c r="O518" s="278"/>
      <c r="P518" s="283">
        <f>IFERROR(INDEX('Data Lokasi'!V:V,MATCH(C518,'Data Lokasi'!C:C,0)),"")</f>
        <v>0</v>
      </c>
      <c r="Q518" s="304">
        <f t="shared" si="23"/>
        <v>0</v>
      </c>
      <c r="R518" s="308"/>
    </row>
    <row r="519" spans="2:18" ht="15" hidden="1" thickTop="1">
      <c r="B519" s="269">
        <v>46215</v>
      </c>
      <c r="C519" s="268" t="s">
        <v>320</v>
      </c>
      <c r="D519" s="274">
        <f>IFERROR(VLOOKUP(C519,'Data Lokasi'!C:D,2,0),"")</f>
        <v>9.0299999999999994</v>
      </c>
      <c r="E519" s="274" t="s">
        <v>2642</v>
      </c>
      <c r="F519" s="274"/>
      <c r="G519" s="274"/>
      <c r="H519" s="274">
        <f>0.37+0.36</f>
        <v>0.73</v>
      </c>
      <c r="I519" s="274"/>
      <c r="J519" s="456">
        <f t="shared" si="22"/>
        <v>0.73</v>
      </c>
      <c r="K519" s="583"/>
      <c r="L519" s="268" t="s">
        <v>719</v>
      </c>
      <c r="M519" s="268" t="s">
        <v>2634</v>
      </c>
      <c r="N519" s="278">
        <f>IFERROR(INDEX('Data Lokasi'!S:S,MATCH('Input Real Tanam&amp;Petik Nanas'!C519,'Data Lokasi'!C:C,0)),"")</f>
        <v>44216</v>
      </c>
      <c r="O519" s="278"/>
      <c r="P519" s="283">
        <f>IFERROR(INDEX('Data Lokasi'!V:V,MATCH(C519,'Data Lokasi'!C:C,0)),"")</f>
        <v>0</v>
      </c>
      <c r="Q519" s="304">
        <f t="shared" si="23"/>
        <v>0</v>
      </c>
      <c r="R519" s="308"/>
    </row>
    <row r="520" spans="2:18" ht="15" hidden="1" thickTop="1">
      <c r="B520" s="269">
        <v>46215</v>
      </c>
      <c r="C520" s="268" t="s">
        <v>657</v>
      </c>
      <c r="D520" s="274">
        <f>IFERROR(VLOOKUP(C520,'Data Lokasi'!C:D,2,0),"")</f>
        <v>7.73</v>
      </c>
      <c r="E520" s="274" t="s">
        <v>2642</v>
      </c>
      <c r="F520" s="274"/>
      <c r="G520" s="274"/>
      <c r="H520" s="274"/>
      <c r="I520" s="274">
        <v>1.54</v>
      </c>
      <c r="J520" s="456">
        <f t="shared" si="22"/>
        <v>1.54</v>
      </c>
      <c r="K520" s="583"/>
      <c r="L520" s="268" t="s">
        <v>2625</v>
      </c>
      <c r="M520" s="268" t="s">
        <v>2634</v>
      </c>
      <c r="N520" s="278">
        <f>IFERROR(INDEX('Data Lokasi'!S:S,MATCH('Input Real Tanam&amp;Petik Nanas'!C520,'Data Lokasi'!C:C,0)),"")</f>
        <v>45003</v>
      </c>
      <c r="O520" s="278"/>
      <c r="P520" s="283">
        <f>IFERROR(INDEX('Data Lokasi'!V:V,MATCH(C520,'Data Lokasi'!C:C,0)),"")</f>
        <v>0</v>
      </c>
      <c r="Q520" s="304">
        <f t="shared" si="23"/>
        <v>0</v>
      </c>
      <c r="R520" s="308"/>
    </row>
    <row r="521" spans="2:18" ht="15" hidden="1" thickTop="1">
      <c r="B521" s="269">
        <v>46215</v>
      </c>
      <c r="C521" s="268" t="s">
        <v>2663</v>
      </c>
      <c r="D521" s="274">
        <f>IFERROR(VLOOKUP(C521,'Data Lokasi'!C:D,2,0),"")</f>
        <v>7.48</v>
      </c>
      <c r="E521" s="274" t="s">
        <v>2642</v>
      </c>
      <c r="F521" s="274"/>
      <c r="G521" s="274"/>
      <c r="H521" s="274"/>
      <c r="I521" s="274">
        <v>0.28999999999999998</v>
      </c>
      <c r="J521" s="456">
        <f t="shared" si="22"/>
        <v>0.28999999999999998</v>
      </c>
      <c r="K521" s="583"/>
      <c r="L521" s="268" t="s">
        <v>2625</v>
      </c>
      <c r="M521" s="268" t="s">
        <v>2634</v>
      </c>
      <c r="N521" s="278">
        <f>IFERROR(INDEX('Data Lokasi'!S:S,MATCH('Input Real Tanam&amp;Petik Nanas'!C521,'Data Lokasi'!C:C,0)),"")</f>
        <v>46206</v>
      </c>
      <c r="O521" s="278"/>
      <c r="P521" s="283">
        <f>IFERROR(INDEX('Data Lokasi'!V:V,MATCH(C521,'Data Lokasi'!C:C,0)),"")</f>
        <v>0</v>
      </c>
      <c r="Q521" s="304">
        <f t="shared" si="23"/>
        <v>0</v>
      </c>
      <c r="R521" s="308"/>
    </row>
    <row r="522" spans="2:18" ht="15" hidden="1" thickTop="1">
      <c r="B522" s="269">
        <v>46215</v>
      </c>
      <c r="C522" s="268" t="s">
        <v>706</v>
      </c>
      <c r="D522" s="274">
        <f>IFERROR(VLOOKUP(C522,'Data Lokasi'!C:D,2,0),"")</f>
        <v>5.44</v>
      </c>
      <c r="E522" s="274" t="s">
        <v>2642</v>
      </c>
      <c r="F522" s="274"/>
      <c r="G522" s="274"/>
      <c r="H522" s="274"/>
      <c r="I522" s="274">
        <v>0.06</v>
      </c>
      <c r="J522" s="456">
        <f t="shared" si="22"/>
        <v>0.06</v>
      </c>
      <c r="K522" s="583"/>
      <c r="L522" s="268" t="s">
        <v>2625</v>
      </c>
      <c r="M522" s="268" t="s">
        <v>2634</v>
      </c>
      <c r="N522" s="278">
        <f>IFERROR(INDEX('Data Lokasi'!S:S,MATCH('Input Real Tanam&amp;Petik Nanas'!C522,'Data Lokasi'!C:C,0)),"")</f>
        <v>45205</v>
      </c>
      <c r="O522" s="278"/>
      <c r="P522" s="283">
        <f>IFERROR(INDEX('Data Lokasi'!V:V,MATCH(C522,'Data Lokasi'!C:C,0)),"")</f>
        <v>0</v>
      </c>
      <c r="Q522" s="304">
        <f t="shared" si="23"/>
        <v>0</v>
      </c>
      <c r="R522" s="308"/>
    </row>
    <row r="523" spans="2:18" ht="15" hidden="1" thickTop="1">
      <c r="B523" s="269">
        <v>46215</v>
      </c>
      <c r="C523" s="268" t="s">
        <v>465</v>
      </c>
      <c r="D523" s="274">
        <f>IFERROR(VLOOKUP(C523,'Data Lokasi'!C:D,2,0),"")</f>
        <v>11.63</v>
      </c>
      <c r="E523" s="274" t="s">
        <v>2643</v>
      </c>
      <c r="F523" s="274"/>
      <c r="G523" s="274">
        <v>7.0000000000000007E-2</v>
      </c>
      <c r="H523" s="274">
        <f>0.22+0.23</f>
        <v>0.45</v>
      </c>
      <c r="I523" s="274"/>
      <c r="J523" s="456">
        <f t="shared" si="22"/>
        <v>0.52</v>
      </c>
      <c r="K523" s="583"/>
      <c r="L523" s="268" t="s">
        <v>719</v>
      </c>
      <c r="M523" s="268" t="s">
        <v>2631</v>
      </c>
      <c r="N523" s="278">
        <f>IFERROR(INDEX('Data Lokasi'!S:S,MATCH('Input Real Tanam&amp;Petik Nanas'!C523,'Data Lokasi'!C:C,0)),"")</f>
        <v>44477</v>
      </c>
      <c r="O523" s="278"/>
      <c r="P523" s="283">
        <f>IFERROR(INDEX('Data Lokasi'!V:V,MATCH(C523,'Data Lokasi'!C:C,0)),"")</f>
        <v>0</v>
      </c>
      <c r="Q523" s="304">
        <f t="shared" si="23"/>
        <v>0</v>
      </c>
      <c r="R523" s="308">
        <v>2</v>
      </c>
    </row>
    <row r="524" spans="2:18" ht="15" hidden="1" thickTop="1">
      <c r="B524" s="269">
        <v>46215</v>
      </c>
      <c r="C524" s="268" t="s">
        <v>2554</v>
      </c>
      <c r="D524" s="274">
        <f>IFERROR(VLOOKUP(C524,'Data Lokasi'!C:D,2,0),"")</f>
        <v>6.64</v>
      </c>
      <c r="E524" s="274" t="s">
        <v>2643</v>
      </c>
      <c r="F524" s="274"/>
      <c r="G524" s="274"/>
      <c r="H524" s="274"/>
      <c r="I524" s="274">
        <v>2.21</v>
      </c>
      <c r="J524" s="456">
        <f t="shared" si="22"/>
        <v>2.21</v>
      </c>
      <c r="K524" s="583"/>
      <c r="L524" s="268" t="s">
        <v>2625</v>
      </c>
      <c r="M524" s="268" t="s">
        <v>2631</v>
      </c>
      <c r="N524" s="278">
        <f>IFERROR(INDEX('Data Lokasi'!S:S,MATCH('Input Real Tanam&amp;Petik Nanas'!C524,'Data Lokasi'!C:C,0)),"")</f>
        <v>45667</v>
      </c>
      <c r="O524" s="278"/>
      <c r="P524" s="283">
        <f>IFERROR(INDEX('Data Lokasi'!V:V,MATCH(C524,'Data Lokasi'!C:C,0)),"")</f>
        <v>0</v>
      </c>
      <c r="Q524" s="304">
        <f t="shared" si="23"/>
        <v>0</v>
      </c>
      <c r="R524" s="308"/>
    </row>
    <row r="525" spans="2:18" ht="15" hidden="1" thickTop="1">
      <c r="B525" s="269">
        <v>46215</v>
      </c>
      <c r="C525" s="268" t="s">
        <v>409</v>
      </c>
      <c r="D525" s="274">
        <f>IFERROR(VLOOKUP(C525,'Data Lokasi'!C:D,2,0),"")</f>
        <v>8.83</v>
      </c>
      <c r="E525" s="274" t="s">
        <v>2643</v>
      </c>
      <c r="F525" s="274"/>
      <c r="G525" s="274">
        <v>0.06</v>
      </c>
      <c r="H525" s="274">
        <f>0.14+0.26</f>
        <v>0.4</v>
      </c>
      <c r="I525" s="274"/>
      <c r="J525" s="456">
        <f t="shared" si="22"/>
        <v>0.46</v>
      </c>
      <c r="K525" s="583"/>
      <c r="L525" s="268" t="s">
        <v>719</v>
      </c>
      <c r="M525" s="268" t="s">
        <v>2634</v>
      </c>
      <c r="N525" s="278">
        <f>IFERROR(INDEX('Data Lokasi'!S:S,MATCH('Input Real Tanam&amp;Petik Nanas'!C525,'Data Lokasi'!C:C,0)),"")</f>
        <v>44365</v>
      </c>
      <c r="O525" s="278"/>
      <c r="P525" s="283">
        <f>IFERROR(INDEX('Data Lokasi'!V:V,MATCH(C525,'Data Lokasi'!C:C,0)),"")</f>
        <v>0</v>
      </c>
      <c r="Q525" s="304">
        <f t="shared" si="23"/>
        <v>0</v>
      </c>
      <c r="R525" s="308">
        <v>5</v>
      </c>
    </row>
    <row r="526" spans="2:18" ht="15" hidden="1" thickTop="1">
      <c r="B526" s="269">
        <v>46215</v>
      </c>
      <c r="C526" s="268" t="s">
        <v>412</v>
      </c>
      <c r="D526" s="274">
        <f>IFERROR(VLOOKUP(C526,'Data Lokasi'!C:D,2,0),"")</f>
        <v>6.3</v>
      </c>
      <c r="E526" s="274" t="s">
        <v>2643</v>
      </c>
      <c r="F526" s="274"/>
      <c r="G526" s="274"/>
      <c r="H526" s="274"/>
      <c r="I526" s="274"/>
      <c r="J526" s="456">
        <v>0.99</v>
      </c>
      <c r="K526" s="583"/>
      <c r="L526" s="268" t="s">
        <v>2625</v>
      </c>
      <c r="M526" s="268" t="s">
        <v>2634</v>
      </c>
      <c r="N526" s="278">
        <f>IFERROR(INDEX('Data Lokasi'!S:S,MATCH('Input Real Tanam&amp;Petik Nanas'!C526,'Data Lokasi'!C:C,0)),"")</f>
        <v>44374</v>
      </c>
      <c r="O526" s="278"/>
      <c r="P526" s="283">
        <f>IFERROR(INDEX('Data Lokasi'!V:V,MATCH(C526,'Data Lokasi'!C:C,0)),"")</f>
        <v>0</v>
      </c>
      <c r="Q526" s="304">
        <f t="shared" si="23"/>
        <v>0</v>
      </c>
      <c r="R526" s="308"/>
    </row>
    <row r="527" spans="2:18" ht="15" hidden="1" thickTop="1">
      <c r="B527" s="269">
        <v>46215</v>
      </c>
      <c r="C527" s="268" t="s">
        <v>542</v>
      </c>
      <c r="D527" s="274">
        <f>IFERROR(VLOOKUP(C527,'Data Lokasi'!C:D,2,0),"")</f>
        <v>5.09</v>
      </c>
      <c r="E527" s="274" t="s">
        <v>2643</v>
      </c>
      <c r="F527" s="274"/>
      <c r="G527" s="274"/>
      <c r="H527" s="274"/>
      <c r="I527" s="274">
        <v>2.0699999999999998</v>
      </c>
      <c r="J527" s="456">
        <f t="shared" si="22"/>
        <v>2.0699999999999998</v>
      </c>
      <c r="K527" s="583"/>
      <c r="L527" s="268" t="s">
        <v>2625</v>
      </c>
      <c r="M527" s="268" t="s">
        <v>2631</v>
      </c>
      <c r="N527" s="278">
        <f>IFERROR(INDEX('Data Lokasi'!S:S,MATCH('Input Real Tanam&amp;Petik Nanas'!C527,'Data Lokasi'!C:C,0)),"")</f>
        <v>44649</v>
      </c>
      <c r="O527" s="278"/>
      <c r="P527" s="283">
        <f>IFERROR(INDEX('Data Lokasi'!V:V,MATCH(C527,'Data Lokasi'!C:C,0)),"")</f>
        <v>0</v>
      </c>
      <c r="Q527" s="304">
        <f t="shared" si="23"/>
        <v>0</v>
      </c>
      <c r="R527" s="308"/>
    </row>
    <row r="528" spans="2:18" ht="15" hidden="1" thickTop="1">
      <c r="B528" s="269">
        <v>46215</v>
      </c>
      <c r="C528" s="268" t="s">
        <v>150</v>
      </c>
      <c r="D528" s="274">
        <f>IFERROR(VLOOKUP(C528,'Data Lokasi'!C:D,2,0),"")</f>
        <v>6.7</v>
      </c>
      <c r="E528" s="274" t="s">
        <v>2643</v>
      </c>
      <c r="F528" s="274"/>
      <c r="G528" s="274"/>
      <c r="H528" s="274"/>
      <c r="I528" s="274">
        <v>1.72</v>
      </c>
      <c r="J528" s="456">
        <f t="shared" si="22"/>
        <v>1.72</v>
      </c>
      <c r="K528" s="583"/>
      <c r="L528" s="268" t="s">
        <v>2625</v>
      </c>
      <c r="M528" s="268" t="s">
        <v>2631</v>
      </c>
      <c r="N528" s="278">
        <f>IFERROR(INDEX('Data Lokasi'!S:S,MATCH('Input Real Tanam&amp;Petik Nanas'!C528,'Data Lokasi'!C:C,0)),"")</f>
        <v>45303</v>
      </c>
      <c r="O528" s="278"/>
      <c r="P528" s="283">
        <f>IFERROR(INDEX('Data Lokasi'!V:V,MATCH(C528,'Data Lokasi'!C:C,0)),"")</f>
        <v>0</v>
      </c>
      <c r="Q528" s="304">
        <f t="shared" si="23"/>
        <v>0</v>
      </c>
      <c r="R528" s="308"/>
    </row>
    <row r="529" spans="2:18" ht="15" hidden="1" thickTop="1">
      <c r="B529" s="269">
        <v>46214</v>
      </c>
      <c r="C529" s="268" t="s">
        <v>492</v>
      </c>
      <c r="D529" s="274">
        <f>IFERROR(VLOOKUP(C529,'Data Lokasi'!C:D,2,0),"")</f>
        <v>9.2100000000000009</v>
      </c>
      <c r="E529" s="274" t="s">
        <v>2643</v>
      </c>
      <c r="F529" s="274"/>
      <c r="G529" s="274">
        <f>0.0003+0.02</f>
        <v>2.0300000000000002E-2</v>
      </c>
      <c r="H529" s="274">
        <f>0.12+0.26</f>
        <v>0.38</v>
      </c>
      <c r="I529" s="274"/>
      <c r="J529" s="456">
        <f t="shared" si="22"/>
        <v>0.40029999999999999</v>
      </c>
      <c r="K529" s="583"/>
      <c r="L529" s="268" t="s">
        <v>719</v>
      </c>
      <c r="M529" s="268" t="s">
        <v>2631</v>
      </c>
      <c r="N529" s="278">
        <f>IFERROR(INDEX('Data Lokasi'!S:S,MATCH('Input Real Tanam&amp;Petik Nanas'!C529,'Data Lokasi'!C:C,0)),"")</f>
        <v>44536</v>
      </c>
      <c r="O529" s="278"/>
      <c r="P529" s="283">
        <f>IFERROR(INDEX('Data Lokasi'!V:V,MATCH(C529,'Data Lokasi'!C:C,0)),"")</f>
        <v>0</v>
      </c>
      <c r="Q529" s="304">
        <f t="shared" si="23"/>
        <v>0</v>
      </c>
      <c r="R529" s="308">
        <v>1</v>
      </c>
    </row>
    <row r="530" spans="2:18" ht="15" hidden="1" thickTop="1">
      <c r="B530" s="269">
        <v>46214</v>
      </c>
      <c r="C530" s="268" t="s">
        <v>2552</v>
      </c>
      <c r="D530" s="274">
        <f>IFERROR(VLOOKUP(C530,'Data Lokasi'!C:D,2,0),"")</f>
        <v>3.41</v>
      </c>
      <c r="E530" s="274" t="s">
        <v>2643</v>
      </c>
      <c r="F530" s="274"/>
      <c r="G530" s="274"/>
      <c r="H530" s="274"/>
      <c r="I530" s="274">
        <v>0.87</v>
      </c>
      <c r="J530" s="456">
        <f t="shared" si="22"/>
        <v>0.87</v>
      </c>
      <c r="K530" s="583"/>
      <c r="L530" s="268" t="s">
        <v>2625</v>
      </c>
      <c r="M530" s="268" t="s">
        <v>2631</v>
      </c>
      <c r="N530" s="278">
        <f>IFERROR(INDEX('Data Lokasi'!S:S,MATCH('Input Real Tanam&amp;Petik Nanas'!C530,'Data Lokasi'!C:C,0)),"")</f>
        <v>45617</v>
      </c>
      <c r="O530" s="278"/>
      <c r="P530" s="283">
        <f>IFERROR(INDEX('Data Lokasi'!V:V,MATCH(C530,'Data Lokasi'!C:C,0)),"")</f>
        <v>0</v>
      </c>
      <c r="Q530" s="304">
        <f t="shared" si="23"/>
        <v>0</v>
      </c>
      <c r="R530" s="308"/>
    </row>
    <row r="531" spans="2:18" ht="15" hidden="1" thickTop="1">
      <c r="B531" s="269">
        <v>46214</v>
      </c>
      <c r="C531" s="268" t="s">
        <v>547</v>
      </c>
      <c r="D531" s="274">
        <f>IFERROR(VLOOKUP(C531,'Data Lokasi'!C:D,2,0),"")</f>
        <v>5.2</v>
      </c>
      <c r="E531" s="274" t="s">
        <v>2643</v>
      </c>
      <c r="F531" s="274"/>
      <c r="G531" s="274"/>
      <c r="H531" s="274"/>
      <c r="I531" s="274">
        <v>1.0900000000000001</v>
      </c>
      <c r="J531" s="456">
        <f t="shared" si="22"/>
        <v>1.0900000000000001</v>
      </c>
      <c r="K531" s="583"/>
      <c r="L531" s="268" t="s">
        <v>2625</v>
      </c>
      <c r="M531" s="268" t="s">
        <v>2631</v>
      </c>
      <c r="N531" s="278">
        <f>IFERROR(INDEX('Data Lokasi'!S:S,MATCH('Input Real Tanam&amp;Petik Nanas'!C531,'Data Lokasi'!C:C,0)),"")</f>
        <v>44655</v>
      </c>
      <c r="O531" s="278"/>
      <c r="P531" s="283">
        <f>IFERROR(INDEX('Data Lokasi'!V:V,MATCH(C531,'Data Lokasi'!C:C,0)),"")</f>
        <v>0</v>
      </c>
      <c r="Q531" s="304">
        <f t="shared" si="23"/>
        <v>0</v>
      </c>
      <c r="R531" s="308"/>
    </row>
    <row r="532" spans="2:18" ht="15" hidden="1" thickTop="1">
      <c r="B532" s="269">
        <v>46214</v>
      </c>
      <c r="C532" s="268" t="s">
        <v>960</v>
      </c>
      <c r="D532" s="274">
        <f>IFERROR(VLOOKUP(C532,'Data Lokasi'!C:D,2,0),"")</f>
        <v>6.94</v>
      </c>
      <c r="E532" s="274" t="s">
        <v>2643</v>
      </c>
      <c r="F532" s="274"/>
      <c r="G532" s="274"/>
      <c r="H532" s="274"/>
      <c r="I532" s="274">
        <v>0.76</v>
      </c>
      <c r="J532" s="456">
        <f t="shared" si="22"/>
        <v>0.76</v>
      </c>
      <c r="K532" s="583"/>
      <c r="L532" s="268" t="s">
        <v>2625</v>
      </c>
      <c r="M532" s="268" t="s">
        <v>2631</v>
      </c>
      <c r="N532" s="278">
        <f>IFERROR(INDEX('Data Lokasi'!S:S,MATCH('Input Real Tanam&amp;Petik Nanas'!C532,'Data Lokasi'!C:C,0)),"")</f>
        <v>45652</v>
      </c>
      <c r="O532" s="278"/>
      <c r="P532" s="283">
        <f>IFERROR(INDEX('Data Lokasi'!V:V,MATCH(C532,'Data Lokasi'!C:C,0)),"")</f>
        <v>0</v>
      </c>
      <c r="Q532" s="304">
        <f t="shared" si="23"/>
        <v>0</v>
      </c>
      <c r="R532" s="308"/>
    </row>
    <row r="533" spans="2:18" ht="15" hidden="1" thickTop="1">
      <c r="B533" s="269">
        <v>46214</v>
      </c>
      <c r="C533" s="268" t="s">
        <v>409</v>
      </c>
      <c r="D533" s="274">
        <f>IFERROR(VLOOKUP(C533,'Data Lokasi'!C:D,2,0),"")</f>
        <v>8.83</v>
      </c>
      <c r="E533" s="274" t="s">
        <v>2643</v>
      </c>
      <c r="F533" s="274"/>
      <c r="G533" s="274">
        <v>0.08</v>
      </c>
      <c r="H533" s="274">
        <f>0.18+0.3</f>
        <v>0.48</v>
      </c>
      <c r="I533" s="274"/>
      <c r="J533" s="456">
        <f t="shared" si="22"/>
        <v>0.55999999999999994</v>
      </c>
      <c r="K533" s="583"/>
      <c r="L533" s="268" t="s">
        <v>719</v>
      </c>
      <c r="M533" s="268" t="s">
        <v>2634</v>
      </c>
      <c r="N533" s="278">
        <f>IFERROR(INDEX('Data Lokasi'!S:S,MATCH('Input Real Tanam&amp;Petik Nanas'!C533,'Data Lokasi'!C:C,0)),"")</f>
        <v>44365</v>
      </c>
      <c r="O533" s="278"/>
      <c r="P533" s="283">
        <f>IFERROR(INDEX('Data Lokasi'!V:V,MATCH(C533,'Data Lokasi'!C:C,0)),"")</f>
        <v>0</v>
      </c>
      <c r="Q533" s="304">
        <f t="shared" si="23"/>
        <v>0</v>
      </c>
      <c r="R533" s="308">
        <v>5</v>
      </c>
    </row>
    <row r="534" spans="2:18" ht="15" hidden="1" thickTop="1">
      <c r="B534" s="269">
        <v>46214</v>
      </c>
      <c r="C534" s="268" t="s">
        <v>412</v>
      </c>
      <c r="D534" s="274">
        <f>IFERROR(VLOOKUP(C534,'Data Lokasi'!C:D,2,0),"")</f>
        <v>6.3</v>
      </c>
      <c r="E534" s="274" t="s">
        <v>2643</v>
      </c>
      <c r="F534" s="274"/>
      <c r="G534" s="274"/>
      <c r="H534" s="274"/>
      <c r="I534" s="274">
        <v>1.1599999999999999</v>
      </c>
      <c r="J534" s="456">
        <f t="shared" si="22"/>
        <v>1.1599999999999999</v>
      </c>
      <c r="K534" s="583"/>
      <c r="L534" s="268" t="s">
        <v>2625</v>
      </c>
      <c r="M534" s="268" t="s">
        <v>2634</v>
      </c>
      <c r="N534" s="278">
        <f>IFERROR(INDEX('Data Lokasi'!S:S,MATCH('Input Real Tanam&amp;Petik Nanas'!C534,'Data Lokasi'!C:C,0)),"")</f>
        <v>44374</v>
      </c>
      <c r="O534" s="278"/>
      <c r="P534" s="283">
        <f>IFERROR(INDEX('Data Lokasi'!V:V,MATCH(C534,'Data Lokasi'!C:C,0)),"")</f>
        <v>0</v>
      </c>
      <c r="Q534" s="304">
        <f t="shared" si="23"/>
        <v>0</v>
      </c>
      <c r="R534" s="308"/>
    </row>
    <row r="535" spans="2:18" ht="15" hidden="1" thickTop="1">
      <c r="B535" s="269">
        <v>46216</v>
      </c>
      <c r="C535" s="268" t="s">
        <v>465</v>
      </c>
      <c r="D535" s="274">
        <f>IFERROR(VLOOKUP(C535,'Data Lokasi'!C:D,2,0),"")</f>
        <v>11.63</v>
      </c>
      <c r="E535" s="274" t="s">
        <v>2643</v>
      </c>
      <c r="F535" s="274"/>
      <c r="G535" s="274">
        <v>0.05</v>
      </c>
      <c r="H535" s="274">
        <f>0.1+0.09</f>
        <v>0.19</v>
      </c>
      <c r="I535" s="274"/>
      <c r="J535" s="456">
        <f t="shared" si="22"/>
        <v>0.24</v>
      </c>
      <c r="K535" s="583"/>
      <c r="L535" s="268" t="s">
        <v>719</v>
      </c>
      <c r="M535" s="268" t="s">
        <v>2631</v>
      </c>
      <c r="N535" s="278">
        <f>IFERROR(INDEX('Data Lokasi'!S:S,MATCH('Input Real Tanam&amp;Petik Nanas'!C535,'Data Lokasi'!C:C,0)),"")</f>
        <v>44477</v>
      </c>
      <c r="O535" s="278"/>
      <c r="P535" s="283">
        <f>IFERROR(INDEX('Data Lokasi'!V:V,MATCH(C535,'Data Lokasi'!C:C,0)),"")</f>
        <v>0</v>
      </c>
      <c r="Q535" s="304">
        <f t="shared" si="23"/>
        <v>0</v>
      </c>
      <c r="R535" s="308">
        <v>1</v>
      </c>
    </row>
    <row r="536" spans="2:18" ht="15" hidden="1" thickTop="1">
      <c r="B536" s="269">
        <v>46216</v>
      </c>
      <c r="C536" s="268" t="s">
        <v>2555</v>
      </c>
      <c r="D536" s="274">
        <f>IFERROR(VLOOKUP(C536,'Data Lokasi'!C:D,2,0),"")</f>
        <v>7.69</v>
      </c>
      <c r="E536" s="274" t="s">
        <v>2643</v>
      </c>
      <c r="F536" s="274"/>
      <c r="G536" s="274"/>
      <c r="H536" s="274"/>
      <c r="I536" s="274">
        <v>1.41</v>
      </c>
      <c r="J536" s="456">
        <f t="shared" si="22"/>
        <v>1.41</v>
      </c>
      <c r="K536" s="583"/>
      <c r="L536" s="268" t="s">
        <v>2625</v>
      </c>
      <c r="M536" s="268" t="s">
        <v>2631</v>
      </c>
      <c r="N536" s="278">
        <f>IFERROR(INDEX('Data Lokasi'!S:S,MATCH('Input Real Tanam&amp;Petik Nanas'!C536,'Data Lokasi'!C:C,0)),"")</f>
        <v>45669</v>
      </c>
      <c r="O536" s="278"/>
      <c r="P536" s="283">
        <f>IFERROR(INDEX('Data Lokasi'!V:V,MATCH(C536,'Data Lokasi'!C:C,0)),"")</f>
        <v>0</v>
      </c>
      <c r="Q536" s="304">
        <f t="shared" si="23"/>
        <v>0</v>
      </c>
      <c r="R536" s="308"/>
    </row>
    <row r="537" spans="2:18" ht="15" hidden="1" thickTop="1">
      <c r="B537" s="269">
        <v>46216</v>
      </c>
      <c r="C537" s="268" t="s">
        <v>542</v>
      </c>
      <c r="D537" s="274">
        <f>IFERROR(VLOOKUP(C537,'Data Lokasi'!C:D,2,0),"")</f>
        <v>5.09</v>
      </c>
      <c r="E537" s="274" t="s">
        <v>2643</v>
      </c>
      <c r="F537" s="274"/>
      <c r="G537" s="274"/>
      <c r="H537" s="274"/>
      <c r="I537" s="274">
        <v>0.82</v>
      </c>
      <c r="J537" s="456">
        <f t="shared" si="22"/>
        <v>0.82</v>
      </c>
      <c r="K537" s="583"/>
      <c r="L537" s="268" t="s">
        <v>2625</v>
      </c>
      <c r="M537" s="268" t="s">
        <v>2631</v>
      </c>
      <c r="N537" s="278">
        <f>IFERROR(INDEX('Data Lokasi'!S:S,MATCH('Input Real Tanam&amp;Petik Nanas'!C537,'Data Lokasi'!C:C,0)),"")</f>
        <v>44649</v>
      </c>
      <c r="O537" s="278"/>
      <c r="P537" s="283">
        <f>IFERROR(INDEX('Data Lokasi'!V:V,MATCH(C537,'Data Lokasi'!C:C,0)),"")</f>
        <v>0</v>
      </c>
      <c r="Q537" s="304">
        <f t="shared" si="23"/>
        <v>0</v>
      </c>
      <c r="R537" s="308"/>
    </row>
    <row r="538" spans="2:18" ht="15" hidden="1" thickTop="1">
      <c r="B538" s="269">
        <v>46216</v>
      </c>
      <c r="C538" s="268" t="s">
        <v>550</v>
      </c>
      <c r="D538" s="274">
        <f>IFERROR(VLOOKUP(C538,'Data Lokasi'!C:D,2,0),"")</f>
        <v>5.83</v>
      </c>
      <c r="E538" s="274" t="s">
        <v>2643</v>
      </c>
      <c r="F538" s="274"/>
      <c r="G538" s="274"/>
      <c r="H538" s="274"/>
      <c r="I538" s="274">
        <v>1.28</v>
      </c>
      <c r="J538" s="456">
        <f t="shared" si="22"/>
        <v>1.28</v>
      </c>
      <c r="K538" s="583"/>
      <c r="L538" s="268" t="s">
        <v>2625</v>
      </c>
      <c r="M538" s="268" t="s">
        <v>2631</v>
      </c>
      <c r="N538" s="278">
        <f>IFERROR(INDEX('Data Lokasi'!S:S,MATCH('Input Real Tanam&amp;Petik Nanas'!C538,'Data Lokasi'!C:C,0)),"")</f>
        <v>44674</v>
      </c>
      <c r="O538" s="278"/>
      <c r="P538" s="283">
        <f>IFERROR(INDEX('Data Lokasi'!V:V,MATCH(C538,'Data Lokasi'!C:C,0)),"")</f>
        <v>0</v>
      </c>
      <c r="Q538" s="304">
        <f t="shared" si="23"/>
        <v>0</v>
      </c>
      <c r="R538" s="308"/>
    </row>
    <row r="539" spans="2:18" ht="15" hidden="1" thickTop="1">
      <c r="B539" s="269">
        <v>46216</v>
      </c>
      <c r="C539" s="268" t="s">
        <v>150</v>
      </c>
      <c r="D539" s="274">
        <f>IFERROR(VLOOKUP(C539,'Data Lokasi'!C:D,2,0),"")</f>
        <v>6.7</v>
      </c>
      <c r="E539" s="274" t="s">
        <v>2643</v>
      </c>
      <c r="F539" s="274"/>
      <c r="G539" s="274"/>
      <c r="H539" s="274"/>
      <c r="I539" s="274">
        <v>1.1100000000000001</v>
      </c>
      <c r="J539" s="456">
        <f t="shared" si="22"/>
        <v>1.1100000000000001</v>
      </c>
      <c r="K539" s="583"/>
      <c r="L539" s="268" t="s">
        <v>2625</v>
      </c>
      <c r="M539" s="268" t="s">
        <v>2631</v>
      </c>
      <c r="N539" s="278">
        <f>IFERROR(INDEX('Data Lokasi'!S:S,MATCH('Input Real Tanam&amp;Petik Nanas'!C539,'Data Lokasi'!C:C,0)),"")</f>
        <v>45303</v>
      </c>
      <c r="O539" s="278"/>
      <c r="P539" s="283">
        <f>IFERROR(INDEX('Data Lokasi'!V:V,MATCH(C539,'Data Lokasi'!C:C,0)),"")</f>
        <v>0</v>
      </c>
      <c r="Q539" s="304">
        <f t="shared" si="23"/>
        <v>0</v>
      </c>
      <c r="R539" s="308"/>
    </row>
    <row r="540" spans="2:18" ht="15" hidden="1" thickTop="1">
      <c r="B540" s="269">
        <v>46216</v>
      </c>
      <c r="C540" s="268" t="s">
        <v>409</v>
      </c>
      <c r="D540" s="274">
        <f>IFERROR(VLOOKUP(C540,'Data Lokasi'!C:D,2,0),"")</f>
        <v>8.83</v>
      </c>
      <c r="E540" s="274" t="s">
        <v>2643</v>
      </c>
      <c r="F540" s="274"/>
      <c r="G540" s="274">
        <f>0.01+0.04</f>
        <v>0.05</v>
      </c>
      <c r="H540" s="274">
        <f>0.15+0.29</f>
        <v>0.43999999999999995</v>
      </c>
      <c r="I540" s="274"/>
      <c r="J540" s="456">
        <f t="shared" si="22"/>
        <v>0.48999999999999994</v>
      </c>
      <c r="K540" s="583"/>
      <c r="L540" s="268" t="s">
        <v>719</v>
      </c>
      <c r="M540" s="268" t="s">
        <v>2634</v>
      </c>
      <c r="N540" s="278">
        <f>IFERROR(INDEX('Data Lokasi'!S:S,MATCH('Input Real Tanam&amp;Petik Nanas'!C540,'Data Lokasi'!C:C,0)),"")</f>
        <v>44365</v>
      </c>
      <c r="O540" s="278"/>
      <c r="P540" s="283">
        <f>IFERROR(INDEX('Data Lokasi'!V:V,MATCH(C540,'Data Lokasi'!C:C,0)),"")</f>
        <v>0</v>
      </c>
      <c r="Q540" s="304">
        <f t="shared" si="23"/>
        <v>0</v>
      </c>
      <c r="R540" s="308">
        <v>5</v>
      </c>
    </row>
    <row r="541" spans="2:18" ht="15" hidden="1" thickTop="1">
      <c r="B541" s="269">
        <v>46216</v>
      </c>
      <c r="C541" s="268" t="s">
        <v>485</v>
      </c>
      <c r="D541" s="274">
        <f>IFERROR(VLOOKUP(C541,'Data Lokasi'!C:D,2,0),"")</f>
        <v>6.41</v>
      </c>
      <c r="E541" s="274" t="s">
        <v>2643</v>
      </c>
      <c r="F541" s="274"/>
      <c r="G541" s="274"/>
      <c r="H541" s="274"/>
      <c r="I541" s="274">
        <v>0.71</v>
      </c>
      <c r="J541" s="456">
        <f t="shared" si="22"/>
        <v>0.71</v>
      </c>
      <c r="K541" s="583"/>
      <c r="L541" s="268" t="s">
        <v>2625</v>
      </c>
      <c r="M541" s="268" t="s">
        <v>2634</v>
      </c>
      <c r="N541" s="278">
        <f>IFERROR(INDEX('Data Lokasi'!S:S,MATCH('Input Real Tanam&amp;Petik Nanas'!C541,'Data Lokasi'!C:C,0)),"")</f>
        <v>44532</v>
      </c>
      <c r="O541" s="278"/>
      <c r="P541" s="283">
        <f>IFERROR(INDEX('Data Lokasi'!V:V,MATCH(C541,'Data Lokasi'!C:C,0)),"")</f>
        <v>0</v>
      </c>
      <c r="Q541" s="304">
        <f t="shared" si="23"/>
        <v>0</v>
      </c>
      <c r="R541" s="308"/>
    </row>
    <row r="542" spans="2:18" ht="15" hidden="1" thickTop="1">
      <c r="B542" s="269">
        <v>46216</v>
      </c>
      <c r="C542" s="268" t="s">
        <v>412</v>
      </c>
      <c r="D542" s="274">
        <f>IFERROR(VLOOKUP(C542,'Data Lokasi'!C:D,2,0),"")</f>
        <v>6.3</v>
      </c>
      <c r="E542" s="274" t="s">
        <v>2643</v>
      </c>
      <c r="F542" s="274"/>
      <c r="G542" s="274"/>
      <c r="H542" s="274"/>
      <c r="I542" s="274">
        <v>0.43</v>
      </c>
      <c r="J542" s="456">
        <f t="shared" si="22"/>
        <v>0.43</v>
      </c>
      <c r="K542" s="583"/>
      <c r="L542" s="268" t="s">
        <v>2625</v>
      </c>
      <c r="M542" s="268" t="s">
        <v>2634</v>
      </c>
      <c r="N542" s="278">
        <f>IFERROR(INDEX('Data Lokasi'!S:S,MATCH('Input Real Tanam&amp;Petik Nanas'!C542,'Data Lokasi'!C:C,0)),"")</f>
        <v>44374</v>
      </c>
      <c r="O542" s="278"/>
      <c r="P542" s="283">
        <f>IFERROR(INDEX('Data Lokasi'!V:V,MATCH(C542,'Data Lokasi'!C:C,0)),"")</f>
        <v>0</v>
      </c>
      <c r="Q542" s="304">
        <f t="shared" si="23"/>
        <v>0</v>
      </c>
      <c r="R542" s="308"/>
    </row>
    <row r="543" spans="2:18" ht="15" hidden="1" thickTop="1">
      <c r="B543" s="269">
        <v>46216</v>
      </c>
      <c r="C543" s="268" t="s">
        <v>320</v>
      </c>
      <c r="D543" s="274">
        <f>IFERROR(VLOOKUP(C543,'Data Lokasi'!C:D,2,0),"")</f>
        <v>9.0299999999999994</v>
      </c>
      <c r="E543" s="274" t="s">
        <v>2642</v>
      </c>
      <c r="F543" s="274"/>
      <c r="G543" s="274"/>
      <c r="H543" s="274">
        <v>0.5</v>
      </c>
      <c r="I543" s="274"/>
      <c r="J543" s="456">
        <f t="shared" si="22"/>
        <v>0.5</v>
      </c>
      <c r="K543" s="583"/>
      <c r="L543" s="268" t="s">
        <v>719</v>
      </c>
      <c r="M543" s="268" t="s">
        <v>2634</v>
      </c>
      <c r="N543" s="278">
        <f>IFERROR(INDEX('Data Lokasi'!S:S,MATCH('Input Real Tanam&amp;Petik Nanas'!C543,'Data Lokasi'!C:C,0)),"")</f>
        <v>44216</v>
      </c>
      <c r="O543" s="278"/>
      <c r="P543" s="283">
        <f>IFERROR(INDEX('Data Lokasi'!V:V,MATCH(C543,'Data Lokasi'!C:C,0)),"")</f>
        <v>0</v>
      </c>
      <c r="Q543" s="304">
        <f t="shared" si="23"/>
        <v>0</v>
      </c>
      <c r="R543" s="308"/>
    </row>
    <row r="544" spans="2:18" ht="15" hidden="1" thickTop="1">
      <c r="B544" s="269">
        <v>46216</v>
      </c>
      <c r="C544" s="268" t="s">
        <v>657</v>
      </c>
      <c r="D544" s="274">
        <f>IFERROR(VLOOKUP(C544,'Data Lokasi'!C:D,2,0),"")</f>
        <v>7.73</v>
      </c>
      <c r="E544" s="274" t="s">
        <v>2642</v>
      </c>
      <c r="F544" s="274"/>
      <c r="G544" s="274"/>
      <c r="H544" s="274"/>
      <c r="I544" s="274">
        <v>1.62</v>
      </c>
      <c r="J544" s="456">
        <f t="shared" si="22"/>
        <v>1.62</v>
      </c>
      <c r="K544" s="583"/>
      <c r="L544" s="268" t="s">
        <v>2625</v>
      </c>
      <c r="M544" s="268" t="s">
        <v>2634</v>
      </c>
      <c r="N544" s="278">
        <f>IFERROR(INDEX('Data Lokasi'!S:S,MATCH('Input Real Tanam&amp;Petik Nanas'!C544,'Data Lokasi'!C:C,0)),"")</f>
        <v>45003</v>
      </c>
      <c r="O544" s="278"/>
      <c r="P544" s="283">
        <f>IFERROR(INDEX('Data Lokasi'!V:V,MATCH(C544,'Data Lokasi'!C:C,0)),"")</f>
        <v>0</v>
      </c>
      <c r="Q544" s="304">
        <f t="shared" si="23"/>
        <v>0</v>
      </c>
      <c r="R544" s="308"/>
    </row>
    <row r="545" spans="2:18" ht="15" hidden="1" thickTop="1">
      <c r="B545" s="269">
        <v>46216</v>
      </c>
      <c r="C545" s="268" t="s">
        <v>2663</v>
      </c>
      <c r="D545" s="274">
        <f>IFERROR(VLOOKUP(C545,'Data Lokasi'!C:D,2,0),"")</f>
        <v>7.48</v>
      </c>
      <c r="E545" s="274" t="s">
        <v>2642</v>
      </c>
      <c r="F545" s="274"/>
      <c r="G545" s="274"/>
      <c r="H545" s="274"/>
      <c r="I545" s="274">
        <v>0.34</v>
      </c>
      <c r="J545" s="456">
        <f t="shared" si="22"/>
        <v>0.34</v>
      </c>
      <c r="K545" s="583"/>
      <c r="L545" s="268" t="s">
        <v>2625</v>
      </c>
      <c r="M545" s="268" t="s">
        <v>2634</v>
      </c>
      <c r="N545" s="278">
        <f>IFERROR(INDEX('Data Lokasi'!S:S,MATCH('Input Real Tanam&amp;Petik Nanas'!C545,'Data Lokasi'!C:C,0)),"")</f>
        <v>46206</v>
      </c>
      <c r="O545" s="278"/>
      <c r="P545" s="283">
        <f>IFERROR(INDEX('Data Lokasi'!V:V,MATCH(C545,'Data Lokasi'!C:C,0)),"")</f>
        <v>0</v>
      </c>
      <c r="Q545" s="304">
        <f t="shared" si="23"/>
        <v>0</v>
      </c>
      <c r="R545" s="308"/>
    </row>
    <row r="546" spans="2:18" ht="15" hidden="1" thickTop="1">
      <c r="B546" s="269">
        <v>46216</v>
      </c>
      <c r="C546" s="268" t="s">
        <v>286</v>
      </c>
      <c r="D546" s="274">
        <f>IFERROR(VLOOKUP(C546,'Data Lokasi'!C:D,2,0),"")</f>
        <v>8.33</v>
      </c>
      <c r="E546" s="274" t="s">
        <v>2642</v>
      </c>
      <c r="F546" s="274"/>
      <c r="G546" s="274"/>
      <c r="H546" s="274"/>
      <c r="I546" s="274">
        <v>0.03</v>
      </c>
      <c r="J546" s="456">
        <f t="shared" ref="J546:J607" si="24">IF(SUM(F546:I546)=0,"",(SUM(F546:I546)))</f>
        <v>0.03</v>
      </c>
      <c r="K546" s="583"/>
      <c r="L546" s="268" t="s">
        <v>2625</v>
      </c>
      <c r="M546" s="268" t="s">
        <v>2634</v>
      </c>
      <c r="N546" s="278">
        <f>IFERROR(INDEX('Data Lokasi'!S:S,MATCH('Input Real Tanam&amp;Petik Nanas'!C546,'Data Lokasi'!C:C,0)),"")</f>
        <v>44125</v>
      </c>
      <c r="O546" s="278"/>
      <c r="P546" s="283">
        <f>IFERROR(INDEX('Data Lokasi'!V:V,MATCH(C546,'Data Lokasi'!C:C,0)),"")</f>
        <v>0</v>
      </c>
      <c r="Q546" s="304">
        <f t="shared" ref="Q546:Q607" si="25">IF(ISERROR(P546/D546),"",(P546/D546))</f>
        <v>0</v>
      </c>
      <c r="R546" s="308"/>
    </row>
    <row r="547" spans="2:18" ht="15" hidden="1" thickTop="1">
      <c r="B547" s="269">
        <v>46216</v>
      </c>
      <c r="C547" s="268" t="s">
        <v>329</v>
      </c>
      <c r="D547" s="274">
        <f>IFERROR(VLOOKUP(C547,'Data Lokasi'!C:D,2,0),"")</f>
        <v>6.68</v>
      </c>
      <c r="E547" s="274" t="s">
        <v>2642</v>
      </c>
      <c r="F547" s="274"/>
      <c r="G547" s="274"/>
      <c r="H547" s="274"/>
      <c r="I547" s="274">
        <v>0.19</v>
      </c>
      <c r="J547" s="456">
        <f t="shared" si="24"/>
        <v>0.19</v>
      </c>
      <c r="K547" s="583"/>
      <c r="L547" s="268" t="s">
        <v>2625</v>
      </c>
      <c r="M547" s="268" t="s">
        <v>2634</v>
      </c>
      <c r="N547" s="278">
        <f>IFERROR(INDEX('Data Lokasi'!S:S,MATCH('Input Real Tanam&amp;Petik Nanas'!C547,'Data Lokasi'!C:C,0)),"")</f>
        <v>44218</v>
      </c>
      <c r="O547" s="278"/>
      <c r="P547" s="283">
        <f>IFERROR(INDEX('Data Lokasi'!V:V,MATCH(C547,'Data Lokasi'!C:C,0)),"")</f>
        <v>0</v>
      </c>
      <c r="Q547" s="304">
        <f t="shared" si="25"/>
        <v>0</v>
      </c>
      <c r="R547" s="308"/>
    </row>
    <row r="548" spans="2:18" ht="15" hidden="1" thickTop="1">
      <c r="B548" s="269">
        <v>46216</v>
      </c>
      <c r="C548" s="268" t="s">
        <v>659</v>
      </c>
      <c r="D548" s="274">
        <f>IFERROR(VLOOKUP(C548,'Data Lokasi'!C:D,2,0),"")</f>
        <v>5.7</v>
      </c>
      <c r="E548" s="274" t="s">
        <v>2642</v>
      </c>
      <c r="F548" s="274"/>
      <c r="G548" s="274"/>
      <c r="H548" s="274"/>
      <c r="I548" s="274">
        <v>0.21</v>
      </c>
      <c r="J548" s="456">
        <f t="shared" si="24"/>
        <v>0.21</v>
      </c>
      <c r="K548" s="583"/>
      <c r="L548" s="268" t="s">
        <v>2625</v>
      </c>
      <c r="M548" s="268" t="s">
        <v>2634</v>
      </c>
      <c r="N548" s="278">
        <f>IFERROR(INDEX('Data Lokasi'!S:S,MATCH('Input Real Tanam&amp;Petik Nanas'!C548,'Data Lokasi'!C:C,0)),"")</f>
        <v>45010</v>
      </c>
      <c r="O548" s="278"/>
      <c r="P548" s="283">
        <f>IFERROR(INDEX('Data Lokasi'!V:V,MATCH(C548,'Data Lokasi'!C:C,0)),"")</f>
        <v>0</v>
      </c>
      <c r="Q548" s="304">
        <f t="shared" si="25"/>
        <v>0</v>
      </c>
      <c r="R548" s="308"/>
    </row>
    <row r="549" spans="2:18" ht="15" hidden="1" thickTop="1">
      <c r="B549" s="269">
        <v>46216</v>
      </c>
      <c r="C549" s="268" t="s">
        <v>250</v>
      </c>
      <c r="D549" s="274">
        <f>IFERROR(VLOOKUP(C549,'Data Lokasi'!C:D,2,0),"")</f>
        <v>9.2799999999999994</v>
      </c>
      <c r="E549" s="274" t="s">
        <v>2642</v>
      </c>
      <c r="F549" s="274"/>
      <c r="G549" s="274"/>
      <c r="H549" s="274"/>
      <c r="I549" s="274">
        <v>0.14000000000000001</v>
      </c>
      <c r="J549" s="456">
        <f t="shared" si="24"/>
        <v>0.14000000000000001</v>
      </c>
      <c r="K549" s="583"/>
      <c r="L549" s="268" t="s">
        <v>2625</v>
      </c>
      <c r="M549" s="268" t="s">
        <v>2634</v>
      </c>
      <c r="N549" s="278">
        <f>IFERROR(INDEX('Data Lokasi'!S:S,MATCH('Input Real Tanam&amp;Petik Nanas'!C549,'Data Lokasi'!C:C,0)),"")</f>
        <v>44064</v>
      </c>
      <c r="O549" s="278"/>
      <c r="P549" s="283">
        <f>IFERROR(INDEX('Data Lokasi'!V:V,MATCH(C549,'Data Lokasi'!C:C,0)),"")</f>
        <v>0</v>
      </c>
      <c r="Q549" s="304">
        <f t="shared" si="25"/>
        <v>0</v>
      </c>
      <c r="R549" s="308"/>
    </row>
    <row r="550" spans="2:18" ht="15" hidden="1" thickTop="1">
      <c r="B550" s="269">
        <v>46216</v>
      </c>
      <c r="C550" s="268" t="s">
        <v>685</v>
      </c>
      <c r="D550" s="274">
        <f>IFERROR(VLOOKUP(C550,'Data Lokasi'!C:D,2,0),"")</f>
        <v>5.82</v>
      </c>
      <c r="E550" s="274" t="s">
        <v>2642</v>
      </c>
      <c r="F550" s="274"/>
      <c r="G550" s="274"/>
      <c r="H550" s="274"/>
      <c r="I550" s="274">
        <v>0.36</v>
      </c>
      <c r="J550" s="456">
        <f t="shared" si="24"/>
        <v>0.36</v>
      </c>
      <c r="K550" s="583"/>
      <c r="L550" s="268" t="s">
        <v>2625</v>
      </c>
      <c r="M550" s="268" t="s">
        <v>2631</v>
      </c>
      <c r="N550" s="278">
        <f>IFERROR(INDEX('Data Lokasi'!S:S,MATCH('Input Real Tanam&amp;Petik Nanas'!C550,'Data Lokasi'!C:C,0)),"")</f>
        <v>45117</v>
      </c>
      <c r="O550" s="278"/>
      <c r="P550" s="283">
        <f>IFERROR(INDEX('Data Lokasi'!V:V,MATCH(C550,'Data Lokasi'!C:C,0)),"")</f>
        <v>0</v>
      </c>
      <c r="Q550" s="304">
        <f t="shared" si="25"/>
        <v>0</v>
      </c>
      <c r="R550" s="308"/>
    </row>
    <row r="551" spans="2:18" ht="15" hidden="1" thickTop="1">
      <c r="B551" s="269">
        <v>46216</v>
      </c>
      <c r="C551" s="268" t="s">
        <v>688</v>
      </c>
      <c r="D551" s="274">
        <f>IFERROR(VLOOKUP(C551,'Data Lokasi'!C:D,2,0),"")</f>
        <v>7.73</v>
      </c>
      <c r="E551" s="274" t="s">
        <v>2642</v>
      </c>
      <c r="F551" s="274"/>
      <c r="G551" s="274"/>
      <c r="H551" s="274"/>
      <c r="I551" s="274">
        <v>0.1</v>
      </c>
      <c r="J551" s="456">
        <f t="shared" si="24"/>
        <v>0.1</v>
      </c>
      <c r="K551" s="583"/>
      <c r="L551" s="268" t="s">
        <v>2625</v>
      </c>
      <c r="M551" s="268" t="s">
        <v>2631</v>
      </c>
      <c r="N551" s="278">
        <f>IFERROR(INDEX('Data Lokasi'!S:S,MATCH('Input Real Tanam&amp;Petik Nanas'!C551,'Data Lokasi'!C:C,0)),"")</f>
        <v>45119</v>
      </c>
      <c r="O551" s="278"/>
      <c r="P551" s="283">
        <f>IFERROR(INDEX('Data Lokasi'!V:V,MATCH(C551,'Data Lokasi'!C:C,0)),"")</f>
        <v>0</v>
      </c>
      <c r="Q551" s="304">
        <f t="shared" si="25"/>
        <v>0</v>
      </c>
      <c r="R551" s="308"/>
    </row>
    <row r="552" spans="2:18" ht="15" hidden="1" thickTop="1">
      <c r="B552" s="269">
        <v>46216</v>
      </c>
      <c r="C552" s="268" t="s">
        <v>697</v>
      </c>
      <c r="D552" s="274">
        <f>IFERROR(VLOOKUP(C552,'Data Lokasi'!C:D,2,0),"")</f>
        <v>4.16</v>
      </c>
      <c r="E552" s="274" t="s">
        <v>2642</v>
      </c>
      <c r="F552" s="274"/>
      <c r="G552" s="274"/>
      <c r="H552" s="274"/>
      <c r="I552" s="274">
        <v>0.1</v>
      </c>
      <c r="J552" s="456">
        <f t="shared" si="24"/>
        <v>0.1</v>
      </c>
      <c r="K552" s="583"/>
      <c r="L552" s="268" t="s">
        <v>2625</v>
      </c>
      <c r="M552" s="268" t="s">
        <v>2631</v>
      </c>
      <c r="N552" s="278">
        <f>IFERROR(INDEX('Data Lokasi'!S:S,MATCH('Input Real Tanam&amp;Petik Nanas'!C552,'Data Lokasi'!C:C,0)),"")</f>
        <v>45159</v>
      </c>
      <c r="O552" s="278"/>
      <c r="P552" s="283">
        <f>IFERROR(INDEX('Data Lokasi'!V:V,MATCH(C552,'Data Lokasi'!C:C,0)),"")</f>
        <v>0</v>
      </c>
      <c r="Q552" s="304">
        <f t="shared" si="25"/>
        <v>0</v>
      </c>
      <c r="R552" s="308"/>
    </row>
    <row r="553" spans="2:18" ht="15" hidden="1" thickTop="1">
      <c r="B553" s="269">
        <v>46216</v>
      </c>
      <c r="C553" s="268" t="s">
        <v>706</v>
      </c>
      <c r="D553" s="274">
        <f>IFERROR(VLOOKUP(C553,'Data Lokasi'!C:D,2,0),"")</f>
        <v>5.44</v>
      </c>
      <c r="E553" s="274" t="s">
        <v>2642</v>
      </c>
      <c r="F553" s="274"/>
      <c r="G553" s="274"/>
      <c r="H553" s="274"/>
      <c r="I553" s="274">
        <v>0.22</v>
      </c>
      <c r="J553" s="456">
        <f t="shared" si="24"/>
        <v>0.22</v>
      </c>
      <c r="K553" s="583"/>
      <c r="L553" s="268" t="s">
        <v>2625</v>
      </c>
      <c r="M553" s="268" t="s">
        <v>2631</v>
      </c>
      <c r="N553" s="278">
        <f>IFERROR(INDEX('Data Lokasi'!S:S,MATCH('Input Real Tanam&amp;Petik Nanas'!C553,'Data Lokasi'!C:C,0)),"")</f>
        <v>45205</v>
      </c>
      <c r="O553" s="278"/>
      <c r="P553" s="283">
        <f>IFERROR(INDEX('Data Lokasi'!V:V,MATCH(C553,'Data Lokasi'!C:C,0)),"")</f>
        <v>0</v>
      </c>
      <c r="Q553" s="304">
        <f t="shared" si="25"/>
        <v>0</v>
      </c>
      <c r="R553" s="308"/>
    </row>
    <row r="554" spans="2:18" ht="15" hidden="1" thickTop="1">
      <c r="B554" s="269">
        <v>46216</v>
      </c>
      <c r="C554" s="268" t="s">
        <v>681</v>
      </c>
      <c r="D554" s="274">
        <f>IFERROR(VLOOKUP(C554,'Data Lokasi'!C:D,2,0),"")</f>
        <v>6.35</v>
      </c>
      <c r="E554" s="274" t="s">
        <v>2642</v>
      </c>
      <c r="F554" s="274"/>
      <c r="G554" s="274"/>
      <c r="H554" s="274"/>
      <c r="I554" s="274">
        <v>2.02</v>
      </c>
      <c r="J554" s="456">
        <f t="shared" si="24"/>
        <v>2.02</v>
      </c>
      <c r="K554" s="583"/>
      <c r="L554" s="268" t="s">
        <v>2625</v>
      </c>
      <c r="M554" s="268" t="s">
        <v>2631</v>
      </c>
      <c r="N554" s="278">
        <f>IFERROR(INDEX('Data Lokasi'!S:S,MATCH('Input Real Tanam&amp;Petik Nanas'!C554,'Data Lokasi'!C:C,0)),"")</f>
        <v>45097</v>
      </c>
      <c r="O554" s="278"/>
      <c r="P554" s="283">
        <f>IFERROR(INDEX('Data Lokasi'!V:V,MATCH(C554,'Data Lokasi'!C:C,0)),"")</f>
        <v>0</v>
      </c>
      <c r="Q554" s="304">
        <f t="shared" si="25"/>
        <v>0</v>
      </c>
      <c r="R554" s="308"/>
    </row>
    <row r="555" spans="2:18" ht="15" hidden="1" thickTop="1">
      <c r="B555" s="269">
        <v>46217</v>
      </c>
      <c r="C555" s="268" t="s">
        <v>212</v>
      </c>
      <c r="D555" s="274">
        <f>IFERROR(VLOOKUP(C555,'Data Lokasi'!C:D,2,0),"")</f>
        <v>8.39</v>
      </c>
      <c r="E555" s="274" t="s">
        <v>2642</v>
      </c>
      <c r="F555" s="274"/>
      <c r="G555" s="274"/>
      <c r="H555" s="274"/>
      <c r="I555" s="274">
        <v>0.06</v>
      </c>
      <c r="J555" s="456">
        <f t="shared" si="24"/>
        <v>0.06</v>
      </c>
      <c r="K555" s="583"/>
      <c r="L555" s="268" t="s">
        <v>2625</v>
      </c>
      <c r="M555" s="268" t="s">
        <v>2631</v>
      </c>
      <c r="N555" s="278">
        <f>IFERROR(INDEX('Data Lokasi'!S:S,MATCH('Input Real Tanam&amp;Petik Nanas'!C555,'Data Lokasi'!C:C,0)),"")</f>
        <v>43988</v>
      </c>
      <c r="O555" s="278"/>
      <c r="P555" s="283">
        <f>IFERROR(INDEX('Data Lokasi'!V:V,MATCH(C555,'Data Lokasi'!C:C,0)),"")</f>
        <v>0</v>
      </c>
      <c r="Q555" s="304">
        <f t="shared" si="25"/>
        <v>0</v>
      </c>
      <c r="R555" s="308"/>
    </row>
    <row r="556" spans="2:18" ht="15" hidden="1" thickTop="1">
      <c r="B556" s="269">
        <v>46217</v>
      </c>
      <c r="C556" s="268" t="s">
        <v>286</v>
      </c>
      <c r="D556" s="274">
        <f>IFERROR(VLOOKUP(C556,'Data Lokasi'!C:D,2,0),"")</f>
        <v>8.33</v>
      </c>
      <c r="E556" s="274" t="s">
        <v>2642</v>
      </c>
      <c r="F556" s="274"/>
      <c r="G556" s="274"/>
      <c r="H556" s="274"/>
      <c r="I556" s="274">
        <v>0.21</v>
      </c>
      <c r="J556" s="456">
        <f t="shared" si="24"/>
        <v>0.21</v>
      </c>
      <c r="K556" s="583"/>
      <c r="L556" s="268" t="s">
        <v>2625</v>
      </c>
      <c r="M556" s="268" t="s">
        <v>2631</v>
      </c>
      <c r="N556" s="278">
        <f>IFERROR(INDEX('Data Lokasi'!S:S,MATCH('Input Real Tanam&amp;Petik Nanas'!C556,'Data Lokasi'!C:C,0)),"")</f>
        <v>44125</v>
      </c>
      <c r="O556" s="278"/>
      <c r="P556" s="283">
        <f>IFERROR(INDEX('Data Lokasi'!V:V,MATCH(C556,'Data Lokasi'!C:C,0)),"")</f>
        <v>0</v>
      </c>
      <c r="Q556" s="304">
        <f t="shared" si="25"/>
        <v>0</v>
      </c>
      <c r="R556" s="308"/>
    </row>
    <row r="557" spans="2:18" ht="15" hidden="1" thickTop="1">
      <c r="B557" s="269">
        <v>46217</v>
      </c>
      <c r="C557" s="268" t="s">
        <v>636</v>
      </c>
      <c r="D557" s="274">
        <f>IFERROR(VLOOKUP(C557,'Data Lokasi'!C:D,2,0),"")</f>
        <v>6</v>
      </c>
      <c r="E557" s="274" t="s">
        <v>2642</v>
      </c>
      <c r="F557" s="274"/>
      <c r="G557" s="274"/>
      <c r="H557" s="274"/>
      <c r="I557" s="274">
        <v>2.0299999999999998</v>
      </c>
      <c r="J557" s="456">
        <f t="shared" si="24"/>
        <v>2.0299999999999998</v>
      </c>
      <c r="K557" s="583"/>
      <c r="L557" s="268" t="s">
        <v>2625</v>
      </c>
      <c r="M557" s="268" t="s">
        <v>2631</v>
      </c>
      <c r="N557" s="278">
        <f>IFERROR(INDEX('Data Lokasi'!S:S,MATCH('Input Real Tanam&amp;Petik Nanas'!C557,'Data Lokasi'!C:C,0)),"")</f>
        <v>44915</v>
      </c>
      <c r="O557" s="278"/>
      <c r="P557" s="283">
        <f>IFERROR(INDEX('Data Lokasi'!V:V,MATCH(C557,'Data Lokasi'!C:C,0)),"")</f>
        <v>0</v>
      </c>
      <c r="Q557" s="304">
        <f t="shared" si="25"/>
        <v>0</v>
      </c>
      <c r="R557" s="308"/>
    </row>
    <row r="558" spans="2:18" ht="15" hidden="1" thickTop="1">
      <c r="B558" s="269">
        <v>46217</v>
      </c>
      <c r="C558" s="268" t="s">
        <v>681</v>
      </c>
      <c r="D558" s="274">
        <f>IFERROR(VLOOKUP(C558,'Data Lokasi'!C:D,2,0),"")</f>
        <v>6.35</v>
      </c>
      <c r="E558" s="274" t="s">
        <v>2642</v>
      </c>
      <c r="F558" s="274"/>
      <c r="G558" s="274"/>
      <c r="H558" s="274"/>
      <c r="I558" s="274">
        <v>0.64</v>
      </c>
      <c r="J558" s="456">
        <f t="shared" si="24"/>
        <v>0.64</v>
      </c>
      <c r="K558" s="583"/>
      <c r="L558" s="268" t="s">
        <v>2625</v>
      </c>
      <c r="M558" s="268" t="s">
        <v>2631</v>
      </c>
      <c r="N558" s="278">
        <f>IFERROR(INDEX('Data Lokasi'!S:S,MATCH('Input Real Tanam&amp;Petik Nanas'!C558,'Data Lokasi'!C:C,0)),"")</f>
        <v>45097</v>
      </c>
      <c r="O558" s="278"/>
      <c r="P558" s="283">
        <f>IFERROR(INDEX('Data Lokasi'!V:V,MATCH(C558,'Data Lokasi'!C:C,0)),"")</f>
        <v>0</v>
      </c>
      <c r="Q558" s="304">
        <f t="shared" si="25"/>
        <v>0</v>
      </c>
      <c r="R558" s="308"/>
    </row>
    <row r="559" spans="2:18" ht="15" hidden="1" thickTop="1">
      <c r="B559" s="269">
        <v>46217</v>
      </c>
      <c r="C559" s="268" t="s">
        <v>320</v>
      </c>
      <c r="D559" s="274">
        <f>IFERROR(VLOOKUP(C559,'Data Lokasi'!C:D,2,0),"")</f>
        <v>9.0299999999999994</v>
      </c>
      <c r="E559" s="274" t="s">
        <v>2642</v>
      </c>
      <c r="F559" s="274"/>
      <c r="G559" s="274"/>
      <c r="H559" s="274">
        <f>0.5+0.46</f>
        <v>0.96</v>
      </c>
      <c r="I559" s="274"/>
      <c r="J559" s="456">
        <f t="shared" si="24"/>
        <v>0.96</v>
      </c>
      <c r="K559" s="583"/>
      <c r="L559" s="268" t="s">
        <v>719</v>
      </c>
      <c r="M559" s="268" t="s">
        <v>2634</v>
      </c>
      <c r="N559" s="278">
        <f>IFERROR(INDEX('Data Lokasi'!S:S,MATCH('Input Real Tanam&amp;Petik Nanas'!C559,'Data Lokasi'!C:C,0)),"")</f>
        <v>44216</v>
      </c>
      <c r="O559" s="278"/>
      <c r="P559" s="283">
        <f>IFERROR(INDEX('Data Lokasi'!V:V,MATCH(C559,'Data Lokasi'!C:C,0)),"")</f>
        <v>0</v>
      </c>
      <c r="Q559" s="304">
        <f t="shared" si="25"/>
        <v>0</v>
      </c>
      <c r="R559" s="308"/>
    </row>
    <row r="560" spans="2:18" ht="15" hidden="1" thickTop="1">
      <c r="B560" s="269">
        <v>46217</v>
      </c>
      <c r="C560" s="268" t="s">
        <v>659</v>
      </c>
      <c r="D560" s="274">
        <f>IFERROR(VLOOKUP(C560,'Data Lokasi'!C:D,2,0),"")</f>
        <v>5.7</v>
      </c>
      <c r="E560" s="274" t="s">
        <v>2642</v>
      </c>
      <c r="F560" s="274"/>
      <c r="G560" s="274"/>
      <c r="H560" s="274"/>
      <c r="I560" s="274">
        <v>0.46</v>
      </c>
      <c r="J560" s="456">
        <f t="shared" si="24"/>
        <v>0.46</v>
      </c>
      <c r="K560" s="583"/>
      <c r="L560" s="268" t="s">
        <v>2625</v>
      </c>
      <c r="M560" s="268" t="s">
        <v>2634</v>
      </c>
      <c r="N560" s="278">
        <f>IFERROR(INDEX('Data Lokasi'!S:S,MATCH('Input Real Tanam&amp;Petik Nanas'!C560,'Data Lokasi'!C:C,0)),"")</f>
        <v>45010</v>
      </c>
      <c r="O560" s="278"/>
      <c r="P560" s="283">
        <f>IFERROR(INDEX('Data Lokasi'!V:V,MATCH(C560,'Data Lokasi'!C:C,0)),"")</f>
        <v>0</v>
      </c>
      <c r="Q560" s="304">
        <f t="shared" si="25"/>
        <v>0</v>
      </c>
      <c r="R560" s="308"/>
    </row>
    <row r="561" spans="2:18" ht="15" hidden="1" thickTop="1">
      <c r="B561" s="269">
        <v>46217</v>
      </c>
      <c r="C561" s="268" t="s">
        <v>657</v>
      </c>
      <c r="D561" s="274">
        <f>IFERROR(VLOOKUP(C561,'Data Lokasi'!C:D,2,0),"")</f>
        <v>7.73</v>
      </c>
      <c r="E561" s="274" t="s">
        <v>2642</v>
      </c>
      <c r="F561" s="274"/>
      <c r="G561" s="274"/>
      <c r="H561" s="274"/>
      <c r="I561" s="274">
        <v>1.32</v>
      </c>
      <c r="J561" s="456">
        <f t="shared" si="24"/>
        <v>1.32</v>
      </c>
      <c r="K561" s="583"/>
      <c r="L561" s="268" t="s">
        <v>2625</v>
      </c>
      <c r="M561" s="268" t="s">
        <v>2634</v>
      </c>
      <c r="N561" s="278">
        <f>IFERROR(INDEX('Data Lokasi'!S:S,MATCH('Input Real Tanam&amp;Petik Nanas'!C561,'Data Lokasi'!C:C,0)),"")</f>
        <v>45003</v>
      </c>
      <c r="O561" s="278"/>
      <c r="P561" s="283">
        <f>IFERROR(INDEX('Data Lokasi'!V:V,MATCH(C561,'Data Lokasi'!C:C,0)),"")</f>
        <v>0</v>
      </c>
      <c r="Q561" s="304">
        <f t="shared" si="25"/>
        <v>0</v>
      </c>
      <c r="R561" s="308"/>
    </row>
    <row r="562" spans="2:18" ht="15" hidden="1" thickTop="1">
      <c r="B562" s="269">
        <v>46217</v>
      </c>
      <c r="C562" s="268" t="s">
        <v>2663</v>
      </c>
      <c r="D562" s="274">
        <f>IFERROR(VLOOKUP(C562,'Data Lokasi'!C:D,2,0),"")</f>
        <v>7.48</v>
      </c>
      <c r="E562" s="274" t="s">
        <v>2642</v>
      </c>
      <c r="F562" s="274"/>
      <c r="G562" s="274"/>
      <c r="H562" s="274"/>
      <c r="I562" s="274">
        <v>0.11</v>
      </c>
      <c r="J562" s="456">
        <f t="shared" si="24"/>
        <v>0.11</v>
      </c>
      <c r="K562" s="583"/>
      <c r="L562" s="268" t="s">
        <v>2625</v>
      </c>
      <c r="M562" s="268" t="s">
        <v>2634</v>
      </c>
      <c r="N562" s="278">
        <f>IFERROR(INDEX('Data Lokasi'!S:S,MATCH('Input Real Tanam&amp;Petik Nanas'!C562,'Data Lokasi'!C:C,0)),"")</f>
        <v>46206</v>
      </c>
      <c r="O562" s="278"/>
      <c r="P562" s="283">
        <f>IFERROR(INDEX('Data Lokasi'!V:V,MATCH(C562,'Data Lokasi'!C:C,0)),"")</f>
        <v>0</v>
      </c>
      <c r="Q562" s="304">
        <f t="shared" si="25"/>
        <v>0</v>
      </c>
      <c r="R562" s="308"/>
    </row>
    <row r="563" spans="2:18" ht="15" hidden="1" thickTop="1">
      <c r="B563" s="269">
        <v>46217</v>
      </c>
      <c r="C563" s="268" t="s">
        <v>2662</v>
      </c>
      <c r="D563" s="274">
        <f>IFERROR(VLOOKUP(C563,'Data Lokasi'!C:D,2,0),"")</f>
        <v>5.64</v>
      </c>
      <c r="E563" s="274" t="s">
        <v>2642</v>
      </c>
      <c r="F563" s="274"/>
      <c r="G563" s="274"/>
      <c r="H563" s="274"/>
      <c r="I563" s="274">
        <v>7.0000000000000007E-2</v>
      </c>
      <c r="J563" s="456">
        <f t="shared" si="24"/>
        <v>7.0000000000000007E-2</v>
      </c>
      <c r="K563" s="583"/>
      <c r="L563" s="268" t="s">
        <v>2625</v>
      </c>
      <c r="M563" s="268" t="s">
        <v>2634</v>
      </c>
      <c r="N563" s="278">
        <f>IFERROR(INDEX('Data Lokasi'!S:S,MATCH('Input Real Tanam&amp;Petik Nanas'!C563,'Data Lokasi'!C:C,0)),"")</f>
        <v>46204</v>
      </c>
      <c r="O563" s="278"/>
      <c r="P563" s="283">
        <f>IFERROR(INDEX('Data Lokasi'!V:V,MATCH(C563,'Data Lokasi'!C:C,0)),"")</f>
        <v>0</v>
      </c>
      <c r="Q563" s="304">
        <f t="shared" si="25"/>
        <v>0</v>
      </c>
      <c r="R563" s="308"/>
    </row>
    <row r="564" spans="2:18" ht="15" hidden="1" thickTop="1">
      <c r="B564" s="269">
        <v>46217</v>
      </c>
      <c r="C564" s="268" t="s">
        <v>250</v>
      </c>
      <c r="D564" s="274">
        <f>IFERROR(VLOOKUP(C564,'Data Lokasi'!C:D,2,0),"")</f>
        <v>9.2799999999999994</v>
      </c>
      <c r="E564" s="274" t="s">
        <v>2642</v>
      </c>
      <c r="F564" s="274"/>
      <c r="G564" s="274"/>
      <c r="H564" s="274"/>
      <c r="I564" s="274">
        <v>0.04</v>
      </c>
      <c r="J564" s="456">
        <f t="shared" si="24"/>
        <v>0.04</v>
      </c>
      <c r="K564" s="583"/>
      <c r="L564" s="268" t="s">
        <v>2625</v>
      </c>
      <c r="M564" s="268" t="s">
        <v>2634</v>
      </c>
      <c r="N564" s="278">
        <f>IFERROR(INDEX('Data Lokasi'!S:S,MATCH('Input Real Tanam&amp;Petik Nanas'!C564,'Data Lokasi'!C:C,0)),"")</f>
        <v>44064</v>
      </c>
      <c r="O564" s="278"/>
      <c r="P564" s="283">
        <f>IFERROR(INDEX('Data Lokasi'!V:V,MATCH(C564,'Data Lokasi'!C:C,0)),"")</f>
        <v>0</v>
      </c>
      <c r="Q564" s="304">
        <f t="shared" si="25"/>
        <v>0</v>
      </c>
      <c r="R564" s="308"/>
    </row>
    <row r="565" spans="2:18" ht="15" hidden="1" thickTop="1">
      <c r="B565" s="269">
        <v>46217</v>
      </c>
      <c r="C565" s="268" t="s">
        <v>286</v>
      </c>
      <c r="D565" s="274">
        <f>IFERROR(VLOOKUP(C565,'Data Lokasi'!C:D,2,0),"")</f>
        <v>8.33</v>
      </c>
      <c r="E565" s="274" t="s">
        <v>2642</v>
      </c>
      <c r="F565" s="274"/>
      <c r="G565" s="274"/>
      <c r="H565" s="274"/>
      <c r="I565" s="274">
        <v>0.06</v>
      </c>
      <c r="J565" s="456">
        <f t="shared" si="24"/>
        <v>0.06</v>
      </c>
      <c r="K565" s="583"/>
      <c r="L565" s="268" t="s">
        <v>2625</v>
      </c>
      <c r="M565" s="268" t="s">
        <v>2634</v>
      </c>
      <c r="N565" s="278">
        <f>IFERROR(INDEX('Data Lokasi'!S:S,MATCH('Input Real Tanam&amp;Petik Nanas'!C565,'Data Lokasi'!C:C,0)),"")</f>
        <v>44125</v>
      </c>
      <c r="O565" s="278"/>
      <c r="P565" s="283">
        <f>IFERROR(INDEX('Data Lokasi'!V:V,MATCH(C565,'Data Lokasi'!C:C,0)),"")</f>
        <v>0</v>
      </c>
      <c r="Q565" s="304">
        <f t="shared" si="25"/>
        <v>0</v>
      </c>
      <c r="R565" s="308"/>
    </row>
    <row r="566" spans="2:18" ht="15" hidden="1" thickTop="1">
      <c r="B566" s="269">
        <v>46217</v>
      </c>
      <c r="C566" s="268" t="s">
        <v>650</v>
      </c>
      <c r="D566" s="274">
        <f>IFERROR(VLOOKUP(C566,'Data Lokasi'!C:D,2,0),"")</f>
        <v>8.02</v>
      </c>
      <c r="E566" s="274" t="s">
        <v>2642</v>
      </c>
      <c r="F566" s="274"/>
      <c r="G566" s="274"/>
      <c r="H566" s="274"/>
      <c r="I566" s="274">
        <v>0.03</v>
      </c>
      <c r="J566" s="456">
        <f t="shared" si="24"/>
        <v>0.03</v>
      </c>
      <c r="K566" s="583"/>
      <c r="L566" s="268" t="s">
        <v>2625</v>
      </c>
      <c r="M566" s="268" t="s">
        <v>2634</v>
      </c>
      <c r="N566" s="278">
        <f>IFERROR(INDEX('Data Lokasi'!S:S,MATCH('Input Real Tanam&amp;Petik Nanas'!C566,'Data Lokasi'!C:C,0)),"")</f>
        <v>44970</v>
      </c>
      <c r="O566" s="278"/>
      <c r="P566" s="283">
        <f>IFERROR(INDEX('Data Lokasi'!V:V,MATCH(C566,'Data Lokasi'!C:C,0)),"")</f>
        <v>0</v>
      </c>
      <c r="Q566" s="304">
        <f t="shared" si="25"/>
        <v>0</v>
      </c>
      <c r="R566" s="308"/>
    </row>
    <row r="567" spans="2:18" ht="15" hidden="1" thickTop="1">
      <c r="B567" s="269">
        <v>46217</v>
      </c>
      <c r="C567" s="268" t="s">
        <v>478</v>
      </c>
      <c r="D567" s="274">
        <f>IFERROR(VLOOKUP(C567,'Data Lokasi'!C:D,2,0),"")</f>
        <v>6.8</v>
      </c>
      <c r="E567" s="274" t="s">
        <v>2643</v>
      </c>
      <c r="F567" s="274"/>
      <c r="G567" s="274">
        <f>0.05+0.1</f>
        <v>0.15000000000000002</v>
      </c>
      <c r="H567" s="274">
        <f>0.17+0.2</f>
        <v>0.37</v>
      </c>
      <c r="I567" s="274"/>
      <c r="J567" s="456">
        <f t="shared" si="24"/>
        <v>0.52</v>
      </c>
      <c r="K567" s="583"/>
      <c r="L567" s="268" t="s">
        <v>719</v>
      </c>
      <c r="M567" s="268" t="s">
        <v>2634</v>
      </c>
      <c r="N567" s="278">
        <f>IFERROR(INDEX('Data Lokasi'!S:S,MATCH('Input Real Tanam&amp;Petik Nanas'!C567,'Data Lokasi'!C:C,0)),"")</f>
        <v>44517</v>
      </c>
      <c r="O567" s="278"/>
      <c r="P567" s="283">
        <f>IFERROR(INDEX('Data Lokasi'!V:V,MATCH(C567,'Data Lokasi'!C:C,0)),"")</f>
        <v>0</v>
      </c>
      <c r="Q567" s="304">
        <f t="shared" si="25"/>
        <v>0</v>
      </c>
      <c r="R567" s="308">
        <v>1</v>
      </c>
    </row>
    <row r="568" spans="2:18" ht="15" hidden="1" thickTop="1">
      <c r="B568" s="269">
        <v>46217</v>
      </c>
      <c r="C568" s="268" t="s">
        <v>485</v>
      </c>
      <c r="D568" s="274">
        <f>IFERROR(VLOOKUP(C568,'Data Lokasi'!C:D,2,0),"")</f>
        <v>6.41</v>
      </c>
      <c r="E568" s="274" t="s">
        <v>2643</v>
      </c>
      <c r="F568" s="274"/>
      <c r="G568" s="274"/>
      <c r="H568" s="274"/>
      <c r="I568" s="274">
        <v>1.05</v>
      </c>
      <c r="J568" s="456">
        <f t="shared" si="24"/>
        <v>1.05</v>
      </c>
      <c r="K568" s="583"/>
      <c r="L568" s="268" t="s">
        <v>2625</v>
      </c>
      <c r="M568" s="268" t="s">
        <v>2634</v>
      </c>
      <c r="N568" s="278">
        <f>IFERROR(INDEX('Data Lokasi'!S:S,MATCH('Input Real Tanam&amp;Petik Nanas'!C568,'Data Lokasi'!C:C,0)),"")</f>
        <v>44532</v>
      </c>
      <c r="O568" s="278"/>
      <c r="P568" s="283">
        <f>IFERROR(INDEX('Data Lokasi'!V:V,MATCH(C568,'Data Lokasi'!C:C,0)),"")</f>
        <v>0</v>
      </c>
      <c r="Q568" s="304">
        <f t="shared" si="25"/>
        <v>0</v>
      </c>
      <c r="R568" s="308"/>
    </row>
    <row r="569" spans="2:18" ht="15" hidden="1" thickTop="1">
      <c r="B569" s="269">
        <v>46217</v>
      </c>
      <c r="C569" s="268" t="s">
        <v>412</v>
      </c>
      <c r="D569" s="274">
        <f>IFERROR(VLOOKUP(C569,'Data Lokasi'!C:D,2,0),"")</f>
        <v>6.3</v>
      </c>
      <c r="E569" s="274" t="s">
        <v>2643</v>
      </c>
      <c r="F569" s="274"/>
      <c r="G569" s="274"/>
      <c r="H569" s="274"/>
      <c r="I569" s="274">
        <v>0.85</v>
      </c>
      <c r="J569" s="456">
        <f t="shared" si="24"/>
        <v>0.85</v>
      </c>
      <c r="K569" s="583"/>
      <c r="L569" s="268" t="s">
        <v>2625</v>
      </c>
      <c r="M569" s="268" t="s">
        <v>2634</v>
      </c>
      <c r="N569" s="278">
        <f>IFERROR(INDEX('Data Lokasi'!S:S,MATCH('Input Real Tanam&amp;Petik Nanas'!C569,'Data Lokasi'!C:C,0)),"")</f>
        <v>44374</v>
      </c>
      <c r="O569" s="278"/>
      <c r="P569" s="283">
        <f>IFERROR(INDEX('Data Lokasi'!V:V,MATCH(C569,'Data Lokasi'!C:C,0)),"")</f>
        <v>0</v>
      </c>
      <c r="Q569" s="304">
        <f t="shared" si="25"/>
        <v>0</v>
      </c>
      <c r="R569" s="308"/>
    </row>
    <row r="570" spans="2:18" ht="15" hidden="1" thickTop="1">
      <c r="B570" s="269">
        <v>46217</v>
      </c>
      <c r="C570" s="268" t="s">
        <v>550</v>
      </c>
      <c r="D570" s="274">
        <f>IFERROR(VLOOKUP(C570,'Data Lokasi'!C:D,2,0),"")</f>
        <v>5.83</v>
      </c>
      <c r="E570" s="274" t="s">
        <v>2643</v>
      </c>
      <c r="F570" s="274"/>
      <c r="G570" s="274"/>
      <c r="H570" s="274"/>
      <c r="I570" s="274">
        <v>1.63</v>
      </c>
      <c r="J570" s="456">
        <f t="shared" si="24"/>
        <v>1.63</v>
      </c>
      <c r="K570" s="583"/>
      <c r="L570" s="268" t="s">
        <v>2625</v>
      </c>
      <c r="M570" s="268" t="s">
        <v>2631</v>
      </c>
      <c r="N570" s="278">
        <f>IFERROR(INDEX('Data Lokasi'!S:S,MATCH('Input Real Tanam&amp;Petik Nanas'!C570,'Data Lokasi'!C:C,0)),"")</f>
        <v>44674</v>
      </c>
      <c r="O570" s="278"/>
      <c r="P570" s="283">
        <f>IFERROR(INDEX('Data Lokasi'!V:V,MATCH(C570,'Data Lokasi'!C:C,0)),"")</f>
        <v>0</v>
      </c>
      <c r="Q570" s="304">
        <f t="shared" si="25"/>
        <v>0</v>
      </c>
      <c r="R570" s="308"/>
    </row>
    <row r="571" spans="2:18" ht="15" hidden="1" thickTop="1">
      <c r="B571" s="269">
        <v>46217</v>
      </c>
      <c r="C571" s="268" t="s">
        <v>530</v>
      </c>
      <c r="D571" s="274">
        <f>IFERROR(VLOOKUP(C571,'Data Lokasi'!C:D,2,0),"")</f>
        <v>9.5299999999999994</v>
      </c>
      <c r="E571" s="274" t="s">
        <v>2643</v>
      </c>
      <c r="F571" s="274"/>
      <c r="G571" s="274"/>
      <c r="H571" s="274"/>
      <c r="I571" s="274">
        <v>0.76</v>
      </c>
      <c r="J571" s="456">
        <f t="shared" si="24"/>
        <v>0.76</v>
      </c>
      <c r="K571" s="583"/>
      <c r="L571" s="268" t="s">
        <v>2625</v>
      </c>
      <c r="M571" s="268" t="s">
        <v>2631</v>
      </c>
      <c r="N571" s="278">
        <f>IFERROR(INDEX('Data Lokasi'!S:S,MATCH('Input Real Tanam&amp;Petik Nanas'!C571,'Data Lokasi'!C:C,0)),"")</f>
        <v>44624</v>
      </c>
      <c r="O571" s="278"/>
      <c r="P571" s="283">
        <f>IFERROR(INDEX('Data Lokasi'!V:V,MATCH(C571,'Data Lokasi'!C:C,0)),"")</f>
        <v>0</v>
      </c>
      <c r="Q571" s="304">
        <f t="shared" si="25"/>
        <v>0</v>
      </c>
      <c r="R571" s="308"/>
    </row>
    <row r="572" spans="2:18" ht="15" hidden="1" thickTop="1">
      <c r="B572" s="269">
        <v>46217</v>
      </c>
      <c r="C572" s="268" t="s">
        <v>465</v>
      </c>
      <c r="D572" s="274">
        <f>IFERROR(VLOOKUP(C572,'Data Lokasi'!C:D,2,0),"")</f>
        <v>11.63</v>
      </c>
      <c r="E572" s="274" t="s">
        <v>2643</v>
      </c>
      <c r="F572" s="274"/>
      <c r="G572" s="274">
        <f>0.005+0.02</f>
        <v>2.5000000000000001E-2</v>
      </c>
      <c r="H572" s="274">
        <f>0.08+0.06</f>
        <v>0.14000000000000001</v>
      </c>
      <c r="I572" s="274"/>
      <c r="J572" s="456">
        <f t="shared" si="24"/>
        <v>0.16500000000000001</v>
      </c>
      <c r="K572" s="583"/>
      <c r="L572" s="268" t="s">
        <v>719</v>
      </c>
      <c r="M572" s="268" t="s">
        <v>2631</v>
      </c>
      <c r="N572" s="278">
        <f>IFERROR(INDEX('Data Lokasi'!S:S,MATCH('Input Real Tanam&amp;Petik Nanas'!C572,'Data Lokasi'!C:C,0)),"")</f>
        <v>44477</v>
      </c>
      <c r="O572" s="278"/>
      <c r="P572" s="283">
        <f>IFERROR(INDEX('Data Lokasi'!V:V,MATCH(C572,'Data Lokasi'!C:C,0)),"")</f>
        <v>0</v>
      </c>
      <c r="Q572" s="304">
        <f t="shared" si="25"/>
        <v>0</v>
      </c>
      <c r="R572" s="308">
        <v>2</v>
      </c>
    </row>
    <row r="573" spans="2:18" ht="15" hidden="1" thickTop="1">
      <c r="B573" s="269">
        <v>46217</v>
      </c>
      <c r="C573" s="268" t="s">
        <v>2555</v>
      </c>
      <c r="D573" s="274">
        <f>IFERROR(VLOOKUP(C573,'Data Lokasi'!C:D,2,0),"")</f>
        <v>7.69</v>
      </c>
      <c r="E573" s="274" t="s">
        <v>2643</v>
      </c>
      <c r="F573" s="274"/>
      <c r="G573" s="274"/>
      <c r="H573" s="274"/>
      <c r="I573" s="274">
        <v>1.29</v>
      </c>
      <c r="J573" s="456">
        <f t="shared" si="24"/>
        <v>1.29</v>
      </c>
      <c r="K573" s="583"/>
      <c r="L573" s="268" t="s">
        <v>2625</v>
      </c>
      <c r="M573" s="268" t="s">
        <v>2631</v>
      </c>
      <c r="N573" s="278">
        <f>IFERROR(INDEX('Data Lokasi'!S:S,MATCH('Input Real Tanam&amp;Petik Nanas'!C573,'Data Lokasi'!C:C,0)),"")</f>
        <v>45669</v>
      </c>
      <c r="O573" s="278"/>
      <c r="P573" s="283">
        <f>IFERROR(INDEX('Data Lokasi'!V:V,MATCH(C573,'Data Lokasi'!C:C,0)),"")</f>
        <v>0</v>
      </c>
      <c r="Q573" s="304">
        <f t="shared" si="25"/>
        <v>0</v>
      </c>
      <c r="R573" s="308"/>
    </row>
    <row r="574" spans="2:18" ht="15" hidden="1" thickTop="1">
      <c r="B574" s="269">
        <v>46218</v>
      </c>
      <c r="C574" s="268" t="s">
        <v>478</v>
      </c>
      <c r="D574" s="274">
        <f>IFERROR(VLOOKUP(C574,'Data Lokasi'!C:D,2,0),"")</f>
        <v>6.8</v>
      </c>
      <c r="E574" s="274" t="s">
        <v>2643</v>
      </c>
      <c r="F574" s="274"/>
      <c r="G574" s="274">
        <f>0.06+0.14</f>
        <v>0.2</v>
      </c>
      <c r="H574" s="274">
        <f>0.18+0.23</f>
        <v>0.41000000000000003</v>
      </c>
      <c r="I574" s="274"/>
      <c r="J574" s="456">
        <f t="shared" si="24"/>
        <v>0.6100000000000001</v>
      </c>
      <c r="K574" s="583"/>
      <c r="L574" s="268" t="s">
        <v>719</v>
      </c>
      <c r="M574" s="268" t="s">
        <v>2634</v>
      </c>
      <c r="N574" s="278">
        <f>IFERROR(INDEX('Data Lokasi'!S:S,MATCH('Input Real Tanam&amp;Petik Nanas'!C574,'Data Lokasi'!C:C,0)),"")</f>
        <v>44517</v>
      </c>
      <c r="O574" s="278"/>
      <c r="P574" s="283">
        <f>IFERROR(INDEX('Data Lokasi'!V:V,MATCH(C574,'Data Lokasi'!C:C,0)),"")</f>
        <v>0</v>
      </c>
      <c r="Q574" s="304">
        <f t="shared" si="25"/>
        <v>0</v>
      </c>
      <c r="R574" s="308">
        <v>1</v>
      </c>
    </row>
    <row r="575" spans="2:18" ht="15" hidden="1" thickTop="1">
      <c r="B575" s="269">
        <v>46218</v>
      </c>
      <c r="C575" s="317" t="s">
        <v>497</v>
      </c>
      <c r="D575" s="274">
        <f>IFERROR(VLOOKUP(C575,'Data Lokasi'!C:D,2,0),"")</f>
        <v>9.98</v>
      </c>
      <c r="E575" s="274" t="s">
        <v>2643</v>
      </c>
      <c r="F575" s="274"/>
      <c r="G575" s="274"/>
      <c r="H575" s="274"/>
      <c r="I575" s="274">
        <v>1.1100000000000001</v>
      </c>
      <c r="J575" s="456">
        <f t="shared" si="24"/>
        <v>1.1100000000000001</v>
      </c>
      <c r="K575" s="583"/>
      <c r="L575" s="268" t="s">
        <v>2625</v>
      </c>
      <c r="M575" s="268" t="s">
        <v>2634</v>
      </c>
      <c r="N575" s="278">
        <f>IFERROR(INDEX('Data Lokasi'!S:S,MATCH('Input Real Tanam&amp;Petik Nanas'!C575,'Data Lokasi'!C:C,0)),"")</f>
        <v>44557</v>
      </c>
      <c r="O575" s="278"/>
      <c r="P575" s="283">
        <f>IFERROR(INDEX('Data Lokasi'!V:V,MATCH(C575,'Data Lokasi'!C:C,0)),"")</f>
        <v>0</v>
      </c>
      <c r="Q575" s="304">
        <f t="shared" si="25"/>
        <v>0</v>
      </c>
      <c r="R575" s="308"/>
    </row>
    <row r="576" spans="2:18" ht="15" hidden="1" thickTop="1">
      <c r="B576" s="269">
        <v>46218</v>
      </c>
      <c r="C576" s="268" t="s">
        <v>412</v>
      </c>
      <c r="D576" s="274">
        <f>IFERROR(VLOOKUP(C576,'Data Lokasi'!C:D,2,0),"")</f>
        <v>6.3</v>
      </c>
      <c r="E576" s="274" t="s">
        <v>2643</v>
      </c>
      <c r="F576" s="274"/>
      <c r="G576" s="274"/>
      <c r="H576" s="274"/>
      <c r="I576" s="274">
        <v>0.56999999999999995</v>
      </c>
      <c r="J576" s="456">
        <f t="shared" si="24"/>
        <v>0.56999999999999995</v>
      </c>
      <c r="K576" s="583"/>
      <c r="L576" s="268" t="s">
        <v>2625</v>
      </c>
      <c r="M576" s="268" t="s">
        <v>2634</v>
      </c>
      <c r="N576" s="278">
        <f>IFERROR(INDEX('Data Lokasi'!S:S,MATCH('Input Real Tanam&amp;Petik Nanas'!C576,'Data Lokasi'!C:C,0)),"")</f>
        <v>44374</v>
      </c>
      <c r="O576" s="278"/>
      <c r="P576" s="283">
        <f>IFERROR(INDEX('Data Lokasi'!V:V,MATCH(C576,'Data Lokasi'!C:C,0)),"")</f>
        <v>0</v>
      </c>
      <c r="Q576" s="304">
        <f t="shared" si="25"/>
        <v>0</v>
      </c>
      <c r="R576" s="308"/>
    </row>
    <row r="577" spans="2:18" ht="15" hidden="1" thickTop="1">
      <c r="B577" s="269">
        <v>46218</v>
      </c>
      <c r="C577" s="268" t="s">
        <v>671</v>
      </c>
      <c r="D577" s="274">
        <f>IFERROR(VLOOKUP(C577,'Data Lokasi'!C:D,2,0),"")</f>
        <v>7.82</v>
      </c>
      <c r="E577" s="274" t="s">
        <v>2642</v>
      </c>
      <c r="F577" s="274"/>
      <c r="G577" s="274"/>
      <c r="H577" s="274"/>
      <c r="I577" s="274">
        <v>1</v>
      </c>
      <c r="J577" s="456">
        <f t="shared" si="24"/>
        <v>1</v>
      </c>
      <c r="K577" s="583"/>
      <c r="L577" s="268" t="s">
        <v>2625</v>
      </c>
      <c r="M577" s="268" t="s">
        <v>2631</v>
      </c>
      <c r="N577" s="278">
        <f>IFERROR(INDEX('Data Lokasi'!S:S,MATCH('Input Real Tanam&amp;Petik Nanas'!C577,'Data Lokasi'!C:C,0)),"")</f>
        <v>45067</v>
      </c>
      <c r="O577" s="278"/>
      <c r="P577" s="283">
        <f>IFERROR(INDEX('Data Lokasi'!V:V,MATCH(C577,'Data Lokasi'!C:C,0)),"")</f>
        <v>0</v>
      </c>
      <c r="Q577" s="304">
        <f t="shared" si="25"/>
        <v>0</v>
      </c>
      <c r="R577" s="308"/>
    </row>
    <row r="578" spans="2:18" ht="15" hidden="1" thickTop="1">
      <c r="B578" s="269">
        <v>46218</v>
      </c>
      <c r="C578" s="268" t="s">
        <v>678</v>
      </c>
      <c r="D578" s="274">
        <f>IFERROR(VLOOKUP(C578,'Data Lokasi'!C:D,2,0),"")</f>
        <v>7.7</v>
      </c>
      <c r="E578" s="274" t="s">
        <v>2642</v>
      </c>
      <c r="F578" s="274"/>
      <c r="G578" s="274"/>
      <c r="H578" s="274">
        <v>0.15</v>
      </c>
      <c r="I578" s="274"/>
      <c r="J578" s="456">
        <f t="shared" si="24"/>
        <v>0.15</v>
      </c>
      <c r="K578" s="583"/>
      <c r="L578" s="268" t="s">
        <v>719</v>
      </c>
      <c r="M578" s="268" t="s">
        <v>2631</v>
      </c>
      <c r="N578" s="278">
        <f>IFERROR(INDEX('Data Lokasi'!S:S,MATCH('Input Real Tanam&amp;Petik Nanas'!C578,'Data Lokasi'!C:C,0)),"")</f>
        <v>45083</v>
      </c>
      <c r="O578" s="278"/>
      <c r="P578" s="283">
        <f>IFERROR(INDEX('Data Lokasi'!V:V,MATCH(C578,'Data Lokasi'!C:C,0)),"")</f>
        <v>0</v>
      </c>
      <c r="Q578" s="304">
        <f t="shared" si="25"/>
        <v>0</v>
      </c>
      <c r="R578" s="308"/>
    </row>
    <row r="579" spans="2:18" ht="15" hidden="1" thickTop="1">
      <c r="B579" s="269">
        <v>46218</v>
      </c>
      <c r="C579" s="268" t="s">
        <v>670</v>
      </c>
      <c r="D579" s="274">
        <f>IFERROR(VLOOKUP(C579,'Data Lokasi'!C:D,2,0),"")</f>
        <v>4.7</v>
      </c>
      <c r="E579" s="274" t="s">
        <v>2642</v>
      </c>
      <c r="F579" s="274"/>
      <c r="G579" s="274"/>
      <c r="H579" s="274"/>
      <c r="I579" s="274">
        <v>4.3999999999999997E-2</v>
      </c>
      <c r="J579" s="456">
        <f t="shared" si="24"/>
        <v>4.3999999999999997E-2</v>
      </c>
      <c r="K579" s="583"/>
      <c r="L579" s="268" t="s">
        <v>2625</v>
      </c>
      <c r="M579" s="268" t="s">
        <v>2631</v>
      </c>
      <c r="N579" s="278">
        <f>IFERROR(INDEX('Data Lokasi'!S:S,MATCH('Input Real Tanam&amp;Petik Nanas'!C579,'Data Lokasi'!C:C,0)),"")</f>
        <v>45071</v>
      </c>
      <c r="O579" s="278"/>
      <c r="P579" s="283">
        <f>IFERROR(INDEX('Data Lokasi'!V:V,MATCH(C579,'Data Lokasi'!C:C,0)),"")</f>
        <v>0</v>
      </c>
      <c r="Q579" s="304">
        <f t="shared" si="25"/>
        <v>0</v>
      </c>
      <c r="R579" s="308"/>
    </row>
    <row r="580" spans="2:18" ht="15" hidden="1" thickTop="1">
      <c r="B580" s="269">
        <v>46218</v>
      </c>
      <c r="C580" s="268" t="s">
        <v>636</v>
      </c>
      <c r="D580" s="274">
        <f>IFERROR(VLOOKUP(C580,'Data Lokasi'!C:D,2,0),"")</f>
        <v>6</v>
      </c>
      <c r="E580" s="274" t="s">
        <v>2642</v>
      </c>
      <c r="F580" s="274"/>
      <c r="G580" s="274"/>
      <c r="H580" s="274"/>
      <c r="I580" s="274">
        <v>1.1100000000000001</v>
      </c>
      <c r="J580" s="456">
        <f t="shared" si="24"/>
        <v>1.1100000000000001</v>
      </c>
      <c r="K580" s="583"/>
      <c r="L580" s="268" t="s">
        <v>2625</v>
      </c>
      <c r="M580" s="268" t="s">
        <v>2631</v>
      </c>
      <c r="N580" s="278">
        <f>IFERROR(INDEX('Data Lokasi'!S:S,MATCH('Input Real Tanam&amp;Petik Nanas'!C580,'Data Lokasi'!C:C,0)),"")</f>
        <v>44915</v>
      </c>
      <c r="O580" s="278"/>
      <c r="P580" s="283">
        <f>IFERROR(INDEX('Data Lokasi'!V:V,MATCH(C580,'Data Lokasi'!C:C,0)),"")</f>
        <v>0</v>
      </c>
      <c r="Q580" s="304">
        <f t="shared" si="25"/>
        <v>0</v>
      </c>
      <c r="R580" s="308"/>
    </row>
    <row r="581" spans="2:18" ht="15" hidden="1" thickTop="1">
      <c r="B581" s="269">
        <v>46218</v>
      </c>
      <c r="C581" s="268" t="s">
        <v>688</v>
      </c>
      <c r="D581" s="274">
        <f>IFERROR(VLOOKUP(C581,'Data Lokasi'!C:D,2,0),"")</f>
        <v>7.73</v>
      </c>
      <c r="E581" s="274" t="s">
        <v>2642</v>
      </c>
      <c r="F581" s="274"/>
      <c r="G581" s="274"/>
      <c r="H581" s="274"/>
      <c r="I581" s="274">
        <v>0.19</v>
      </c>
      <c r="J581" s="456">
        <f t="shared" si="24"/>
        <v>0.19</v>
      </c>
      <c r="K581" s="583"/>
      <c r="L581" s="268" t="s">
        <v>2625</v>
      </c>
      <c r="M581" s="268" t="s">
        <v>2631</v>
      </c>
      <c r="N581" s="278">
        <f>IFERROR(INDEX('Data Lokasi'!S:S,MATCH('Input Real Tanam&amp;Petik Nanas'!C581,'Data Lokasi'!C:C,0)),"")</f>
        <v>45119</v>
      </c>
      <c r="O581" s="278"/>
      <c r="P581" s="283">
        <f>IFERROR(INDEX('Data Lokasi'!V:V,MATCH(C581,'Data Lokasi'!C:C,0)),"")</f>
        <v>0</v>
      </c>
      <c r="Q581" s="304">
        <f t="shared" si="25"/>
        <v>0</v>
      </c>
      <c r="R581" s="308"/>
    </row>
    <row r="582" spans="2:18" ht="15" hidden="1" thickTop="1">
      <c r="B582" s="269">
        <v>46218</v>
      </c>
      <c r="C582" s="268" t="s">
        <v>685</v>
      </c>
      <c r="D582" s="274">
        <f>IFERROR(VLOOKUP(C582,'Data Lokasi'!C:D,2,0),"")</f>
        <v>5.82</v>
      </c>
      <c r="E582" s="274" t="s">
        <v>2642</v>
      </c>
      <c r="F582" s="274"/>
      <c r="G582" s="274"/>
      <c r="H582" s="274"/>
      <c r="I582" s="274">
        <v>0.22</v>
      </c>
      <c r="J582" s="456">
        <f t="shared" si="24"/>
        <v>0.22</v>
      </c>
      <c r="K582" s="583"/>
      <c r="L582" s="268" t="s">
        <v>2625</v>
      </c>
      <c r="M582" s="268" t="s">
        <v>2631</v>
      </c>
      <c r="N582" s="278">
        <f>IFERROR(INDEX('Data Lokasi'!S:S,MATCH('Input Real Tanam&amp;Petik Nanas'!C582,'Data Lokasi'!C:C,0)),"")</f>
        <v>45117</v>
      </c>
      <c r="O582" s="278"/>
      <c r="P582" s="283">
        <f>IFERROR(INDEX('Data Lokasi'!V:V,MATCH(C582,'Data Lokasi'!C:C,0)),"")</f>
        <v>0</v>
      </c>
      <c r="Q582" s="304">
        <f t="shared" si="25"/>
        <v>0</v>
      </c>
      <c r="R582" s="308"/>
    </row>
    <row r="583" spans="2:18" ht="15" hidden="1" thickTop="1">
      <c r="B583" s="269">
        <v>46218</v>
      </c>
      <c r="C583" s="268" t="s">
        <v>286</v>
      </c>
      <c r="D583" s="274">
        <f>IFERROR(VLOOKUP(C583,'Data Lokasi'!C:D,2,0),"")</f>
        <v>8.33</v>
      </c>
      <c r="E583" s="274" t="s">
        <v>2642</v>
      </c>
      <c r="F583" s="274"/>
      <c r="G583" s="274"/>
      <c r="H583" s="274"/>
      <c r="I583" s="274">
        <v>0.24</v>
      </c>
      <c r="J583" s="456">
        <f t="shared" si="24"/>
        <v>0.24</v>
      </c>
      <c r="K583" s="583"/>
      <c r="L583" s="268" t="s">
        <v>2625</v>
      </c>
      <c r="M583" s="268" t="s">
        <v>2631</v>
      </c>
      <c r="N583" s="278">
        <f>IFERROR(INDEX('Data Lokasi'!S:S,MATCH('Input Real Tanam&amp;Petik Nanas'!C583,'Data Lokasi'!C:C,0)),"")</f>
        <v>44125</v>
      </c>
      <c r="O583" s="278"/>
      <c r="P583" s="283">
        <f>IFERROR(INDEX('Data Lokasi'!V:V,MATCH(C583,'Data Lokasi'!C:C,0)),"")</f>
        <v>0</v>
      </c>
      <c r="Q583" s="304">
        <f t="shared" si="25"/>
        <v>0</v>
      </c>
      <c r="R583" s="308"/>
    </row>
    <row r="584" spans="2:18" ht="15" hidden="1" thickTop="1">
      <c r="B584" s="269">
        <v>46218</v>
      </c>
      <c r="C584" s="268" t="s">
        <v>465</v>
      </c>
      <c r="D584" s="274">
        <f>IFERROR(VLOOKUP(C584,'Data Lokasi'!C:D,2,0),"")</f>
        <v>11.63</v>
      </c>
      <c r="E584" s="274" t="s">
        <v>2643</v>
      </c>
      <c r="F584" s="274"/>
      <c r="G584" s="274">
        <v>0.03</v>
      </c>
      <c r="H584" s="274">
        <f>0.06+0.04</f>
        <v>0.1</v>
      </c>
      <c r="I584" s="274"/>
      <c r="J584" s="456">
        <f t="shared" si="24"/>
        <v>0.13</v>
      </c>
      <c r="K584" s="583"/>
      <c r="L584" s="268" t="s">
        <v>719</v>
      </c>
      <c r="M584" s="268" t="s">
        <v>2631</v>
      </c>
      <c r="N584" s="278">
        <f>IFERROR(INDEX('Data Lokasi'!S:S,MATCH('Input Real Tanam&amp;Petik Nanas'!C584,'Data Lokasi'!C:C,0)),"")</f>
        <v>44477</v>
      </c>
      <c r="O584" s="278"/>
      <c r="P584" s="283">
        <f>IFERROR(INDEX('Data Lokasi'!V:V,MATCH(C584,'Data Lokasi'!C:C,0)),"")</f>
        <v>0</v>
      </c>
      <c r="Q584" s="304">
        <f t="shared" si="25"/>
        <v>0</v>
      </c>
      <c r="R584" s="308">
        <v>2</v>
      </c>
    </row>
    <row r="585" spans="2:18" ht="15" hidden="1" thickTop="1">
      <c r="B585" s="269">
        <v>46218</v>
      </c>
      <c r="C585" s="268" t="s">
        <v>320</v>
      </c>
      <c r="D585" s="274">
        <f>IFERROR(VLOOKUP(C585,'Data Lokasi'!C:D,2,0),"")</f>
        <v>9.0299999999999994</v>
      </c>
      <c r="E585" s="274" t="s">
        <v>2642</v>
      </c>
      <c r="F585" s="274"/>
      <c r="G585" s="274"/>
      <c r="H585" s="274">
        <f>0.6+0.45</f>
        <v>1.05</v>
      </c>
      <c r="I585" s="274"/>
      <c r="J585" s="456">
        <f t="shared" si="24"/>
        <v>1.05</v>
      </c>
      <c r="K585" s="583"/>
      <c r="L585" s="268" t="s">
        <v>719</v>
      </c>
      <c r="M585" s="268" t="s">
        <v>2634</v>
      </c>
      <c r="N585" s="278">
        <f>IFERROR(INDEX('Data Lokasi'!S:S,MATCH('Input Real Tanam&amp;Petik Nanas'!C585,'Data Lokasi'!C:C,0)),"")</f>
        <v>44216</v>
      </c>
      <c r="O585" s="278"/>
      <c r="P585" s="283">
        <f>IFERROR(INDEX('Data Lokasi'!V:V,MATCH(C585,'Data Lokasi'!C:C,0)),"")</f>
        <v>0</v>
      </c>
      <c r="Q585" s="304">
        <f t="shared" si="25"/>
        <v>0</v>
      </c>
      <c r="R585" s="308"/>
    </row>
    <row r="586" spans="2:18" ht="15" hidden="1" thickTop="1">
      <c r="B586" s="269">
        <v>46218</v>
      </c>
      <c r="C586" s="268" t="s">
        <v>659</v>
      </c>
      <c r="D586" s="274">
        <f>IFERROR(VLOOKUP(C586,'Data Lokasi'!C:D,2,0),"")</f>
        <v>5.7</v>
      </c>
      <c r="E586" s="274" t="s">
        <v>2642</v>
      </c>
      <c r="F586" s="274"/>
      <c r="G586" s="274"/>
      <c r="H586" s="274"/>
      <c r="I586" s="274">
        <v>1.44</v>
      </c>
      <c r="J586" s="456">
        <f t="shared" si="24"/>
        <v>1.44</v>
      </c>
      <c r="K586" s="583"/>
      <c r="L586" s="268" t="s">
        <v>2625</v>
      </c>
      <c r="M586" s="268" t="s">
        <v>2634</v>
      </c>
      <c r="N586" s="278">
        <f>IFERROR(INDEX('Data Lokasi'!S:S,MATCH('Input Real Tanam&amp;Petik Nanas'!C586,'Data Lokasi'!C:C,0)),"")</f>
        <v>45010</v>
      </c>
      <c r="O586" s="278"/>
      <c r="P586" s="283">
        <f>IFERROR(INDEX('Data Lokasi'!V:V,MATCH(C586,'Data Lokasi'!C:C,0)),"")</f>
        <v>0</v>
      </c>
      <c r="Q586" s="304">
        <f t="shared" si="25"/>
        <v>0</v>
      </c>
      <c r="R586" s="308"/>
    </row>
    <row r="587" spans="2:18" ht="15" hidden="1" thickTop="1">
      <c r="B587" s="269">
        <v>46218</v>
      </c>
      <c r="C587" s="268" t="s">
        <v>657</v>
      </c>
      <c r="D587" s="274">
        <f>IFERROR(VLOOKUP(C587,'Data Lokasi'!C:D,2,0),"")</f>
        <v>7.73</v>
      </c>
      <c r="E587" s="274" t="s">
        <v>2642</v>
      </c>
      <c r="F587" s="274"/>
      <c r="G587" s="274"/>
      <c r="H587" s="274"/>
      <c r="I587" s="274">
        <v>0.55000000000000004</v>
      </c>
      <c r="J587" s="456">
        <f t="shared" si="24"/>
        <v>0.55000000000000004</v>
      </c>
      <c r="K587" s="583"/>
      <c r="L587" s="268" t="s">
        <v>2625</v>
      </c>
      <c r="M587" s="268" t="s">
        <v>2634</v>
      </c>
      <c r="N587" s="278">
        <f>IFERROR(INDEX('Data Lokasi'!S:S,MATCH('Input Real Tanam&amp;Petik Nanas'!C587,'Data Lokasi'!C:C,0)),"")</f>
        <v>45003</v>
      </c>
      <c r="O587" s="278"/>
      <c r="P587" s="283">
        <f>IFERROR(INDEX('Data Lokasi'!V:V,MATCH(C587,'Data Lokasi'!C:C,0)),"")</f>
        <v>0</v>
      </c>
      <c r="Q587" s="304">
        <f t="shared" si="25"/>
        <v>0</v>
      </c>
      <c r="R587" s="308"/>
    </row>
    <row r="588" spans="2:18" ht="15" hidden="1" thickTop="1">
      <c r="B588" s="269">
        <v>46218</v>
      </c>
      <c r="C588" s="268" t="s">
        <v>2663</v>
      </c>
      <c r="D588" s="274">
        <f>IFERROR(VLOOKUP(C588,'Data Lokasi'!C:D,2,0),"")</f>
        <v>7.48</v>
      </c>
      <c r="E588" s="274" t="s">
        <v>2642</v>
      </c>
      <c r="F588" s="274"/>
      <c r="G588" s="274"/>
      <c r="H588" s="274"/>
      <c r="I588" s="274">
        <v>0.08</v>
      </c>
      <c r="J588" s="456">
        <f t="shared" si="24"/>
        <v>0.08</v>
      </c>
      <c r="K588" s="583"/>
      <c r="L588" s="268" t="s">
        <v>2625</v>
      </c>
      <c r="M588" s="268" t="s">
        <v>2634</v>
      </c>
      <c r="N588" s="278">
        <f>IFERROR(INDEX('Data Lokasi'!S:S,MATCH('Input Real Tanam&amp;Petik Nanas'!C588,'Data Lokasi'!C:C,0)),"")</f>
        <v>46206</v>
      </c>
      <c r="O588" s="278"/>
      <c r="P588" s="283">
        <f>IFERROR(INDEX('Data Lokasi'!V:V,MATCH(C588,'Data Lokasi'!C:C,0)),"")</f>
        <v>0</v>
      </c>
      <c r="Q588" s="304">
        <f t="shared" si="25"/>
        <v>0</v>
      </c>
      <c r="R588" s="308"/>
    </row>
    <row r="589" spans="2:18" ht="15" hidden="1" thickTop="1">
      <c r="B589" s="269">
        <v>46218</v>
      </c>
      <c r="C589" s="268" t="s">
        <v>2662</v>
      </c>
      <c r="D589" s="274">
        <f>IFERROR(VLOOKUP(C589,'Data Lokasi'!C:D,2,0),"")</f>
        <v>5.64</v>
      </c>
      <c r="E589" s="274" t="s">
        <v>2642</v>
      </c>
      <c r="F589" s="274"/>
      <c r="G589" s="274"/>
      <c r="H589" s="274"/>
      <c r="I589" s="274">
        <v>0.05</v>
      </c>
      <c r="J589" s="456">
        <f t="shared" si="24"/>
        <v>0.05</v>
      </c>
      <c r="K589" s="583"/>
      <c r="L589" s="268" t="s">
        <v>2625</v>
      </c>
      <c r="M589" s="268" t="s">
        <v>2634</v>
      </c>
      <c r="N589" s="278">
        <f>IFERROR(INDEX('Data Lokasi'!S:S,MATCH('Input Real Tanam&amp;Petik Nanas'!C589,'Data Lokasi'!C:C,0)),"")</f>
        <v>46204</v>
      </c>
      <c r="O589" s="278"/>
      <c r="P589" s="283">
        <f>IFERROR(INDEX('Data Lokasi'!V:V,MATCH(C589,'Data Lokasi'!C:C,0)),"")</f>
        <v>0</v>
      </c>
      <c r="Q589" s="304">
        <f t="shared" si="25"/>
        <v>0</v>
      </c>
      <c r="R589" s="308"/>
    </row>
    <row r="590" spans="2:18" ht="15" hidden="1" thickTop="1">
      <c r="B590" s="269">
        <v>46218</v>
      </c>
      <c r="C590" s="268" t="s">
        <v>706</v>
      </c>
      <c r="D590" s="274">
        <f>IFERROR(VLOOKUP(C590,'Data Lokasi'!C:D,2,0),"")</f>
        <v>5.44</v>
      </c>
      <c r="E590" s="274" t="s">
        <v>2642</v>
      </c>
      <c r="F590" s="274"/>
      <c r="G590" s="274"/>
      <c r="H590" s="274"/>
      <c r="I590" s="274">
        <v>0.04</v>
      </c>
      <c r="J590" s="456">
        <f t="shared" si="24"/>
        <v>0.04</v>
      </c>
      <c r="K590" s="583"/>
      <c r="L590" s="268" t="s">
        <v>2625</v>
      </c>
      <c r="M590" s="268" t="s">
        <v>2634</v>
      </c>
      <c r="N590" s="278">
        <f>IFERROR(INDEX('Data Lokasi'!S:S,MATCH('Input Real Tanam&amp;Petik Nanas'!C590,'Data Lokasi'!C:C,0)),"")</f>
        <v>45205</v>
      </c>
      <c r="O590" s="278"/>
      <c r="P590" s="283">
        <f>IFERROR(INDEX('Data Lokasi'!V:V,MATCH(C590,'Data Lokasi'!C:C,0)),"")</f>
        <v>0</v>
      </c>
      <c r="Q590" s="304">
        <f t="shared" si="25"/>
        <v>0</v>
      </c>
      <c r="R590" s="308"/>
    </row>
    <row r="591" spans="2:18" ht="15" hidden="1" thickTop="1">
      <c r="B591" s="269">
        <v>46218</v>
      </c>
      <c r="C591" s="268" t="s">
        <v>550</v>
      </c>
      <c r="D591" s="274">
        <f>IFERROR(VLOOKUP(C591,'Data Lokasi'!C:D,2,0),"")</f>
        <v>5.83</v>
      </c>
      <c r="E591" s="274" t="s">
        <v>2643</v>
      </c>
      <c r="F591" s="274"/>
      <c r="G591" s="274"/>
      <c r="H591" s="274"/>
      <c r="I591" s="274">
        <v>0.45</v>
      </c>
      <c r="J591" s="456">
        <f t="shared" si="24"/>
        <v>0.45</v>
      </c>
      <c r="K591" s="583"/>
      <c r="L591" s="268" t="s">
        <v>2625</v>
      </c>
      <c r="M591" s="268" t="s">
        <v>2631</v>
      </c>
      <c r="N591" s="278">
        <f>IFERROR(INDEX('Data Lokasi'!S:S,MATCH('Input Real Tanam&amp;Petik Nanas'!C591,'Data Lokasi'!C:C,0)),"")</f>
        <v>44674</v>
      </c>
      <c r="O591" s="278"/>
      <c r="P591" s="283">
        <f>IFERROR(INDEX('Data Lokasi'!V:V,MATCH(C591,'Data Lokasi'!C:C,0)),"")</f>
        <v>0</v>
      </c>
      <c r="Q591" s="304">
        <f t="shared" si="25"/>
        <v>0</v>
      </c>
      <c r="R591" s="308"/>
    </row>
    <row r="592" spans="2:18" ht="15" hidden="1" thickTop="1">
      <c r="B592" s="269">
        <v>46218</v>
      </c>
      <c r="C592" s="268" t="s">
        <v>53</v>
      </c>
      <c r="D592" s="274">
        <f>IFERROR(VLOOKUP(C592,'Data Lokasi'!C:D,2,0),"")</f>
        <v>5.57</v>
      </c>
      <c r="E592" s="274" t="s">
        <v>2643</v>
      </c>
      <c r="F592" s="274"/>
      <c r="G592" s="274"/>
      <c r="H592" s="274"/>
      <c r="I592" s="274">
        <v>2.1</v>
      </c>
      <c r="J592" s="456">
        <f t="shared" si="24"/>
        <v>2.1</v>
      </c>
      <c r="K592" s="583"/>
      <c r="L592" s="268" t="s">
        <v>2625</v>
      </c>
      <c r="M592" s="268" t="s">
        <v>2631</v>
      </c>
      <c r="N592" s="278">
        <f>IFERROR(INDEX('Data Lokasi'!S:S,MATCH('Input Real Tanam&amp;Petik Nanas'!C592,'Data Lokasi'!C:C,0)),"")</f>
        <v>44723</v>
      </c>
      <c r="O592" s="278"/>
      <c r="P592" s="283">
        <f>IFERROR(INDEX('Data Lokasi'!V:V,MATCH(C592,'Data Lokasi'!C:C,0)),"")</f>
        <v>0</v>
      </c>
      <c r="Q592" s="304">
        <f t="shared" si="25"/>
        <v>0</v>
      </c>
      <c r="R592" s="308"/>
    </row>
    <row r="593" spans="2:18" ht="15" hidden="1" thickTop="1">
      <c r="B593" s="269">
        <v>46219</v>
      </c>
      <c r="C593" s="317" t="s">
        <v>2545</v>
      </c>
      <c r="D593" s="274">
        <f>IFERROR(VLOOKUP(C593,'Data Lokasi'!C:D,2,0),"")</f>
        <v>10.91</v>
      </c>
      <c r="E593" s="274" t="s">
        <v>2643</v>
      </c>
      <c r="F593" s="274"/>
      <c r="G593" s="274"/>
      <c r="H593" s="274"/>
      <c r="I593" s="274">
        <v>4.33</v>
      </c>
      <c r="J593" s="456">
        <f t="shared" si="24"/>
        <v>4.33</v>
      </c>
      <c r="K593" s="583"/>
      <c r="L593" s="268" t="s">
        <v>2625</v>
      </c>
      <c r="M593" s="268" t="s">
        <v>2631</v>
      </c>
      <c r="N593" s="278">
        <f>IFERROR(INDEX('Data Lokasi'!S:S,MATCH('Input Real Tanam&amp;Petik Nanas'!C593,'Data Lokasi'!C:C,0)),"")</f>
        <v>45644</v>
      </c>
      <c r="O593" s="278"/>
      <c r="P593" s="283">
        <f>IFERROR(INDEX('Data Lokasi'!V:V,MATCH(C593,'Data Lokasi'!C:C,0)),"")</f>
        <v>0</v>
      </c>
      <c r="Q593" s="304">
        <f t="shared" si="25"/>
        <v>0</v>
      </c>
      <c r="R593" s="308"/>
    </row>
    <row r="594" spans="2:18" ht="15" hidden="1" thickTop="1">
      <c r="B594" s="269">
        <v>46219</v>
      </c>
      <c r="C594" s="268" t="s">
        <v>478</v>
      </c>
      <c r="D594" s="274">
        <f>IFERROR(VLOOKUP(C594,'Data Lokasi'!C:D,2,0),"")</f>
        <v>6.8</v>
      </c>
      <c r="E594" s="274" t="s">
        <v>2643</v>
      </c>
      <c r="F594" s="274"/>
      <c r="G594" s="274">
        <f>0.08+0.08</f>
        <v>0.16</v>
      </c>
      <c r="H594" s="274">
        <f>0.17+0.25</f>
        <v>0.42000000000000004</v>
      </c>
      <c r="I594" s="274"/>
      <c r="J594" s="456">
        <f t="shared" si="24"/>
        <v>0.58000000000000007</v>
      </c>
      <c r="K594" s="583"/>
      <c r="L594" s="268" t="s">
        <v>719</v>
      </c>
      <c r="M594" s="268" t="s">
        <v>2634</v>
      </c>
      <c r="N594" s="278">
        <f>IFERROR(INDEX('Data Lokasi'!S:S,MATCH('Input Real Tanam&amp;Petik Nanas'!C594,'Data Lokasi'!C:C,0)),"")</f>
        <v>44517</v>
      </c>
      <c r="O594" s="278"/>
      <c r="P594" s="283">
        <f>IFERROR(INDEX('Data Lokasi'!V:V,MATCH(C594,'Data Lokasi'!C:C,0)),"")</f>
        <v>0</v>
      </c>
      <c r="Q594" s="304">
        <f t="shared" si="25"/>
        <v>0</v>
      </c>
      <c r="R594" s="308">
        <v>5</v>
      </c>
    </row>
    <row r="595" spans="2:18" ht="15" hidden="1" thickTop="1">
      <c r="B595" s="269">
        <v>46219</v>
      </c>
      <c r="C595" s="268" t="s">
        <v>545</v>
      </c>
      <c r="D595" s="274">
        <f>IFERROR(VLOOKUP(C595,'Data Lokasi'!C:D,2,0),"")</f>
        <v>5.92</v>
      </c>
      <c r="E595" s="274" t="s">
        <v>2643</v>
      </c>
      <c r="F595" s="274"/>
      <c r="G595" s="274"/>
      <c r="H595" s="274"/>
      <c r="I595" s="274">
        <v>1.54</v>
      </c>
      <c r="J595" s="456">
        <f t="shared" si="24"/>
        <v>1.54</v>
      </c>
      <c r="K595" s="583"/>
      <c r="L595" s="268" t="s">
        <v>2625</v>
      </c>
      <c r="M595" s="268" t="s">
        <v>2634</v>
      </c>
      <c r="N595" s="278">
        <f>IFERROR(INDEX('Data Lokasi'!S:S,MATCH('Input Real Tanam&amp;Petik Nanas'!C595,'Data Lokasi'!C:C,0)),"")</f>
        <v>44648</v>
      </c>
      <c r="O595" s="278"/>
      <c r="P595" s="283">
        <f>IFERROR(INDEX('Data Lokasi'!V:V,MATCH(C595,'Data Lokasi'!C:C,0)),"")</f>
        <v>0</v>
      </c>
      <c r="Q595" s="304">
        <f t="shared" si="25"/>
        <v>0</v>
      </c>
      <c r="R595" s="308"/>
    </row>
    <row r="596" spans="2:18" ht="15" hidden="1" thickTop="1">
      <c r="B596" s="269">
        <v>46219</v>
      </c>
      <c r="C596" s="268" t="s">
        <v>320</v>
      </c>
      <c r="D596" s="274">
        <f>IFERROR(VLOOKUP(C596,'Data Lokasi'!C:D,2,0),"")</f>
        <v>9.0299999999999994</v>
      </c>
      <c r="E596" s="274" t="s">
        <v>2642</v>
      </c>
      <c r="F596" s="274"/>
      <c r="G596" s="274"/>
      <c r="H596" s="274">
        <v>0.4</v>
      </c>
      <c r="I596" s="274"/>
      <c r="J596" s="456">
        <f t="shared" si="24"/>
        <v>0.4</v>
      </c>
      <c r="K596" s="583"/>
      <c r="L596" s="268" t="s">
        <v>719</v>
      </c>
      <c r="M596" s="268" t="s">
        <v>2634</v>
      </c>
      <c r="N596" s="278">
        <f>IFERROR(INDEX('Data Lokasi'!S:S,MATCH('Input Real Tanam&amp;Petik Nanas'!C596,'Data Lokasi'!C:C,0)),"")</f>
        <v>44216</v>
      </c>
      <c r="O596" s="278"/>
      <c r="P596" s="283">
        <f>IFERROR(INDEX('Data Lokasi'!V:V,MATCH(C596,'Data Lokasi'!C:C,0)),"")</f>
        <v>0</v>
      </c>
      <c r="Q596" s="304">
        <f t="shared" si="25"/>
        <v>0</v>
      </c>
      <c r="R596" s="308"/>
    </row>
    <row r="597" spans="2:18" ht="15" hidden="1" thickTop="1">
      <c r="B597" s="269">
        <v>46219</v>
      </c>
      <c r="C597" s="268" t="s">
        <v>659</v>
      </c>
      <c r="D597" s="274">
        <f>IFERROR(VLOOKUP(C597,'Data Lokasi'!C:D,2,0),"")</f>
        <v>5.7</v>
      </c>
      <c r="E597" s="274" t="s">
        <v>2642</v>
      </c>
      <c r="F597" s="274"/>
      <c r="G597" s="274"/>
      <c r="H597" s="274"/>
      <c r="I597" s="274">
        <v>1.1499999999999999</v>
      </c>
      <c r="J597" s="456">
        <f t="shared" si="24"/>
        <v>1.1499999999999999</v>
      </c>
      <c r="K597" s="583"/>
      <c r="L597" s="268" t="s">
        <v>2625</v>
      </c>
      <c r="M597" s="268" t="s">
        <v>2634</v>
      </c>
      <c r="N597" s="278">
        <f>IFERROR(INDEX('Data Lokasi'!S:S,MATCH('Input Real Tanam&amp;Petik Nanas'!C597,'Data Lokasi'!C:C,0)),"")</f>
        <v>45010</v>
      </c>
      <c r="O597" s="278"/>
      <c r="P597" s="283">
        <f>IFERROR(INDEX('Data Lokasi'!V:V,MATCH(C597,'Data Lokasi'!C:C,0)),"")</f>
        <v>0</v>
      </c>
      <c r="Q597" s="304">
        <f t="shared" si="25"/>
        <v>0</v>
      </c>
      <c r="R597" s="308"/>
    </row>
    <row r="598" spans="2:18" ht="15" hidden="1" thickTop="1">
      <c r="B598" s="269">
        <v>46219</v>
      </c>
      <c r="C598" s="268" t="s">
        <v>657</v>
      </c>
      <c r="D598" s="274">
        <f>IFERROR(VLOOKUP(C598,'Data Lokasi'!C:D,2,0),"")</f>
        <v>7.73</v>
      </c>
      <c r="E598" s="274" t="s">
        <v>2642</v>
      </c>
      <c r="F598" s="274"/>
      <c r="G598" s="274"/>
      <c r="H598" s="274"/>
      <c r="I598" s="274">
        <v>0.41</v>
      </c>
      <c r="J598" s="456">
        <f t="shared" si="24"/>
        <v>0.41</v>
      </c>
      <c r="K598" s="583"/>
      <c r="L598" s="268" t="s">
        <v>2625</v>
      </c>
      <c r="M598" s="268" t="s">
        <v>2634</v>
      </c>
      <c r="N598" s="278">
        <f>IFERROR(INDEX('Data Lokasi'!S:S,MATCH('Input Real Tanam&amp;Petik Nanas'!C598,'Data Lokasi'!C:C,0)),"")</f>
        <v>45003</v>
      </c>
      <c r="O598" s="278"/>
      <c r="P598" s="283">
        <f>IFERROR(INDEX('Data Lokasi'!V:V,MATCH(C598,'Data Lokasi'!C:C,0)),"")</f>
        <v>0</v>
      </c>
      <c r="Q598" s="304">
        <f t="shared" si="25"/>
        <v>0</v>
      </c>
      <c r="R598" s="308"/>
    </row>
    <row r="599" spans="2:18" ht="15" hidden="1" thickTop="1">
      <c r="B599" s="269">
        <v>46219</v>
      </c>
      <c r="C599" s="268" t="s">
        <v>2663</v>
      </c>
      <c r="D599" s="274">
        <f>IFERROR(VLOOKUP(C599,'Data Lokasi'!C:D,2,0),"")</f>
        <v>7.48</v>
      </c>
      <c r="E599" s="274" t="s">
        <v>2642</v>
      </c>
      <c r="F599" s="274"/>
      <c r="G599" s="274"/>
      <c r="H599" s="274"/>
      <c r="I599" s="274">
        <v>0.08</v>
      </c>
      <c r="J599" s="456">
        <f t="shared" si="24"/>
        <v>0.08</v>
      </c>
      <c r="K599" s="583"/>
      <c r="L599" s="268" t="s">
        <v>2625</v>
      </c>
      <c r="M599" s="268" t="s">
        <v>2634</v>
      </c>
      <c r="N599" s="278">
        <f>IFERROR(INDEX('Data Lokasi'!S:S,MATCH('Input Real Tanam&amp;Petik Nanas'!C599,'Data Lokasi'!C:C,0)),"")</f>
        <v>46206</v>
      </c>
      <c r="O599" s="278"/>
      <c r="P599" s="283">
        <f>IFERROR(INDEX('Data Lokasi'!V:V,MATCH(C599,'Data Lokasi'!C:C,0)),"")</f>
        <v>0</v>
      </c>
      <c r="Q599" s="304">
        <f t="shared" si="25"/>
        <v>0</v>
      </c>
      <c r="R599" s="308"/>
    </row>
    <row r="600" spans="2:18" ht="15" hidden="1" thickTop="1">
      <c r="B600" s="269">
        <v>46219</v>
      </c>
      <c r="C600" s="268" t="s">
        <v>2662</v>
      </c>
      <c r="D600" s="274">
        <f>IFERROR(VLOOKUP(C600,'Data Lokasi'!C:D,2,0),"")</f>
        <v>5.64</v>
      </c>
      <c r="E600" s="274" t="s">
        <v>2642</v>
      </c>
      <c r="F600" s="274"/>
      <c r="G600" s="274"/>
      <c r="H600" s="274"/>
      <c r="I600" s="274">
        <v>0.03</v>
      </c>
      <c r="J600" s="456">
        <f t="shared" si="24"/>
        <v>0.03</v>
      </c>
      <c r="K600" s="583"/>
      <c r="L600" s="268" t="s">
        <v>2625</v>
      </c>
      <c r="M600" s="268" t="s">
        <v>2634</v>
      </c>
      <c r="N600" s="278">
        <f>IFERROR(INDEX('Data Lokasi'!S:S,MATCH('Input Real Tanam&amp;Petik Nanas'!C600,'Data Lokasi'!C:C,0)),"")</f>
        <v>46204</v>
      </c>
      <c r="O600" s="278"/>
      <c r="P600" s="283">
        <f>IFERROR(INDEX('Data Lokasi'!V:V,MATCH(C600,'Data Lokasi'!C:C,0)),"")</f>
        <v>0</v>
      </c>
      <c r="Q600" s="304">
        <f t="shared" si="25"/>
        <v>0</v>
      </c>
      <c r="R600" s="308"/>
    </row>
    <row r="601" spans="2:18" ht="15" hidden="1" thickTop="1">
      <c r="B601" s="269">
        <v>46219</v>
      </c>
      <c r="C601" s="268" t="s">
        <v>580</v>
      </c>
      <c r="D601" s="274">
        <f>IFERROR(VLOOKUP(C601,'Data Lokasi'!C:D,2,0),"")</f>
        <v>3.08</v>
      </c>
      <c r="E601" s="274" t="s">
        <v>2642</v>
      </c>
      <c r="F601" s="274"/>
      <c r="G601" s="274"/>
      <c r="H601" s="274"/>
      <c r="I601" s="274">
        <v>0.12</v>
      </c>
      <c r="J601" s="456">
        <f t="shared" si="24"/>
        <v>0.12</v>
      </c>
      <c r="K601" s="583"/>
      <c r="L601" s="268" t="s">
        <v>2625</v>
      </c>
      <c r="M601" s="268" t="s">
        <v>2634</v>
      </c>
      <c r="N601" s="278">
        <f>IFERROR(INDEX('Data Lokasi'!S:S,MATCH('Input Real Tanam&amp;Petik Nanas'!C601,'Data Lokasi'!C:C,0)),"")</f>
        <v>44781</v>
      </c>
      <c r="O601" s="278"/>
      <c r="P601" s="283">
        <f>IFERROR(INDEX('Data Lokasi'!V:V,MATCH(C601,'Data Lokasi'!C:C,0)),"")</f>
        <v>0</v>
      </c>
      <c r="Q601" s="304">
        <f t="shared" si="25"/>
        <v>0</v>
      </c>
      <c r="R601" s="308"/>
    </row>
    <row r="602" spans="2:18" ht="15" hidden="1" thickTop="1">
      <c r="B602" s="269">
        <v>46219</v>
      </c>
      <c r="C602" s="268" t="s">
        <v>623</v>
      </c>
      <c r="D602" s="274">
        <f>IFERROR(VLOOKUP(C602,'Data Lokasi'!C:D,2,0),"")</f>
        <v>4.07</v>
      </c>
      <c r="E602" s="274" t="s">
        <v>2642</v>
      </c>
      <c r="F602" s="274"/>
      <c r="G602" s="274"/>
      <c r="H602" s="274"/>
      <c r="I602" s="274">
        <v>0.08</v>
      </c>
      <c r="J602" s="456">
        <f t="shared" si="24"/>
        <v>0.08</v>
      </c>
      <c r="K602" s="583"/>
      <c r="L602" s="268" t="s">
        <v>2625</v>
      </c>
      <c r="M602" s="268" t="s">
        <v>2634</v>
      </c>
      <c r="N602" s="278">
        <f>IFERROR(INDEX('Data Lokasi'!S:S,MATCH('Input Real Tanam&amp;Petik Nanas'!C602,'Data Lokasi'!C:C,0)),"")</f>
        <v>44863</v>
      </c>
      <c r="O602" s="278"/>
      <c r="P602" s="283">
        <f>IFERROR(INDEX('Data Lokasi'!V:V,MATCH(C602,'Data Lokasi'!C:C,0)),"")</f>
        <v>0</v>
      </c>
      <c r="Q602" s="304">
        <f t="shared" si="25"/>
        <v>0</v>
      </c>
      <c r="R602" s="308"/>
    </row>
    <row r="603" spans="2:18" ht="15" hidden="1" thickTop="1">
      <c r="B603" s="269">
        <v>46219</v>
      </c>
      <c r="C603" s="268" t="s">
        <v>250</v>
      </c>
      <c r="D603" s="274">
        <f>IFERROR(VLOOKUP(C603,'Data Lokasi'!C:D,2,0),"")</f>
        <v>9.2799999999999994</v>
      </c>
      <c r="E603" s="274" t="s">
        <v>2642</v>
      </c>
      <c r="F603" s="274"/>
      <c r="G603" s="274"/>
      <c r="H603" s="274"/>
      <c r="I603" s="274">
        <v>0.1</v>
      </c>
      <c r="J603" s="456">
        <f t="shared" si="24"/>
        <v>0.1</v>
      </c>
      <c r="K603" s="583"/>
      <c r="L603" s="268" t="s">
        <v>2625</v>
      </c>
      <c r="M603" s="268" t="s">
        <v>2634</v>
      </c>
      <c r="N603" s="278">
        <f>IFERROR(INDEX('Data Lokasi'!S:S,MATCH('Input Real Tanam&amp;Petik Nanas'!C603,'Data Lokasi'!C:C,0)),"")</f>
        <v>44064</v>
      </c>
      <c r="O603" s="278"/>
      <c r="P603" s="283">
        <f>IFERROR(INDEX('Data Lokasi'!V:V,MATCH(C603,'Data Lokasi'!C:C,0)),"")</f>
        <v>0</v>
      </c>
      <c r="Q603" s="304">
        <f t="shared" si="25"/>
        <v>0</v>
      </c>
      <c r="R603" s="308"/>
    </row>
    <row r="604" spans="2:18" ht="15" hidden="1" thickTop="1">
      <c r="B604" s="269">
        <v>46219</v>
      </c>
      <c r="C604" s="268" t="s">
        <v>687</v>
      </c>
      <c r="D604" s="274">
        <f>IFERROR(VLOOKUP(C604,'Data Lokasi'!C:D,2,0),"")</f>
        <v>10.58</v>
      </c>
      <c r="E604" s="274" t="s">
        <v>2642</v>
      </c>
      <c r="F604" s="274"/>
      <c r="G604" s="274"/>
      <c r="H604" s="274">
        <v>0.45</v>
      </c>
      <c r="I604" s="274"/>
      <c r="J604" s="456">
        <f t="shared" si="24"/>
        <v>0.45</v>
      </c>
      <c r="K604" s="583"/>
      <c r="L604" s="268" t="s">
        <v>719</v>
      </c>
      <c r="M604" s="268" t="s">
        <v>2634</v>
      </c>
      <c r="N604" s="278">
        <f>IFERROR(INDEX('Data Lokasi'!S:S,MATCH('Input Real Tanam&amp;Petik Nanas'!C604,'Data Lokasi'!C:C,0)),"")</f>
        <v>45105</v>
      </c>
      <c r="O604" s="278"/>
      <c r="P604" s="283">
        <f>IFERROR(INDEX('Data Lokasi'!V:V,MATCH(C604,'Data Lokasi'!C:C,0)),"")</f>
        <v>0</v>
      </c>
      <c r="Q604" s="304">
        <f t="shared" si="25"/>
        <v>0</v>
      </c>
      <c r="R604" s="308"/>
    </row>
    <row r="605" spans="2:18" ht="15" hidden="1" thickTop="1">
      <c r="B605" s="269">
        <v>46219</v>
      </c>
      <c r="C605" s="268" t="s">
        <v>465</v>
      </c>
      <c r="D605" s="274">
        <f>IFERROR(VLOOKUP(C605,'Data Lokasi'!C:D,2,0),"")</f>
        <v>11.63</v>
      </c>
      <c r="E605" s="274" t="s">
        <v>2643</v>
      </c>
      <c r="F605" s="274"/>
      <c r="G605" s="274">
        <f>0.01+0.03</f>
        <v>0.04</v>
      </c>
      <c r="H605" s="274">
        <f>0.05+0.05</f>
        <v>0.1</v>
      </c>
      <c r="I605" s="274"/>
      <c r="J605" s="456">
        <f t="shared" si="24"/>
        <v>0.14000000000000001</v>
      </c>
      <c r="K605" s="583"/>
      <c r="L605" s="268" t="s">
        <v>719</v>
      </c>
      <c r="M605" s="268" t="s">
        <v>2631</v>
      </c>
      <c r="N605" s="278">
        <f>IFERROR(INDEX('Data Lokasi'!S:S,MATCH('Input Real Tanam&amp;Petik Nanas'!C605,'Data Lokasi'!C:C,0)),"")</f>
        <v>44477</v>
      </c>
      <c r="O605" s="278"/>
      <c r="P605" s="283">
        <f>IFERROR(INDEX('Data Lokasi'!V:V,MATCH(C605,'Data Lokasi'!C:C,0)),"")</f>
        <v>0</v>
      </c>
      <c r="Q605" s="304">
        <f t="shared" si="25"/>
        <v>0</v>
      </c>
      <c r="R605" s="308">
        <v>2</v>
      </c>
    </row>
    <row r="606" spans="2:18" ht="15" hidden="1" thickTop="1">
      <c r="B606" s="269">
        <v>46219</v>
      </c>
      <c r="C606" s="268" t="s">
        <v>636</v>
      </c>
      <c r="D606" s="274">
        <f>IFERROR(VLOOKUP(C606,'Data Lokasi'!C:D,2,0),"")</f>
        <v>6</v>
      </c>
      <c r="E606" s="274" t="s">
        <v>2642</v>
      </c>
      <c r="F606" s="274"/>
      <c r="G606" s="274"/>
      <c r="H606" s="274"/>
      <c r="I606" s="274">
        <v>1.43</v>
      </c>
      <c r="J606" s="456">
        <f t="shared" si="24"/>
        <v>1.43</v>
      </c>
      <c r="K606" s="583"/>
      <c r="L606" s="268" t="s">
        <v>2625</v>
      </c>
      <c r="M606" s="268" t="s">
        <v>2631</v>
      </c>
      <c r="N606" s="278">
        <f>IFERROR(INDEX('Data Lokasi'!S:S,MATCH('Input Real Tanam&amp;Petik Nanas'!C606,'Data Lokasi'!C:C,0)),"")</f>
        <v>44915</v>
      </c>
      <c r="O606" s="278"/>
      <c r="P606" s="283">
        <f>IFERROR(INDEX('Data Lokasi'!V:V,MATCH(C606,'Data Lokasi'!C:C,0)),"")</f>
        <v>0</v>
      </c>
      <c r="Q606" s="304">
        <f t="shared" si="25"/>
        <v>0</v>
      </c>
      <c r="R606" s="308"/>
    </row>
    <row r="607" spans="2:18" ht="15" hidden="1" thickTop="1">
      <c r="B607" s="269">
        <v>46219</v>
      </c>
      <c r="C607" s="268" t="s">
        <v>681</v>
      </c>
      <c r="D607" s="274">
        <f>IFERROR(VLOOKUP(C607,'Data Lokasi'!C:D,2,0),"")</f>
        <v>6.35</v>
      </c>
      <c r="E607" s="274" t="s">
        <v>2642</v>
      </c>
      <c r="F607" s="274"/>
      <c r="G607" s="274"/>
      <c r="H607" s="274"/>
      <c r="I607" s="274">
        <v>0.35</v>
      </c>
      <c r="J607" s="456">
        <f t="shared" si="24"/>
        <v>0.35</v>
      </c>
      <c r="K607" s="583"/>
      <c r="L607" s="268" t="s">
        <v>2625</v>
      </c>
      <c r="M607" s="268" t="s">
        <v>2631</v>
      </c>
      <c r="N607" s="278">
        <f>IFERROR(INDEX('Data Lokasi'!S:S,MATCH('Input Real Tanam&amp;Petik Nanas'!C607,'Data Lokasi'!C:C,0)),"")</f>
        <v>45097</v>
      </c>
      <c r="O607" s="278"/>
      <c r="P607" s="283">
        <f>IFERROR(INDEX('Data Lokasi'!V:V,MATCH(C607,'Data Lokasi'!C:C,0)),"")</f>
        <v>0</v>
      </c>
      <c r="Q607" s="304">
        <f t="shared" si="25"/>
        <v>0</v>
      </c>
      <c r="R607" s="308"/>
    </row>
    <row r="608" spans="2:18" ht="15" hidden="1" thickTop="1">
      <c r="B608" s="269">
        <v>46219</v>
      </c>
      <c r="C608" s="317" t="s">
        <v>121</v>
      </c>
      <c r="D608" s="274">
        <f>IFERROR(VLOOKUP(C608,'Data Lokasi'!C:D,2,0),"")</f>
        <v>4.67</v>
      </c>
      <c r="E608" s="274" t="s">
        <v>2642</v>
      </c>
      <c r="F608" s="274"/>
      <c r="G608" s="274"/>
      <c r="H608" s="274"/>
      <c r="I608" s="274">
        <v>0.78</v>
      </c>
      <c r="J608" s="456">
        <f t="shared" ref="J608:J671" si="26">IF(SUM(F608:I608)=0,"",(SUM(F608:I608)))</f>
        <v>0.78</v>
      </c>
      <c r="K608" s="583"/>
      <c r="L608" s="268" t="s">
        <v>2625</v>
      </c>
      <c r="M608" s="268" t="s">
        <v>2631</v>
      </c>
      <c r="N608" s="278">
        <f>IFERROR(INDEX('Data Lokasi'!S:S,MATCH('Input Real Tanam&amp;Petik Nanas'!C608,'Data Lokasi'!C:C,0)),"")</f>
        <v>45267</v>
      </c>
      <c r="O608" s="278"/>
      <c r="P608" s="283">
        <f>IFERROR(INDEX('Data Lokasi'!V:V,MATCH(C608,'Data Lokasi'!C:C,0)),"")</f>
        <v>0</v>
      </c>
      <c r="Q608" s="304">
        <f t="shared" ref="Q608:Q671" si="27">IF(ISERROR(P608/D608),"",(P608/D608))</f>
        <v>0</v>
      </c>
      <c r="R608" s="308"/>
    </row>
    <row r="609" spans="2:18" ht="15" hidden="1" thickTop="1">
      <c r="B609" s="269">
        <v>46219</v>
      </c>
      <c r="C609" s="268" t="s">
        <v>182</v>
      </c>
      <c r="D609" s="274">
        <f>IFERROR(VLOOKUP(C609,'Data Lokasi'!C:D,2,0),"")</f>
        <v>8.7200000000000006</v>
      </c>
      <c r="E609" s="274" t="s">
        <v>2642</v>
      </c>
      <c r="F609" s="274"/>
      <c r="G609" s="274"/>
      <c r="H609" s="274"/>
      <c r="I609" s="274">
        <v>0.4</v>
      </c>
      <c r="J609" s="456">
        <f t="shared" si="26"/>
        <v>0.4</v>
      </c>
      <c r="K609" s="583"/>
      <c r="L609" s="268" t="s">
        <v>2625</v>
      </c>
      <c r="M609" s="268" t="s">
        <v>2631</v>
      </c>
      <c r="N609" s="278">
        <f>IFERROR(INDEX('Data Lokasi'!S:S,MATCH('Input Real Tanam&amp;Petik Nanas'!C609,'Data Lokasi'!C:C,0)),"")</f>
        <v>43935</v>
      </c>
      <c r="O609" s="278"/>
      <c r="P609" s="283">
        <f>IFERROR(INDEX('Data Lokasi'!V:V,MATCH(C609,'Data Lokasi'!C:C,0)),"")</f>
        <v>0</v>
      </c>
      <c r="Q609" s="304">
        <f t="shared" si="27"/>
        <v>0</v>
      </c>
      <c r="R609" s="308"/>
    </row>
    <row r="610" spans="2:18" ht="15" hidden="1" thickTop="1">
      <c r="B610" s="269">
        <v>46219</v>
      </c>
      <c r="C610" s="268" t="s">
        <v>212</v>
      </c>
      <c r="D610" s="274">
        <f>IFERROR(VLOOKUP(C610,'Data Lokasi'!C:D,2,0),"")</f>
        <v>8.39</v>
      </c>
      <c r="E610" s="274" t="s">
        <v>2642</v>
      </c>
      <c r="F610" s="274"/>
      <c r="G610" s="274"/>
      <c r="H610" s="274"/>
      <c r="I610" s="274">
        <v>0.03</v>
      </c>
      <c r="J610" s="456">
        <f t="shared" si="26"/>
        <v>0.03</v>
      </c>
      <c r="K610" s="583"/>
      <c r="L610" s="268" t="s">
        <v>2625</v>
      </c>
      <c r="M610" s="268" t="s">
        <v>2631</v>
      </c>
      <c r="N610" s="278">
        <f>IFERROR(INDEX('Data Lokasi'!S:S,MATCH('Input Real Tanam&amp;Petik Nanas'!C610,'Data Lokasi'!C:C,0)),"")</f>
        <v>43988</v>
      </c>
      <c r="O610" s="278"/>
      <c r="P610" s="283">
        <f>IFERROR(INDEX('Data Lokasi'!V:V,MATCH(C610,'Data Lokasi'!C:C,0)),"")</f>
        <v>0</v>
      </c>
      <c r="Q610" s="304">
        <f t="shared" si="27"/>
        <v>0</v>
      </c>
      <c r="R610" s="308"/>
    </row>
    <row r="611" spans="2:18" ht="15" hidden="1" thickTop="1">
      <c r="B611" s="269">
        <v>46219</v>
      </c>
      <c r="C611" s="375" t="s">
        <v>700</v>
      </c>
      <c r="D611" s="274">
        <f>IFERROR(VLOOKUP(C611,'Data Lokasi'!C:D,2,0),"")</f>
        <v>8.44</v>
      </c>
      <c r="E611" s="274" t="s">
        <v>2642</v>
      </c>
      <c r="F611" s="274"/>
      <c r="G611" s="274"/>
      <c r="H611" s="274"/>
      <c r="I611" s="274">
        <v>0.24</v>
      </c>
      <c r="J611" s="456">
        <f t="shared" si="26"/>
        <v>0.24</v>
      </c>
      <c r="K611" s="583"/>
      <c r="L611" s="268" t="s">
        <v>2625</v>
      </c>
      <c r="M611" s="268" t="s">
        <v>2631</v>
      </c>
      <c r="N611" s="278">
        <f>IFERROR(INDEX('Data Lokasi'!S:S,MATCH('Input Real Tanam&amp;Petik Nanas'!C611,'Data Lokasi'!C:C,0)),"")</f>
        <v>45166</v>
      </c>
      <c r="O611" s="278"/>
      <c r="P611" s="283">
        <f>IFERROR(INDEX('Data Lokasi'!V:V,MATCH(C611,'Data Lokasi'!C:C,0)),"")</f>
        <v>0</v>
      </c>
      <c r="Q611" s="304">
        <f t="shared" si="27"/>
        <v>0</v>
      </c>
      <c r="R611" s="308"/>
    </row>
    <row r="612" spans="2:18" ht="15" hidden="1" thickTop="1">
      <c r="B612" s="269">
        <v>46220</v>
      </c>
      <c r="C612" s="268" t="s">
        <v>636</v>
      </c>
      <c r="D612" s="274">
        <f>IFERROR(VLOOKUP(C612,'Data Lokasi'!C:D,2,0),"")</f>
        <v>6</v>
      </c>
      <c r="E612" s="274" t="s">
        <v>2642</v>
      </c>
      <c r="F612" s="274"/>
      <c r="G612" s="274"/>
      <c r="H612" s="274"/>
      <c r="I612" s="274">
        <v>0.67</v>
      </c>
      <c r="J612" s="456">
        <f t="shared" si="26"/>
        <v>0.67</v>
      </c>
      <c r="K612" s="583"/>
      <c r="L612" s="268" t="s">
        <v>2625</v>
      </c>
      <c r="M612" s="268" t="s">
        <v>2631</v>
      </c>
      <c r="N612" s="278">
        <f>IFERROR(INDEX('Data Lokasi'!S:S,MATCH('Input Real Tanam&amp;Petik Nanas'!C612,'Data Lokasi'!C:C,0)),"")</f>
        <v>44915</v>
      </c>
      <c r="O612" s="278"/>
      <c r="P612" s="283">
        <f>IFERROR(INDEX('Data Lokasi'!V:V,MATCH(C612,'Data Lokasi'!C:C,0)),"")</f>
        <v>0</v>
      </c>
      <c r="Q612" s="304">
        <f t="shared" si="27"/>
        <v>0</v>
      </c>
      <c r="R612" s="308"/>
    </row>
    <row r="613" spans="2:18" ht="15" hidden="1" thickTop="1">
      <c r="B613" s="269">
        <v>46220</v>
      </c>
      <c r="C613" s="268" t="s">
        <v>681</v>
      </c>
      <c r="D613" s="274">
        <f>IFERROR(VLOOKUP(C613,'Data Lokasi'!C:D,2,0),"")</f>
        <v>6.35</v>
      </c>
      <c r="E613" s="274" t="s">
        <v>2642</v>
      </c>
      <c r="F613" s="274"/>
      <c r="G613" s="274"/>
      <c r="H613" s="274"/>
      <c r="I613" s="274">
        <v>0.06</v>
      </c>
      <c r="J613" s="456">
        <f t="shared" si="26"/>
        <v>0.06</v>
      </c>
      <c r="K613" s="583"/>
      <c r="L613" s="268" t="s">
        <v>2625</v>
      </c>
      <c r="M613" s="268" t="s">
        <v>2631</v>
      </c>
      <c r="N613" s="278">
        <f>IFERROR(INDEX('Data Lokasi'!S:S,MATCH('Input Real Tanam&amp;Petik Nanas'!C613,'Data Lokasi'!C:C,0)),"")</f>
        <v>45097</v>
      </c>
      <c r="O613" s="278"/>
      <c r="P613" s="283">
        <f>IFERROR(INDEX('Data Lokasi'!V:V,MATCH(C613,'Data Lokasi'!C:C,0)),"")</f>
        <v>0</v>
      </c>
      <c r="Q613" s="304">
        <f t="shared" si="27"/>
        <v>0</v>
      </c>
      <c r="R613" s="308"/>
    </row>
    <row r="614" spans="2:18" ht="15" hidden="1" thickTop="1">
      <c r="B614" s="269">
        <v>46220</v>
      </c>
      <c r="C614" s="317" t="s">
        <v>121</v>
      </c>
      <c r="D614" s="274">
        <f>IFERROR(VLOOKUP(C614,'Data Lokasi'!C:D,2,0),"")</f>
        <v>4.67</v>
      </c>
      <c r="E614" s="274" t="s">
        <v>2642</v>
      </c>
      <c r="F614" s="274"/>
      <c r="G614" s="274"/>
      <c r="H614" s="274"/>
      <c r="I614" s="274">
        <v>1.76</v>
      </c>
      <c r="J614" s="456">
        <f t="shared" si="26"/>
        <v>1.76</v>
      </c>
      <c r="K614" s="583"/>
      <c r="L614" s="268" t="s">
        <v>2625</v>
      </c>
      <c r="M614" s="268" t="s">
        <v>2631</v>
      </c>
      <c r="N614" s="278">
        <f>IFERROR(INDEX('Data Lokasi'!S:S,MATCH('Input Real Tanam&amp;Petik Nanas'!C614,'Data Lokasi'!C:C,0)),"")</f>
        <v>45267</v>
      </c>
      <c r="O614" s="278"/>
      <c r="P614" s="283">
        <f>IFERROR(INDEX('Data Lokasi'!V:V,MATCH(C614,'Data Lokasi'!C:C,0)),"")</f>
        <v>0</v>
      </c>
      <c r="Q614" s="304">
        <f t="shared" si="27"/>
        <v>0</v>
      </c>
      <c r="R614" s="308"/>
    </row>
    <row r="615" spans="2:18" ht="15" hidden="1" thickTop="1">
      <c r="B615" s="269">
        <v>46220</v>
      </c>
      <c r="C615" s="268" t="s">
        <v>685</v>
      </c>
      <c r="D615" s="274">
        <f>IFERROR(VLOOKUP(C615,'Data Lokasi'!C:D,2,0),"")</f>
        <v>5.82</v>
      </c>
      <c r="E615" s="274" t="s">
        <v>2642</v>
      </c>
      <c r="F615" s="274"/>
      <c r="G615" s="274"/>
      <c r="H615" s="274"/>
      <c r="I615" s="274">
        <v>0.06</v>
      </c>
      <c r="J615" s="456">
        <f t="shared" si="26"/>
        <v>0.06</v>
      </c>
      <c r="K615" s="583"/>
      <c r="L615" s="268" t="s">
        <v>2625</v>
      </c>
      <c r="M615" s="268" t="s">
        <v>2631</v>
      </c>
      <c r="N615" s="278">
        <f>IFERROR(INDEX('Data Lokasi'!S:S,MATCH('Input Real Tanam&amp;Petik Nanas'!C615,'Data Lokasi'!C:C,0)),"")</f>
        <v>45117</v>
      </c>
      <c r="O615" s="278"/>
      <c r="P615" s="283">
        <f>IFERROR(INDEX('Data Lokasi'!V:V,MATCH(C615,'Data Lokasi'!C:C,0)),"")</f>
        <v>0</v>
      </c>
      <c r="Q615" s="304">
        <f t="shared" si="27"/>
        <v>0</v>
      </c>
      <c r="R615" s="308"/>
    </row>
    <row r="616" spans="2:18" ht="15" hidden="1" thickTop="1">
      <c r="B616" s="269">
        <v>46220</v>
      </c>
      <c r="C616" s="268" t="s">
        <v>671</v>
      </c>
      <c r="D616" s="274">
        <f>IFERROR(VLOOKUP(C616,'Data Lokasi'!C:D,2,0),"")</f>
        <v>7.82</v>
      </c>
      <c r="E616" s="274" t="s">
        <v>2642</v>
      </c>
      <c r="F616" s="274"/>
      <c r="G616" s="274"/>
      <c r="H616" s="274"/>
      <c r="I616" s="274">
        <v>0.16</v>
      </c>
      <c r="J616" s="456">
        <f t="shared" si="26"/>
        <v>0.16</v>
      </c>
      <c r="K616" s="583"/>
      <c r="L616" s="268" t="s">
        <v>2625</v>
      </c>
      <c r="M616" s="268" t="s">
        <v>2631</v>
      </c>
      <c r="N616" s="278">
        <f>IFERROR(INDEX('Data Lokasi'!S:S,MATCH('Input Real Tanam&amp;Petik Nanas'!C616,'Data Lokasi'!C:C,0)),"")</f>
        <v>45067</v>
      </c>
      <c r="O616" s="278"/>
      <c r="P616" s="283">
        <f>IFERROR(INDEX('Data Lokasi'!V:V,MATCH(C616,'Data Lokasi'!C:C,0)),"")</f>
        <v>0</v>
      </c>
      <c r="Q616" s="304">
        <f t="shared" si="27"/>
        <v>0</v>
      </c>
      <c r="R616" s="308"/>
    </row>
    <row r="617" spans="2:18" ht="15" hidden="1" thickTop="1">
      <c r="B617" s="269">
        <v>46220</v>
      </c>
      <c r="C617" s="268" t="s">
        <v>678</v>
      </c>
      <c r="D617" s="274">
        <f>IFERROR(VLOOKUP(C617,'Data Lokasi'!C:D,2,0),"")</f>
        <v>7.7</v>
      </c>
      <c r="E617" s="274" t="s">
        <v>2642</v>
      </c>
      <c r="F617" s="274"/>
      <c r="G617" s="274"/>
      <c r="H617" s="274">
        <v>0.06</v>
      </c>
      <c r="I617" s="274"/>
      <c r="J617" s="456">
        <f t="shared" si="26"/>
        <v>0.06</v>
      </c>
      <c r="K617" s="583"/>
      <c r="L617" s="268" t="s">
        <v>719</v>
      </c>
      <c r="M617" s="268" t="s">
        <v>2631</v>
      </c>
      <c r="N617" s="278">
        <f>IFERROR(INDEX('Data Lokasi'!S:S,MATCH('Input Real Tanam&amp;Petik Nanas'!C617,'Data Lokasi'!C:C,0)),"")</f>
        <v>45083</v>
      </c>
      <c r="O617" s="278"/>
      <c r="P617" s="283">
        <f>IFERROR(INDEX('Data Lokasi'!V:V,MATCH(C617,'Data Lokasi'!C:C,0)),"")</f>
        <v>0</v>
      </c>
      <c r="Q617" s="304">
        <f t="shared" si="27"/>
        <v>0</v>
      </c>
      <c r="R617" s="308"/>
    </row>
    <row r="618" spans="2:18" ht="15" hidden="1" thickTop="1">
      <c r="B618" s="269">
        <v>46220</v>
      </c>
      <c r="C618" s="268" t="s">
        <v>182</v>
      </c>
      <c r="D618" s="274">
        <f>IFERROR(VLOOKUP(C618,'Data Lokasi'!C:D,2,0),"")</f>
        <v>8.7200000000000006</v>
      </c>
      <c r="E618" s="274" t="s">
        <v>2642</v>
      </c>
      <c r="F618" s="274"/>
      <c r="G618" s="274"/>
      <c r="H618" s="274"/>
      <c r="I618" s="274">
        <v>0.09</v>
      </c>
      <c r="J618" s="456">
        <f t="shared" si="26"/>
        <v>0.09</v>
      </c>
      <c r="K618" s="583"/>
      <c r="L618" s="268" t="s">
        <v>2625</v>
      </c>
      <c r="M618" s="268" t="s">
        <v>2631</v>
      </c>
      <c r="N618" s="278">
        <f>IFERROR(INDEX('Data Lokasi'!S:S,MATCH('Input Real Tanam&amp;Petik Nanas'!C618,'Data Lokasi'!C:C,0)),"")</f>
        <v>43935</v>
      </c>
      <c r="O618" s="278"/>
      <c r="P618" s="283">
        <f>IFERROR(INDEX('Data Lokasi'!V:V,MATCH(C618,'Data Lokasi'!C:C,0)),"")</f>
        <v>0</v>
      </c>
      <c r="Q618" s="304">
        <f t="shared" si="27"/>
        <v>0</v>
      </c>
      <c r="R618" s="308"/>
    </row>
    <row r="619" spans="2:18" ht="15" hidden="1" thickTop="1">
      <c r="B619" s="269">
        <v>46220</v>
      </c>
      <c r="C619" s="268" t="s">
        <v>294</v>
      </c>
      <c r="D619" s="274">
        <f>IFERROR(VLOOKUP(C619,'Data Lokasi'!C:D,2,0),"")</f>
        <v>6.93</v>
      </c>
      <c r="E619" s="274" t="s">
        <v>2642</v>
      </c>
      <c r="F619" s="274"/>
      <c r="G619" s="274"/>
      <c r="H619" s="274">
        <v>0.7</v>
      </c>
      <c r="I619" s="274"/>
      <c r="J619" s="456">
        <f t="shared" si="26"/>
        <v>0.7</v>
      </c>
      <c r="K619" s="583"/>
      <c r="L619" s="268" t="s">
        <v>719</v>
      </c>
      <c r="M619" s="268" t="s">
        <v>2634</v>
      </c>
      <c r="N619" s="278">
        <f>IFERROR(INDEX('Data Lokasi'!S:S,MATCH('Input Real Tanam&amp;Petik Nanas'!C619,'Data Lokasi'!C:C,0)),"")</f>
        <v>44139</v>
      </c>
      <c r="O619" s="278"/>
      <c r="P619" s="283">
        <f>IFERROR(INDEX('Data Lokasi'!V:V,MATCH(C619,'Data Lokasi'!C:C,0)),"")</f>
        <v>0</v>
      </c>
      <c r="Q619" s="304">
        <f t="shared" si="27"/>
        <v>0</v>
      </c>
      <c r="R619" s="308"/>
    </row>
    <row r="620" spans="2:18" ht="15" hidden="1" thickTop="1">
      <c r="B620" s="269">
        <v>46220</v>
      </c>
      <c r="C620" s="268" t="s">
        <v>659</v>
      </c>
      <c r="D620" s="274">
        <f>IFERROR(VLOOKUP(C620,'Data Lokasi'!C:D,2,0),"")</f>
        <v>5.7</v>
      </c>
      <c r="E620" s="274" t="s">
        <v>2642</v>
      </c>
      <c r="F620" s="274"/>
      <c r="G620" s="274"/>
      <c r="H620" s="274"/>
      <c r="I620" s="274">
        <v>0.83</v>
      </c>
      <c r="J620" s="456">
        <f t="shared" si="26"/>
        <v>0.83</v>
      </c>
      <c r="K620" s="583"/>
      <c r="L620" s="268" t="s">
        <v>2625</v>
      </c>
      <c r="M620" s="268" t="s">
        <v>2634</v>
      </c>
      <c r="N620" s="278">
        <f>IFERROR(INDEX('Data Lokasi'!S:S,MATCH('Input Real Tanam&amp;Petik Nanas'!C620,'Data Lokasi'!C:C,0)),"")</f>
        <v>45010</v>
      </c>
      <c r="O620" s="278"/>
      <c r="P620" s="283">
        <f>IFERROR(INDEX('Data Lokasi'!V:V,MATCH(C620,'Data Lokasi'!C:C,0)),"")</f>
        <v>0</v>
      </c>
      <c r="Q620" s="304">
        <f t="shared" si="27"/>
        <v>0</v>
      </c>
      <c r="R620" s="308"/>
    </row>
    <row r="621" spans="2:18" ht="15" hidden="1" thickTop="1">
      <c r="B621" s="269">
        <v>46220</v>
      </c>
      <c r="C621" s="268" t="s">
        <v>657</v>
      </c>
      <c r="D621" s="274">
        <f>IFERROR(VLOOKUP(C621,'Data Lokasi'!C:D,2,0),"")</f>
        <v>7.73</v>
      </c>
      <c r="E621" s="274" t="s">
        <v>2642</v>
      </c>
      <c r="F621" s="274"/>
      <c r="G621" s="274"/>
      <c r="H621" s="274"/>
      <c r="I621" s="274">
        <v>0.5</v>
      </c>
      <c r="J621" s="456">
        <f t="shared" si="26"/>
        <v>0.5</v>
      </c>
      <c r="K621" s="583"/>
      <c r="L621" s="268" t="s">
        <v>2625</v>
      </c>
      <c r="M621" s="268" t="s">
        <v>2634</v>
      </c>
      <c r="N621" s="278">
        <f>IFERROR(INDEX('Data Lokasi'!S:S,MATCH('Input Real Tanam&amp;Petik Nanas'!C621,'Data Lokasi'!C:C,0)),"")</f>
        <v>45003</v>
      </c>
      <c r="O621" s="278"/>
      <c r="P621" s="283">
        <f>IFERROR(INDEX('Data Lokasi'!V:V,MATCH(C621,'Data Lokasi'!C:C,0)),"")</f>
        <v>0</v>
      </c>
      <c r="Q621" s="304">
        <f t="shared" si="27"/>
        <v>0</v>
      </c>
      <c r="R621" s="308"/>
    </row>
    <row r="622" spans="2:18" ht="15" hidden="1" thickTop="1">
      <c r="B622" s="269">
        <v>46220</v>
      </c>
      <c r="C622" s="268" t="s">
        <v>2663</v>
      </c>
      <c r="D622" s="274">
        <f>IFERROR(VLOOKUP(C622,'Data Lokasi'!C:D,2,0),"")</f>
        <v>7.48</v>
      </c>
      <c r="E622" s="274" t="s">
        <v>2642</v>
      </c>
      <c r="F622" s="274"/>
      <c r="G622" s="274"/>
      <c r="H622" s="274"/>
      <c r="I622" s="274">
        <v>0.32</v>
      </c>
      <c r="J622" s="456">
        <f t="shared" si="26"/>
        <v>0.32</v>
      </c>
      <c r="K622" s="583"/>
      <c r="L622" s="268" t="s">
        <v>2625</v>
      </c>
      <c r="M622" s="268" t="s">
        <v>2634</v>
      </c>
      <c r="N622" s="278">
        <f>IFERROR(INDEX('Data Lokasi'!S:S,MATCH('Input Real Tanam&amp;Petik Nanas'!C622,'Data Lokasi'!C:C,0)),"")</f>
        <v>46206</v>
      </c>
      <c r="O622" s="278"/>
      <c r="P622" s="283">
        <f>IFERROR(INDEX('Data Lokasi'!V:V,MATCH(C622,'Data Lokasi'!C:C,0)),"")</f>
        <v>0</v>
      </c>
      <c r="Q622" s="304">
        <f t="shared" si="27"/>
        <v>0</v>
      </c>
      <c r="R622" s="308"/>
    </row>
    <row r="623" spans="2:18" ht="15" hidden="1" thickTop="1">
      <c r="B623" s="269">
        <v>46220</v>
      </c>
      <c r="C623" s="268" t="s">
        <v>329</v>
      </c>
      <c r="D623" s="274">
        <f>IFERROR(VLOOKUP(C623,'Data Lokasi'!C:D,2,0),"")</f>
        <v>6.68</v>
      </c>
      <c r="E623" s="274" t="s">
        <v>2642</v>
      </c>
      <c r="F623" s="274"/>
      <c r="G623" s="274"/>
      <c r="H623" s="274"/>
      <c r="I623" s="274">
        <v>0.34</v>
      </c>
      <c r="J623" s="456">
        <f t="shared" si="26"/>
        <v>0.34</v>
      </c>
      <c r="K623" s="583"/>
      <c r="L623" s="268" t="s">
        <v>2625</v>
      </c>
      <c r="M623" s="268" t="s">
        <v>2634</v>
      </c>
      <c r="N623" s="278">
        <f>IFERROR(INDEX('Data Lokasi'!S:S,MATCH('Input Real Tanam&amp;Petik Nanas'!C623,'Data Lokasi'!C:C,0)),"")</f>
        <v>44218</v>
      </c>
      <c r="O623" s="278"/>
      <c r="P623" s="283">
        <f>IFERROR(INDEX('Data Lokasi'!V:V,MATCH(C623,'Data Lokasi'!C:C,0)),"")</f>
        <v>0</v>
      </c>
      <c r="Q623" s="304">
        <f t="shared" si="27"/>
        <v>0</v>
      </c>
      <c r="R623" s="308"/>
    </row>
    <row r="624" spans="2:18" ht="15" hidden="1" thickTop="1">
      <c r="B624" s="269">
        <v>46220</v>
      </c>
      <c r="C624" s="268" t="s">
        <v>250</v>
      </c>
      <c r="D624" s="274">
        <f>IFERROR(VLOOKUP(C624,'Data Lokasi'!C:D,2,0),"")</f>
        <v>9.2799999999999994</v>
      </c>
      <c r="E624" s="274" t="s">
        <v>2642</v>
      </c>
      <c r="F624" s="274"/>
      <c r="G624" s="274"/>
      <c r="H624" s="274"/>
      <c r="I624" s="274">
        <v>0.12</v>
      </c>
      <c r="J624" s="456">
        <f t="shared" si="26"/>
        <v>0.12</v>
      </c>
      <c r="K624" s="583"/>
      <c r="L624" s="268" t="s">
        <v>2625</v>
      </c>
      <c r="M624" s="268" t="s">
        <v>2634</v>
      </c>
      <c r="N624" s="278">
        <f>IFERROR(INDEX('Data Lokasi'!S:S,MATCH('Input Real Tanam&amp;Petik Nanas'!C624,'Data Lokasi'!C:C,0)),"")</f>
        <v>44064</v>
      </c>
      <c r="O624" s="278"/>
      <c r="P624" s="283">
        <f>IFERROR(INDEX('Data Lokasi'!V:V,MATCH(C624,'Data Lokasi'!C:C,0)),"")</f>
        <v>0</v>
      </c>
      <c r="Q624" s="304">
        <f t="shared" si="27"/>
        <v>0</v>
      </c>
      <c r="R624" s="308"/>
    </row>
    <row r="625" spans="2:18" ht="15" hidden="1" thickTop="1">
      <c r="B625" s="269">
        <v>46220</v>
      </c>
      <c r="C625" s="268" t="s">
        <v>478</v>
      </c>
      <c r="D625" s="274">
        <f>IFERROR(VLOOKUP(C625,'Data Lokasi'!C:D,2,0),"")</f>
        <v>6.8</v>
      </c>
      <c r="E625" s="274" t="s">
        <v>2643</v>
      </c>
      <c r="F625" s="274"/>
      <c r="G625" s="274">
        <f>0.06+0.11</f>
        <v>0.16999999999999998</v>
      </c>
      <c r="H625" s="274">
        <f>0.21+0.25</f>
        <v>0.45999999999999996</v>
      </c>
      <c r="I625" s="274"/>
      <c r="J625" s="456">
        <f t="shared" si="26"/>
        <v>0.62999999999999989</v>
      </c>
      <c r="K625" s="583"/>
      <c r="L625" s="268" t="s">
        <v>719</v>
      </c>
      <c r="M625" s="268" t="s">
        <v>2634</v>
      </c>
      <c r="N625" s="278">
        <f>IFERROR(INDEX('Data Lokasi'!S:S,MATCH('Input Real Tanam&amp;Petik Nanas'!C625,'Data Lokasi'!C:C,0)),"")</f>
        <v>44517</v>
      </c>
      <c r="O625" s="278"/>
      <c r="P625" s="283">
        <f>IFERROR(INDEX('Data Lokasi'!V:V,MATCH(C625,'Data Lokasi'!C:C,0)),"")</f>
        <v>0</v>
      </c>
      <c r="Q625" s="304">
        <f t="shared" si="27"/>
        <v>0</v>
      </c>
      <c r="R625" s="308">
        <v>1</v>
      </c>
    </row>
    <row r="626" spans="2:18" ht="15" hidden="1" thickTop="1">
      <c r="B626" s="269">
        <v>46220</v>
      </c>
      <c r="C626" s="268" t="s">
        <v>545</v>
      </c>
      <c r="D626" s="274">
        <f>IFERROR(VLOOKUP(C626,'Data Lokasi'!C:D,2,0),"")</f>
        <v>5.92</v>
      </c>
      <c r="E626" s="274" t="s">
        <v>2643</v>
      </c>
      <c r="F626" s="274"/>
      <c r="G626" s="274"/>
      <c r="H626" s="274"/>
      <c r="I626" s="274">
        <v>1.1000000000000001</v>
      </c>
      <c r="J626" s="456">
        <f t="shared" si="26"/>
        <v>1.1000000000000001</v>
      </c>
      <c r="K626" s="583"/>
      <c r="L626" s="268" t="s">
        <v>2625</v>
      </c>
      <c r="M626" s="268" t="s">
        <v>2634</v>
      </c>
      <c r="N626" s="278">
        <f>IFERROR(INDEX('Data Lokasi'!S:S,MATCH('Input Real Tanam&amp;Petik Nanas'!C626,'Data Lokasi'!C:C,0)),"")</f>
        <v>44648</v>
      </c>
      <c r="O626" s="278"/>
      <c r="P626" s="283">
        <f>IFERROR(INDEX('Data Lokasi'!V:V,MATCH(C626,'Data Lokasi'!C:C,0)),"")</f>
        <v>0</v>
      </c>
      <c r="Q626" s="304">
        <f t="shared" si="27"/>
        <v>0</v>
      </c>
      <c r="R626" s="308"/>
    </row>
    <row r="627" spans="2:18" ht="15" hidden="1" thickTop="1">
      <c r="B627" s="269">
        <v>46220</v>
      </c>
      <c r="C627" s="268" t="s">
        <v>512</v>
      </c>
      <c r="D627" s="274">
        <f>IFERROR(VLOOKUP(C627,'Data Lokasi'!C:D,2,0),"")</f>
        <v>9.14</v>
      </c>
      <c r="E627" s="274" t="s">
        <v>2643</v>
      </c>
      <c r="F627" s="274"/>
      <c r="G627" s="274"/>
      <c r="H627" s="274"/>
      <c r="I627" s="274">
        <v>0.64</v>
      </c>
      <c r="J627" s="456">
        <f t="shared" si="26"/>
        <v>0.64</v>
      </c>
      <c r="K627" s="583"/>
      <c r="L627" s="268" t="s">
        <v>2625</v>
      </c>
      <c r="M627" s="268" t="s">
        <v>2634</v>
      </c>
      <c r="N627" s="278">
        <f>IFERROR(INDEX('Data Lokasi'!S:S,MATCH('Input Real Tanam&amp;Petik Nanas'!C627,'Data Lokasi'!C:C,0)),"")</f>
        <v>44591</v>
      </c>
      <c r="O627" s="278"/>
      <c r="P627" s="283">
        <f>IFERROR(INDEX('Data Lokasi'!V:V,MATCH(C627,'Data Lokasi'!C:C,0)),"")</f>
        <v>0</v>
      </c>
      <c r="Q627" s="304">
        <f t="shared" si="27"/>
        <v>0</v>
      </c>
      <c r="R627" s="308"/>
    </row>
    <row r="628" spans="2:18" ht="15" hidden="1" thickTop="1">
      <c r="B628" s="269">
        <v>46220</v>
      </c>
      <c r="C628" s="268" t="s">
        <v>465</v>
      </c>
      <c r="D628" s="274">
        <f>IFERROR(VLOOKUP(C628,'Data Lokasi'!C:D,2,0),"")</f>
        <v>11.63</v>
      </c>
      <c r="E628" s="274" t="s">
        <v>2643</v>
      </c>
      <c r="F628" s="274">
        <v>4.0000000000000001E-3</v>
      </c>
      <c r="G628" s="274">
        <v>0.02</v>
      </c>
      <c r="H628" s="274">
        <v>0.02</v>
      </c>
      <c r="I628" s="274"/>
      <c r="J628" s="456">
        <f t="shared" si="26"/>
        <v>4.3999999999999997E-2</v>
      </c>
      <c r="K628" s="583"/>
      <c r="L628" s="268" t="s">
        <v>719</v>
      </c>
      <c r="M628" s="268" t="s">
        <v>2631</v>
      </c>
      <c r="N628" s="278">
        <f>IFERROR(INDEX('Data Lokasi'!S:S,MATCH('Input Real Tanam&amp;Petik Nanas'!C628,'Data Lokasi'!C:C,0)),"")</f>
        <v>44477</v>
      </c>
      <c r="O628" s="278"/>
      <c r="P628" s="283">
        <f>IFERROR(INDEX('Data Lokasi'!V:V,MATCH(C628,'Data Lokasi'!C:C,0)),"")</f>
        <v>0</v>
      </c>
      <c r="Q628" s="304">
        <f t="shared" si="27"/>
        <v>0</v>
      </c>
      <c r="R628" s="308">
        <v>2</v>
      </c>
    </row>
    <row r="629" spans="2:18" ht="15" hidden="1" thickTop="1">
      <c r="B629" s="269">
        <v>46220</v>
      </c>
      <c r="C629" s="268" t="s">
        <v>425</v>
      </c>
      <c r="D629" s="274">
        <f>IFERROR(VLOOKUP(C629,'Data Lokasi'!C:D,2,0),"")</f>
        <v>8.85</v>
      </c>
      <c r="E629" s="274" t="s">
        <v>2643</v>
      </c>
      <c r="F629" s="274">
        <v>0.01</v>
      </c>
      <c r="G629" s="274">
        <f>0.003+0.004</f>
        <v>7.0000000000000001E-3</v>
      </c>
      <c r="H629" s="274"/>
      <c r="I629" s="274"/>
      <c r="J629" s="456">
        <f t="shared" si="26"/>
        <v>1.7000000000000001E-2</v>
      </c>
      <c r="K629" s="583"/>
      <c r="L629" s="268" t="s">
        <v>719</v>
      </c>
      <c r="M629" s="268" t="s">
        <v>2631</v>
      </c>
      <c r="N629" s="278">
        <f>IFERROR(INDEX('Data Lokasi'!S:S,MATCH('Input Real Tanam&amp;Petik Nanas'!C629,'Data Lokasi'!C:C,0)),"")</f>
        <v>44389</v>
      </c>
      <c r="O629" s="278"/>
      <c r="P629" s="283">
        <f>IFERROR(INDEX('Data Lokasi'!V:V,MATCH(C629,'Data Lokasi'!C:C,0)),"")</f>
        <v>0</v>
      </c>
      <c r="Q629" s="304">
        <f t="shared" si="27"/>
        <v>0</v>
      </c>
      <c r="R629" s="308">
        <v>3</v>
      </c>
    </row>
    <row r="630" spans="2:18" ht="15" hidden="1" thickTop="1">
      <c r="B630" s="269">
        <v>46220</v>
      </c>
      <c r="C630" s="317" t="s">
        <v>2545</v>
      </c>
      <c r="D630" s="274">
        <f>IFERROR(VLOOKUP(C630,'Data Lokasi'!C:D,2,0),"")</f>
        <v>10.91</v>
      </c>
      <c r="E630" s="274" t="s">
        <v>2643</v>
      </c>
      <c r="F630" s="274"/>
      <c r="G630" s="274"/>
      <c r="H630" s="274"/>
      <c r="I630" s="274">
        <v>0.41</v>
      </c>
      <c r="J630" s="456">
        <f t="shared" si="26"/>
        <v>0.41</v>
      </c>
      <c r="K630" s="583"/>
      <c r="L630" s="268" t="s">
        <v>2625</v>
      </c>
      <c r="M630" s="268" t="s">
        <v>2634</v>
      </c>
      <c r="N630" s="278">
        <f>IFERROR(INDEX('Data Lokasi'!S:S,MATCH('Input Real Tanam&amp;Petik Nanas'!C630,'Data Lokasi'!C:C,0)),"")</f>
        <v>45644</v>
      </c>
      <c r="O630" s="278"/>
      <c r="P630" s="283">
        <f>IFERROR(INDEX('Data Lokasi'!V:V,MATCH(C630,'Data Lokasi'!C:C,0)),"")</f>
        <v>0</v>
      </c>
      <c r="Q630" s="304">
        <f t="shared" si="27"/>
        <v>0</v>
      </c>
      <c r="R630" s="308">
        <v>1</v>
      </c>
    </row>
    <row r="631" spans="2:18" ht="15" hidden="1" thickTop="1">
      <c r="B631" s="269">
        <v>46220</v>
      </c>
      <c r="C631" s="268" t="s">
        <v>505</v>
      </c>
      <c r="D631" s="274">
        <f>IFERROR(VLOOKUP(C631,'Data Lokasi'!C:D,2,0),"")</f>
        <v>9.16</v>
      </c>
      <c r="E631" s="274" t="s">
        <v>2643</v>
      </c>
      <c r="F631" s="274"/>
      <c r="G631" s="274"/>
      <c r="H631" s="274"/>
      <c r="I631" s="274">
        <v>3.29</v>
      </c>
      <c r="J631" s="456">
        <f t="shared" si="26"/>
        <v>3.29</v>
      </c>
      <c r="K631" s="583"/>
      <c r="L631" s="268" t="s">
        <v>2625</v>
      </c>
      <c r="M631" s="268" t="s">
        <v>2634</v>
      </c>
      <c r="N631" s="278">
        <f>IFERROR(INDEX('Data Lokasi'!S:S,MATCH('Input Real Tanam&amp;Petik Nanas'!C631,'Data Lokasi'!C:C,0)),"")</f>
        <v>44581</v>
      </c>
      <c r="O631" s="278"/>
      <c r="P631" s="283">
        <f>IFERROR(INDEX('Data Lokasi'!V:V,MATCH(C631,'Data Lokasi'!C:C,0)),"")</f>
        <v>0</v>
      </c>
      <c r="Q631" s="304">
        <f t="shared" si="27"/>
        <v>0</v>
      </c>
      <c r="R631" s="308"/>
    </row>
    <row r="632" spans="2:18" ht="15" hidden="1" thickTop="1">
      <c r="B632" s="269">
        <v>46221</v>
      </c>
      <c r="C632" s="268" t="s">
        <v>244</v>
      </c>
      <c r="D632" s="274">
        <f>IFERROR(VLOOKUP(C632,'Data Lokasi'!C:D,2,0),"")</f>
        <v>11.05</v>
      </c>
      <c r="E632" s="274" t="s">
        <v>2642</v>
      </c>
      <c r="F632" s="274"/>
      <c r="G632" s="274"/>
      <c r="H632" s="274"/>
      <c r="I632" s="274">
        <v>2.11</v>
      </c>
      <c r="J632" s="456">
        <f t="shared" si="26"/>
        <v>2.11</v>
      </c>
      <c r="K632" s="583"/>
      <c r="L632" s="268" t="s">
        <v>2625</v>
      </c>
      <c r="M632" s="268" t="s">
        <v>2631</v>
      </c>
      <c r="N632" s="278">
        <f>IFERROR(INDEX('Data Lokasi'!S:S,MATCH('Input Real Tanam&amp;Petik Nanas'!C632,'Data Lokasi'!C:C,0)),"")</f>
        <v>44025</v>
      </c>
      <c r="O632" s="278"/>
      <c r="P632" s="283">
        <f>IFERROR(INDEX('Data Lokasi'!V:V,MATCH(C632,'Data Lokasi'!C:C,0)),"")</f>
        <v>0</v>
      </c>
      <c r="Q632" s="304">
        <f t="shared" si="27"/>
        <v>0</v>
      </c>
      <c r="R632" s="308"/>
    </row>
    <row r="633" spans="2:18" ht="15" hidden="1" thickTop="1">
      <c r="B633" s="269">
        <v>46221</v>
      </c>
      <c r="C633" s="268" t="s">
        <v>636</v>
      </c>
      <c r="D633" s="274">
        <f>IFERROR(VLOOKUP(C633,'Data Lokasi'!C:D,2,0),"")</f>
        <v>6</v>
      </c>
      <c r="E633" s="274" t="s">
        <v>2642</v>
      </c>
      <c r="F633" s="274"/>
      <c r="G633" s="274"/>
      <c r="H633" s="274"/>
      <c r="I633" s="274">
        <v>0.18</v>
      </c>
      <c r="J633" s="456">
        <f t="shared" si="26"/>
        <v>0.18</v>
      </c>
      <c r="K633" s="583"/>
      <c r="L633" s="268" t="s">
        <v>2625</v>
      </c>
      <c r="M633" s="268" t="s">
        <v>2631</v>
      </c>
      <c r="N633" s="278">
        <f>IFERROR(INDEX('Data Lokasi'!S:S,MATCH('Input Real Tanam&amp;Petik Nanas'!C633,'Data Lokasi'!C:C,0)),"")</f>
        <v>44915</v>
      </c>
      <c r="O633" s="278"/>
      <c r="P633" s="283">
        <f>IFERROR(INDEX('Data Lokasi'!V:V,MATCH(C633,'Data Lokasi'!C:C,0)),"")</f>
        <v>0</v>
      </c>
      <c r="Q633" s="304">
        <f t="shared" si="27"/>
        <v>0</v>
      </c>
      <c r="R633" s="308"/>
    </row>
    <row r="634" spans="2:18" ht="15" hidden="1" thickTop="1">
      <c r="B634" s="269">
        <v>46221</v>
      </c>
      <c r="C634" s="317" t="s">
        <v>121</v>
      </c>
      <c r="D634" s="274">
        <f>IFERROR(VLOOKUP(C634,'Data Lokasi'!C:D,2,0),"")</f>
        <v>4.67</v>
      </c>
      <c r="E634" s="274" t="s">
        <v>2642</v>
      </c>
      <c r="F634" s="274"/>
      <c r="G634" s="274"/>
      <c r="H634" s="274"/>
      <c r="I634" s="274">
        <v>0.64</v>
      </c>
      <c r="J634" s="456">
        <f t="shared" si="26"/>
        <v>0.64</v>
      </c>
      <c r="K634" s="583"/>
      <c r="L634" s="268" t="s">
        <v>2625</v>
      </c>
      <c r="M634" s="268" t="s">
        <v>2631</v>
      </c>
      <c r="N634" s="278">
        <f>IFERROR(INDEX('Data Lokasi'!S:S,MATCH('Input Real Tanam&amp;Petik Nanas'!C634,'Data Lokasi'!C:C,0)),"")</f>
        <v>45267</v>
      </c>
      <c r="O634" s="278"/>
      <c r="P634" s="283">
        <f>IFERROR(INDEX('Data Lokasi'!V:V,MATCH(C634,'Data Lokasi'!C:C,0)),"")</f>
        <v>0</v>
      </c>
      <c r="Q634" s="304">
        <f t="shared" si="27"/>
        <v>0</v>
      </c>
      <c r="R634" s="308"/>
    </row>
    <row r="635" spans="2:18" ht="15" hidden="1" thickTop="1">
      <c r="B635" s="269">
        <v>46221</v>
      </c>
      <c r="C635" s="375" t="s">
        <v>700</v>
      </c>
      <c r="D635" s="274">
        <f>IFERROR(VLOOKUP(C635,'Data Lokasi'!C:D,2,0),"")</f>
        <v>8.44</v>
      </c>
      <c r="E635" s="274" t="s">
        <v>2642</v>
      </c>
      <c r="F635" s="274"/>
      <c r="G635" s="274"/>
      <c r="H635" s="274"/>
      <c r="I635" s="274">
        <v>7.0000000000000007E-2</v>
      </c>
      <c r="J635" s="456">
        <f t="shared" si="26"/>
        <v>7.0000000000000007E-2</v>
      </c>
      <c r="K635" s="583"/>
      <c r="L635" s="268" t="s">
        <v>2625</v>
      </c>
      <c r="M635" s="268" t="s">
        <v>2631</v>
      </c>
      <c r="N635" s="278">
        <f>IFERROR(INDEX('Data Lokasi'!S:S,MATCH('Input Real Tanam&amp;Petik Nanas'!C635,'Data Lokasi'!C:C,0)),"")</f>
        <v>45166</v>
      </c>
      <c r="O635" s="278"/>
      <c r="P635" s="283">
        <f>IFERROR(INDEX('Data Lokasi'!V:V,MATCH(C635,'Data Lokasi'!C:C,0)),"")</f>
        <v>0</v>
      </c>
      <c r="Q635" s="304">
        <f t="shared" si="27"/>
        <v>0</v>
      </c>
      <c r="R635" s="308"/>
    </row>
    <row r="636" spans="2:18" ht="15" hidden="1" thickTop="1">
      <c r="B636" s="269">
        <v>46221</v>
      </c>
      <c r="C636" s="268" t="s">
        <v>229</v>
      </c>
      <c r="D636" s="274">
        <f>IFERROR(VLOOKUP(C636,'Data Lokasi'!C:D,2,0),"")</f>
        <v>6.97</v>
      </c>
      <c r="E636" s="274" t="s">
        <v>2642</v>
      </c>
      <c r="F636" s="274"/>
      <c r="G636" s="274"/>
      <c r="H636" s="274"/>
      <c r="I636" s="274">
        <v>0.41</v>
      </c>
      <c r="J636" s="456">
        <f t="shared" si="26"/>
        <v>0.41</v>
      </c>
      <c r="K636" s="583"/>
      <c r="L636" s="268" t="s">
        <v>2625</v>
      </c>
      <c r="M636" s="268" t="s">
        <v>2634</v>
      </c>
      <c r="N636" s="278">
        <f>IFERROR(INDEX('Data Lokasi'!S:S,MATCH('Input Real Tanam&amp;Petik Nanas'!C636,'Data Lokasi'!C:C,0)),"")</f>
        <v>44020</v>
      </c>
      <c r="O636" s="278"/>
      <c r="P636" s="283">
        <f>IFERROR(INDEX('Data Lokasi'!V:V,MATCH(C636,'Data Lokasi'!C:C,0)),"")</f>
        <v>0</v>
      </c>
      <c r="Q636" s="304">
        <f t="shared" si="27"/>
        <v>0</v>
      </c>
      <c r="R636" s="308"/>
    </row>
    <row r="637" spans="2:18" ht="15" hidden="1" thickTop="1">
      <c r="B637" s="269">
        <v>46221</v>
      </c>
      <c r="C637" s="268" t="s">
        <v>623</v>
      </c>
      <c r="D637" s="274">
        <f>IFERROR(VLOOKUP(C637,'Data Lokasi'!C:D,2,0),"")</f>
        <v>4.07</v>
      </c>
      <c r="E637" s="274" t="s">
        <v>2642</v>
      </c>
      <c r="F637" s="274"/>
      <c r="G637" s="274"/>
      <c r="H637" s="274"/>
      <c r="I637" s="274">
        <v>0.32</v>
      </c>
      <c r="J637" s="456">
        <f t="shared" si="26"/>
        <v>0.32</v>
      </c>
      <c r="K637" s="583"/>
      <c r="L637" s="268" t="s">
        <v>2625</v>
      </c>
      <c r="M637" s="268" t="s">
        <v>2634</v>
      </c>
      <c r="N637" s="278">
        <f>IFERROR(INDEX('Data Lokasi'!S:S,MATCH('Input Real Tanam&amp;Petik Nanas'!C637,'Data Lokasi'!C:C,0)),"")</f>
        <v>44863</v>
      </c>
      <c r="O637" s="278"/>
      <c r="P637" s="283">
        <f>IFERROR(INDEX('Data Lokasi'!V:V,MATCH(C637,'Data Lokasi'!C:C,0)),"")</f>
        <v>0</v>
      </c>
      <c r="Q637" s="304">
        <f t="shared" si="27"/>
        <v>0</v>
      </c>
      <c r="R637" s="308"/>
    </row>
    <row r="638" spans="2:18" ht="15" hidden="1" thickTop="1">
      <c r="B638" s="269">
        <v>46221</v>
      </c>
      <c r="C638" s="268" t="s">
        <v>263</v>
      </c>
      <c r="D638" s="274">
        <f>IFERROR(VLOOKUP(C638,'Data Lokasi'!C:D,2,0),"")</f>
        <v>7.7</v>
      </c>
      <c r="E638" s="274" t="s">
        <v>2642</v>
      </c>
      <c r="F638" s="274"/>
      <c r="G638" s="274"/>
      <c r="H638" s="274"/>
      <c r="I638" s="274">
        <v>0.45</v>
      </c>
      <c r="J638" s="456">
        <f t="shared" si="26"/>
        <v>0.45</v>
      </c>
      <c r="K638" s="583"/>
      <c r="L638" s="268" t="s">
        <v>2625</v>
      </c>
      <c r="M638" s="268" t="s">
        <v>2634</v>
      </c>
      <c r="N638" s="278">
        <f>IFERROR(INDEX('Data Lokasi'!S:S,MATCH('Input Real Tanam&amp;Petik Nanas'!C638,'Data Lokasi'!C:C,0)),"")</f>
        <v>44079</v>
      </c>
      <c r="O638" s="278"/>
      <c r="P638" s="283">
        <f>IFERROR(INDEX('Data Lokasi'!V:V,MATCH(C638,'Data Lokasi'!C:C,0)),"")</f>
        <v>0</v>
      </c>
      <c r="Q638" s="304">
        <f t="shared" si="27"/>
        <v>0</v>
      </c>
      <c r="R638" s="308"/>
    </row>
    <row r="639" spans="2:18" ht="15" hidden="1" thickTop="1">
      <c r="B639" s="269">
        <v>46221</v>
      </c>
      <c r="C639" s="268" t="s">
        <v>657</v>
      </c>
      <c r="D639" s="274">
        <f>IFERROR(VLOOKUP(C639,'Data Lokasi'!C:D,2,0),"")</f>
        <v>7.73</v>
      </c>
      <c r="E639" s="274" t="s">
        <v>2642</v>
      </c>
      <c r="F639" s="274"/>
      <c r="G639" s="274"/>
      <c r="H639" s="274"/>
      <c r="I639" s="274">
        <v>0.08</v>
      </c>
      <c r="J639" s="456">
        <f t="shared" si="26"/>
        <v>0.08</v>
      </c>
      <c r="K639" s="583"/>
      <c r="L639" s="268" t="s">
        <v>2625</v>
      </c>
      <c r="M639" s="268" t="s">
        <v>2634</v>
      </c>
      <c r="N639" s="278">
        <f>IFERROR(INDEX('Data Lokasi'!S:S,MATCH('Input Real Tanam&amp;Petik Nanas'!C639,'Data Lokasi'!C:C,0)),"")</f>
        <v>45003</v>
      </c>
      <c r="O639" s="278"/>
      <c r="P639" s="283">
        <f>IFERROR(INDEX('Data Lokasi'!V:V,MATCH(C639,'Data Lokasi'!C:C,0)),"")</f>
        <v>0</v>
      </c>
      <c r="Q639" s="304">
        <f t="shared" si="27"/>
        <v>0</v>
      </c>
      <c r="R639" s="308"/>
    </row>
    <row r="640" spans="2:18" ht="15" hidden="1" thickTop="1">
      <c r="B640" s="269">
        <v>46221</v>
      </c>
      <c r="C640" s="268" t="s">
        <v>659</v>
      </c>
      <c r="D640" s="274">
        <f>IFERROR(VLOOKUP(C640,'Data Lokasi'!C:D,2,0),"")</f>
        <v>5.7</v>
      </c>
      <c r="E640" s="274" t="s">
        <v>2642</v>
      </c>
      <c r="F640" s="274"/>
      <c r="G640" s="274"/>
      <c r="H640" s="274"/>
      <c r="I640" s="274">
        <v>0.17</v>
      </c>
      <c r="J640" s="456">
        <f t="shared" si="26"/>
        <v>0.17</v>
      </c>
      <c r="K640" s="583"/>
      <c r="L640" s="268" t="s">
        <v>2625</v>
      </c>
      <c r="M640" s="268" t="s">
        <v>2634</v>
      </c>
      <c r="N640" s="278">
        <f>IFERROR(INDEX('Data Lokasi'!S:S,MATCH('Input Real Tanam&amp;Petik Nanas'!C640,'Data Lokasi'!C:C,0)),"")</f>
        <v>45010</v>
      </c>
      <c r="O640" s="278"/>
      <c r="P640" s="283">
        <f>IFERROR(INDEX('Data Lokasi'!V:V,MATCH(C640,'Data Lokasi'!C:C,0)),"")</f>
        <v>0</v>
      </c>
      <c r="Q640" s="304">
        <f t="shared" si="27"/>
        <v>0</v>
      </c>
      <c r="R640" s="308"/>
    </row>
    <row r="641" spans="2:18" ht="15" hidden="1" thickTop="1">
      <c r="B641" s="269">
        <v>46221</v>
      </c>
      <c r="C641" s="268" t="s">
        <v>2663</v>
      </c>
      <c r="D641" s="274">
        <f>IFERROR(VLOOKUP(C641,'Data Lokasi'!C:D,2,0),"")</f>
        <v>7.48</v>
      </c>
      <c r="E641" s="274" t="s">
        <v>2642</v>
      </c>
      <c r="F641" s="274"/>
      <c r="G641" s="274"/>
      <c r="H641" s="274"/>
      <c r="I641" s="274">
        <v>0.12</v>
      </c>
      <c r="J641" s="456">
        <f t="shared" si="26"/>
        <v>0.12</v>
      </c>
      <c r="K641" s="583"/>
      <c r="L641" s="268" t="s">
        <v>2625</v>
      </c>
      <c r="M641" s="268" t="s">
        <v>2634</v>
      </c>
      <c r="N641" s="278">
        <f>IFERROR(INDEX('Data Lokasi'!S:S,MATCH('Input Real Tanam&amp;Petik Nanas'!C641,'Data Lokasi'!C:C,0)),"")</f>
        <v>46206</v>
      </c>
      <c r="O641" s="278"/>
      <c r="P641" s="283">
        <f>IFERROR(INDEX('Data Lokasi'!V:V,MATCH(C641,'Data Lokasi'!C:C,0)),"")</f>
        <v>0</v>
      </c>
      <c r="Q641" s="304">
        <f t="shared" si="27"/>
        <v>0</v>
      </c>
      <c r="R641" s="308"/>
    </row>
    <row r="642" spans="2:18" ht="15" hidden="1" thickTop="1">
      <c r="B642" s="269">
        <v>46221</v>
      </c>
      <c r="C642" s="268" t="s">
        <v>329</v>
      </c>
      <c r="D642" s="274">
        <f>IFERROR(VLOOKUP(C642,'Data Lokasi'!C:D,2,0),"")</f>
        <v>6.68</v>
      </c>
      <c r="E642" s="274" t="s">
        <v>2642</v>
      </c>
      <c r="F642" s="274"/>
      <c r="G642" s="274"/>
      <c r="H642" s="274"/>
      <c r="I642" s="274">
        <v>0.24</v>
      </c>
      <c r="J642" s="456">
        <f t="shared" si="26"/>
        <v>0.24</v>
      </c>
      <c r="K642" s="583"/>
      <c r="L642" s="268" t="s">
        <v>2625</v>
      </c>
      <c r="M642" s="268" t="s">
        <v>2634</v>
      </c>
      <c r="N642" s="278">
        <f>IFERROR(INDEX('Data Lokasi'!S:S,MATCH('Input Real Tanam&amp;Petik Nanas'!C642,'Data Lokasi'!C:C,0)),"")</f>
        <v>44218</v>
      </c>
      <c r="O642" s="278"/>
      <c r="P642" s="283">
        <f>IFERROR(INDEX('Data Lokasi'!V:V,MATCH(C642,'Data Lokasi'!C:C,0)),"")</f>
        <v>0</v>
      </c>
      <c r="Q642" s="304">
        <f t="shared" si="27"/>
        <v>0</v>
      </c>
      <c r="R642" s="308"/>
    </row>
    <row r="643" spans="2:18" ht="15" hidden="1" thickTop="1">
      <c r="B643" s="269">
        <v>46221</v>
      </c>
      <c r="C643" s="268" t="s">
        <v>286</v>
      </c>
      <c r="D643" s="274">
        <f>IFERROR(VLOOKUP(C643,'Data Lokasi'!C:D,2,0),"")</f>
        <v>8.33</v>
      </c>
      <c r="E643" s="274" t="s">
        <v>2642</v>
      </c>
      <c r="F643" s="274"/>
      <c r="G643" s="274"/>
      <c r="H643" s="274"/>
      <c r="I643" s="274">
        <v>0.06</v>
      </c>
      <c r="J643" s="456">
        <f t="shared" si="26"/>
        <v>0.06</v>
      </c>
      <c r="K643" s="583"/>
      <c r="L643" s="268" t="s">
        <v>2625</v>
      </c>
      <c r="M643" s="268" t="s">
        <v>2634</v>
      </c>
      <c r="N643" s="278">
        <f>IFERROR(INDEX('Data Lokasi'!S:S,MATCH('Input Real Tanam&amp;Petik Nanas'!C643,'Data Lokasi'!C:C,0)),"")</f>
        <v>44125</v>
      </c>
      <c r="O643" s="278"/>
      <c r="P643" s="283">
        <f>IFERROR(INDEX('Data Lokasi'!V:V,MATCH(C643,'Data Lokasi'!C:C,0)),"")</f>
        <v>0</v>
      </c>
      <c r="Q643" s="304">
        <f t="shared" si="27"/>
        <v>0</v>
      </c>
      <c r="R643" s="308"/>
    </row>
    <row r="644" spans="2:18" ht="15" hidden="1" thickTop="1">
      <c r="B644" s="269">
        <v>46221</v>
      </c>
      <c r="C644" s="268" t="s">
        <v>687</v>
      </c>
      <c r="D644" s="274">
        <f>IFERROR(VLOOKUP(C644,'Data Lokasi'!C:D,2,0),"")</f>
        <v>10.58</v>
      </c>
      <c r="E644" s="274" t="s">
        <v>2642</v>
      </c>
      <c r="F644" s="274"/>
      <c r="G644" s="274"/>
      <c r="H644" s="274">
        <v>0.06</v>
      </c>
      <c r="I644" s="274"/>
      <c r="J644" s="456">
        <f t="shared" si="26"/>
        <v>0.06</v>
      </c>
      <c r="K644" s="583"/>
      <c r="L644" s="268" t="s">
        <v>719</v>
      </c>
      <c r="M644" s="268" t="s">
        <v>2634</v>
      </c>
      <c r="N644" s="278">
        <f>IFERROR(INDEX('Data Lokasi'!S:S,MATCH('Input Real Tanam&amp;Petik Nanas'!C644,'Data Lokasi'!C:C,0)),"")</f>
        <v>45105</v>
      </c>
      <c r="O644" s="278"/>
      <c r="P644" s="283">
        <f>IFERROR(INDEX('Data Lokasi'!V:V,MATCH(C644,'Data Lokasi'!C:C,0)),"")</f>
        <v>0</v>
      </c>
      <c r="Q644" s="304">
        <f t="shared" si="27"/>
        <v>0</v>
      </c>
      <c r="R644" s="308"/>
    </row>
    <row r="645" spans="2:18" ht="15" hidden="1" thickTop="1">
      <c r="B645" s="269">
        <v>46221</v>
      </c>
      <c r="C645" s="268" t="s">
        <v>320</v>
      </c>
      <c r="D645" s="274">
        <f>IFERROR(VLOOKUP(C645,'Data Lokasi'!C:D,2,0),"")</f>
        <v>9.0299999999999994</v>
      </c>
      <c r="E645" s="274" t="s">
        <v>2642</v>
      </c>
      <c r="F645" s="274"/>
      <c r="G645" s="274"/>
      <c r="H645" s="274">
        <v>7.0000000000000007E-2</v>
      </c>
      <c r="I645" s="274"/>
      <c r="J645" s="456">
        <f t="shared" si="26"/>
        <v>7.0000000000000007E-2</v>
      </c>
      <c r="K645" s="583"/>
      <c r="L645" s="268" t="s">
        <v>719</v>
      </c>
      <c r="M645" s="268" t="s">
        <v>2634</v>
      </c>
      <c r="N645" s="278">
        <f>IFERROR(INDEX('Data Lokasi'!S:S,MATCH('Input Real Tanam&amp;Petik Nanas'!C645,'Data Lokasi'!C:C,0)),"")</f>
        <v>44216</v>
      </c>
      <c r="O645" s="278"/>
      <c r="P645" s="283">
        <f>IFERROR(INDEX('Data Lokasi'!V:V,MATCH(C645,'Data Lokasi'!C:C,0)),"")</f>
        <v>0</v>
      </c>
      <c r="Q645" s="304">
        <f t="shared" si="27"/>
        <v>0</v>
      </c>
      <c r="R645" s="308"/>
    </row>
    <row r="646" spans="2:18" ht="15" hidden="1" thickTop="1">
      <c r="B646" s="269">
        <v>46221</v>
      </c>
      <c r="C646" s="268" t="s">
        <v>294</v>
      </c>
      <c r="D646" s="274">
        <f>IFERROR(VLOOKUP(C646,'Data Lokasi'!C:D,2,0),"")</f>
        <v>6.93</v>
      </c>
      <c r="E646" s="274" t="s">
        <v>2642</v>
      </c>
      <c r="F646" s="274"/>
      <c r="G646" s="274"/>
      <c r="H646" s="274">
        <v>0.3</v>
      </c>
      <c r="I646" s="274"/>
      <c r="J646" s="456">
        <f t="shared" si="26"/>
        <v>0.3</v>
      </c>
      <c r="K646" s="583"/>
      <c r="L646" s="268" t="s">
        <v>719</v>
      </c>
      <c r="M646" s="268" t="s">
        <v>2634</v>
      </c>
      <c r="N646" s="278">
        <f>IFERROR(INDEX('Data Lokasi'!S:S,MATCH('Input Real Tanam&amp;Petik Nanas'!C646,'Data Lokasi'!C:C,0)),"")</f>
        <v>44139</v>
      </c>
      <c r="O646" s="278"/>
      <c r="P646" s="283">
        <f>IFERROR(INDEX('Data Lokasi'!V:V,MATCH(C646,'Data Lokasi'!C:C,0)),"")</f>
        <v>0</v>
      </c>
      <c r="Q646" s="304">
        <f t="shared" si="27"/>
        <v>0</v>
      </c>
      <c r="R646" s="308"/>
    </row>
    <row r="647" spans="2:18" ht="15" hidden="1" thickTop="1">
      <c r="B647" s="269">
        <v>46221</v>
      </c>
      <c r="C647" s="268" t="s">
        <v>250</v>
      </c>
      <c r="D647" s="274">
        <f>IFERROR(VLOOKUP(C647,'Data Lokasi'!C:D,2,0),"")</f>
        <v>9.2799999999999994</v>
      </c>
      <c r="E647" s="274" t="s">
        <v>2642</v>
      </c>
      <c r="F647" s="274"/>
      <c r="G647" s="274"/>
      <c r="H647" s="274"/>
      <c r="I647" s="274">
        <v>0.12</v>
      </c>
      <c r="J647" s="456">
        <f t="shared" si="26"/>
        <v>0.12</v>
      </c>
      <c r="K647" s="583"/>
      <c r="L647" s="268" t="s">
        <v>2625</v>
      </c>
      <c r="M647" s="268" t="s">
        <v>2634</v>
      </c>
      <c r="N647" s="278">
        <f>IFERROR(INDEX('Data Lokasi'!S:S,MATCH('Input Real Tanam&amp;Petik Nanas'!C647,'Data Lokasi'!C:C,0)),"")</f>
        <v>44064</v>
      </c>
      <c r="O647" s="278"/>
      <c r="P647" s="283">
        <f>IFERROR(INDEX('Data Lokasi'!V:V,MATCH(C647,'Data Lokasi'!C:C,0)),"")</f>
        <v>0</v>
      </c>
      <c r="Q647" s="304">
        <f t="shared" si="27"/>
        <v>0</v>
      </c>
      <c r="R647" s="308"/>
    </row>
    <row r="648" spans="2:18" ht="15" hidden="1" thickTop="1">
      <c r="B648" s="269">
        <v>46221</v>
      </c>
      <c r="C648" s="268" t="s">
        <v>244</v>
      </c>
      <c r="D648" s="274">
        <f>IFERROR(VLOOKUP(C648,'Data Lokasi'!C:D,2,0),"")</f>
        <v>11.05</v>
      </c>
      <c r="E648" s="274" t="s">
        <v>2642</v>
      </c>
      <c r="F648" s="274"/>
      <c r="G648" s="274"/>
      <c r="H648" s="274"/>
      <c r="I648" s="274">
        <v>0.6</v>
      </c>
      <c r="J648" s="456">
        <f t="shared" si="26"/>
        <v>0.6</v>
      </c>
      <c r="K648" s="583"/>
      <c r="L648" s="268" t="s">
        <v>2625</v>
      </c>
      <c r="M648" s="268" t="s">
        <v>2634</v>
      </c>
      <c r="N648" s="278">
        <f>IFERROR(INDEX('Data Lokasi'!S:S,MATCH('Input Real Tanam&amp;Petik Nanas'!C648,'Data Lokasi'!C:C,0)),"")</f>
        <v>44025</v>
      </c>
      <c r="O648" s="278"/>
      <c r="P648" s="283">
        <f>IFERROR(INDEX('Data Lokasi'!V:V,MATCH(C648,'Data Lokasi'!C:C,0)),"")</f>
        <v>0</v>
      </c>
      <c r="Q648" s="304">
        <f t="shared" si="27"/>
        <v>0</v>
      </c>
      <c r="R648" s="308"/>
    </row>
    <row r="649" spans="2:18" ht="15" hidden="1" thickTop="1">
      <c r="B649" s="269">
        <v>46222</v>
      </c>
      <c r="C649" s="268" t="s">
        <v>2678</v>
      </c>
      <c r="D649" s="274">
        <f>IFERROR(VLOOKUP(C649,'Data Lokasi'!C:D,2,0),"")</f>
        <v>1.34</v>
      </c>
      <c r="E649" s="274" t="s">
        <v>2642</v>
      </c>
      <c r="F649" s="274"/>
      <c r="G649" s="274">
        <v>0.27</v>
      </c>
      <c r="H649" s="274"/>
      <c r="I649" s="274"/>
      <c r="J649" s="456">
        <f t="shared" si="26"/>
        <v>0.27</v>
      </c>
      <c r="K649" s="583"/>
      <c r="L649" s="268" t="s">
        <v>719</v>
      </c>
      <c r="M649" s="268" t="s">
        <v>2634</v>
      </c>
      <c r="N649" s="278">
        <f>IFERROR(INDEX('Data Lokasi'!S:S,MATCH('Input Real Tanam&amp;Petik Nanas'!C649,'Data Lokasi'!C:C,0)),"")</f>
        <v>46222</v>
      </c>
      <c r="O649" s="278"/>
      <c r="P649" s="283">
        <f>IFERROR(INDEX('Data Lokasi'!V:V,MATCH(C649,'Data Lokasi'!C:C,0)),"")</f>
        <v>0</v>
      </c>
      <c r="Q649" s="304">
        <f t="shared" si="27"/>
        <v>0</v>
      </c>
      <c r="R649" s="308"/>
    </row>
    <row r="650" spans="2:18" ht="15" hidden="1" thickTop="1">
      <c r="B650" s="269">
        <v>46222</v>
      </c>
      <c r="C650" s="268" t="s">
        <v>294</v>
      </c>
      <c r="D650" s="274">
        <f>IFERROR(VLOOKUP(C650,'Data Lokasi'!C:D,2,0),"")</f>
        <v>6.93</v>
      </c>
      <c r="E650" s="274" t="s">
        <v>2642</v>
      </c>
      <c r="F650" s="274"/>
      <c r="G650" s="274"/>
      <c r="H650" s="274">
        <v>0.39</v>
      </c>
      <c r="I650" s="274"/>
      <c r="J650" s="456">
        <f t="shared" si="26"/>
        <v>0.39</v>
      </c>
      <c r="K650" s="583"/>
      <c r="L650" s="268" t="s">
        <v>719</v>
      </c>
      <c r="M650" s="268" t="s">
        <v>2634</v>
      </c>
      <c r="N650" s="278">
        <f>IFERROR(INDEX('Data Lokasi'!S:S,MATCH('Input Real Tanam&amp;Petik Nanas'!C650,'Data Lokasi'!C:C,0)),"")</f>
        <v>44139</v>
      </c>
      <c r="O650" s="278"/>
      <c r="P650" s="283">
        <f>IFERROR(INDEX('Data Lokasi'!V:V,MATCH(C650,'Data Lokasi'!C:C,0)),"")</f>
        <v>0</v>
      </c>
      <c r="Q650" s="304">
        <f t="shared" si="27"/>
        <v>0</v>
      </c>
      <c r="R650" s="308"/>
    </row>
    <row r="651" spans="2:18" ht="15" hidden="1" thickTop="1">
      <c r="B651" s="269">
        <v>46222</v>
      </c>
      <c r="C651" s="268" t="s">
        <v>665</v>
      </c>
      <c r="D651" s="274">
        <f>IFERROR(VLOOKUP(C651,'Data Lokasi'!C:D,2,0),"")</f>
        <v>4.68</v>
      </c>
      <c r="E651" s="274" t="s">
        <v>2642</v>
      </c>
      <c r="F651" s="274"/>
      <c r="G651" s="274"/>
      <c r="H651" s="274"/>
      <c r="I651" s="274">
        <v>0.26</v>
      </c>
      <c r="J651" s="456">
        <f t="shared" si="26"/>
        <v>0.26</v>
      </c>
      <c r="K651" s="583"/>
      <c r="L651" s="268" t="s">
        <v>2625</v>
      </c>
      <c r="M651" s="268" t="s">
        <v>2634</v>
      </c>
      <c r="N651" s="278">
        <f>IFERROR(INDEX('Data Lokasi'!S:S,MATCH('Input Real Tanam&amp;Petik Nanas'!C651,'Data Lokasi'!C:C,0)),"")</f>
        <v>45061</v>
      </c>
      <c r="O651" s="278"/>
      <c r="P651" s="283">
        <f>IFERROR(INDEX('Data Lokasi'!V:V,MATCH(C651,'Data Lokasi'!C:C,0)),"")</f>
        <v>0</v>
      </c>
      <c r="Q651" s="304">
        <f t="shared" si="27"/>
        <v>0</v>
      </c>
      <c r="R651" s="308"/>
    </row>
    <row r="652" spans="2:18" ht="15" hidden="1" thickTop="1">
      <c r="B652" s="269">
        <v>46222</v>
      </c>
      <c r="C652" s="268" t="s">
        <v>659</v>
      </c>
      <c r="D652" s="274">
        <f>IFERROR(VLOOKUP(C652,'Data Lokasi'!C:D,2,0),"")</f>
        <v>5.7</v>
      </c>
      <c r="E652" s="274" t="s">
        <v>2642</v>
      </c>
      <c r="F652" s="274"/>
      <c r="G652" s="274"/>
      <c r="H652" s="274"/>
      <c r="I652" s="274">
        <v>0.04</v>
      </c>
      <c r="J652" s="456">
        <f t="shared" si="26"/>
        <v>0.04</v>
      </c>
      <c r="K652" s="583"/>
      <c r="L652" s="268" t="s">
        <v>2625</v>
      </c>
      <c r="M652" s="268" t="s">
        <v>2634</v>
      </c>
      <c r="N652" s="278">
        <f>IFERROR(INDEX('Data Lokasi'!S:S,MATCH('Input Real Tanam&amp;Petik Nanas'!C652,'Data Lokasi'!C:C,0)),"")</f>
        <v>45010</v>
      </c>
      <c r="O652" s="278"/>
      <c r="P652" s="283">
        <f>IFERROR(INDEX('Data Lokasi'!V:V,MATCH(C652,'Data Lokasi'!C:C,0)),"")</f>
        <v>0</v>
      </c>
      <c r="Q652" s="304">
        <f t="shared" si="27"/>
        <v>0</v>
      </c>
      <c r="R652" s="308"/>
    </row>
    <row r="653" spans="2:18" ht="15" hidden="1" thickTop="1">
      <c r="B653" s="269">
        <v>46222</v>
      </c>
      <c r="C653" s="268" t="s">
        <v>2663</v>
      </c>
      <c r="D653" s="274">
        <f>IFERROR(VLOOKUP(C653,'Data Lokasi'!C:D,2,0),"")</f>
        <v>7.48</v>
      </c>
      <c r="E653" s="274" t="s">
        <v>2642</v>
      </c>
      <c r="F653" s="274"/>
      <c r="G653" s="274"/>
      <c r="H653" s="274"/>
      <c r="I653" s="274">
        <v>0.03</v>
      </c>
      <c r="J653" s="456">
        <f t="shared" si="26"/>
        <v>0.03</v>
      </c>
      <c r="K653" s="583"/>
      <c r="L653" s="268" t="s">
        <v>2625</v>
      </c>
      <c r="M653" s="268" t="s">
        <v>2634</v>
      </c>
      <c r="N653" s="278">
        <f>IFERROR(INDEX('Data Lokasi'!S:S,MATCH('Input Real Tanam&amp;Petik Nanas'!C653,'Data Lokasi'!C:C,0)),"")</f>
        <v>46206</v>
      </c>
      <c r="O653" s="278"/>
      <c r="P653" s="283">
        <f>IFERROR(INDEX('Data Lokasi'!V:V,MATCH(C653,'Data Lokasi'!C:C,0)),"")</f>
        <v>0</v>
      </c>
      <c r="Q653" s="304">
        <f t="shared" si="27"/>
        <v>0</v>
      </c>
      <c r="R653" s="308"/>
    </row>
    <row r="654" spans="2:18" ht="15" hidden="1" thickTop="1">
      <c r="B654" s="269">
        <v>46222</v>
      </c>
      <c r="C654" s="268" t="s">
        <v>234</v>
      </c>
      <c r="D654" s="274">
        <f>IFERROR(VLOOKUP(C654,'Data Lokasi'!C:D,2,0),"")</f>
        <v>5.85</v>
      </c>
      <c r="E654" s="274" t="s">
        <v>2642</v>
      </c>
      <c r="F654" s="274"/>
      <c r="G654" s="274"/>
      <c r="H654" s="274"/>
      <c r="I654" s="274">
        <v>0.76</v>
      </c>
      <c r="J654" s="456">
        <f t="shared" si="26"/>
        <v>0.76</v>
      </c>
      <c r="K654" s="583"/>
      <c r="L654" s="268" t="s">
        <v>2625</v>
      </c>
      <c r="M654" s="268" t="s">
        <v>2634</v>
      </c>
      <c r="N654" s="278">
        <f>IFERROR(INDEX('Data Lokasi'!S:S,MATCH('Input Real Tanam&amp;Petik Nanas'!C654,'Data Lokasi'!C:C,0)),"")</f>
        <v>44038</v>
      </c>
      <c r="O654" s="278"/>
      <c r="P654" s="283">
        <f>IFERROR(INDEX('Data Lokasi'!V:V,MATCH(C654,'Data Lokasi'!C:C,0)),"")</f>
        <v>0</v>
      </c>
      <c r="Q654" s="304">
        <f t="shared" si="27"/>
        <v>0</v>
      </c>
      <c r="R654" s="308"/>
    </row>
    <row r="655" spans="2:18" ht="15" hidden="1" thickTop="1">
      <c r="B655" s="269">
        <v>46222</v>
      </c>
      <c r="C655" s="268" t="s">
        <v>244</v>
      </c>
      <c r="D655" s="274">
        <f>IFERROR(VLOOKUP(C655,'Data Lokasi'!C:D,2,0),"")</f>
        <v>11.05</v>
      </c>
      <c r="E655" s="274" t="s">
        <v>2642</v>
      </c>
      <c r="F655" s="274"/>
      <c r="G655" s="274"/>
      <c r="H655" s="274"/>
      <c r="I655" s="274">
        <v>2.1800000000000002</v>
      </c>
      <c r="J655" s="456">
        <f t="shared" si="26"/>
        <v>2.1800000000000002</v>
      </c>
      <c r="K655" s="583"/>
      <c r="L655" s="268" t="s">
        <v>2625</v>
      </c>
      <c r="M655" s="268" t="s">
        <v>2631</v>
      </c>
      <c r="N655" s="278">
        <f>IFERROR(INDEX('Data Lokasi'!S:S,MATCH('Input Real Tanam&amp;Petik Nanas'!C655,'Data Lokasi'!C:C,0)),"")</f>
        <v>44025</v>
      </c>
      <c r="O655" s="278"/>
      <c r="P655" s="283">
        <f>IFERROR(INDEX('Data Lokasi'!V:V,MATCH(C655,'Data Lokasi'!C:C,0)),"")</f>
        <v>0</v>
      </c>
      <c r="Q655" s="304">
        <f t="shared" si="27"/>
        <v>0</v>
      </c>
      <c r="R655" s="308"/>
    </row>
    <row r="656" spans="2:18" ht="15" hidden="1" thickTop="1">
      <c r="B656" s="269">
        <v>46222</v>
      </c>
      <c r="C656" s="375" t="s">
        <v>121</v>
      </c>
      <c r="D656" s="274">
        <f>IFERROR(VLOOKUP(C656,'Data Lokasi'!C:D,2,0),"")</f>
        <v>4.67</v>
      </c>
      <c r="E656" s="274" t="s">
        <v>2642</v>
      </c>
      <c r="F656" s="274"/>
      <c r="G656" s="274"/>
      <c r="H656" s="274"/>
      <c r="I656" s="274">
        <v>0.7</v>
      </c>
      <c r="J656" s="456">
        <f t="shared" si="26"/>
        <v>0.7</v>
      </c>
      <c r="K656" s="583"/>
      <c r="L656" s="268" t="s">
        <v>2625</v>
      </c>
      <c r="M656" s="268" t="s">
        <v>2631</v>
      </c>
      <c r="N656" s="278">
        <f>IFERROR(INDEX('Data Lokasi'!S:S,MATCH('Input Real Tanam&amp;Petik Nanas'!C656,'Data Lokasi'!C:C,0)),"")</f>
        <v>45267</v>
      </c>
      <c r="O656" s="278"/>
      <c r="P656" s="283">
        <f>IFERROR(INDEX('Data Lokasi'!V:V,MATCH(C656,'Data Lokasi'!C:C,0)),"")</f>
        <v>0</v>
      </c>
      <c r="Q656" s="304">
        <f t="shared" si="27"/>
        <v>0</v>
      </c>
      <c r="R656" s="308"/>
    </row>
    <row r="657" spans="2:18" ht="15" hidden="1" thickTop="1">
      <c r="B657" s="269">
        <v>46223</v>
      </c>
      <c r="C657" s="268" t="s">
        <v>250</v>
      </c>
      <c r="D657" s="274">
        <f>IFERROR(VLOOKUP(C657,'Data Lokasi'!C:D,2,0),"")</f>
        <v>9.2799999999999994</v>
      </c>
      <c r="E657" s="274" t="s">
        <v>2642</v>
      </c>
      <c r="F657" s="274"/>
      <c r="G657" s="274"/>
      <c r="H657" s="274"/>
      <c r="I657" s="274">
        <v>0.05</v>
      </c>
      <c r="J657" s="456">
        <f t="shared" si="26"/>
        <v>0.05</v>
      </c>
      <c r="K657" s="583"/>
      <c r="L657" s="268" t="s">
        <v>2625</v>
      </c>
      <c r="M657" s="268" t="s">
        <v>2634</v>
      </c>
      <c r="N657" s="278">
        <f>IFERROR(INDEX('Data Lokasi'!S:S,MATCH('Input Real Tanam&amp;Petik Nanas'!C657,'Data Lokasi'!C:C,0)),"")</f>
        <v>44064</v>
      </c>
      <c r="O657" s="278"/>
      <c r="P657" s="283">
        <f>IFERROR(INDEX('Data Lokasi'!V:V,MATCH(C657,'Data Lokasi'!C:C,0)),"")</f>
        <v>0</v>
      </c>
      <c r="Q657" s="304">
        <f t="shared" si="27"/>
        <v>0</v>
      </c>
      <c r="R657" s="308"/>
    </row>
    <row r="658" spans="2:18" ht="15" hidden="1" thickTop="1">
      <c r="B658" s="269">
        <v>46223</v>
      </c>
      <c r="C658" s="268" t="s">
        <v>665</v>
      </c>
      <c r="D658" s="274">
        <f>IFERROR(VLOOKUP(C658,'Data Lokasi'!C:D,2,0),"")</f>
        <v>4.68</v>
      </c>
      <c r="E658" s="274" t="s">
        <v>2642</v>
      </c>
      <c r="F658" s="274"/>
      <c r="G658" s="274"/>
      <c r="H658" s="274"/>
      <c r="I658" s="274">
        <v>0.2</v>
      </c>
      <c r="J658" s="456">
        <f t="shared" si="26"/>
        <v>0.2</v>
      </c>
      <c r="K658" s="583"/>
      <c r="L658" s="268" t="s">
        <v>2625</v>
      </c>
      <c r="M658" s="268" t="s">
        <v>2634</v>
      </c>
      <c r="N658" s="278">
        <f>IFERROR(INDEX('Data Lokasi'!S:S,MATCH('Input Real Tanam&amp;Petik Nanas'!C658,'Data Lokasi'!C:C,0)),"")</f>
        <v>45061</v>
      </c>
      <c r="O658" s="278"/>
      <c r="P658" s="283">
        <f>IFERROR(INDEX('Data Lokasi'!V:V,MATCH(C658,'Data Lokasi'!C:C,0)),"")</f>
        <v>0</v>
      </c>
      <c r="Q658" s="304">
        <f t="shared" si="27"/>
        <v>0</v>
      </c>
      <c r="R658" s="308"/>
    </row>
    <row r="659" spans="2:18" ht="15" hidden="1" thickTop="1">
      <c r="B659" s="269">
        <v>46223</v>
      </c>
      <c r="C659" s="268" t="s">
        <v>320</v>
      </c>
      <c r="D659" s="274">
        <f>IFERROR(VLOOKUP(C659,'Data Lokasi'!C:D,2,0),"")</f>
        <v>9.0299999999999994</v>
      </c>
      <c r="E659" s="274" t="s">
        <v>2642</v>
      </c>
      <c r="F659" s="274"/>
      <c r="G659" s="274"/>
      <c r="H659" s="274">
        <v>0.02</v>
      </c>
      <c r="I659" s="274"/>
      <c r="J659" s="456">
        <f t="shared" si="26"/>
        <v>0.02</v>
      </c>
      <c r="K659" s="583"/>
      <c r="L659" s="268" t="s">
        <v>719</v>
      </c>
      <c r="M659" s="268" t="s">
        <v>2634</v>
      </c>
      <c r="N659" s="278">
        <f>IFERROR(INDEX('Data Lokasi'!S:S,MATCH('Input Real Tanam&amp;Petik Nanas'!C659,'Data Lokasi'!C:C,0)),"")</f>
        <v>44216</v>
      </c>
      <c r="O659" s="278"/>
      <c r="P659" s="283">
        <f>IFERROR(INDEX('Data Lokasi'!V:V,MATCH(C659,'Data Lokasi'!C:C,0)),"")</f>
        <v>0</v>
      </c>
      <c r="Q659" s="304">
        <f t="shared" si="27"/>
        <v>0</v>
      </c>
      <c r="R659" s="308"/>
    </row>
    <row r="660" spans="2:18" ht="15" hidden="1" thickTop="1">
      <c r="B660" s="269">
        <v>46223</v>
      </c>
      <c r="C660" s="268" t="s">
        <v>294</v>
      </c>
      <c r="D660" s="274">
        <f>IFERROR(VLOOKUP(C660,'Data Lokasi'!C:D,2,0),"")</f>
        <v>6.93</v>
      </c>
      <c r="E660" s="274" t="s">
        <v>2642</v>
      </c>
      <c r="F660" s="274"/>
      <c r="G660" s="274"/>
      <c r="H660" s="274">
        <v>0.42</v>
      </c>
      <c r="I660" s="274"/>
      <c r="J660" s="456">
        <f t="shared" si="26"/>
        <v>0.42</v>
      </c>
      <c r="K660" s="583"/>
      <c r="L660" s="268" t="s">
        <v>719</v>
      </c>
      <c r="M660" s="268" t="s">
        <v>2634</v>
      </c>
      <c r="N660" s="278">
        <f>IFERROR(INDEX('Data Lokasi'!S:S,MATCH('Input Real Tanam&amp;Petik Nanas'!C660,'Data Lokasi'!C:C,0)),"")</f>
        <v>44139</v>
      </c>
      <c r="O660" s="278"/>
      <c r="P660" s="283">
        <f>IFERROR(INDEX('Data Lokasi'!V:V,MATCH(C660,'Data Lokasi'!C:C,0)),"")</f>
        <v>0</v>
      </c>
      <c r="Q660" s="304">
        <f t="shared" si="27"/>
        <v>0</v>
      </c>
      <c r="R660" s="308"/>
    </row>
    <row r="661" spans="2:18" ht="15" hidden="1" thickTop="1">
      <c r="B661" s="269">
        <v>46223</v>
      </c>
      <c r="C661" s="268" t="s">
        <v>659</v>
      </c>
      <c r="D661" s="274">
        <f>IFERROR(VLOOKUP(C661,'Data Lokasi'!C:D,2,0),"")</f>
        <v>5.7</v>
      </c>
      <c r="E661" s="274" t="s">
        <v>2642</v>
      </c>
      <c r="F661" s="274"/>
      <c r="G661" s="274"/>
      <c r="H661" s="274"/>
      <c r="I661" s="274">
        <v>0.1</v>
      </c>
      <c r="J661" s="456">
        <f t="shared" si="26"/>
        <v>0.1</v>
      </c>
      <c r="K661" s="583"/>
      <c r="L661" s="268" t="s">
        <v>2625</v>
      </c>
      <c r="M661" s="268" t="s">
        <v>2634</v>
      </c>
      <c r="N661" s="278">
        <f>IFERROR(INDEX('Data Lokasi'!S:S,MATCH('Input Real Tanam&amp;Petik Nanas'!C661,'Data Lokasi'!C:C,0)),"")</f>
        <v>45010</v>
      </c>
      <c r="O661" s="278"/>
      <c r="P661" s="283">
        <f>IFERROR(INDEX('Data Lokasi'!V:V,MATCH(C661,'Data Lokasi'!C:C,0)),"")</f>
        <v>0</v>
      </c>
      <c r="Q661" s="304">
        <f t="shared" si="27"/>
        <v>0</v>
      </c>
      <c r="R661" s="308"/>
    </row>
    <row r="662" spans="2:18" ht="15" hidden="1" thickTop="1">
      <c r="B662" s="269">
        <v>46223</v>
      </c>
      <c r="C662" s="268" t="s">
        <v>229</v>
      </c>
      <c r="D662" s="274">
        <f>IFERROR(VLOOKUP(C662,'Data Lokasi'!C:D,2,0),"")</f>
        <v>6.97</v>
      </c>
      <c r="E662" s="274" t="s">
        <v>2642</v>
      </c>
      <c r="F662" s="274"/>
      <c r="G662" s="274"/>
      <c r="H662" s="274"/>
      <c r="I662" s="274">
        <v>0.1</v>
      </c>
      <c r="J662" s="456">
        <f t="shared" si="26"/>
        <v>0.1</v>
      </c>
      <c r="K662" s="583"/>
      <c r="L662" s="268" t="s">
        <v>2625</v>
      </c>
      <c r="M662" s="268" t="s">
        <v>2634</v>
      </c>
      <c r="N662" s="278">
        <f>IFERROR(INDEX('Data Lokasi'!S:S,MATCH('Input Real Tanam&amp;Petik Nanas'!C662,'Data Lokasi'!C:C,0)),"")</f>
        <v>44020</v>
      </c>
      <c r="O662" s="278"/>
      <c r="P662" s="283">
        <f>IFERROR(INDEX('Data Lokasi'!V:V,MATCH(C662,'Data Lokasi'!C:C,0)),"")</f>
        <v>0</v>
      </c>
      <c r="Q662" s="304">
        <f t="shared" si="27"/>
        <v>0</v>
      </c>
      <c r="R662" s="308"/>
    </row>
    <row r="663" spans="2:18" ht="15" hidden="1" thickTop="1">
      <c r="B663" s="269">
        <v>46223</v>
      </c>
      <c r="C663" s="268" t="s">
        <v>234</v>
      </c>
      <c r="D663" s="274">
        <f>IFERROR(VLOOKUP(C663,'Data Lokasi'!C:D,2,0),"")</f>
        <v>5.85</v>
      </c>
      <c r="E663" s="274" t="s">
        <v>2642</v>
      </c>
      <c r="F663" s="274"/>
      <c r="G663" s="274"/>
      <c r="H663" s="274"/>
      <c r="I663" s="274">
        <v>1.08</v>
      </c>
      <c r="J663" s="456">
        <f t="shared" si="26"/>
        <v>1.08</v>
      </c>
      <c r="K663" s="583"/>
      <c r="L663" s="268" t="s">
        <v>2625</v>
      </c>
      <c r="M663" s="268" t="s">
        <v>2634</v>
      </c>
      <c r="N663" s="278">
        <f>IFERROR(INDEX('Data Lokasi'!S:S,MATCH('Input Real Tanam&amp;Petik Nanas'!C663,'Data Lokasi'!C:C,0)),"")</f>
        <v>44038</v>
      </c>
      <c r="O663" s="278"/>
      <c r="P663" s="283">
        <f>IFERROR(INDEX('Data Lokasi'!V:V,MATCH(C663,'Data Lokasi'!C:C,0)),"")</f>
        <v>0</v>
      </c>
      <c r="Q663" s="304">
        <f t="shared" si="27"/>
        <v>0</v>
      </c>
      <c r="R663" s="308"/>
    </row>
    <row r="664" spans="2:18" ht="15" hidden="1" thickTop="1">
      <c r="B664" s="269">
        <v>46223</v>
      </c>
      <c r="C664" s="268" t="s">
        <v>329</v>
      </c>
      <c r="D664" s="274">
        <f>IFERROR(VLOOKUP(C664,'Data Lokasi'!C:D,2,0),"")</f>
        <v>6.68</v>
      </c>
      <c r="E664" s="274" t="s">
        <v>2642</v>
      </c>
      <c r="F664" s="274"/>
      <c r="G664" s="274"/>
      <c r="H664" s="274"/>
      <c r="I664" s="274">
        <v>0.16</v>
      </c>
      <c r="J664" s="456">
        <f t="shared" si="26"/>
        <v>0.16</v>
      </c>
      <c r="K664" s="583"/>
      <c r="L664" s="268" t="s">
        <v>2625</v>
      </c>
      <c r="M664" s="268" t="s">
        <v>2634</v>
      </c>
      <c r="N664" s="278">
        <f>IFERROR(INDEX('Data Lokasi'!S:S,MATCH('Input Real Tanam&amp;Petik Nanas'!C664,'Data Lokasi'!C:C,0)),"")</f>
        <v>44218</v>
      </c>
      <c r="O664" s="278"/>
      <c r="P664" s="283">
        <f>IFERROR(INDEX('Data Lokasi'!V:V,MATCH(C664,'Data Lokasi'!C:C,0)),"")</f>
        <v>0</v>
      </c>
      <c r="Q664" s="304">
        <f t="shared" si="27"/>
        <v>0</v>
      </c>
      <c r="R664" s="308"/>
    </row>
    <row r="665" spans="2:18" ht="15" hidden="1" thickTop="1">
      <c r="B665" s="269">
        <v>46223</v>
      </c>
      <c r="C665" s="268" t="s">
        <v>623</v>
      </c>
      <c r="D665" s="274">
        <f>IFERROR(VLOOKUP(C665,'Data Lokasi'!C:D,2,0),"")</f>
        <v>4.07</v>
      </c>
      <c r="E665" s="274" t="s">
        <v>2642</v>
      </c>
      <c r="F665" s="274"/>
      <c r="G665" s="274"/>
      <c r="H665" s="274"/>
      <c r="I665" s="274">
        <v>0.2</v>
      </c>
      <c r="J665" s="456">
        <f t="shared" si="26"/>
        <v>0.2</v>
      </c>
      <c r="K665" s="583"/>
      <c r="L665" s="268" t="s">
        <v>2625</v>
      </c>
      <c r="M665" s="268" t="s">
        <v>2634</v>
      </c>
      <c r="N665" s="278">
        <f>IFERROR(INDEX('Data Lokasi'!S:S,MATCH('Input Real Tanam&amp;Petik Nanas'!C665,'Data Lokasi'!C:C,0)),"")</f>
        <v>44863</v>
      </c>
      <c r="O665" s="278"/>
      <c r="P665" s="283">
        <f>IFERROR(INDEX('Data Lokasi'!V:V,MATCH(C665,'Data Lokasi'!C:C,0)),"")</f>
        <v>0</v>
      </c>
      <c r="Q665" s="304">
        <f t="shared" si="27"/>
        <v>0</v>
      </c>
      <c r="R665" s="308"/>
    </row>
    <row r="666" spans="2:18" ht="15" hidden="1" thickTop="1">
      <c r="B666" s="269">
        <v>46223</v>
      </c>
      <c r="C666" s="268" t="s">
        <v>263</v>
      </c>
      <c r="D666" s="274">
        <f>IFERROR(VLOOKUP(C666,'Data Lokasi'!C:D,2,0),"")</f>
        <v>7.7</v>
      </c>
      <c r="E666" s="274" t="s">
        <v>2642</v>
      </c>
      <c r="F666" s="274"/>
      <c r="G666" s="274"/>
      <c r="H666" s="274"/>
      <c r="I666" s="274">
        <v>0.04</v>
      </c>
      <c r="J666" s="456">
        <f t="shared" si="26"/>
        <v>0.04</v>
      </c>
      <c r="K666" s="583"/>
      <c r="L666" s="268" t="s">
        <v>2625</v>
      </c>
      <c r="M666" s="268" t="s">
        <v>2634</v>
      </c>
      <c r="N666" s="278">
        <f>IFERROR(INDEX('Data Lokasi'!S:S,MATCH('Input Real Tanam&amp;Petik Nanas'!C666,'Data Lokasi'!C:C,0)),"")</f>
        <v>44079</v>
      </c>
      <c r="O666" s="278"/>
      <c r="P666" s="283">
        <f>IFERROR(INDEX('Data Lokasi'!V:V,MATCH(C666,'Data Lokasi'!C:C,0)),"")</f>
        <v>0</v>
      </c>
      <c r="Q666" s="304">
        <f t="shared" si="27"/>
        <v>0</v>
      </c>
      <c r="R666" s="308"/>
    </row>
    <row r="667" spans="2:18" ht="15" hidden="1" thickTop="1">
      <c r="B667" s="269">
        <v>46223</v>
      </c>
      <c r="C667" s="268" t="s">
        <v>2663</v>
      </c>
      <c r="D667" s="274">
        <f>IFERROR(VLOOKUP(C667,'Data Lokasi'!C:D,2,0),"")</f>
        <v>7.48</v>
      </c>
      <c r="E667" s="274" t="s">
        <v>2642</v>
      </c>
      <c r="F667" s="274"/>
      <c r="G667" s="274"/>
      <c r="H667" s="274"/>
      <c r="I667" s="274">
        <v>0</v>
      </c>
      <c r="J667" s="456" t="str">
        <f t="shared" si="26"/>
        <v/>
      </c>
      <c r="K667" s="583"/>
      <c r="L667" s="268" t="s">
        <v>2625</v>
      </c>
      <c r="M667" s="268" t="s">
        <v>2634</v>
      </c>
      <c r="N667" s="278">
        <f>IFERROR(INDEX('Data Lokasi'!S:S,MATCH('Input Real Tanam&amp;Petik Nanas'!C667,'Data Lokasi'!C:C,0)),"")</f>
        <v>46206</v>
      </c>
      <c r="O667" s="278"/>
      <c r="P667" s="283">
        <f>IFERROR(INDEX('Data Lokasi'!V:V,MATCH(C667,'Data Lokasi'!C:C,0)),"")</f>
        <v>0</v>
      </c>
      <c r="Q667" s="304">
        <f t="shared" si="27"/>
        <v>0</v>
      </c>
      <c r="R667" s="308"/>
    </row>
    <row r="668" spans="2:18" ht="15" hidden="1" thickTop="1">
      <c r="B668" s="269">
        <v>46223</v>
      </c>
      <c r="C668" s="268" t="s">
        <v>657</v>
      </c>
      <c r="D668" s="274">
        <f>IFERROR(VLOOKUP(C668,'Data Lokasi'!C:D,2,0),"")</f>
        <v>7.73</v>
      </c>
      <c r="E668" s="274" t="s">
        <v>2642</v>
      </c>
      <c r="F668" s="274"/>
      <c r="G668" s="274"/>
      <c r="H668" s="274"/>
      <c r="I668" s="274">
        <v>0.06</v>
      </c>
      <c r="J668" s="456">
        <f t="shared" si="26"/>
        <v>0.06</v>
      </c>
      <c r="K668" s="583"/>
      <c r="L668" s="268" t="s">
        <v>2625</v>
      </c>
      <c r="M668" s="268" t="s">
        <v>2634</v>
      </c>
      <c r="N668" s="278">
        <f>IFERROR(INDEX('Data Lokasi'!S:S,MATCH('Input Real Tanam&amp;Petik Nanas'!C668,'Data Lokasi'!C:C,0)),"")</f>
        <v>45003</v>
      </c>
      <c r="O668" s="278"/>
      <c r="P668" s="283">
        <f>IFERROR(INDEX('Data Lokasi'!V:V,MATCH(C668,'Data Lokasi'!C:C,0)),"")</f>
        <v>0</v>
      </c>
      <c r="Q668" s="304">
        <f t="shared" si="27"/>
        <v>0</v>
      </c>
      <c r="R668" s="308"/>
    </row>
    <row r="669" spans="2:18" ht="15" hidden="1" thickTop="1">
      <c r="B669" s="269">
        <v>46223</v>
      </c>
      <c r="C669" s="268" t="s">
        <v>1443</v>
      </c>
      <c r="D669" s="274">
        <f>IFERROR(VLOOKUP(C669,'Data Lokasi'!C:D,2,0),"")</f>
        <v>1.34</v>
      </c>
      <c r="E669" s="274" t="s">
        <v>2642</v>
      </c>
      <c r="F669" s="274"/>
      <c r="G669" s="274">
        <v>0.13</v>
      </c>
      <c r="H669" s="274"/>
      <c r="I669" s="274"/>
      <c r="J669" s="456">
        <f t="shared" si="26"/>
        <v>0.13</v>
      </c>
      <c r="K669" s="583"/>
      <c r="L669" s="268" t="s">
        <v>719</v>
      </c>
      <c r="M669" s="268" t="s">
        <v>2634</v>
      </c>
      <c r="N669" s="278">
        <f>IFERROR(INDEX('Data Lokasi'!S:S,MATCH('Input Real Tanam&amp;Petik Nanas'!C669,'Data Lokasi'!C:C,0)),"")</f>
        <v>46222</v>
      </c>
      <c r="O669" s="278"/>
      <c r="P669" s="283">
        <f>IFERROR(INDEX('Data Lokasi'!V:V,MATCH(C669,'Data Lokasi'!C:C,0)),"")</f>
        <v>0</v>
      </c>
      <c r="Q669" s="304">
        <f t="shared" si="27"/>
        <v>0</v>
      </c>
      <c r="R669" s="308"/>
    </row>
    <row r="670" spans="2:18" ht="15" hidden="1" thickTop="1">
      <c r="B670" s="269">
        <v>46223</v>
      </c>
      <c r="C670" s="268" t="s">
        <v>687</v>
      </c>
      <c r="D670" s="274">
        <f>IFERROR(VLOOKUP(C670,'Data Lokasi'!C:D,2,0),"")</f>
        <v>10.58</v>
      </c>
      <c r="E670" s="274" t="s">
        <v>2642</v>
      </c>
      <c r="F670" s="274"/>
      <c r="G670" s="274"/>
      <c r="H670" s="274">
        <v>0.05</v>
      </c>
      <c r="I670" s="274"/>
      <c r="J670" s="456">
        <f t="shared" si="26"/>
        <v>0.05</v>
      </c>
      <c r="K670" s="583"/>
      <c r="L670" s="268" t="s">
        <v>719</v>
      </c>
      <c r="M670" s="268" t="s">
        <v>2634</v>
      </c>
      <c r="N670" s="278">
        <f>IFERROR(INDEX('Data Lokasi'!S:S,MATCH('Input Real Tanam&amp;Petik Nanas'!C670,'Data Lokasi'!C:C,0)),"")</f>
        <v>45105</v>
      </c>
      <c r="O670" s="278"/>
      <c r="P670" s="283">
        <f>IFERROR(INDEX('Data Lokasi'!V:V,MATCH(C670,'Data Lokasi'!C:C,0)),"")</f>
        <v>0</v>
      </c>
      <c r="Q670" s="304">
        <f t="shared" si="27"/>
        <v>0</v>
      </c>
      <c r="R670" s="308"/>
    </row>
    <row r="671" spans="2:18" ht="15" hidden="1" thickTop="1">
      <c r="B671" s="269">
        <v>46223</v>
      </c>
      <c r="C671" s="268" t="s">
        <v>244</v>
      </c>
      <c r="D671" s="274">
        <f>IFERROR(VLOOKUP(C671,'Data Lokasi'!C:D,2,0),"")</f>
        <v>11.05</v>
      </c>
      <c r="E671" s="274" t="s">
        <v>2642</v>
      </c>
      <c r="F671" s="274"/>
      <c r="G671" s="274"/>
      <c r="H671" s="274">
        <v>2.5499999999999998</v>
      </c>
      <c r="I671" s="274"/>
      <c r="J671" s="456">
        <f t="shared" si="26"/>
        <v>2.5499999999999998</v>
      </c>
      <c r="K671" s="583"/>
      <c r="L671" s="268" t="s">
        <v>719</v>
      </c>
      <c r="M671" s="268" t="s">
        <v>2631</v>
      </c>
      <c r="N671" s="278">
        <f>IFERROR(INDEX('Data Lokasi'!S:S,MATCH('Input Real Tanam&amp;Petik Nanas'!C671,'Data Lokasi'!C:C,0)),"")</f>
        <v>44025</v>
      </c>
      <c r="O671" s="278"/>
      <c r="P671" s="283">
        <f>IFERROR(INDEX('Data Lokasi'!V:V,MATCH(C671,'Data Lokasi'!C:C,0)),"")</f>
        <v>0</v>
      </c>
      <c r="Q671" s="304">
        <f t="shared" si="27"/>
        <v>0</v>
      </c>
      <c r="R671" s="308"/>
    </row>
    <row r="672" spans="2:18" ht="15" hidden="1" thickTop="1">
      <c r="B672" s="269">
        <v>46223</v>
      </c>
      <c r="C672" s="268" t="s">
        <v>251</v>
      </c>
      <c r="D672" s="274">
        <f>IFERROR(VLOOKUP(C672,'Data Lokasi'!C:D,2,0),"")</f>
        <v>7.72</v>
      </c>
      <c r="E672" s="274" t="s">
        <v>2642</v>
      </c>
      <c r="F672" s="274"/>
      <c r="G672" s="274"/>
      <c r="H672" s="274"/>
      <c r="I672" s="274">
        <v>0.01</v>
      </c>
      <c r="J672" s="456">
        <f t="shared" ref="J672:J915" si="28">IF(SUM(F672:I672)=0,"",(SUM(F672:I672)))</f>
        <v>0.01</v>
      </c>
      <c r="K672" s="583"/>
      <c r="L672" s="268" t="s">
        <v>2625</v>
      </c>
      <c r="M672" s="268" t="s">
        <v>2631</v>
      </c>
      <c r="N672" s="278">
        <f>IFERROR(INDEX('Data Lokasi'!S:S,MATCH('Input Real Tanam&amp;Petik Nanas'!C672,'Data Lokasi'!C:C,0)),"")</f>
        <v>44067</v>
      </c>
      <c r="O672" s="278"/>
      <c r="P672" s="283">
        <f>IFERROR(INDEX('Data Lokasi'!V:V,MATCH(C672,'Data Lokasi'!C:C,0)),"")</f>
        <v>0</v>
      </c>
      <c r="Q672" s="304">
        <f t="shared" ref="Q672:Q915" si="29">IF(ISERROR(P672/D672),"",(P672/D672))</f>
        <v>0</v>
      </c>
      <c r="R672" s="308"/>
    </row>
    <row r="673" spans="2:18" ht="15" hidden="1" thickTop="1">
      <c r="B673" s="269">
        <v>46223</v>
      </c>
      <c r="C673" s="268" t="s">
        <v>671</v>
      </c>
      <c r="D673" s="274">
        <f>IFERROR(VLOOKUP(C673,'Data Lokasi'!C:D,2,0),"")</f>
        <v>7.82</v>
      </c>
      <c r="E673" s="274" t="s">
        <v>2642</v>
      </c>
      <c r="F673" s="274"/>
      <c r="G673" s="274"/>
      <c r="H673" s="274"/>
      <c r="I673" s="274">
        <v>0.02</v>
      </c>
      <c r="J673" s="456">
        <f t="shared" si="28"/>
        <v>0.02</v>
      </c>
      <c r="K673" s="583"/>
      <c r="L673" s="268" t="s">
        <v>2625</v>
      </c>
      <c r="M673" s="268" t="s">
        <v>2631</v>
      </c>
      <c r="N673" s="278">
        <f>IFERROR(INDEX('Data Lokasi'!S:S,MATCH('Input Real Tanam&amp;Petik Nanas'!C673,'Data Lokasi'!C:C,0)),"")</f>
        <v>45067</v>
      </c>
      <c r="O673" s="278"/>
      <c r="P673" s="283">
        <f>IFERROR(INDEX('Data Lokasi'!V:V,MATCH(C673,'Data Lokasi'!C:C,0)),"")</f>
        <v>0</v>
      </c>
      <c r="Q673" s="304">
        <f t="shared" si="29"/>
        <v>0</v>
      </c>
      <c r="R673" s="308"/>
    </row>
    <row r="674" spans="2:18" ht="15" hidden="1" thickTop="1">
      <c r="B674" s="269">
        <v>46223</v>
      </c>
      <c r="C674" s="268" t="s">
        <v>685</v>
      </c>
      <c r="D674" s="274">
        <f>IFERROR(VLOOKUP(C674,'Data Lokasi'!C:D,2,0),"")</f>
        <v>5.82</v>
      </c>
      <c r="E674" s="274" t="s">
        <v>2642</v>
      </c>
      <c r="F674" s="274"/>
      <c r="G674" s="274"/>
      <c r="H674" s="274"/>
      <c r="I674" s="274">
        <v>0.17</v>
      </c>
      <c r="J674" s="456">
        <f t="shared" si="28"/>
        <v>0.17</v>
      </c>
      <c r="K674" s="583"/>
      <c r="L674" s="268" t="s">
        <v>2625</v>
      </c>
      <c r="M674" s="268" t="s">
        <v>2631</v>
      </c>
      <c r="N674" s="278">
        <f>IFERROR(INDEX('Data Lokasi'!S:S,MATCH('Input Real Tanam&amp;Petik Nanas'!C674,'Data Lokasi'!C:C,0)),"")</f>
        <v>45117</v>
      </c>
      <c r="O674" s="278"/>
      <c r="P674" s="283">
        <f>IFERROR(INDEX('Data Lokasi'!V:V,MATCH(C674,'Data Lokasi'!C:C,0)),"")</f>
        <v>0</v>
      </c>
      <c r="Q674" s="304">
        <f t="shared" si="29"/>
        <v>0</v>
      </c>
      <c r="R674" s="308"/>
    </row>
    <row r="675" spans="2:18" ht="15" hidden="1" thickTop="1">
      <c r="B675" s="269">
        <v>46223</v>
      </c>
      <c r="C675" s="268" t="s">
        <v>620</v>
      </c>
      <c r="D675" s="274">
        <f>IFERROR(VLOOKUP(C675,'Data Lokasi'!C:D,2,0),"")</f>
        <v>5.59</v>
      </c>
      <c r="E675" s="274" t="s">
        <v>2642</v>
      </c>
      <c r="F675" s="274"/>
      <c r="G675" s="274"/>
      <c r="H675" s="274"/>
      <c r="I675" s="274">
        <v>0.38</v>
      </c>
      <c r="J675" s="456">
        <f t="shared" si="28"/>
        <v>0.38</v>
      </c>
      <c r="K675" s="583"/>
      <c r="L675" s="268" t="s">
        <v>2625</v>
      </c>
      <c r="M675" s="268" t="s">
        <v>2631</v>
      </c>
      <c r="N675" s="278">
        <f>IFERROR(INDEX('Data Lokasi'!S:S,MATCH('Input Real Tanam&amp;Petik Nanas'!C675,'Data Lokasi'!C:C,0)),"")</f>
        <v>44859</v>
      </c>
      <c r="O675" s="278"/>
      <c r="P675" s="283">
        <f>IFERROR(INDEX('Data Lokasi'!V:V,MATCH(C675,'Data Lokasi'!C:C,0)),"")</f>
        <v>0</v>
      </c>
      <c r="Q675" s="304">
        <f t="shared" si="29"/>
        <v>0</v>
      </c>
      <c r="R675" s="308"/>
    </row>
    <row r="676" spans="2:18" ht="15" hidden="1" thickTop="1">
      <c r="B676" s="269">
        <v>46223</v>
      </c>
      <c r="C676" s="268" t="s">
        <v>681</v>
      </c>
      <c r="D676" s="274">
        <f>IFERROR(VLOOKUP(C676,'Data Lokasi'!C:D,2,0),"")</f>
        <v>6.35</v>
      </c>
      <c r="E676" s="274" t="s">
        <v>2642</v>
      </c>
      <c r="F676" s="274"/>
      <c r="G676" s="274"/>
      <c r="H676" s="274"/>
      <c r="I676" s="274">
        <v>0.05</v>
      </c>
      <c r="J676" s="456">
        <f t="shared" si="28"/>
        <v>0.05</v>
      </c>
      <c r="K676" s="583"/>
      <c r="L676" s="268" t="s">
        <v>2625</v>
      </c>
      <c r="M676" s="268" t="s">
        <v>2631</v>
      </c>
      <c r="N676" s="278">
        <f>IFERROR(INDEX('Data Lokasi'!S:S,MATCH('Input Real Tanam&amp;Petik Nanas'!C676,'Data Lokasi'!C:C,0)),"")</f>
        <v>45097</v>
      </c>
      <c r="O676" s="278"/>
      <c r="P676" s="283">
        <f>IFERROR(INDEX('Data Lokasi'!V:V,MATCH(C676,'Data Lokasi'!C:C,0)),"")</f>
        <v>0</v>
      </c>
      <c r="Q676" s="304">
        <f t="shared" si="29"/>
        <v>0</v>
      </c>
      <c r="R676" s="308"/>
    </row>
    <row r="677" spans="2:18" ht="15" hidden="1" thickTop="1">
      <c r="B677" s="269">
        <v>46221</v>
      </c>
      <c r="C677" s="268" t="s">
        <v>478</v>
      </c>
      <c r="D677" s="274">
        <f>IFERROR(VLOOKUP(C677,'Data Lokasi'!C:D,2,0),"")</f>
        <v>6.8</v>
      </c>
      <c r="E677" s="274" t="s">
        <v>2643</v>
      </c>
      <c r="F677" s="274"/>
      <c r="G677" s="274">
        <f>0.07+0.16</f>
        <v>0.23</v>
      </c>
      <c r="H677" s="274">
        <f>0.22+0.25</f>
        <v>0.47</v>
      </c>
      <c r="I677" s="274"/>
      <c r="J677" s="456">
        <f t="shared" si="28"/>
        <v>0.7</v>
      </c>
      <c r="K677" s="583"/>
      <c r="L677" s="268" t="s">
        <v>719</v>
      </c>
      <c r="M677" s="268" t="s">
        <v>2634</v>
      </c>
      <c r="N677" s="278">
        <f>IFERROR(INDEX('Data Lokasi'!S:S,MATCH('Input Real Tanam&amp;Petik Nanas'!C677,'Data Lokasi'!C:C,0)),"")</f>
        <v>44517</v>
      </c>
      <c r="O677" s="278"/>
      <c r="P677" s="283">
        <f>IFERROR(INDEX('Data Lokasi'!V:V,MATCH(C677,'Data Lokasi'!C:C,0)),"")</f>
        <v>0</v>
      </c>
      <c r="Q677" s="304">
        <f t="shared" si="29"/>
        <v>0</v>
      </c>
      <c r="R677" s="308">
        <v>1</v>
      </c>
    </row>
    <row r="678" spans="2:18" ht="15" hidden="1" thickTop="1">
      <c r="B678" s="269">
        <v>46221</v>
      </c>
      <c r="C678" s="268" t="s">
        <v>512</v>
      </c>
      <c r="D678" s="274">
        <f>IFERROR(VLOOKUP(C678,'Data Lokasi'!C:D,2,0),"")</f>
        <v>9.14</v>
      </c>
      <c r="E678" s="274" t="s">
        <v>2643</v>
      </c>
      <c r="F678" s="274"/>
      <c r="G678" s="274"/>
      <c r="H678" s="274"/>
      <c r="I678" s="274">
        <v>1.02</v>
      </c>
      <c r="J678" s="456">
        <f t="shared" si="28"/>
        <v>1.02</v>
      </c>
      <c r="K678" s="583"/>
      <c r="L678" s="268" t="s">
        <v>2625</v>
      </c>
      <c r="M678" s="268" t="s">
        <v>2634</v>
      </c>
      <c r="N678" s="278">
        <f>IFERROR(INDEX('Data Lokasi'!S:S,MATCH('Input Real Tanam&amp;Petik Nanas'!C678,'Data Lokasi'!C:C,0)),"")</f>
        <v>44591</v>
      </c>
      <c r="O678" s="278"/>
      <c r="P678" s="283">
        <f>IFERROR(INDEX('Data Lokasi'!V:V,MATCH(C678,'Data Lokasi'!C:C,0)),"")</f>
        <v>0</v>
      </c>
      <c r="Q678" s="304">
        <f t="shared" si="29"/>
        <v>0</v>
      </c>
      <c r="R678" s="308"/>
    </row>
    <row r="679" spans="2:18" ht="15" hidden="1" thickTop="1">
      <c r="B679" s="269">
        <v>46221</v>
      </c>
      <c r="C679" s="268" t="s">
        <v>354</v>
      </c>
      <c r="D679" s="274">
        <f>IFERROR(VLOOKUP(C679,'Data Lokasi'!C:D,2,0),"")</f>
        <v>12.94</v>
      </c>
      <c r="E679" s="274" t="s">
        <v>2643</v>
      </c>
      <c r="F679" s="274"/>
      <c r="G679" s="274"/>
      <c r="H679" s="274">
        <f>0.02+0.07</f>
        <v>9.0000000000000011E-2</v>
      </c>
      <c r="I679" s="274">
        <v>0.18</v>
      </c>
      <c r="J679" s="456">
        <f t="shared" si="28"/>
        <v>0.27</v>
      </c>
      <c r="K679" s="583"/>
      <c r="L679" s="268" t="s">
        <v>719</v>
      </c>
      <c r="M679" s="268" t="s">
        <v>2634</v>
      </c>
      <c r="N679" s="278">
        <f>IFERROR(INDEX('Data Lokasi'!S:S,MATCH('Input Real Tanam&amp;Petik Nanas'!C679,'Data Lokasi'!C:C,0)),"")</f>
        <v>44279</v>
      </c>
      <c r="O679" s="278"/>
      <c r="P679" s="283">
        <f>IFERROR(INDEX('Data Lokasi'!V:V,MATCH(C679,'Data Lokasi'!C:C,0)),"")</f>
        <v>0</v>
      </c>
      <c r="Q679" s="304">
        <f t="shared" si="29"/>
        <v>0</v>
      </c>
      <c r="R679" s="308">
        <v>6</v>
      </c>
    </row>
    <row r="680" spans="2:18" ht="15" hidden="1" thickTop="1">
      <c r="B680" s="269">
        <v>46221</v>
      </c>
      <c r="C680" s="268" t="s">
        <v>505</v>
      </c>
      <c r="D680" s="274">
        <f>IFERROR(VLOOKUP(C680,'Data Lokasi'!C:D,2,0),"")</f>
        <v>9.16</v>
      </c>
      <c r="E680" s="274" t="s">
        <v>2643</v>
      </c>
      <c r="F680" s="274"/>
      <c r="G680" s="274"/>
      <c r="H680" s="274"/>
      <c r="I680" s="274">
        <v>1.03</v>
      </c>
      <c r="J680" s="456">
        <f t="shared" si="28"/>
        <v>1.03</v>
      </c>
      <c r="K680" s="583"/>
      <c r="L680" s="268" t="s">
        <v>2625</v>
      </c>
      <c r="M680" s="268" t="s">
        <v>2634</v>
      </c>
      <c r="N680" s="278">
        <f>IFERROR(INDEX('Data Lokasi'!S:S,MATCH('Input Real Tanam&amp;Petik Nanas'!C680,'Data Lokasi'!C:C,0)),"")</f>
        <v>44581</v>
      </c>
      <c r="O680" s="278"/>
      <c r="P680" s="283">
        <f>IFERROR(INDEX('Data Lokasi'!V:V,MATCH(C680,'Data Lokasi'!C:C,0)),"")</f>
        <v>0</v>
      </c>
      <c r="Q680" s="304">
        <f t="shared" si="29"/>
        <v>0</v>
      </c>
      <c r="R680" s="308"/>
    </row>
    <row r="681" spans="2:18" ht="15" hidden="1" thickTop="1">
      <c r="B681" s="269">
        <v>46221</v>
      </c>
      <c r="C681" s="268" t="s">
        <v>441</v>
      </c>
      <c r="D681" s="274">
        <f>IFERROR(VLOOKUP(C681,'Data Lokasi'!C:D,2,0),"")</f>
        <v>11.2</v>
      </c>
      <c r="E681" s="274" t="s">
        <v>2643</v>
      </c>
      <c r="F681" s="274">
        <v>0.02</v>
      </c>
      <c r="G681" s="274">
        <v>0.02</v>
      </c>
      <c r="H681" s="274">
        <v>0.03</v>
      </c>
      <c r="I681" s="274"/>
      <c r="J681" s="456">
        <f t="shared" si="28"/>
        <v>7.0000000000000007E-2</v>
      </c>
      <c r="K681" s="583"/>
      <c r="L681" s="268" t="s">
        <v>719</v>
      </c>
      <c r="M681" s="268" t="s">
        <v>2631</v>
      </c>
      <c r="N681" s="278">
        <f>IFERROR(INDEX('Data Lokasi'!S:S,MATCH('Input Real Tanam&amp;Petik Nanas'!C681,'Data Lokasi'!C:C,0)),"")</f>
        <v>44429</v>
      </c>
      <c r="O681" s="278"/>
      <c r="P681" s="283">
        <f>IFERROR(INDEX('Data Lokasi'!V:V,MATCH(C681,'Data Lokasi'!C:C,0)),"")</f>
        <v>0</v>
      </c>
      <c r="Q681" s="304">
        <f t="shared" si="29"/>
        <v>0</v>
      </c>
      <c r="R681" s="308">
        <v>3</v>
      </c>
    </row>
    <row r="682" spans="2:18" ht="15" hidden="1" thickTop="1">
      <c r="B682" s="269">
        <v>46221</v>
      </c>
      <c r="C682" s="268" t="s">
        <v>425</v>
      </c>
      <c r="D682" s="274">
        <f>IFERROR(VLOOKUP(C682,'Data Lokasi'!C:D,2,0),"")</f>
        <v>8.85</v>
      </c>
      <c r="E682" s="274" t="s">
        <v>2643</v>
      </c>
      <c r="F682" s="274">
        <v>6.0000000000000001E-3</v>
      </c>
      <c r="G682" s="274">
        <f>0.005+0.01</f>
        <v>1.4999999999999999E-2</v>
      </c>
      <c r="H682" s="274">
        <f>0.03+0.13</f>
        <v>0.16</v>
      </c>
      <c r="I682" s="274"/>
      <c r="J682" s="456">
        <f t="shared" si="28"/>
        <v>0.18099999999999999</v>
      </c>
      <c r="K682" s="583"/>
      <c r="L682" s="268" t="s">
        <v>719</v>
      </c>
      <c r="M682" s="268" t="s">
        <v>2631</v>
      </c>
      <c r="N682" s="278">
        <f>IFERROR(INDEX('Data Lokasi'!S:S,MATCH('Input Real Tanam&amp;Petik Nanas'!C682,'Data Lokasi'!C:C,0)),"")</f>
        <v>44389</v>
      </c>
      <c r="O682" s="278"/>
      <c r="P682" s="283">
        <f>IFERROR(INDEX('Data Lokasi'!V:V,MATCH(C682,'Data Lokasi'!C:C,0)),"")</f>
        <v>0</v>
      </c>
      <c r="Q682" s="304">
        <f t="shared" si="29"/>
        <v>0</v>
      </c>
      <c r="R682" s="308">
        <v>3</v>
      </c>
    </row>
    <row r="683" spans="2:18" ht="15" hidden="1" thickTop="1">
      <c r="B683" s="269">
        <v>46222</v>
      </c>
      <c r="C683" s="268" t="s">
        <v>478</v>
      </c>
      <c r="D683" s="274">
        <f>IFERROR(VLOOKUP(C683,'Data Lokasi'!C:D,2,0),"")</f>
        <v>6.8</v>
      </c>
      <c r="E683" s="274" t="s">
        <v>2643</v>
      </c>
      <c r="F683" s="274"/>
      <c r="G683" s="274">
        <v>0.18</v>
      </c>
      <c r="H683" s="274">
        <f>0.19+0.21</f>
        <v>0.4</v>
      </c>
      <c r="I683" s="274"/>
      <c r="J683" s="456">
        <f t="shared" si="28"/>
        <v>0.58000000000000007</v>
      </c>
      <c r="K683" s="583"/>
      <c r="L683" s="268" t="s">
        <v>719</v>
      </c>
      <c r="M683" s="268" t="s">
        <v>2634</v>
      </c>
      <c r="N683" s="278">
        <f>IFERROR(INDEX('Data Lokasi'!S:S,MATCH('Input Real Tanam&amp;Petik Nanas'!C683,'Data Lokasi'!C:C,0)),"")</f>
        <v>44517</v>
      </c>
      <c r="O683" s="278"/>
      <c r="P683" s="283">
        <f>IFERROR(INDEX('Data Lokasi'!V:V,MATCH(C683,'Data Lokasi'!C:C,0)),"")</f>
        <v>0</v>
      </c>
      <c r="Q683" s="304">
        <f t="shared" si="29"/>
        <v>0</v>
      </c>
      <c r="R683" s="308">
        <v>1</v>
      </c>
    </row>
    <row r="684" spans="2:18" ht="15" hidden="1" thickTop="1">
      <c r="B684" s="269">
        <v>46222</v>
      </c>
      <c r="C684" s="268" t="s">
        <v>512</v>
      </c>
      <c r="D684" s="274">
        <f>IFERROR(VLOOKUP(C684,'Data Lokasi'!C:D,2,0),"")</f>
        <v>9.14</v>
      </c>
      <c r="E684" s="274" t="s">
        <v>2643</v>
      </c>
      <c r="F684" s="274"/>
      <c r="G684" s="274"/>
      <c r="H684" s="274"/>
      <c r="I684" s="274">
        <v>1.61</v>
      </c>
      <c r="J684" s="456">
        <f t="shared" si="28"/>
        <v>1.61</v>
      </c>
      <c r="K684" s="583"/>
      <c r="L684" s="268" t="s">
        <v>2625</v>
      </c>
      <c r="M684" s="268" t="s">
        <v>2634</v>
      </c>
      <c r="N684" s="278">
        <f>IFERROR(INDEX('Data Lokasi'!S:S,MATCH('Input Real Tanam&amp;Petik Nanas'!C684,'Data Lokasi'!C:C,0)),"")</f>
        <v>44591</v>
      </c>
      <c r="O684" s="278"/>
      <c r="P684" s="283">
        <f>IFERROR(INDEX('Data Lokasi'!V:V,MATCH(C684,'Data Lokasi'!C:C,0)),"")</f>
        <v>0</v>
      </c>
      <c r="Q684" s="304">
        <f t="shared" si="29"/>
        <v>0</v>
      </c>
      <c r="R684" s="308"/>
    </row>
    <row r="685" spans="2:18" ht="15" hidden="1" thickTop="1">
      <c r="B685" s="269">
        <v>46222</v>
      </c>
      <c r="C685" s="268" t="s">
        <v>354</v>
      </c>
      <c r="D685" s="274">
        <f>IFERROR(VLOOKUP(C685,'Data Lokasi'!C:D,2,0),"")</f>
        <v>12.94</v>
      </c>
      <c r="E685" s="274" t="s">
        <v>2643</v>
      </c>
      <c r="F685" s="274"/>
      <c r="G685" s="274"/>
      <c r="H685" s="274">
        <f>0.06+0.12</f>
        <v>0.18</v>
      </c>
      <c r="I685" s="274">
        <v>0.28999999999999998</v>
      </c>
      <c r="J685" s="456">
        <f t="shared" si="28"/>
        <v>0.47</v>
      </c>
      <c r="K685" s="583"/>
      <c r="L685" s="268" t="s">
        <v>719</v>
      </c>
      <c r="M685" s="268" t="s">
        <v>2634</v>
      </c>
      <c r="N685" s="278">
        <f>IFERROR(INDEX('Data Lokasi'!S:S,MATCH('Input Real Tanam&amp;Petik Nanas'!C685,'Data Lokasi'!C:C,0)),"")</f>
        <v>44279</v>
      </c>
      <c r="O685" s="278"/>
      <c r="P685" s="283">
        <f>IFERROR(INDEX('Data Lokasi'!V:V,MATCH(C685,'Data Lokasi'!C:C,0)),"")</f>
        <v>0</v>
      </c>
      <c r="Q685" s="304">
        <f t="shared" si="29"/>
        <v>0</v>
      </c>
      <c r="R685" s="308">
        <v>6</v>
      </c>
    </row>
    <row r="686" spans="2:18" ht="15" hidden="1" thickTop="1">
      <c r="B686" s="269">
        <v>46222</v>
      </c>
      <c r="C686" s="268" t="s">
        <v>353</v>
      </c>
      <c r="D686" s="274">
        <f>IFERROR(VLOOKUP(C686,'Data Lokasi'!C:D,2,0),"")</f>
        <v>6.25</v>
      </c>
      <c r="E686" s="274" t="s">
        <v>2643</v>
      </c>
      <c r="F686" s="274"/>
      <c r="G686" s="274"/>
      <c r="H686" s="274"/>
      <c r="I686" s="274">
        <v>1.99</v>
      </c>
      <c r="J686" s="456">
        <f t="shared" si="28"/>
        <v>1.99</v>
      </c>
      <c r="K686" s="583"/>
      <c r="L686" s="268" t="s">
        <v>2625</v>
      </c>
      <c r="M686" s="268" t="s">
        <v>2634</v>
      </c>
      <c r="N686" s="278">
        <f>IFERROR(INDEX('Data Lokasi'!S:S,MATCH('Input Real Tanam&amp;Petik Nanas'!C686,'Data Lokasi'!C:C,0)),"")</f>
        <v>0</v>
      </c>
      <c r="O686" s="278"/>
      <c r="P686" s="283">
        <f>IFERROR(INDEX('Data Lokasi'!V:V,MATCH(C686,'Data Lokasi'!C:C,0)),"")</f>
        <v>0</v>
      </c>
      <c r="Q686" s="304">
        <f t="shared" si="29"/>
        <v>0</v>
      </c>
      <c r="R686" s="308"/>
    </row>
    <row r="687" spans="2:18" ht="15" hidden="1" thickTop="1">
      <c r="B687" s="269">
        <v>46222</v>
      </c>
      <c r="C687" s="268" t="s">
        <v>445</v>
      </c>
      <c r="D687" s="274">
        <f>IFERROR(VLOOKUP(C687,'Data Lokasi'!C:D,2,0),"")</f>
        <v>10.65</v>
      </c>
      <c r="E687" s="274" t="s">
        <v>2643</v>
      </c>
      <c r="F687" s="274"/>
      <c r="G687" s="274"/>
      <c r="H687" s="274">
        <v>0.04</v>
      </c>
      <c r="I687" s="274">
        <v>0.26</v>
      </c>
      <c r="J687" s="456">
        <f t="shared" si="28"/>
        <v>0.3</v>
      </c>
      <c r="K687" s="583"/>
      <c r="L687" s="268" t="s">
        <v>719</v>
      </c>
      <c r="M687" s="268" t="s">
        <v>2631</v>
      </c>
      <c r="N687" s="278">
        <f>IFERROR(INDEX('Data Lokasi'!S:S,MATCH('Input Real Tanam&amp;Petik Nanas'!C687,'Data Lokasi'!C:C,0)),"")</f>
        <v>46292</v>
      </c>
      <c r="O687" s="278"/>
      <c r="P687" s="283">
        <f>IFERROR(INDEX('Data Lokasi'!V:V,MATCH(C687,'Data Lokasi'!C:C,0)),"")</f>
        <v>10.52</v>
      </c>
      <c r="Q687" s="304">
        <f t="shared" si="29"/>
        <v>0.98779342723004693</v>
      </c>
      <c r="R687" s="308">
        <v>9</v>
      </c>
    </row>
    <row r="688" spans="2:18" ht="15" hidden="1" thickTop="1">
      <c r="B688" s="269">
        <v>46223</v>
      </c>
      <c r="C688" s="268" t="s">
        <v>354</v>
      </c>
      <c r="D688" s="274">
        <f>IFERROR(VLOOKUP(C688,'Data Lokasi'!C:D,2,0),"")</f>
        <v>12.94</v>
      </c>
      <c r="E688" s="274" t="s">
        <v>2643</v>
      </c>
      <c r="F688" s="274"/>
      <c r="G688" s="274"/>
      <c r="H688" s="274">
        <f>0.05+0.12</f>
        <v>0.16999999999999998</v>
      </c>
      <c r="I688" s="274">
        <v>0.32</v>
      </c>
      <c r="J688" s="456">
        <f t="shared" si="28"/>
        <v>0.49</v>
      </c>
      <c r="K688" s="583"/>
      <c r="L688" s="268" t="s">
        <v>719</v>
      </c>
      <c r="M688" s="268" t="s">
        <v>2634</v>
      </c>
      <c r="N688" s="278">
        <f>IFERROR(INDEX('Data Lokasi'!S:S,MATCH('Input Real Tanam&amp;Petik Nanas'!C688,'Data Lokasi'!C:C,0)),"")</f>
        <v>44279</v>
      </c>
      <c r="O688" s="278"/>
      <c r="P688" s="283">
        <f>IFERROR(INDEX('Data Lokasi'!V:V,MATCH(C688,'Data Lokasi'!C:C,0)),"")</f>
        <v>0</v>
      </c>
      <c r="Q688" s="304">
        <f t="shared" si="29"/>
        <v>0</v>
      </c>
      <c r="R688" s="308">
        <v>6</v>
      </c>
    </row>
    <row r="689" spans="2:18" ht="15" hidden="1" thickTop="1">
      <c r="B689" s="269">
        <v>46223</v>
      </c>
      <c r="C689" s="268" t="s">
        <v>353</v>
      </c>
      <c r="D689" s="274">
        <f>IFERROR(VLOOKUP(C689,'Data Lokasi'!C:D,2,0),"")</f>
        <v>6.25</v>
      </c>
      <c r="E689" s="274" t="s">
        <v>2643</v>
      </c>
      <c r="F689" s="274"/>
      <c r="G689" s="274"/>
      <c r="H689" s="274"/>
      <c r="I689" s="274">
        <v>2.2400000000000002</v>
      </c>
      <c r="J689" s="456">
        <f t="shared" si="28"/>
        <v>2.2400000000000002</v>
      </c>
      <c r="K689" s="583"/>
      <c r="L689" s="268" t="s">
        <v>2625</v>
      </c>
      <c r="M689" s="268" t="s">
        <v>2634</v>
      </c>
      <c r="N689" s="278">
        <f>IFERROR(INDEX('Data Lokasi'!S:S,MATCH('Input Real Tanam&amp;Petik Nanas'!C689,'Data Lokasi'!C:C,0)),"")</f>
        <v>0</v>
      </c>
      <c r="O689" s="278"/>
      <c r="P689" s="283">
        <f>IFERROR(INDEX('Data Lokasi'!V:V,MATCH(C689,'Data Lokasi'!C:C,0)),"")</f>
        <v>0</v>
      </c>
      <c r="Q689" s="304">
        <f t="shared" si="29"/>
        <v>0</v>
      </c>
      <c r="R689" s="308"/>
    </row>
    <row r="690" spans="2:18" ht="15" hidden="1" thickTop="1">
      <c r="B690" s="269">
        <v>46223</v>
      </c>
      <c r="C690" s="268" t="s">
        <v>488</v>
      </c>
      <c r="D690" s="274">
        <f>IFERROR(VLOOKUP(C690,'Data Lokasi'!C:D,2,0),"")</f>
        <v>11.2</v>
      </c>
      <c r="E690" s="274" t="s">
        <v>2643</v>
      </c>
      <c r="F690" s="274"/>
      <c r="G690" s="274">
        <v>0.1</v>
      </c>
      <c r="H690" s="274">
        <f>0.14+0.29</f>
        <v>0.43</v>
      </c>
      <c r="I690" s="274"/>
      <c r="J690" s="456">
        <f t="shared" si="28"/>
        <v>0.53</v>
      </c>
      <c r="K690" s="583"/>
      <c r="L690" s="268" t="s">
        <v>719</v>
      </c>
      <c r="M690" s="268" t="s">
        <v>2634</v>
      </c>
      <c r="N690" s="278">
        <f>IFERROR(INDEX('Data Lokasi'!S:S,MATCH('Input Real Tanam&amp;Petik Nanas'!C690,'Data Lokasi'!C:C,0)),"")</f>
        <v>44529</v>
      </c>
      <c r="O690" s="278"/>
      <c r="P690" s="283">
        <f>IFERROR(INDEX('Data Lokasi'!V:V,MATCH(C690,'Data Lokasi'!C:C,0)),"")</f>
        <v>0</v>
      </c>
      <c r="Q690" s="304">
        <f t="shared" si="29"/>
        <v>0</v>
      </c>
      <c r="R690" s="308">
        <v>1</v>
      </c>
    </row>
    <row r="691" spans="2:18" ht="15" hidden="1" thickTop="1">
      <c r="B691" s="269">
        <v>46223</v>
      </c>
      <c r="C691" s="268" t="s">
        <v>448</v>
      </c>
      <c r="D691" s="274">
        <f>IFERROR(VLOOKUP(C691,'Data Lokasi'!C:D,2,0),"")</f>
        <v>11.22</v>
      </c>
      <c r="E691" s="274" t="s">
        <v>2643</v>
      </c>
      <c r="F691" s="274"/>
      <c r="G691" s="274"/>
      <c r="H691" s="274"/>
      <c r="I691" s="274">
        <v>1.1399999999999999</v>
      </c>
      <c r="J691" s="456">
        <f t="shared" si="28"/>
        <v>1.1399999999999999</v>
      </c>
      <c r="K691" s="583"/>
      <c r="L691" s="268" t="s">
        <v>2625</v>
      </c>
      <c r="M691" s="268" t="s">
        <v>2634</v>
      </c>
      <c r="N691" s="278">
        <f>IFERROR(INDEX('Data Lokasi'!S:S,MATCH('Input Real Tanam&amp;Petik Nanas'!C691,'Data Lokasi'!C:C,0)),"")</f>
        <v>44456</v>
      </c>
      <c r="O691" s="278"/>
      <c r="P691" s="283">
        <f>IFERROR(INDEX('Data Lokasi'!V:V,MATCH(C691,'Data Lokasi'!C:C,0)),"")</f>
        <v>0</v>
      </c>
      <c r="Q691" s="304">
        <f t="shared" si="29"/>
        <v>0</v>
      </c>
      <c r="R691" s="308"/>
    </row>
    <row r="692" spans="2:18" ht="15" hidden="1" thickTop="1">
      <c r="B692" s="269">
        <v>46223</v>
      </c>
      <c r="C692" s="268" t="s">
        <v>512</v>
      </c>
      <c r="D692" s="274">
        <f>IFERROR(VLOOKUP(C692,'Data Lokasi'!C:D,2,0),"")</f>
        <v>9.14</v>
      </c>
      <c r="E692" s="274" t="s">
        <v>2643</v>
      </c>
      <c r="F692" s="274"/>
      <c r="G692" s="274"/>
      <c r="H692" s="274"/>
      <c r="I692" s="274">
        <v>0.59</v>
      </c>
      <c r="J692" s="456">
        <f t="shared" si="28"/>
        <v>0.59</v>
      </c>
      <c r="K692" s="583"/>
      <c r="L692" s="268" t="s">
        <v>2625</v>
      </c>
      <c r="M692" s="268" t="s">
        <v>2634</v>
      </c>
      <c r="N692" s="278">
        <f>IFERROR(INDEX('Data Lokasi'!S:S,MATCH('Input Real Tanam&amp;Petik Nanas'!C692,'Data Lokasi'!C:C,0)),"")</f>
        <v>44591</v>
      </c>
      <c r="O692" s="278"/>
      <c r="P692" s="283">
        <f>IFERROR(INDEX('Data Lokasi'!V:V,MATCH(C692,'Data Lokasi'!C:C,0)),"")</f>
        <v>0</v>
      </c>
      <c r="Q692" s="304">
        <f t="shared" si="29"/>
        <v>0</v>
      </c>
      <c r="R692" s="308"/>
    </row>
    <row r="693" spans="2:18" ht="15" hidden="1" thickTop="1">
      <c r="B693" s="269">
        <v>46223</v>
      </c>
      <c r="C693" s="268" t="s">
        <v>445</v>
      </c>
      <c r="D693" s="274">
        <f>IFERROR(VLOOKUP(C693,'Data Lokasi'!C:D,2,0),"")</f>
        <v>10.65</v>
      </c>
      <c r="E693" s="274" t="s">
        <v>2643</v>
      </c>
      <c r="F693" s="274"/>
      <c r="G693" s="274"/>
      <c r="H693" s="274">
        <f>0.004+0.02</f>
        <v>2.4E-2</v>
      </c>
      <c r="I693" s="274">
        <f>0.06+0.19</f>
        <v>0.25</v>
      </c>
      <c r="J693" s="456">
        <f t="shared" si="28"/>
        <v>0.27400000000000002</v>
      </c>
      <c r="K693" s="583"/>
      <c r="L693" s="268" t="s">
        <v>719</v>
      </c>
      <c r="M693" s="268" t="s">
        <v>2631</v>
      </c>
      <c r="N693" s="278">
        <f>IFERROR(INDEX('Data Lokasi'!S:S,MATCH('Input Real Tanam&amp;Petik Nanas'!C693,'Data Lokasi'!C:C,0)),"")</f>
        <v>46292</v>
      </c>
      <c r="O693" s="278"/>
      <c r="P693" s="283">
        <f>IFERROR(INDEX('Data Lokasi'!V:V,MATCH(C693,'Data Lokasi'!C:C,0)),"")</f>
        <v>10.52</v>
      </c>
      <c r="Q693" s="304">
        <f t="shared" si="29"/>
        <v>0.98779342723004693</v>
      </c>
      <c r="R693" s="308">
        <v>9</v>
      </c>
    </row>
    <row r="694" spans="2:18" ht="15" hidden="1" thickTop="1">
      <c r="B694" s="269">
        <v>46224</v>
      </c>
      <c r="C694" s="268" t="s">
        <v>488</v>
      </c>
      <c r="D694" s="274">
        <f>IFERROR(VLOOKUP(C694,'Data Lokasi'!C:D,2,0),"")</f>
        <v>11.2</v>
      </c>
      <c r="E694" s="274" t="s">
        <v>2643</v>
      </c>
      <c r="F694" s="274"/>
      <c r="G694" s="274">
        <f>0.02+0.07</f>
        <v>9.0000000000000011E-2</v>
      </c>
      <c r="H694" s="274">
        <f>0.18+0.25</f>
        <v>0.43</v>
      </c>
      <c r="I694" s="274"/>
      <c r="J694" s="456">
        <f t="shared" si="28"/>
        <v>0.52</v>
      </c>
      <c r="K694" s="583"/>
      <c r="L694" s="268" t="s">
        <v>719</v>
      </c>
      <c r="M694" s="268" t="s">
        <v>2634</v>
      </c>
      <c r="N694" s="278">
        <f>IFERROR(INDEX('Data Lokasi'!S:S,MATCH('Input Real Tanam&amp;Petik Nanas'!C694,'Data Lokasi'!C:C,0)),"")</f>
        <v>44529</v>
      </c>
      <c r="O694" s="278"/>
      <c r="P694" s="283">
        <f>IFERROR(INDEX('Data Lokasi'!V:V,MATCH(C694,'Data Lokasi'!C:C,0)),"")</f>
        <v>0</v>
      </c>
      <c r="Q694" s="304">
        <f t="shared" si="29"/>
        <v>0</v>
      </c>
      <c r="R694" s="308">
        <v>1</v>
      </c>
    </row>
    <row r="695" spans="2:18" ht="15" hidden="1" thickTop="1">
      <c r="B695" s="269">
        <v>46224</v>
      </c>
      <c r="C695" s="268" t="s">
        <v>448</v>
      </c>
      <c r="D695" s="274">
        <f>IFERROR(VLOOKUP(C695,'Data Lokasi'!C:D,2,0),"")</f>
        <v>11.22</v>
      </c>
      <c r="E695" s="274" t="s">
        <v>2643</v>
      </c>
      <c r="F695" s="274"/>
      <c r="G695" s="274"/>
      <c r="H695" s="274"/>
      <c r="I695" s="274">
        <v>3.26</v>
      </c>
      <c r="J695" s="456">
        <f t="shared" si="28"/>
        <v>3.26</v>
      </c>
      <c r="K695" s="583"/>
      <c r="L695" s="268" t="s">
        <v>2625</v>
      </c>
      <c r="M695" s="268" t="s">
        <v>2634</v>
      </c>
      <c r="N695" s="278">
        <f>IFERROR(INDEX('Data Lokasi'!S:S,MATCH('Input Real Tanam&amp;Petik Nanas'!C695,'Data Lokasi'!C:C,0)),"")</f>
        <v>44456</v>
      </c>
      <c r="O695" s="278"/>
      <c r="P695" s="283">
        <f>IFERROR(INDEX('Data Lokasi'!V:V,MATCH(C695,'Data Lokasi'!C:C,0)),"")</f>
        <v>0</v>
      </c>
      <c r="Q695" s="304">
        <f t="shared" si="29"/>
        <v>0</v>
      </c>
      <c r="R695" s="308"/>
    </row>
    <row r="696" spans="2:18" ht="15" hidden="1" thickTop="1">
      <c r="B696" s="269">
        <v>46224</v>
      </c>
      <c r="C696" s="268" t="s">
        <v>685</v>
      </c>
      <c r="D696" s="274">
        <f>IFERROR(VLOOKUP(C696,'Data Lokasi'!C:D,2,0),"")</f>
        <v>5.82</v>
      </c>
      <c r="E696" s="274" t="s">
        <v>2642</v>
      </c>
      <c r="F696" s="274"/>
      <c r="G696" s="274"/>
      <c r="H696" s="274"/>
      <c r="I696" s="274">
        <v>0.05</v>
      </c>
      <c r="J696" s="456">
        <f t="shared" si="28"/>
        <v>0.05</v>
      </c>
      <c r="K696" s="583"/>
      <c r="L696" s="268" t="s">
        <v>2625</v>
      </c>
      <c r="M696" s="268" t="s">
        <v>2631</v>
      </c>
      <c r="N696" s="278">
        <f>IFERROR(INDEX('Data Lokasi'!S:S,MATCH('Input Real Tanam&amp;Petik Nanas'!C696,'Data Lokasi'!C:C,0)),"")</f>
        <v>45117</v>
      </c>
      <c r="O696" s="278"/>
      <c r="P696" s="283">
        <f>IFERROR(INDEX('Data Lokasi'!V:V,MATCH(C696,'Data Lokasi'!C:C,0)),"")</f>
        <v>0</v>
      </c>
      <c r="Q696" s="304">
        <f t="shared" si="29"/>
        <v>0</v>
      </c>
      <c r="R696" s="308"/>
    </row>
    <row r="697" spans="2:18" ht="15" hidden="1" thickTop="1">
      <c r="B697" s="269">
        <v>46224</v>
      </c>
      <c r="C697" s="268" t="s">
        <v>681</v>
      </c>
      <c r="D697" s="274">
        <f>IFERROR(VLOOKUP(C697,'Data Lokasi'!C:D,2,0),"")</f>
        <v>6.35</v>
      </c>
      <c r="E697" s="274" t="s">
        <v>2642</v>
      </c>
      <c r="F697" s="274"/>
      <c r="G697" s="274"/>
      <c r="H697" s="274"/>
      <c r="I697" s="274">
        <v>0.65</v>
      </c>
      <c r="J697" s="456">
        <f t="shared" si="28"/>
        <v>0.65</v>
      </c>
      <c r="K697" s="583"/>
      <c r="L697" s="268" t="s">
        <v>2625</v>
      </c>
      <c r="M697" s="268" t="s">
        <v>2631</v>
      </c>
      <c r="N697" s="278">
        <f>IFERROR(INDEX('Data Lokasi'!S:S,MATCH('Input Real Tanam&amp;Petik Nanas'!C697,'Data Lokasi'!C:C,0)),"")</f>
        <v>45097</v>
      </c>
      <c r="O697" s="278"/>
      <c r="P697" s="283">
        <f>IFERROR(INDEX('Data Lokasi'!V:V,MATCH(C697,'Data Lokasi'!C:C,0)),"")</f>
        <v>0</v>
      </c>
      <c r="Q697" s="304">
        <f t="shared" si="29"/>
        <v>0</v>
      </c>
      <c r="R697" s="308"/>
    </row>
    <row r="698" spans="2:18" ht="15" hidden="1" thickTop="1">
      <c r="B698" s="269">
        <v>46224</v>
      </c>
      <c r="C698" s="268" t="s">
        <v>244</v>
      </c>
      <c r="D698" s="274">
        <f>IFERROR(VLOOKUP(C698,'Data Lokasi'!C:D,2,0),"")</f>
        <v>11.05</v>
      </c>
      <c r="E698" s="274" t="s">
        <v>2642</v>
      </c>
      <c r="F698" s="274"/>
      <c r="G698" s="274"/>
      <c r="H698" s="274">
        <v>1.62</v>
      </c>
      <c r="I698" s="274"/>
      <c r="J698" s="456">
        <f t="shared" si="28"/>
        <v>1.62</v>
      </c>
      <c r="K698" s="583"/>
      <c r="L698" s="268" t="s">
        <v>719</v>
      </c>
      <c r="M698" s="268" t="s">
        <v>2631</v>
      </c>
      <c r="N698" s="278">
        <f>IFERROR(INDEX('Data Lokasi'!S:S,MATCH('Input Real Tanam&amp;Petik Nanas'!C698,'Data Lokasi'!C:C,0)),"")</f>
        <v>44025</v>
      </c>
      <c r="O698" s="278"/>
      <c r="P698" s="283">
        <f>IFERROR(INDEX('Data Lokasi'!V:V,MATCH(C698,'Data Lokasi'!C:C,0)),"")</f>
        <v>0</v>
      </c>
      <c r="Q698" s="304">
        <f t="shared" si="29"/>
        <v>0</v>
      </c>
      <c r="R698" s="308"/>
    </row>
    <row r="699" spans="2:18" ht="15" hidden="1" thickTop="1">
      <c r="B699" s="269">
        <v>46224</v>
      </c>
      <c r="C699" s="268" t="s">
        <v>620</v>
      </c>
      <c r="D699" s="274">
        <f>IFERROR(VLOOKUP(C699,'Data Lokasi'!C:D,2,0),"")</f>
        <v>5.59</v>
      </c>
      <c r="E699" s="274" t="s">
        <v>2642</v>
      </c>
      <c r="F699" s="274"/>
      <c r="G699" s="274"/>
      <c r="H699" s="274"/>
      <c r="I699" s="274">
        <v>0.02</v>
      </c>
      <c r="J699" s="456">
        <f t="shared" si="28"/>
        <v>0.02</v>
      </c>
      <c r="K699" s="583"/>
      <c r="L699" s="268" t="s">
        <v>2625</v>
      </c>
      <c r="M699" s="268" t="s">
        <v>2631</v>
      </c>
      <c r="N699" s="278">
        <f>IFERROR(INDEX('Data Lokasi'!S:S,MATCH('Input Real Tanam&amp;Petik Nanas'!C699,'Data Lokasi'!C:C,0)),"")</f>
        <v>44859</v>
      </c>
      <c r="O699" s="278"/>
      <c r="P699" s="283">
        <f>IFERROR(INDEX('Data Lokasi'!V:V,MATCH(C699,'Data Lokasi'!C:C,0)),"")</f>
        <v>0</v>
      </c>
      <c r="Q699" s="304">
        <f t="shared" si="29"/>
        <v>0</v>
      </c>
      <c r="R699" s="308"/>
    </row>
    <row r="700" spans="2:18" ht="15" hidden="1" thickTop="1">
      <c r="B700" s="269">
        <v>46224</v>
      </c>
      <c r="C700" s="268" t="s">
        <v>232</v>
      </c>
      <c r="D700" s="274">
        <f>IFERROR(VLOOKUP(C700,'Data Lokasi'!C:D,2,0),"")</f>
        <v>8.7799999999999994</v>
      </c>
      <c r="E700" s="274" t="s">
        <v>2642</v>
      </c>
      <c r="F700" s="274"/>
      <c r="G700" s="274"/>
      <c r="H700" s="274"/>
      <c r="I700" s="274">
        <v>0.66</v>
      </c>
      <c r="J700" s="456">
        <f t="shared" si="28"/>
        <v>0.66</v>
      </c>
      <c r="K700" s="583"/>
      <c r="L700" s="268" t="s">
        <v>2625</v>
      </c>
      <c r="M700" s="268" t="s">
        <v>2631</v>
      </c>
      <c r="N700" s="278">
        <f>IFERROR(INDEX('Data Lokasi'!S:S,MATCH('Input Real Tanam&amp;Petik Nanas'!C700,'Data Lokasi'!C:C,0)),"")</f>
        <v>44022</v>
      </c>
      <c r="O700" s="278"/>
      <c r="P700" s="283">
        <f>IFERROR(INDEX('Data Lokasi'!V:V,MATCH(C700,'Data Lokasi'!C:C,0)),"")</f>
        <v>0</v>
      </c>
      <c r="Q700" s="304">
        <f t="shared" si="29"/>
        <v>0</v>
      </c>
      <c r="R700" s="308"/>
    </row>
    <row r="701" spans="2:18" ht="15" hidden="1" thickTop="1">
      <c r="B701" s="269">
        <v>46224</v>
      </c>
      <c r="C701" s="268" t="s">
        <v>234</v>
      </c>
      <c r="D701" s="274">
        <f>IFERROR(VLOOKUP(C701,'Data Lokasi'!C:D,2,0),"")</f>
        <v>5.85</v>
      </c>
      <c r="E701" s="274" t="s">
        <v>2642</v>
      </c>
      <c r="F701" s="274"/>
      <c r="G701" s="274"/>
      <c r="H701" s="274"/>
      <c r="I701" s="274">
        <v>1.0900000000000001</v>
      </c>
      <c r="J701" s="456">
        <f t="shared" si="28"/>
        <v>1.0900000000000001</v>
      </c>
      <c r="K701" s="583"/>
      <c r="L701" s="268" t="s">
        <v>2625</v>
      </c>
      <c r="M701" s="268" t="s">
        <v>2634</v>
      </c>
      <c r="N701" s="278">
        <f>IFERROR(INDEX('Data Lokasi'!S:S,MATCH('Input Real Tanam&amp;Petik Nanas'!C701,'Data Lokasi'!C:C,0)),"")</f>
        <v>44038</v>
      </c>
      <c r="O701" s="278"/>
      <c r="P701" s="283">
        <f>IFERROR(INDEX('Data Lokasi'!V:V,MATCH(C701,'Data Lokasi'!C:C,0)),"")</f>
        <v>0</v>
      </c>
      <c r="Q701" s="304">
        <f t="shared" si="29"/>
        <v>0</v>
      </c>
      <c r="R701" s="308"/>
    </row>
    <row r="702" spans="2:18" ht="15" hidden="1" thickTop="1">
      <c r="B702" s="269">
        <v>46224</v>
      </c>
      <c r="C702" s="268" t="s">
        <v>657</v>
      </c>
      <c r="D702" s="274">
        <f>IFERROR(VLOOKUP(C702,'Data Lokasi'!C:D,2,0),"")</f>
        <v>7.73</v>
      </c>
      <c r="E702" s="274" t="s">
        <v>2642</v>
      </c>
      <c r="F702" s="274"/>
      <c r="G702" s="274"/>
      <c r="H702" s="274"/>
      <c r="I702" s="274">
        <v>7.0000000000000007E-2</v>
      </c>
      <c r="J702" s="456">
        <f t="shared" si="28"/>
        <v>7.0000000000000007E-2</v>
      </c>
      <c r="K702" s="583"/>
      <c r="L702" s="268" t="s">
        <v>2625</v>
      </c>
      <c r="M702" s="268" t="s">
        <v>2634</v>
      </c>
      <c r="N702" s="278">
        <f>IFERROR(INDEX('Data Lokasi'!S:S,MATCH('Input Real Tanam&amp;Petik Nanas'!C702,'Data Lokasi'!C:C,0)),"")</f>
        <v>45003</v>
      </c>
      <c r="O702" s="278"/>
      <c r="P702" s="283">
        <f>IFERROR(INDEX('Data Lokasi'!V:V,MATCH(C702,'Data Lokasi'!C:C,0)),"")</f>
        <v>0</v>
      </c>
      <c r="Q702" s="304">
        <f t="shared" si="29"/>
        <v>0</v>
      </c>
      <c r="R702" s="308"/>
    </row>
    <row r="703" spans="2:18" ht="15" hidden="1" thickTop="1">
      <c r="B703" s="269">
        <v>46224</v>
      </c>
      <c r="C703" s="268" t="s">
        <v>196</v>
      </c>
      <c r="D703" s="274">
        <f>IFERROR(VLOOKUP(C703,'Data Lokasi'!C:D,2,0),"")</f>
        <v>11.7</v>
      </c>
      <c r="E703" s="274" t="s">
        <v>2642</v>
      </c>
      <c r="F703" s="274"/>
      <c r="G703" s="274"/>
      <c r="H703" s="274"/>
      <c r="I703" s="274">
        <v>0.52</v>
      </c>
      <c r="J703" s="456">
        <f t="shared" si="28"/>
        <v>0.52</v>
      </c>
      <c r="K703" s="583"/>
      <c r="L703" s="268" t="s">
        <v>2625</v>
      </c>
      <c r="M703" s="268" t="s">
        <v>2634</v>
      </c>
      <c r="N703" s="278">
        <f>IFERROR(INDEX('Data Lokasi'!S:S,MATCH('Input Real Tanam&amp;Petik Nanas'!C703,'Data Lokasi'!C:C,0)),"")</f>
        <v>43948</v>
      </c>
      <c r="O703" s="278"/>
      <c r="P703" s="283">
        <f>IFERROR(INDEX('Data Lokasi'!V:V,MATCH(C703,'Data Lokasi'!C:C,0)),"")</f>
        <v>0</v>
      </c>
      <c r="Q703" s="304">
        <f t="shared" si="29"/>
        <v>0</v>
      </c>
      <c r="R703" s="308"/>
    </row>
    <row r="704" spans="2:18" ht="15" hidden="1" thickTop="1">
      <c r="B704" s="269">
        <v>46224</v>
      </c>
      <c r="C704" s="268" t="s">
        <v>2678</v>
      </c>
      <c r="D704" s="274">
        <f>IFERROR(VLOOKUP(C704,'Data Lokasi'!C:D,2,0),"")</f>
        <v>1.34</v>
      </c>
      <c r="E704" s="274" t="s">
        <v>2642</v>
      </c>
      <c r="F704" s="274"/>
      <c r="G704" s="274">
        <v>0.24</v>
      </c>
      <c r="H704" s="274"/>
      <c r="I704" s="274"/>
      <c r="J704" s="456">
        <f t="shared" si="28"/>
        <v>0.24</v>
      </c>
      <c r="K704" s="583"/>
      <c r="L704" s="268" t="s">
        <v>719</v>
      </c>
      <c r="M704" s="268" t="s">
        <v>2634</v>
      </c>
      <c r="N704" s="278">
        <f>IFERROR(INDEX('Data Lokasi'!S:S,MATCH('Input Real Tanam&amp;Petik Nanas'!C704,'Data Lokasi'!C:C,0)),"")</f>
        <v>46222</v>
      </c>
      <c r="O704" s="278"/>
      <c r="P704" s="283">
        <f>IFERROR(INDEX('Data Lokasi'!V:V,MATCH(C704,'Data Lokasi'!C:C,0)),"")</f>
        <v>0</v>
      </c>
      <c r="Q704" s="304">
        <f t="shared" si="29"/>
        <v>0</v>
      </c>
      <c r="R704" s="308"/>
    </row>
    <row r="705" spans="2:18" ht="15" hidden="1" thickTop="1">
      <c r="B705" s="269">
        <v>46224</v>
      </c>
      <c r="C705" s="268" t="s">
        <v>687</v>
      </c>
      <c r="D705" s="274">
        <f>IFERROR(VLOOKUP(C705,'Data Lokasi'!C:D,2,0),"")</f>
        <v>10.58</v>
      </c>
      <c r="E705" s="274" t="s">
        <v>2642</v>
      </c>
      <c r="F705" s="274"/>
      <c r="G705" s="274"/>
      <c r="H705" s="274">
        <v>0.28000000000000003</v>
      </c>
      <c r="I705" s="274"/>
      <c r="J705" s="456">
        <f t="shared" si="28"/>
        <v>0.28000000000000003</v>
      </c>
      <c r="K705" s="583"/>
      <c r="L705" s="268" t="s">
        <v>719</v>
      </c>
      <c r="M705" s="268" t="s">
        <v>2634</v>
      </c>
      <c r="N705" s="278">
        <f>IFERROR(INDEX('Data Lokasi'!S:S,MATCH('Input Real Tanam&amp;Petik Nanas'!C705,'Data Lokasi'!C:C,0)),"")</f>
        <v>45105</v>
      </c>
      <c r="O705" s="278"/>
      <c r="P705" s="283">
        <f>IFERROR(INDEX('Data Lokasi'!V:V,MATCH(C705,'Data Lokasi'!C:C,0)),"")</f>
        <v>0</v>
      </c>
      <c r="Q705" s="304">
        <f t="shared" si="29"/>
        <v>0</v>
      </c>
      <c r="R705" s="308"/>
    </row>
    <row r="706" spans="2:18" ht="15" hidden="1" thickTop="1">
      <c r="B706" s="269">
        <v>46224</v>
      </c>
      <c r="C706" s="268" t="s">
        <v>263</v>
      </c>
      <c r="D706" s="274">
        <f>IFERROR(VLOOKUP(C706,'Data Lokasi'!C:D,2,0),"")</f>
        <v>7.7</v>
      </c>
      <c r="E706" s="274" t="s">
        <v>2642</v>
      </c>
      <c r="F706" s="274"/>
      <c r="G706" s="274"/>
      <c r="H706" s="274"/>
      <c r="I706" s="274">
        <v>0.23</v>
      </c>
      <c r="J706" s="456">
        <f t="shared" si="28"/>
        <v>0.23</v>
      </c>
      <c r="K706" s="583"/>
      <c r="L706" s="268" t="s">
        <v>2625</v>
      </c>
      <c r="M706" s="268" t="s">
        <v>2634</v>
      </c>
      <c r="N706" s="278">
        <f>IFERROR(INDEX('Data Lokasi'!S:S,MATCH('Input Real Tanam&amp;Petik Nanas'!C706,'Data Lokasi'!C:C,0)),"")</f>
        <v>44079</v>
      </c>
      <c r="O706" s="278"/>
      <c r="P706" s="283">
        <f>IFERROR(INDEX('Data Lokasi'!V:V,MATCH(C706,'Data Lokasi'!C:C,0)),"")</f>
        <v>0</v>
      </c>
      <c r="Q706" s="304">
        <f t="shared" si="29"/>
        <v>0</v>
      </c>
      <c r="R706" s="308"/>
    </row>
    <row r="707" spans="2:18" ht="15" hidden="1" thickTop="1">
      <c r="B707" s="269">
        <v>46224</v>
      </c>
      <c r="C707" s="268" t="s">
        <v>659</v>
      </c>
      <c r="D707" s="274">
        <f>IFERROR(VLOOKUP(C707,'Data Lokasi'!C:D,2,0),"")</f>
        <v>5.7</v>
      </c>
      <c r="E707" s="274" t="s">
        <v>2642</v>
      </c>
      <c r="F707" s="274"/>
      <c r="G707" s="274"/>
      <c r="H707" s="274"/>
      <c r="I707" s="274">
        <v>0.05</v>
      </c>
      <c r="J707" s="456">
        <f t="shared" si="28"/>
        <v>0.05</v>
      </c>
      <c r="K707" s="583"/>
      <c r="L707" s="268" t="s">
        <v>2625</v>
      </c>
      <c r="M707" s="268" t="s">
        <v>2634</v>
      </c>
      <c r="N707" s="278">
        <f>IFERROR(INDEX('Data Lokasi'!S:S,MATCH('Input Real Tanam&amp;Petik Nanas'!C707,'Data Lokasi'!C:C,0)),"")</f>
        <v>45010</v>
      </c>
      <c r="O707" s="278"/>
      <c r="P707" s="283">
        <f>IFERROR(INDEX('Data Lokasi'!V:V,MATCH(C707,'Data Lokasi'!C:C,0)),"")</f>
        <v>0</v>
      </c>
      <c r="Q707" s="304">
        <f t="shared" si="29"/>
        <v>0</v>
      </c>
      <c r="R707" s="308"/>
    </row>
    <row r="708" spans="2:18" ht="15" hidden="1" thickTop="1">
      <c r="B708" s="269">
        <v>46224</v>
      </c>
      <c r="C708" s="268" t="s">
        <v>665</v>
      </c>
      <c r="D708" s="274">
        <f>IFERROR(VLOOKUP(C708,'Data Lokasi'!C:D,2,0),"")</f>
        <v>4.68</v>
      </c>
      <c r="E708" s="274" t="s">
        <v>2642</v>
      </c>
      <c r="F708" s="274"/>
      <c r="G708" s="274"/>
      <c r="H708" s="274"/>
      <c r="I708" s="274">
        <v>0.4</v>
      </c>
      <c r="J708" s="456">
        <f t="shared" si="28"/>
        <v>0.4</v>
      </c>
      <c r="K708" s="583"/>
      <c r="L708" s="268" t="s">
        <v>2625</v>
      </c>
      <c r="M708" s="268" t="s">
        <v>2634</v>
      </c>
      <c r="N708" s="278">
        <f>IFERROR(INDEX('Data Lokasi'!S:S,MATCH('Input Real Tanam&amp;Petik Nanas'!C708,'Data Lokasi'!C:C,0)),"")</f>
        <v>45061</v>
      </c>
      <c r="O708" s="278"/>
      <c r="P708" s="283">
        <f>IFERROR(INDEX('Data Lokasi'!V:V,MATCH(C708,'Data Lokasi'!C:C,0)),"")</f>
        <v>0</v>
      </c>
      <c r="Q708" s="304">
        <f t="shared" si="29"/>
        <v>0</v>
      </c>
      <c r="R708" s="308"/>
    </row>
    <row r="709" spans="2:18" ht="15" hidden="1" thickTop="1">
      <c r="B709" s="269">
        <v>46224</v>
      </c>
      <c r="C709" s="268" t="s">
        <v>294</v>
      </c>
      <c r="D709" s="274">
        <f>IFERROR(VLOOKUP(C709,'Data Lokasi'!C:D,2,0),"")</f>
        <v>6.93</v>
      </c>
      <c r="E709" s="274" t="s">
        <v>2642</v>
      </c>
      <c r="F709" s="274"/>
      <c r="G709" s="274"/>
      <c r="H709" s="274">
        <v>0.12</v>
      </c>
      <c r="I709" s="274"/>
      <c r="J709" s="456">
        <f t="shared" si="28"/>
        <v>0.12</v>
      </c>
      <c r="K709" s="583"/>
      <c r="L709" s="268" t="s">
        <v>719</v>
      </c>
      <c r="M709" s="268" t="s">
        <v>2634</v>
      </c>
      <c r="N709" s="278">
        <f>IFERROR(INDEX('Data Lokasi'!S:S,MATCH('Input Real Tanam&amp;Petik Nanas'!C709,'Data Lokasi'!C:C,0)),"")</f>
        <v>44139</v>
      </c>
      <c r="O709" s="278"/>
      <c r="P709" s="283">
        <f>IFERROR(INDEX('Data Lokasi'!V:V,MATCH(C709,'Data Lokasi'!C:C,0)),"")</f>
        <v>0</v>
      </c>
      <c r="Q709" s="304">
        <f t="shared" si="29"/>
        <v>0</v>
      </c>
      <c r="R709" s="308"/>
    </row>
    <row r="710" spans="2:18" ht="15" hidden="1" thickTop="1">
      <c r="B710" s="269">
        <v>46224</v>
      </c>
      <c r="C710" s="268" t="s">
        <v>395</v>
      </c>
      <c r="D710" s="274">
        <f>IFERROR(VLOOKUP(C710,'Data Lokasi'!C:D,2,0),"")</f>
        <v>6.32</v>
      </c>
      <c r="E710" s="274" t="s">
        <v>2643</v>
      </c>
      <c r="F710" s="274"/>
      <c r="G710" s="274">
        <v>0.01</v>
      </c>
      <c r="H710" s="274">
        <f>0.05+0.11</f>
        <v>0.16</v>
      </c>
      <c r="I710" s="274"/>
      <c r="J710" s="456">
        <f t="shared" si="28"/>
        <v>0.17</v>
      </c>
      <c r="K710" s="583"/>
      <c r="L710" s="268" t="s">
        <v>719</v>
      </c>
      <c r="M710" s="268" t="s">
        <v>2634</v>
      </c>
      <c r="N710" s="278">
        <f>IFERROR(INDEX('Data Lokasi'!S:S,MATCH('Input Real Tanam&amp;Petik Nanas'!C710,'Data Lokasi'!C:C,0)),"")</f>
        <v>44369</v>
      </c>
      <c r="O710" s="278"/>
      <c r="P710" s="283">
        <f>IFERROR(INDEX('Data Lokasi'!V:V,MATCH(C710,'Data Lokasi'!C:C,0)),"")</f>
        <v>0</v>
      </c>
      <c r="Q710" s="304">
        <f t="shared" si="29"/>
        <v>0</v>
      </c>
      <c r="R710" s="308">
        <v>5</v>
      </c>
    </row>
    <row r="711" spans="2:18" ht="15" hidden="1" thickTop="1">
      <c r="B711" s="269">
        <v>46224</v>
      </c>
      <c r="C711" s="317" t="s">
        <v>135</v>
      </c>
      <c r="D711" s="274">
        <f>IFERROR(VLOOKUP(C711,'Data Lokasi'!C:D,2,0),"")</f>
        <v>6.91</v>
      </c>
      <c r="E711" s="274" t="s">
        <v>2643</v>
      </c>
      <c r="F711" s="274"/>
      <c r="G711" s="274"/>
      <c r="H711" s="274"/>
      <c r="I711" s="274">
        <v>2.4500000000000002</v>
      </c>
      <c r="J711" s="456">
        <f t="shared" si="28"/>
        <v>2.4500000000000002</v>
      </c>
      <c r="K711" s="583"/>
      <c r="L711" s="268" t="s">
        <v>2625</v>
      </c>
      <c r="M711" s="268" t="s">
        <v>2634</v>
      </c>
      <c r="N711" s="278">
        <f>IFERROR(INDEX('Data Lokasi'!S:S,MATCH('Input Real Tanam&amp;Petik Nanas'!C711,'Data Lokasi'!C:C,0)),"")</f>
        <v>0</v>
      </c>
      <c r="O711" s="278"/>
      <c r="P711" s="283">
        <f>IFERROR(INDEX('Data Lokasi'!V:V,MATCH(C711,'Data Lokasi'!C:C,0)),"")</f>
        <v>0</v>
      </c>
      <c r="Q711" s="304">
        <f t="shared" si="29"/>
        <v>0</v>
      </c>
      <c r="R711" s="308"/>
    </row>
    <row r="712" spans="2:18" ht="15" hidden="1" thickTop="1">
      <c r="B712" s="269">
        <v>46224</v>
      </c>
      <c r="C712" s="268" t="s">
        <v>445</v>
      </c>
      <c r="D712" s="274">
        <f>IFERROR(VLOOKUP(C712,'Data Lokasi'!C:D,2,0),"")</f>
        <v>10.65</v>
      </c>
      <c r="E712" s="274" t="s">
        <v>2643</v>
      </c>
      <c r="F712" s="274"/>
      <c r="G712" s="274"/>
      <c r="H712" s="274">
        <f>0.004+0.01</f>
        <v>1.4E-2</v>
      </c>
      <c r="I712" s="274">
        <f>0.03+0.1</f>
        <v>0.13</v>
      </c>
      <c r="J712" s="456">
        <f t="shared" si="28"/>
        <v>0.14400000000000002</v>
      </c>
      <c r="K712" s="583"/>
      <c r="L712" s="268" t="s">
        <v>719</v>
      </c>
      <c r="M712" s="268" t="s">
        <v>2631</v>
      </c>
      <c r="N712" s="278">
        <f>IFERROR(INDEX('Data Lokasi'!S:S,MATCH('Input Real Tanam&amp;Petik Nanas'!C712,'Data Lokasi'!C:C,0)),"")</f>
        <v>46292</v>
      </c>
      <c r="O712" s="278"/>
      <c r="P712" s="283">
        <f>IFERROR(INDEX('Data Lokasi'!V:V,MATCH(C712,'Data Lokasi'!C:C,0)),"")</f>
        <v>10.52</v>
      </c>
      <c r="Q712" s="304">
        <f t="shared" si="29"/>
        <v>0.98779342723004693</v>
      </c>
      <c r="R712" s="308">
        <v>9</v>
      </c>
    </row>
    <row r="713" spans="2:18" ht="15" hidden="1" thickTop="1">
      <c r="B713" s="269">
        <v>46225</v>
      </c>
      <c r="C713" s="268" t="s">
        <v>346</v>
      </c>
      <c r="D713" s="274">
        <f>IFERROR(VLOOKUP(C713,'Data Lokasi'!C:D,2,0),"")</f>
        <v>5.62</v>
      </c>
      <c r="E713" s="274" t="s">
        <v>2643</v>
      </c>
      <c r="F713" s="274"/>
      <c r="G713" s="274"/>
      <c r="H713" s="274">
        <v>0.08</v>
      </c>
      <c r="I713" s="274">
        <f>0.24+0.43</f>
        <v>0.66999999999999993</v>
      </c>
      <c r="J713" s="456">
        <f t="shared" si="28"/>
        <v>0.74999999999999989</v>
      </c>
      <c r="K713" s="583"/>
      <c r="L713" s="268" t="s">
        <v>719</v>
      </c>
      <c r="M713" s="268" t="s">
        <v>2634</v>
      </c>
      <c r="N713" s="278">
        <f>IFERROR(INDEX('Data Lokasi'!S:S,MATCH('Input Real Tanam&amp;Petik Nanas'!C713,'Data Lokasi'!C:C,0)),"")</f>
        <v>44258</v>
      </c>
      <c r="O713" s="278"/>
      <c r="P713" s="283">
        <f>IFERROR(INDEX('Data Lokasi'!V:V,MATCH(C713,'Data Lokasi'!C:C,0)),"")</f>
        <v>0</v>
      </c>
      <c r="Q713" s="304">
        <f t="shared" si="29"/>
        <v>0</v>
      </c>
      <c r="R713" s="308">
        <v>9</v>
      </c>
    </row>
    <row r="714" spans="2:18" ht="15" hidden="1" thickTop="1">
      <c r="B714" s="269">
        <v>46225</v>
      </c>
      <c r="C714" s="268" t="s">
        <v>448</v>
      </c>
      <c r="D714" s="274">
        <f>IFERROR(VLOOKUP(C714,'Data Lokasi'!C:D,2,0),"")</f>
        <v>11.22</v>
      </c>
      <c r="E714" s="274" t="s">
        <v>2643</v>
      </c>
      <c r="F714" s="274"/>
      <c r="G714" s="274"/>
      <c r="H714" s="274"/>
      <c r="I714" s="274">
        <v>3.52</v>
      </c>
      <c r="J714" s="456">
        <f t="shared" si="28"/>
        <v>3.52</v>
      </c>
      <c r="K714" s="583"/>
      <c r="L714" s="268" t="s">
        <v>2625</v>
      </c>
      <c r="M714" s="268" t="s">
        <v>2634</v>
      </c>
      <c r="N714" s="278">
        <f>IFERROR(INDEX('Data Lokasi'!S:S,MATCH('Input Real Tanam&amp;Petik Nanas'!C714,'Data Lokasi'!C:C,0)),"")</f>
        <v>44456</v>
      </c>
      <c r="O714" s="278"/>
      <c r="P714" s="283">
        <f>IFERROR(INDEX('Data Lokasi'!V:V,MATCH(C714,'Data Lokasi'!C:C,0)),"")</f>
        <v>0</v>
      </c>
      <c r="Q714" s="304">
        <f t="shared" si="29"/>
        <v>0</v>
      </c>
      <c r="R714" s="308"/>
    </row>
    <row r="715" spans="2:18" ht="15" hidden="1" thickTop="1">
      <c r="B715" s="269">
        <v>46225</v>
      </c>
      <c r="C715" s="268" t="s">
        <v>395</v>
      </c>
      <c r="D715" s="274">
        <f>IFERROR(VLOOKUP(C715,'Data Lokasi'!C:D,2,0),"")</f>
        <v>6.32</v>
      </c>
      <c r="E715" s="274" t="s">
        <v>2643</v>
      </c>
      <c r="F715" s="274"/>
      <c r="G715" s="274">
        <v>0.02</v>
      </c>
      <c r="H715" s="274">
        <f>0.06+0.15</f>
        <v>0.21</v>
      </c>
      <c r="I715" s="274"/>
      <c r="J715" s="456">
        <f t="shared" si="28"/>
        <v>0.22999999999999998</v>
      </c>
      <c r="K715" s="583"/>
      <c r="L715" s="268" t="s">
        <v>719</v>
      </c>
      <c r="M715" s="268" t="s">
        <v>2634</v>
      </c>
      <c r="N715" s="278">
        <f>IFERROR(INDEX('Data Lokasi'!S:S,MATCH('Input Real Tanam&amp;Petik Nanas'!C715,'Data Lokasi'!C:C,0)),"")</f>
        <v>44369</v>
      </c>
      <c r="O715" s="278"/>
      <c r="P715" s="283">
        <f>IFERROR(INDEX('Data Lokasi'!V:V,MATCH(C715,'Data Lokasi'!C:C,0)),"")</f>
        <v>0</v>
      </c>
      <c r="Q715" s="304">
        <f t="shared" si="29"/>
        <v>0</v>
      </c>
      <c r="R715" s="308">
        <v>4</v>
      </c>
    </row>
    <row r="716" spans="2:18" ht="15" hidden="1" thickTop="1">
      <c r="B716" s="269">
        <v>46225</v>
      </c>
      <c r="C716" s="268" t="s">
        <v>550</v>
      </c>
      <c r="D716" s="274">
        <f>IFERROR(VLOOKUP(C716,'Data Lokasi'!C:D,2,0),"")</f>
        <v>5.83</v>
      </c>
      <c r="E716" s="274" t="s">
        <v>2643</v>
      </c>
      <c r="F716" s="274"/>
      <c r="G716" s="274"/>
      <c r="H716" s="274"/>
      <c r="I716" s="274">
        <v>0.56999999999999995</v>
      </c>
      <c r="J716" s="456">
        <f t="shared" si="28"/>
        <v>0.56999999999999995</v>
      </c>
      <c r="K716" s="583"/>
      <c r="L716" s="268" t="s">
        <v>2625</v>
      </c>
      <c r="M716" s="268" t="s">
        <v>2631</v>
      </c>
      <c r="N716" s="278">
        <f>IFERROR(INDEX('Data Lokasi'!S:S,MATCH('Input Real Tanam&amp;Petik Nanas'!C716,'Data Lokasi'!C:C,0)),"")</f>
        <v>44674</v>
      </c>
      <c r="O716" s="278"/>
      <c r="P716" s="283">
        <f>IFERROR(INDEX('Data Lokasi'!V:V,MATCH(C716,'Data Lokasi'!C:C,0)),"")</f>
        <v>0</v>
      </c>
      <c r="Q716" s="304">
        <f t="shared" si="29"/>
        <v>0</v>
      </c>
      <c r="R716" s="308"/>
    </row>
    <row r="717" spans="2:18" ht="15" hidden="1" thickTop="1">
      <c r="B717" s="269">
        <v>46225</v>
      </c>
      <c r="C717" s="268" t="s">
        <v>542</v>
      </c>
      <c r="D717" s="274">
        <f>IFERROR(VLOOKUP(C717,'Data Lokasi'!C:D,2,0),"")</f>
        <v>5.09</v>
      </c>
      <c r="E717" s="274" t="s">
        <v>2643</v>
      </c>
      <c r="F717" s="274"/>
      <c r="G717" s="274"/>
      <c r="H717" s="274"/>
      <c r="I717" s="274">
        <v>0.36</v>
      </c>
      <c r="J717" s="456">
        <f t="shared" si="28"/>
        <v>0.36</v>
      </c>
      <c r="K717" s="583"/>
      <c r="L717" s="268" t="s">
        <v>2625</v>
      </c>
      <c r="M717" s="268" t="s">
        <v>2631</v>
      </c>
      <c r="N717" s="278">
        <f>IFERROR(INDEX('Data Lokasi'!S:S,MATCH('Input Real Tanam&amp;Petik Nanas'!C717,'Data Lokasi'!C:C,0)),"")</f>
        <v>44649</v>
      </c>
      <c r="O717" s="278"/>
      <c r="P717" s="283">
        <f>IFERROR(INDEX('Data Lokasi'!V:V,MATCH(C717,'Data Lokasi'!C:C,0)),"")</f>
        <v>0</v>
      </c>
      <c r="Q717" s="304">
        <f t="shared" si="29"/>
        <v>0</v>
      </c>
      <c r="R717" s="308"/>
    </row>
    <row r="718" spans="2:18" ht="15" hidden="1" thickTop="1">
      <c r="B718" s="269">
        <v>46225</v>
      </c>
      <c r="C718" s="268" t="s">
        <v>425</v>
      </c>
      <c r="D718" s="274">
        <f>IFERROR(VLOOKUP(C718,'Data Lokasi'!C:D,2,0),"")</f>
        <v>8.85</v>
      </c>
      <c r="E718" s="274" t="s">
        <v>2643</v>
      </c>
      <c r="F718" s="274">
        <v>0.01</v>
      </c>
      <c r="G718" s="274">
        <f>0.009+0.006</f>
        <v>1.4999999999999999E-2</v>
      </c>
      <c r="H718" s="274">
        <v>1E-3</v>
      </c>
      <c r="I718" s="274"/>
      <c r="J718" s="456">
        <f t="shared" si="28"/>
        <v>2.6000000000000002E-2</v>
      </c>
      <c r="K718" s="583"/>
      <c r="L718" s="268" t="s">
        <v>719</v>
      </c>
      <c r="M718" s="268" t="s">
        <v>2631</v>
      </c>
      <c r="N718" s="278">
        <f>IFERROR(INDEX('Data Lokasi'!S:S,MATCH('Input Real Tanam&amp;Petik Nanas'!C718,'Data Lokasi'!C:C,0)),"")</f>
        <v>44389</v>
      </c>
      <c r="O718" s="278"/>
      <c r="P718" s="283">
        <f>IFERROR(INDEX('Data Lokasi'!V:V,MATCH(C718,'Data Lokasi'!C:C,0)),"")</f>
        <v>0</v>
      </c>
      <c r="Q718" s="304">
        <f t="shared" si="29"/>
        <v>0</v>
      </c>
      <c r="R718" s="308">
        <v>3</v>
      </c>
    </row>
    <row r="719" spans="2:18" ht="15" hidden="1" thickTop="1">
      <c r="B719" s="269">
        <v>46225</v>
      </c>
      <c r="C719" s="268" t="s">
        <v>441</v>
      </c>
      <c r="D719" s="274">
        <f>IFERROR(VLOOKUP(C719,'Data Lokasi'!C:D,2,0),"")</f>
        <v>11.2</v>
      </c>
      <c r="E719" s="274" t="s">
        <v>2643</v>
      </c>
      <c r="F719" s="274">
        <v>0.02</v>
      </c>
      <c r="G719" s="274">
        <v>0.04</v>
      </c>
      <c r="H719" s="274">
        <v>0.04</v>
      </c>
      <c r="I719" s="274"/>
      <c r="J719" s="456">
        <f t="shared" si="28"/>
        <v>0.1</v>
      </c>
      <c r="K719" s="583"/>
      <c r="L719" s="268" t="s">
        <v>719</v>
      </c>
      <c r="M719" s="268" t="s">
        <v>2631</v>
      </c>
      <c r="N719" s="278">
        <f>IFERROR(INDEX('Data Lokasi'!S:S,MATCH('Input Real Tanam&amp;Petik Nanas'!C719,'Data Lokasi'!C:C,0)),"")</f>
        <v>44429</v>
      </c>
      <c r="O719" s="278"/>
      <c r="P719" s="283">
        <f>IFERROR(INDEX('Data Lokasi'!V:V,MATCH(C719,'Data Lokasi'!C:C,0)),"")</f>
        <v>0</v>
      </c>
      <c r="Q719" s="304">
        <f t="shared" si="29"/>
        <v>0</v>
      </c>
      <c r="R719" s="308">
        <v>3</v>
      </c>
    </row>
    <row r="720" spans="2:18" ht="15" hidden="1" thickTop="1">
      <c r="B720" s="269">
        <v>46225</v>
      </c>
      <c r="C720" s="268" t="s">
        <v>244</v>
      </c>
      <c r="D720" s="274">
        <f>IFERROR(VLOOKUP(C720,'Data Lokasi'!C:D,2,0),"")</f>
        <v>11.05</v>
      </c>
      <c r="E720" s="274" t="s">
        <v>2642</v>
      </c>
      <c r="F720" s="274"/>
      <c r="G720" s="274"/>
      <c r="H720" s="274"/>
      <c r="I720" s="274">
        <v>0.46</v>
      </c>
      <c r="J720" s="456">
        <f t="shared" si="28"/>
        <v>0.46</v>
      </c>
      <c r="K720" s="583"/>
      <c r="L720" s="268" t="s">
        <v>2625</v>
      </c>
      <c r="M720" s="268" t="s">
        <v>2631</v>
      </c>
      <c r="N720" s="278">
        <f>IFERROR(INDEX('Data Lokasi'!S:S,MATCH('Input Real Tanam&amp;Petik Nanas'!C720,'Data Lokasi'!C:C,0)),"")</f>
        <v>44025</v>
      </c>
      <c r="O720" s="278"/>
      <c r="P720" s="283">
        <f>IFERROR(INDEX('Data Lokasi'!V:V,MATCH(C720,'Data Lokasi'!C:C,0)),"")</f>
        <v>0</v>
      </c>
      <c r="Q720" s="304">
        <f t="shared" si="29"/>
        <v>0</v>
      </c>
      <c r="R720" s="308"/>
    </row>
    <row r="721" spans="2:18" ht="15" hidden="1" thickTop="1">
      <c r="B721" s="269">
        <v>46225</v>
      </c>
      <c r="C721" s="268" t="s">
        <v>681</v>
      </c>
      <c r="D721" s="274">
        <f>IFERROR(VLOOKUP(C721,'Data Lokasi'!C:D,2,0),"")</f>
        <v>6.35</v>
      </c>
      <c r="E721" s="274" t="s">
        <v>2642</v>
      </c>
      <c r="F721" s="274"/>
      <c r="G721" s="274"/>
      <c r="H721" s="274"/>
      <c r="I721" s="274">
        <v>0.13</v>
      </c>
      <c r="J721" s="456">
        <f t="shared" si="28"/>
        <v>0.13</v>
      </c>
      <c r="K721" s="583"/>
      <c r="L721" s="268" t="s">
        <v>2625</v>
      </c>
      <c r="M721" s="268" t="s">
        <v>2631</v>
      </c>
      <c r="N721" s="278">
        <f>IFERROR(INDEX('Data Lokasi'!S:S,MATCH('Input Real Tanam&amp;Petik Nanas'!C721,'Data Lokasi'!C:C,0)),"")</f>
        <v>45097</v>
      </c>
      <c r="O721" s="278"/>
      <c r="P721" s="283">
        <f>IFERROR(INDEX('Data Lokasi'!V:V,MATCH(C721,'Data Lokasi'!C:C,0)),"")</f>
        <v>0</v>
      </c>
      <c r="Q721" s="304">
        <f t="shared" si="29"/>
        <v>0</v>
      </c>
      <c r="R721" s="308"/>
    </row>
    <row r="722" spans="2:18" ht="15" hidden="1" thickTop="1">
      <c r="B722" s="269">
        <v>46225</v>
      </c>
      <c r="C722" s="375" t="s">
        <v>121</v>
      </c>
      <c r="D722" s="274">
        <f>IFERROR(VLOOKUP(C722,'Data Lokasi'!C:D,2,0),"")</f>
        <v>4.67</v>
      </c>
      <c r="E722" s="274" t="s">
        <v>2642</v>
      </c>
      <c r="F722" s="274"/>
      <c r="G722" s="274"/>
      <c r="H722" s="274"/>
      <c r="I722" s="274">
        <v>0.13</v>
      </c>
      <c r="J722" s="456">
        <f t="shared" si="28"/>
        <v>0.13</v>
      </c>
      <c r="K722" s="583"/>
      <c r="L722" s="268" t="s">
        <v>2625</v>
      </c>
      <c r="M722" s="268" t="s">
        <v>2631</v>
      </c>
      <c r="N722" s="278">
        <f>IFERROR(INDEX('Data Lokasi'!S:S,MATCH('Input Real Tanam&amp;Petik Nanas'!C722,'Data Lokasi'!C:C,0)),"")</f>
        <v>45267</v>
      </c>
      <c r="O722" s="278"/>
      <c r="P722" s="283">
        <f>IFERROR(INDEX('Data Lokasi'!V:V,MATCH(C722,'Data Lokasi'!C:C,0)),"")</f>
        <v>0</v>
      </c>
      <c r="Q722" s="304">
        <f t="shared" si="29"/>
        <v>0</v>
      </c>
      <c r="R722" s="308"/>
    </row>
    <row r="723" spans="2:18" ht="15" hidden="1" thickTop="1">
      <c r="B723" s="269">
        <v>46225</v>
      </c>
      <c r="C723" s="375" t="s">
        <v>700</v>
      </c>
      <c r="D723" s="274">
        <f>IFERROR(VLOOKUP(C723,'Data Lokasi'!C:D,2,0),"")</f>
        <v>8.44</v>
      </c>
      <c r="E723" s="274" t="s">
        <v>2642</v>
      </c>
      <c r="F723" s="274"/>
      <c r="G723" s="274"/>
      <c r="H723" s="274"/>
      <c r="I723" s="274">
        <v>0.08</v>
      </c>
      <c r="J723" s="456">
        <f t="shared" si="28"/>
        <v>0.08</v>
      </c>
      <c r="K723" s="583"/>
      <c r="L723" s="268" t="s">
        <v>2625</v>
      </c>
      <c r="M723" s="268" t="s">
        <v>2631</v>
      </c>
      <c r="N723" s="278">
        <f>IFERROR(INDEX('Data Lokasi'!S:S,MATCH('Input Real Tanam&amp;Petik Nanas'!C723,'Data Lokasi'!C:C,0)),"")</f>
        <v>45166</v>
      </c>
      <c r="O723" s="278"/>
      <c r="P723" s="283">
        <f>IFERROR(INDEX('Data Lokasi'!V:V,MATCH(C723,'Data Lokasi'!C:C,0)),"")</f>
        <v>0</v>
      </c>
      <c r="Q723" s="304">
        <f t="shared" si="29"/>
        <v>0</v>
      </c>
      <c r="R723" s="308"/>
    </row>
    <row r="724" spans="2:18" ht="15" hidden="1" thickTop="1">
      <c r="B724" s="269">
        <v>46225</v>
      </c>
      <c r="C724" s="268" t="s">
        <v>106</v>
      </c>
      <c r="D724" s="274">
        <f>IFERROR(VLOOKUP(C724,'Data Lokasi'!C:D,2,0),"")</f>
        <v>3.86</v>
      </c>
      <c r="E724" s="274" t="s">
        <v>2642</v>
      </c>
      <c r="F724" s="274"/>
      <c r="G724" s="274"/>
      <c r="H724" s="274"/>
      <c r="I724" s="274">
        <v>0.47</v>
      </c>
      <c r="J724" s="456">
        <f t="shared" si="28"/>
        <v>0.47</v>
      </c>
      <c r="K724" s="583"/>
      <c r="L724" s="268" t="s">
        <v>2625</v>
      </c>
      <c r="M724" s="268" t="s">
        <v>2631</v>
      </c>
      <c r="N724" s="278">
        <f>IFERROR(INDEX('Data Lokasi'!S:S,MATCH('Input Real Tanam&amp;Petik Nanas'!C724,'Data Lokasi'!C:C,0)),"")</f>
        <v>45241</v>
      </c>
      <c r="O724" s="278"/>
      <c r="P724" s="283">
        <f>IFERROR(INDEX('Data Lokasi'!V:V,MATCH(C724,'Data Lokasi'!C:C,0)),"")</f>
        <v>0</v>
      </c>
      <c r="Q724" s="304">
        <f t="shared" si="29"/>
        <v>0</v>
      </c>
      <c r="R724" s="308"/>
    </row>
    <row r="725" spans="2:18" ht="15" hidden="1" thickTop="1">
      <c r="B725" s="269">
        <v>46225</v>
      </c>
      <c r="C725" s="268" t="s">
        <v>196</v>
      </c>
      <c r="D725" s="274">
        <f>IFERROR(VLOOKUP(C725,'Data Lokasi'!C:D,2,0),"")</f>
        <v>11.7</v>
      </c>
      <c r="E725" s="274" t="s">
        <v>2642</v>
      </c>
      <c r="F725" s="274"/>
      <c r="G725" s="274"/>
      <c r="H725" s="274"/>
      <c r="I725" s="274">
        <v>1</v>
      </c>
      <c r="J725" s="456">
        <f t="shared" si="28"/>
        <v>1</v>
      </c>
      <c r="K725" s="583"/>
      <c r="L725" s="268" t="s">
        <v>2625</v>
      </c>
      <c r="M725" s="268" t="s">
        <v>2631</v>
      </c>
      <c r="N725" s="278">
        <f>IFERROR(INDEX('Data Lokasi'!S:S,MATCH('Input Real Tanam&amp;Petik Nanas'!C725,'Data Lokasi'!C:C,0)),"")</f>
        <v>43948</v>
      </c>
      <c r="O725" s="278"/>
      <c r="P725" s="283">
        <f>IFERROR(INDEX('Data Lokasi'!V:V,MATCH(C725,'Data Lokasi'!C:C,0)),"")</f>
        <v>0</v>
      </c>
      <c r="Q725" s="304">
        <f t="shared" si="29"/>
        <v>0</v>
      </c>
      <c r="R725" s="308"/>
    </row>
    <row r="726" spans="2:18" ht="15" hidden="1" thickTop="1">
      <c r="B726" s="269">
        <v>46225</v>
      </c>
      <c r="C726" s="268" t="s">
        <v>232</v>
      </c>
      <c r="D726" s="274">
        <f>IFERROR(VLOOKUP(C726,'Data Lokasi'!C:D,2,0),"")</f>
        <v>8.7799999999999994</v>
      </c>
      <c r="E726" s="274" t="s">
        <v>2642</v>
      </c>
      <c r="F726" s="274"/>
      <c r="G726" s="274"/>
      <c r="H726" s="274"/>
      <c r="I726" s="274">
        <v>0.51</v>
      </c>
      <c r="J726" s="456">
        <f t="shared" si="28"/>
        <v>0.51</v>
      </c>
      <c r="K726" s="583"/>
      <c r="L726" s="268" t="s">
        <v>2625</v>
      </c>
      <c r="M726" s="268" t="s">
        <v>2631</v>
      </c>
      <c r="N726" s="278">
        <f>IFERROR(INDEX('Data Lokasi'!S:S,MATCH('Input Real Tanam&amp;Petik Nanas'!C726,'Data Lokasi'!C:C,0)),"")</f>
        <v>44022</v>
      </c>
      <c r="O726" s="278"/>
      <c r="P726" s="283">
        <f>IFERROR(INDEX('Data Lokasi'!V:V,MATCH(C726,'Data Lokasi'!C:C,0)),"")</f>
        <v>0</v>
      </c>
      <c r="Q726" s="304">
        <f t="shared" si="29"/>
        <v>0</v>
      </c>
      <c r="R726" s="308"/>
    </row>
    <row r="727" spans="2:18" ht="15" hidden="1" thickTop="1">
      <c r="B727" s="269">
        <v>46225</v>
      </c>
      <c r="C727" s="268" t="s">
        <v>620</v>
      </c>
      <c r="D727" s="274">
        <f>IFERROR(VLOOKUP(C727,'Data Lokasi'!C:D,2,0),"")</f>
        <v>5.59</v>
      </c>
      <c r="E727" s="274" t="s">
        <v>2642</v>
      </c>
      <c r="F727" s="274"/>
      <c r="G727" s="274"/>
      <c r="H727" s="274"/>
      <c r="I727" s="274">
        <v>0.12</v>
      </c>
      <c r="J727" s="456">
        <f t="shared" si="28"/>
        <v>0.12</v>
      </c>
      <c r="K727" s="583"/>
      <c r="L727" s="268" t="s">
        <v>2625</v>
      </c>
      <c r="M727" s="268" t="s">
        <v>2631</v>
      </c>
      <c r="N727" s="278">
        <f>IFERROR(INDEX('Data Lokasi'!S:S,MATCH('Input Real Tanam&amp;Petik Nanas'!C727,'Data Lokasi'!C:C,0)),"")</f>
        <v>44859</v>
      </c>
      <c r="O727" s="278"/>
      <c r="P727" s="283">
        <f>IFERROR(INDEX('Data Lokasi'!V:V,MATCH(C727,'Data Lokasi'!C:C,0)),"")</f>
        <v>0</v>
      </c>
      <c r="Q727" s="304">
        <f t="shared" si="29"/>
        <v>0</v>
      </c>
      <c r="R727" s="308"/>
    </row>
    <row r="728" spans="2:18" ht="15" hidden="1" thickTop="1">
      <c r="B728" s="269">
        <v>46225</v>
      </c>
      <c r="C728" s="268" t="s">
        <v>688</v>
      </c>
      <c r="D728" s="274">
        <f>IFERROR(VLOOKUP(C728,'Data Lokasi'!C:D,2,0),"")</f>
        <v>7.73</v>
      </c>
      <c r="E728" s="274" t="s">
        <v>2642</v>
      </c>
      <c r="F728" s="274"/>
      <c r="G728" s="274"/>
      <c r="H728" s="274"/>
      <c r="I728" s="274">
        <v>0.1</v>
      </c>
      <c r="J728" s="456">
        <f t="shared" si="28"/>
        <v>0.1</v>
      </c>
      <c r="K728" s="583"/>
      <c r="L728" s="268" t="s">
        <v>2625</v>
      </c>
      <c r="M728" s="268" t="s">
        <v>2631</v>
      </c>
      <c r="N728" s="278">
        <f>IFERROR(INDEX('Data Lokasi'!S:S,MATCH('Input Real Tanam&amp;Petik Nanas'!C728,'Data Lokasi'!C:C,0)),"")</f>
        <v>45119</v>
      </c>
      <c r="O728" s="278"/>
      <c r="P728" s="283">
        <f>IFERROR(INDEX('Data Lokasi'!V:V,MATCH(C728,'Data Lokasi'!C:C,0)),"")</f>
        <v>0</v>
      </c>
      <c r="Q728" s="304">
        <f t="shared" si="29"/>
        <v>0</v>
      </c>
      <c r="R728" s="308"/>
    </row>
    <row r="729" spans="2:18" ht="15" hidden="1" thickTop="1">
      <c r="B729" s="269">
        <v>46225</v>
      </c>
      <c r="C729" s="268" t="s">
        <v>687</v>
      </c>
      <c r="D729" s="274">
        <f>IFERROR(VLOOKUP(C729,'Data Lokasi'!C:D,2,0),"")</f>
        <v>10.58</v>
      </c>
      <c r="E729" s="274" t="s">
        <v>2642</v>
      </c>
      <c r="F729" s="274"/>
      <c r="G729" s="274"/>
      <c r="H729" s="274">
        <v>0.16</v>
      </c>
      <c r="I729" s="274"/>
      <c r="J729" s="456">
        <f t="shared" si="28"/>
        <v>0.16</v>
      </c>
      <c r="K729" s="583"/>
      <c r="L729" s="268" t="s">
        <v>719</v>
      </c>
      <c r="M729" s="268" t="s">
        <v>2634</v>
      </c>
      <c r="N729" s="278">
        <f>IFERROR(INDEX('Data Lokasi'!S:S,MATCH('Input Real Tanam&amp;Petik Nanas'!C729,'Data Lokasi'!C:C,0)),"")</f>
        <v>45105</v>
      </c>
      <c r="O729" s="278"/>
      <c r="P729" s="283">
        <f>IFERROR(INDEX('Data Lokasi'!V:V,MATCH(C729,'Data Lokasi'!C:C,0)),"")</f>
        <v>0</v>
      </c>
      <c r="Q729" s="304">
        <f t="shared" si="29"/>
        <v>0</v>
      </c>
      <c r="R729" s="308"/>
    </row>
    <row r="730" spans="2:18" ht="15" hidden="1" thickTop="1">
      <c r="B730" s="269">
        <v>46225</v>
      </c>
      <c r="C730" s="268" t="s">
        <v>263</v>
      </c>
      <c r="D730" s="274">
        <f>IFERROR(VLOOKUP(C730,'Data Lokasi'!C:D,2,0),"")</f>
        <v>7.7</v>
      </c>
      <c r="E730" s="274" t="s">
        <v>2642</v>
      </c>
      <c r="F730" s="274"/>
      <c r="G730" s="274"/>
      <c r="H730" s="274"/>
      <c r="I730" s="274">
        <v>0.08</v>
      </c>
      <c r="J730" s="456">
        <f t="shared" si="28"/>
        <v>0.08</v>
      </c>
      <c r="K730" s="583"/>
      <c r="L730" s="268" t="s">
        <v>2625</v>
      </c>
      <c r="M730" s="268" t="s">
        <v>2634</v>
      </c>
      <c r="N730" s="278">
        <f>IFERROR(INDEX('Data Lokasi'!S:S,MATCH('Input Real Tanam&amp;Petik Nanas'!C730,'Data Lokasi'!C:C,0)),"")</f>
        <v>44079</v>
      </c>
      <c r="O730" s="278"/>
      <c r="P730" s="283">
        <f>IFERROR(INDEX('Data Lokasi'!V:V,MATCH(C730,'Data Lokasi'!C:C,0)),"")</f>
        <v>0</v>
      </c>
      <c r="Q730" s="304">
        <f t="shared" si="29"/>
        <v>0</v>
      </c>
      <c r="R730" s="308"/>
    </row>
    <row r="731" spans="2:18" ht="15" hidden="1" thickTop="1">
      <c r="B731" s="269">
        <v>46225</v>
      </c>
      <c r="C731" s="268" t="s">
        <v>659</v>
      </c>
      <c r="D731" s="274">
        <f>IFERROR(VLOOKUP(C731,'Data Lokasi'!C:D,2,0),"")</f>
        <v>5.7</v>
      </c>
      <c r="E731" s="274" t="s">
        <v>2642</v>
      </c>
      <c r="F731" s="274"/>
      <c r="G731" s="274"/>
      <c r="H731" s="274"/>
      <c r="I731" s="274">
        <v>0.11</v>
      </c>
      <c r="J731" s="456">
        <f t="shared" si="28"/>
        <v>0.11</v>
      </c>
      <c r="K731" s="583"/>
      <c r="L731" s="268" t="s">
        <v>2625</v>
      </c>
      <c r="M731" s="268" t="s">
        <v>2634</v>
      </c>
      <c r="N731" s="278">
        <f>IFERROR(INDEX('Data Lokasi'!S:S,MATCH('Input Real Tanam&amp;Petik Nanas'!C731,'Data Lokasi'!C:C,0)),"")</f>
        <v>45010</v>
      </c>
      <c r="O731" s="278"/>
      <c r="P731" s="283">
        <f>IFERROR(INDEX('Data Lokasi'!V:V,MATCH(C731,'Data Lokasi'!C:C,0)),"")</f>
        <v>0</v>
      </c>
      <c r="Q731" s="304">
        <f t="shared" si="29"/>
        <v>0</v>
      </c>
      <c r="R731" s="308"/>
    </row>
    <row r="732" spans="2:18" ht="15" hidden="1" thickTop="1">
      <c r="B732" s="269">
        <v>46225</v>
      </c>
      <c r="C732" s="268" t="s">
        <v>657</v>
      </c>
      <c r="D732" s="274">
        <f>IFERROR(VLOOKUP(C732,'Data Lokasi'!C:D,2,0),"")</f>
        <v>7.73</v>
      </c>
      <c r="E732" s="274" t="s">
        <v>2642</v>
      </c>
      <c r="F732" s="274"/>
      <c r="G732" s="274"/>
      <c r="H732" s="274"/>
      <c r="I732" s="274">
        <v>0.37</v>
      </c>
      <c r="J732" s="456">
        <f t="shared" si="28"/>
        <v>0.37</v>
      </c>
      <c r="K732" s="583"/>
      <c r="L732" s="268" t="s">
        <v>2625</v>
      </c>
      <c r="M732" s="268" t="s">
        <v>2634</v>
      </c>
      <c r="N732" s="278">
        <f>IFERROR(INDEX('Data Lokasi'!S:S,MATCH('Input Real Tanam&amp;Petik Nanas'!C732,'Data Lokasi'!C:C,0)),"")</f>
        <v>45003</v>
      </c>
      <c r="O732" s="278"/>
      <c r="P732" s="283">
        <f>IFERROR(INDEX('Data Lokasi'!V:V,MATCH(C732,'Data Lokasi'!C:C,0)),"")</f>
        <v>0</v>
      </c>
      <c r="Q732" s="304">
        <f t="shared" si="29"/>
        <v>0</v>
      </c>
      <c r="R732" s="308"/>
    </row>
    <row r="733" spans="2:18" ht="15" hidden="1" thickTop="1">
      <c r="B733" s="269">
        <v>46225</v>
      </c>
      <c r="C733" s="268" t="s">
        <v>106</v>
      </c>
      <c r="D733" s="274">
        <f>IFERROR(VLOOKUP(C733,'Data Lokasi'!C:D,2,0),"")</f>
        <v>3.86</v>
      </c>
      <c r="E733" s="274" t="s">
        <v>2642</v>
      </c>
      <c r="F733" s="274"/>
      <c r="G733" s="274"/>
      <c r="H733" s="274"/>
      <c r="I733" s="274">
        <v>0.18</v>
      </c>
      <c r="J733" s="456">
        <f t="shared" si="28"/>
        <v>0.18</v>
      </c>
      <c r="K733" s="583"/>
      <c r="L733" s="268" t="s">
        <v>2625</v>
      </c>
      <c r="M733" s="268" t="s">
        <v>2634</v>
      </c>
      <c r="N733" s="278">
        <f>IFERROR(INDEX('Data Lokasi'!S:S,MATCH('Input Real Tanam&amp;Petik Nanas'!C733,'Data Lokasi'!C:C,0)),"")</f>
        <v>45241</v>
      </c>
      <c r="O733" s="278"/>
      <c r="P733" s="283">
        <f>IFERROR(INDEX('Data Lokasi'!V:V,MATCH(C733,'Data Lokasi'!C:C,0)),"")</f>
        <v>0</v>
      </c>
      <c r="Q733" s="304">
        <f t="shared" si="29"/>
        <v>0</v>
      </c>
      <c r="R733" s="308"/>
    </row>
    <row r="734" spans="2:18" ht="15" hidden="1" thickTop="1">
      <c r="B734" s="269">
        <v>46225</v>
      </c>
      <c r="C734" s="268" t="s">
        <v>196</v>
      </c>
      <c r="D734" s="274">
        <f>IFERROR(VLOOKUP(C734,'Data Lokasi'!C:D,2,0),"")</f>
        <v>11.7</v>
      </c>
      <c r="E734" s="274" t="s">
        <v>2642</v>
      </c>
      <c r="F734" s="274"/>
      <c r="G734" s="274"/>
      <c r="H734" s="274"/>
      <c r="I734" s="274">
        <v>0.95</v>
      </c>
      <c r="J734" s="456">
        <f t="shared" si="28"/>
        <v>0.95</v>
      </c>
      <c r="K734" s="583"/>
      <c r="L734" s="268" t="s">
        <v>2625</v>
      </c>
      <c r="M734" s="268" t="s">
        <v>2634</v>
      </c>
      <c r="N734" s="278">
        <f>IFERROR(INDEX('Data Lokasi'!S:S,MATCH('Input Real Tanam&amp;Petik Nanas'!C734,'Data Lokasi'!C:C,0)),"")</f>
        <v>43948</v>
      </c>
      <c r="O734" s="278"/>
      <c r="P734" s="283">
        <f>IFERROR(INDEX('Data Lokasi'!V:V,MATCH(C734,'Data Lokasi'!C:C,0)),"")</f>
        <v>0</v>
      </c>
      <c r="Q734" s="304">
        <f t="shared" si="29"/>
        <v>0</v>
      </c>
      <c r="R734" s="308"/>
    </row>
    <row r="735" spans="2:18" ht="15" hidden="1" thickTop="1">
      <c r="B735" s="269">
        <v>46225</v>
      </c>
      <c r="C735" s="268" t="s">
        <v>286</v>
      </c>
      <c r="D735" s="274">
        <f>IFERROR(VLOOKUP(C735,'Data Lokasi'!C:D,2,0),"")</f>
        <v>8.33</v>
      </c>
      <c r="E735" s="274" t="s">
        <v>2642</v>
      </c>
      <c r="F735" s="274"/>
      <c r="G735" s="274"/>
      <c r="H735" s="274"/>
      <c r="I735" s="274">
        <v>0.04</v>
      </c>
      <c r="J735" s="456">
        <f t="shared" si="28"/>
        <v>0.04</v>
      </c>
      <c r="K735" s="583"/>
      <c r="L735" s="268" t="s">
        <v>2625</v>
      </c>
      <c r="M735" s="268" t="s">
        <v>2634</v>
      </c>
      <c r="N735" s="278">
        <f>IFERROR(INDEX('Data Lokasi'!S:S,MATCH('Input Real Tanam&amp;Petik Nanas'!C735,'Data Lokasi'!C:C,0)),"")</f>
        <v>44125</v>
      </c>
      <c r="O735" s="278"/>
      <c r="P735" s="283">
        <f>IFERROR(INDEX('Data Lokasi'!V:V,MATCH(C735,'Data Lokasi'!C:C,0)),"")</f>
        <v>0</v>
      </c>
      <c r="Q735" s="304">
        <f t="shared" si="29"/>
        <v>0</v>
      </c>
      <c r="R735" s="308"/>
    </row>
    <row r="736" spans="2:18" ht="15" hidden="1" thickTop="1">
      <c r="B736" s="269">
        <v>46225</v>
      </c>
      <c r="C736" s="268" t="s">
        <v>1443</v>
      </c>
      <c r="D736" s="274">
        <f>IFERROR(VLOOKUP(C736,'Data Lokasi'!C:D,2,0),"")</f>
        <v>1.34</v>
      </c>
      <c r="E736" s="274" t="s">
        <v>2642</v>
      </c>
      <c r="F736" s="274"/>
      <c r="G736" s="274">
        <v>0.21</v>
      </c>
      <c r="H736" s="274"/>
      <c r="I736" s="274"/>
      <c r="J736" s="456">
        <f t="shared" si="28"/>
        <v>0.21</v>
      </c>
      <c r="K736" s="583"/>
      <c r="L736" s="268" t="s">
        <v>719</v>
      </c>
      <c r="M736" s="268" t="s">
        <v>2634</v>
      </c>
      <c r="N736" s="278">
        <f>IFERROR(INDEX('Data Lokasi'!S:S,MATCH('Input Real Tanam&amp;Petik Nanas'!C736,'Data Lokasi'!C:C,0)),"")</f>
        <v>46222</v>
      </c>
      <c r="O736" s="278"/>
      <c r="P736" s="283">
        <f>IFERROR(INDEX('Data Lokasi'!V:V,MATCH(C736,'Data Lokasi'!C:C,0)),"")</f>
        <v>0</v>
      </c>
      <c r="Q736" s="304">
        <f t="shared" si="29"/>
        <v>0</v>
      </c>
      <c r="R736" s="308"/>
    </row>
    <row r="737" spans="2:18" ht="15" hidden="1" thickTop="1">
      <c r="B737" s="269">
        <v>46225</v>
      </c>
      <c r="C737" s="268" t="s">
        <v>623</v>
      </c>
      <c r="D737" s="274">
        <f>IFERROR(VLOOKUP(C737,'Data Lokasi'!C:D,2,0),"")</f>
        <v>4.07</v>
      </c>
      <c r="E737" s="274" t="s">
        <v>2642</v>
      </c>
      <c r="F737" s="274"/>
      <c r="G737" s="274"/>
      <c r="H737" s="274"/>
      <c r="I737" s="274">
        <v>0.04</v>
      </c>
      <c r="J737" s="456">
        <f t="shared" si="28"/>
        <v>0.04</v>
      </c>
      <c r="K737" s="583"/>
      <c r="L737" s="268" t="s">
        <v>2625</v>
      </c>
      <c r="M737" s="268" t="s">
        <v>2634</v>
      </c>
      <c r="N737" s="278">
        <f>IFERROR(INDEX('Data Lokasi'!S:S,MATCH('Input Real Tanam&amp;Petik Nanas'!C737,'Data Lokasi'!C:C,0)),"")</f>
        <v>44863</v>
      </c>
      <c r="O737" s="278"/>
      <c r="P737" s="283">
        <f>IFERROR(INDEX('Data Lokasi'!V:V,MATCH(C737,'Data Lokasi'!C:C,0)),"")</f>
        <v>0</v>
      </c>
      <c r="Q737" s="304">
        <f t="shared" si="29"/>
        <v>0</v>
      </c>
      <c r="R737" s="308"/>
    </row>
    <row r="738" spans="2:18" ht="15" hidden="1" thickTop="1">
      <c r="B738" s="269">
        <v>46225</v>
      </c>
      <c r="C738" s="268" t="s">
        <v>234</v>
      </c>
      <c r="D738" s="274">
        <f>IFERROR(VLOOKUP(C738,'Data Lokasi'!C:D,2,0),"")</f>
        <v>5.85</v>
      </c>
      <c r="E738" s="274" t="s">
        <v>2642</v>
      </c>
      <c r="F738" s="274"/>
      <c r="G738" s="274"/>
      <c r="H738" s="274"/>
      <c r="I738" s="274">
        <v>0.22</v>
      </c>
      <c r="J738" s="456">
        <f t="shared" si="28"/>
        <v>0.22</v>
      </c>
      <c r="K738" s="583"/>
      <c r="L738" s="268" t="s">
        <v>2625</v>
      </c>
      <c r="M738" s="268" t="s">
        <v>2634</v>
      </c>
      <c r="N738" s="278">
        <f>IFERROR(INDEX('Data Lokasi'!S:S,MATCH('Input Real Tanam&amp;Petik Nanas'!C738,'Data Lokasi'!C:C,0)),"")</f>
        <v>44038</v>
      </c>
      <c r="O738" s="278"/>
      <c r="P738" s="283">
        <f>IFERROR(INDEX('Data Lokasi'!V:V,MATCH(C738,'Data Lokasi'!C:C,0)),"")</f>
        <v>0</v>
      </c>
      <c r="Q738" s="304">
        <f t="shared" si="29"/>
        <v>0</v>
      </c>
      <c r="R738" s="308"/>
    </row>
    <row r="739" spans="2:18" ht="15" hidden="1" thickTop="1">
      <c r="B739" s="269">
        <v>46225</v>
      </c>
      <c r="C739" s="268" t="s">
        <v>229</v>
      </c>
      <c r="D739" s="274">
        <f>IFERROR(VLOOKUP(C739,'Data Lokasi'!C:D,2,0),"")</f>
        <v>6.97</v>
      </c>
      <c r="E739" s="274" t="s">
        <v>2642</v>
      </c>
      <c r="F739" s="274"/>
      <c r="G739" s="274"/>
      <c r="H739" s="274"/>
      <c r="I739" s="274">
        <v>0.06</v>
      </c>
      <c r="J739" s="456">
        <f t="shared" si="28"/>
        <v>0.06</v>
      </c>
      <c r="K739" s="583"/>
      <c r="L739" s="268" t="s">
        <v>2625</v>
      </c>
      <c r="M739" s="268" t="s">
        <v>2634</v>
      </c>
      <c r="N739" s="278">
        <f>IFERROR(INDEX('Data Lokasi'!S:S,MATCH('Input Real Tanam&amp;Petik Nanas'!C739,'Data Lokasi'!C:C,0)),"")</f>
        <v>44020</v>
      </c>
      <c r="O739" s="278"/>
      <c r="P739" s="283">
        <f>IFERROR(INDEX('Data Lokasi'!V:V,MATCH(C739,'Data Lokasi'!C:C,0)),"")</f>
        <v>0</v>
      </c>
      <c r="Q739" s="304">
        <f t="shared" si="29"/>
        <v>0</v>
      </c>
      <c r="R739" s="308"/>
    </row>
    <row r="740" spans="2:18" ht="15" hidden="1" thickTop="1">
      <c r="B740" s="269">
        <v>46225</v>
      </c>
      <c r="C740" s="268" t="s">
        <v>2663</v>
      </c>
      <c r="D740" s="274">
        <f>IFERROR(VLOOKUP(C740,'Data Lokasi'!C:D,2,0),"")</f>
        <v>7.48</v>
      </c>
      <c r="E740" s="274" t="s">
        <v>2642</v>
      </c>
      <c r="F740" s="274"/>
      <c r="G740" s="274"/>
      <c r="H740" s="274"/>
      <c r="I740" s="274">
        <v>0</v>
      </c>
      <c r="J740" s="456" t="str">
        <f t="shared" si="28"/>
        <v/>
      </c>
      <c r="K740" s="583"/>
      <c r="L740" s="268" t="s">
        <v>2625</v>
      </c>
      <c r="M740" s="268" t="s">
        <v>2634</v>
      </c>
      <c r="N740" s="278">
        <f>IFERROR(INDEX('Data Lokasi'!S:S,MATCH('Input Real Tanam&amp;Petik Nanas'!C740,'Data Lokasi'!C:C,0)),"")</f>
        <v>46206</v>
      </c>
      <c r="O740" s="278"/>
      <c r="P740" s="283">
        <f>IFERROR(INDEX('Data Lokasi'!V:V,MATCH(C740,'Data Lokasi'!C:C,0)),"")</f>
        <v>0</v>
      </c>
      <c r="Q740" s="304">
        <f t="shared" si="29"/>
        <v>0</v>
      </c>
      <c r="R740" s="308"/>
    </row>
    <row r="741" spans="2:18" ht="15" hidden="1" thickTop="1">
      <c r="B741" s="269">
        <v>46225</v>
      </c>
      <c r="C741" s="268" t="s">
        <v>294</v>
      </c>
      <c r="D741" s="274">
        <f>IFERROR(VLOOKUP(C741,'Data Lokasi'!C:D,2,0),"")</f>
        <v>6.93</v>
      </c>
      <c r="E741" s="274" t="s">
        <v>2642</v>
      </c>
      <c r="F741" s="274"/>
      <c r="G741" s="274"/>
      <c r="H741" s="274">
        <v>0.19</v>
      </c>
      <c r="I741" s="274"/>
      <c r="J741" s="456">
        <f t="shared" si="28"/>
        <v>0.19</v>
      </c>
      <c r="K741" s="583"/>
      <c r="L741" s="268" t="s">
        <v>719</v>
      </c>
      <c r="M741" s="268" t="s">
        <v>2634</v>
      </c>
      <c r="N741" s="278">
        <f>IFERROR(INDEX('Data Lokasi'!S:S,MATCH('Input Real Tanam&amp;Petik Nanas'!C741,'Data Lokasi'!C:C,0)),"")</f>
        <v>44139</v>
      </c>
      <c r="O741" s="278"/>
      <c r="P741" s="283">
        <f>IFERROR(INDEX('Data Lokasi'!V:V,MATCH(C741,'Data Lokasi'!C:C,0)),"")</f>
        <v>0</v>
      </c>
      <c r="Q741" s="304">
        <f t="shared" si="29"/>
        <v>0</v>
      </c>
      <c r="R741" s="308"/>
    </row>
    <row r="742" spans="2:18" ht="15" hidden="1" thickTop="1">
      <c r="B742" s="269">
        <v>46225</v>
      </c>
      <c r="C742" s="268" t="s">
        <v>665</v>
      </c>
      <c r="D742" s="274">
        <f>IFERROR(VLOOKUP(C742,'Data Lokasi'!C:D,2,0),"")</f>
        <v>4.68</v>
      </c>
      <c r="E742" s="274" t="s">
        <v>2642</v>
      </c>
      <c r="F742" s="274"/>
      <c r="G742" s="274"/>
      <c r="H742" s="274"/>
      <c r="I742" s="274">
        <v>0.08</v>
      </c>
      <c r="J742" s="456">
        <f t="shared" si="28"/>
        <v>0.08</v>
      </c>
      <c r="K742" s="583"/>
      <c r="L742" s="268" t="s">
        <v>2625</v>
      </c>
      <c r="M742" s="268" t="s">
        <v>2634</v>
      </c>
      <c r="N742" s="278">
        <f>IFERROR(INDEX('Data Lokasi'!S:S,MATCH('Input Real Tanam&amp;Petik Nanas'!C742,'Data Lokasi'!C:C,0)),"")</f>
        <v>45061</v>
      </c>
      <c r="O742" s="278"/>
      <c r="P742" s="283">
        <f>IFERROR(INDEX('Data Lokasi'!V:V,MATCH(C742,'Data Lokasi'!C:C,0)),"")</f>
        <v>0</v>
      </c>
      <c r="Q742" s="304">
        <f t="shared" si="29"/>
        <v>0</v>
      </c>
      <c r="R742" s="308"/>
    </row>
    <row r="743" spans="2:18" ht="15" hidden="1" thickTop="1">
      <c r="B743" s="269">
        <v>46225</v>
      </c>
      <c r="C743" s="268" t="s">
        <v>320</v>
      </c>
      <c r="D743" s="274">
        <f>IFERROR(VLOOKUP(C743,'Data Lokasi'!C:D,2,0),"")</f>
        <v>9.0299999999999994</v>
      </c>
      <c r="E743" s="274" t="s">
        <v>2642</v>
      </c>
      <c r="F743" s="274"/>
      <c r="G743" s="274"/>
      <c r="H743" s="274">
        <v>0.18</v>
      </c>
      <c r="I743" s="274"/>
      <c r="J743" s="456">
        <f t="shared" si="28"/>
        <v>0.18</v>
      </c>
      <c r="K743" s="583"/>
      <c r="L743" s="268" t="s">
        <v>719</v>
      </c>
      <c r="M743" s="268" t="s">
        <v>2634</v>
      </c>
      <c r="N743" s="278">
        <f>IFERROR(INDEX('Data Lokasi'!S:S,MATCH('Input Real Tanam&amp;Petik Nanas'!C743,'Data Lokasi'!C:C,0)),"")</f>
        <v>44216</v>
      </c>
      <c r="O743" s="278"/>
      <c r="P743" s="283">
        <f>IFERROR(INDEX('Data Lokasi'!V:V,MATCH(C743,'Data Lokasi'!C:C,0)),"")</f>
        <v>0</v>
      </c>
      <c r="Q743" s="304">
        <f t="shared" si="29"/>
        <v>0</v>
      </c>
      <c r="R743" s="308"/>
    </row>
    <row r="744" spans="2:18" ht="15" hidden="1" thickTop="1">
      <c r="B744" s="269">
        <v>46226</v>
      </c>
      <c r="C744" s="268" t="s">
        <v>106</v>
      </c>
      <c r="D744" s="274">
        <f>IFERROR(VLOOKUP(C744,'Data Lokasi'!C:D,2,0),"")</f>
        <v>3.86</v>
      </c>
      <c r="E744" s="274" t="s">
        <v>2642</v>
      </c>
      <c r="F744" s="274"/>
      <c r="G744" s="274"/>
      <c r="H744" s="274"/>
      <c r="I744" s="274">
        <v>0.09</v>
      </c>
      <c r="J744" s="456">
        <f t="shared" si="28"/>
        <v>0.09</v>
      </c>
      <c r="K744" s="583"/>
      <c r="L744" s="268" t="s">
        <v>2625</v>
      </c>
      <c r="M744" s="268" t="s">
        <v>2631</v>
      </c>
      <c r="N744" s="278">
        <f>IFERROR(INDEX('Data Lokasi'!S:S,MATCH('Input Real Tanam&amp;Petik Nanas'!C744,'Data Lokasi'!C:C,0)),"")</f>
        <v>45241</v>
      </c>
      <c r="O744" s="278"/>
      <c r="P744" s="283">
        <f>IFERROR(INDEX('Data Lokasi'!V:V,MATCH(C744,'Data Lokasi'!C:C,0)),"")</f>
        <v>0</v>
      </c>
      <c r="Q744" s="304">
        <f t="shared" si="29"/>
        <v>0</v>
      </c>
      <c r="R744" s="308"/>
    </row>
    <row r="745" spans="2:18" ht="15" hidden="1" thickTop="1">
      <c r="B745" s="269">
        <v>46226</v>
      </c>
      <c r="C745" s="268" t="s">
        <v>232</v>
      </c>
      <c r="D745" s="274">
        <f>IFERROR(VLOOKUP(C745,'Data Lokasi'!C:D,2,0),"")</f>
        <v>8.7799999999999994</v>
      </c>
      <c r="E745" s="274" t="s">
        <v>2642</v>
      </c>
      <c r="F745" s="274"/>
      <c r="G745" s="274"/>
      <c r="H745" s="274"/>
      <c r="I745" s="274">
        <v>0.08</v>
      </c>
      <c r="J745" s="456">
        <f t="shared" si="28"/>
        <v>0.08</v>
      </c>
      <c r="K745" s="583"/>
      <c r="L745" s="268" t="s">
        <v>2625</v>
      </c>
      <c r="M745" s="268" t="s">
        <v>2631</v>
      </c>
      <c r="N745" s="278">
        <f>IFERROR(INDEX('Data Lokasi'!S:S,MATCH('Input Real Tanam&amp;Petik Nanas'!C745,'Data Lokasi'!C:C,0)),"")</f>
        <v>44022</v>
      </c>
      <c r="O745" s="278"/>
      <c r="P745" s="283">
        <f>IFERROR(INDEX('Data Lokasi'!V:V,MATCH(C745,'Data Lokasi'!C:C,0)),"")</f>
        <v>0</v>
      </c>
      <c r="Q745" s="304">
        <f t="shared" si="29"/>
        <v>0</v>
      </c>
      <c r="R745" s="308"/>
    </row>
    <row r="746" spans="2:18" ht="15" hidden="1" thickTop="1">
      <c r="B746" s="269">
        <v>46226</v>
      </c>
      <c r="C746" s="268" t="s">
        <v>110</v>
      </c>
      <c r="D746" s="274">
        <f>IFERROR(VLOOKUP(C746,'Data Lokasi'!C:D,2,0),"")</f>
        <v>9</v>
      </c>
      <c r="E746" s="274" t="s">
        <v>2642</v>
      </c>
      <c r="F746" s="274"/>
      <c r="G746" s="274"/>
      <c r="H746" s="274">
        <v>1.71</v>
      </c>
      <c r="I746" s="274"/>
      <c r="J746" s="456">
        <f t="shared" si="28"/>
        <v>1.71</v>
      </c>
      <c r="K746" s="583"/>
      <c r="L746" s="268" t="s">
        <v>719</v>
      </c>
      <c r="M746" s="268" t="s">
        <v>2631</v>
      </c>
      <c r="N746" s="278">
        <f>IFERROR(INDEX('Data Lokasi'!S:S,MATCH('Input Real Tanam&amp;Petik Nanas'!C746,'Data Lokasi'!C:C,0)),"")</f>
        <v>44193</v>
      </c>
      <c r="O746" s="278"/>
      <c r="P746" s="283">
        <f>IFERROR(INDEX('Data Lokasi'!V:V,MATCH(C746,'Data Lokasi'!C:C,0)),"")</f>
        <v>0</v>
      </c>
      <c r="Q746" s="304">
        <f t="shared" si="29"/>
        <v>0</v>
      </c>
      <c r="R746" s="308"/>
    </row>
    <row r="747" spans="2:18" ht="15" hidden="1" thickTop="1">
      <c r="B747" s="269">
        <v>46226</v>
      </c>
      <c r="C747" s="268" t="s">
        <v>695</v>
      </c>
      <c r="D747" s="274">
        <f>IFERROR(VLOOKUP(C747,'Data Lokasi'!C:D,2,0),"")</f>
        <v>5</v>
      </c>
      <c r="E747" s="274" t="s">
        <v>2642</v>
      </c>
      <c r="F747" s="274"/>
      <c r="G747" s="274"/>
      <c r="H747" s="274"/>
      <c r="I747" s="274">
        <v>1.21</v>
      </c>
      <c r="J747" s="456">
        <f t="shared" si="28"/>
        <v>1.21</v>
      </c>
      <c r="K747" s="583"/>
      <c r="L747" s="268" t="s">
        <v>2625</v>
      </c>
      <c r="M747" s="268" t="s">
        <v>2631</v>
      </c>
      <c r="N747" s="278">
        <f>IFERROR(INDEX('Data Lokasi'!S:S,MATCH('Input Real Tanam&amp;Petik Nanas'!C747,'Data Lokasi'!C:C,0)),"")</f>
        <v>45117</v>
      </c>
      <c r="O747" s="278"/>
      <c r="P747" s="283">
        <f>IFERROR(INDEX('Data Lokasi'!V:V,MATCH(C747,'Data Lokasi'!C:C,0)),"")</f>
        <v>0</v>
      </c>
      <c r="Q747" s="304">
        <f t="shared" si="29"/>
        <v>0</v>
      </c>
      <c r="R747" s="308"/>
    </row>
    <row r="748" spans="2:18" ht="15" hidden="1" thickTop="1">
      <c r="B748" s="269">
        <v>46226</v>
      </c>
      <c r="C748" s="268" t="s">
        <v>196</v>
      </c>
      <c r="D748" s="274">
        <f>IFERROR(VLOOKUP(C748,'Data Lokasi'!C:D,2,0),"")</f>
        <v>11.7</v>
      </c>
      <c r="E748" s="274" t="s">
        <v>2642</v>
      </c>
      <c r="F748" s="274"/>
      <c r="G748" s="274"/>
      <c r="H748" s="274"/>
      <c r="I748" s="274">
        <v>1.88</v>
      </c>
      <c r="J748" s="456">
        <f t="shared" si="28"/>
        <v>1.88</v>
      </c>
      <c r="K748" s="583"/>
      <c r="L748" s="268" t="s">
        <v>2625</v>
      </c>
      <c r="M748" s="268" t="s">
        <v>2634</v>
      </c>
      <c r="N748" s="278">
        <f>IFERROR(INDEX('Data Lokasi'!S:S,MATCH('Input Real Tanam&amp;Petik Nanas'!C748,'Data Lokasi'!C:C,0)),"")</f>
        <v>43948</v>
      </c>
      <c r="O748" s="278"/>
      <c r="P748" s="283">
        <f>IFERROR(INDEX('Data Lokasi'!V:V,MATCH(C748,'Data Lokasi'!C:C,0)),"")</f>
        <v>0</v>
      </c>
      <c r="Q748" s="304">
        <f t="shared" si="29"/>
        <v>0</v>
      </c>
      <c r="R748" s="308"/>
    </row>
    <row r="749" spans="2:18" ht="15" hidden="1" thickTop="1">
      <c r="B749" s="269">
        <v>46226</v>
      </c>
      <c r="C749" s="268" t="s">
        <v>657</v>
      </c>
      <c r="D749" s="274">
        <f>IFERROR(VLOOKUP(C749,'Data Lokasi'!C:D,2,0),"")</f>
        <v>7.73</v>
      </c>
      <c r="E749" s="274" t="s">
        <v>2642</v>
      </c>
      <c r="F749" s="274"/>
      <c r="G749" s="274"/>
      <c r="H749" s="274"/>
      <c r="I749" s="274">
        <v>0.22</v>
      </c>
      <c r="J749" s="456">
        <f t="shared" si="28"/>
        <v>0.22</v>
      </c>
      <c r="K749" s="583"/>
      <c r="L749" s="268" t="s">
        <v>2625</v>
      </c>
      <c r="M749" s="268" t="s">
        <v>2634</v>
      </c>
      <c r="N749" s="278">
        <f>IFERROR(INDEX('Data Lokasi'!S:S,MATCH('Input Real Tanam&amp;Petik Nanas'!C749,'Data Lokasi'!C:C,0)),"")</f>
        <v>45003</v>
      </c>
      <c r="O749" s="278"/>
      <c r="P749" s="283">
        <f>IFERROR(INDEX('Data Lokasi'!V:V,MATCH(C749,'Data Lokasi'!C:C,0)),"")</f>
        <v>0</v>
      </c>
      <c r="Q749" s="304">
        <f t="shared" si="29"/>
        <v>0</v>
      </c>
      <c r="R749" s="308"/>
    </row>
    <row r="750" spans="2:18" ht="15" hidden="1" thickTop="1">
      <c r="B750" s="269">
        <v>46226</v>
      </c>
      <c r="C750" s="268" t="s">
        <v>234</v>
      </c>
      <c r="D750" s="274">
        <f>IFERROR(VLOOKUP(C750,'Data Lokasi'!C:D,2,0),"")</f>
        <v>5.85</v>
      </c>
      <c r="E750" s="274" t="s">
        <v>2642</v>
      </c>
      <c r="F750" s="274"/>
      <c r="G750" s="274"/>
      <c r="H750" s="274"/>
      <c r="I750" s="274">
        <v>0.17</v>
      </c>
      <c r="J750" s="456">
        <f t="shared" si="28"/>
        <v>0.17</v>
      </c>
      <c r="K750" s="583"/>
      <c r="L750" s="268" t="s">
        <v>2625</v>
      </c>
      <c r="M750" s="268" t="s">
        <v>2634</v>
      </c>
      <c r="N750" s="278">
        <f>IFERROR(INDEX('Data Lokasi'!S:S,MATCH('Input Real Tanam&amp;Petik Nanas'!C750,'Data Lokasi'!C:C,0)),"")</f>
        <v>44038</v>
      </c>
      <c r="O750" s="278"/>
      <c r="P750" s="283">
        <f>IFERROR(INDEX('Data Lokasi'!V:V,MATCH(C750,'Data Lokasi'!C:C,0)),"")</f>
        <v>0</v>
      </c>
      <c r="Q750" s="304">
        <f t="shared" si="29"/>
        <v>0</v>
      </c>
      <c r="R750" s="308"/>
    </row>
    <row r="751" spans="2:18" ht="15" hidden="1" thickTop="1">
      <c r="B751" s="269">
        <v>46226</v>
      </c>
      <c r="C751" s="268" t="s">
        <v>665</v>
      </c>
      <c r="D751" s="274">
        <f>IFERROR(VLOOKUP(C751,'Data Lokasi'!C:D,2,0),"")</f>
        <v>4.68</v>
      </c>
      <c r="E751" s="274" t="s">
        <v>2642</v>
      </c>
      <c r="F751" s="274"/>
      <c r="G751" s="274"/>
      <c r="H751" s="274"/>
      <c r="I751" s="274">
        <v>0.04</v>
      </c>
      <c r="J751" s="456">
        <f t="shared" si="28"/>
        <v>0.04</v>
      </c>
      <c r="K751" s="583"/>
      <c r="L751" s="268" t="s">
        <v>2625</v>
      </c>
      <c r="M751" s="268" t="s">
        <v>2634</v>
      </c>
      <c r="N751" s="278">
        <f>IFERROR(INDEX('Data Lokasi'!S:S,MATCH('Input Real Tanam&amp;Petik Nanas'!C751,'Data Lokasi'!C:C,0)),"")</f>
        <v>45061</v>
      </c>
      <c r="O751" s="278"/>
      <c r="P751" s="283">
        <f>IFERROR(INDEX('Data Lokasi'!V:V,MATCH(C751,'Data Lokasi'!C:C,0)),"")</f>
        <v>0</v>
      </c>
      <c r="Q751" s="304">
        <f t="shared" si="29"/>
        <v>0</v>
      </c>
      <c r="R751" s="308"/>
    </row>
    <row r="752" spans="2:18" ht="15" hidden="1" thickTop="1">
      <c r="B752" s="269">
        <v>46226</v>
      </c>
      <c r="C752" s="268" t="s">
        <v>1443</v>
      </c>
      <c r="D752" s="274">
        <f>IFERROR(VLOOKUP(C752,'Data Lokasi'!C:D,2,0),"")</f>
        <v>1.34</v>
      </c>
      <c r="E752" s="274" t="s">
        <v>2642</v>
      </c>
      <c r="F752" s="274"/>
      <c r="G752" s="274">
        <v>0.13</v>
      </c>
      <c r="H752" s="274"/>
      <c r="I752" s="274"/>
      <c r="J752" s="456">
        <f t="shared" si="28"/>
        <v>0.13</v>
      </c>
      <c r="K752" s="583"/>
      <c r="L752" s="268" t="s">
        <v>719</v>
      </c>
      <c r="M752" s="268" t="s">
        <v>2634</v>
      </c>
      <c r="N752" s="278">
        <f>IFERROR(INDEX('Data Lokasi'!S:S,MATCH('Input Real Tanam&amp;Petik Nanas'!C752,'Data Lokasi'!C:C,0)),"")</f>
        <v>46222</v>
      </c>
      <c r="O752" s="278"/>
      <c r="P752" s="283">
        <f>IFERROR(INDEX('Data Lokasi'!V:V,MATCH(C752,'Data Lokasi'!C:C,0)),"")</f>
        <v>0</v>
      </c>
      <c r="Q752" s="304">
        <f t="shared" si="29"/>
        <v>0</v>
      </c>
      <c r="R752" s="308"/>
    </row>
    <row r="753" spans="2:18" ht="15" hidden="1" thickTop="1">
      <c r="B753" s="269">
        <v>46226</v>
      </c>
      <c r="C753" s="268" t="s">
        <v>250</v>
      </c>
      <c r="D753" s="274">
        <f>IFERROR(VLOOKUP(C753,'Data Lokasi'!C:D,2,0),"")</f>
        <v>9.2799999999999994</v>
      </c>
      <c r="E753" s="274" t="s">
        <v>2642</v>
      </c>
      <c r="F753" s="274"/>
      <c r="G753" s="274"/>
      <c r="H753" s="274"/>
      <c r="I753" s="274">
        <v>0.05</v>
      </c>
      <c r="J753" s="456">
        <f t="shared" si="28"/>
        <v>0.05</v>
      </c>
      <c r="K753" s="583"/>
      <c r="L753" s="268" t="s">
        <v>2625</v>
      </c>
      <c r="M753" s="268" t="s">
        <v>2634</v>
      </c>
      <c r="N753" s="278">
        <f>IFERROR(INDEX('Data Lokasi'!S:S,MATCH('Input Real Tanam&amp;Petik Nanas'!C753,'Data Lokasi'!C:C,0)),"")</f>
        <v>44064</v>
      </c>
      <c r="O753" s="278"/>
      <c r="P753" s="283">
        <f>IFERROR(INDEX('Data Lokasi'!V:V,MATCH(C753,'Data Lokasi'!C:C,0)),"")</f>
        <v>0</v>
      </c>
      <c r="Q753" s="304">
        <f t="shared" si="29"/>
        <v>0</v>
      </c>
      <c r="R753" s="308"/>
    </row>
    <row r="754" spans="2:18" ht="15" hidden="1" thickTop="1">
      <c r="B754" s="269">
        <v>46226</v>
      </c>
      <c r="C754" s="268" t="s">
        <v>106</v>
      </c>
      <c r="D754" s="274">
        <f>IFERROR(VLOOKUP(C754,'Data Lokasi'!C:D,2,0),"")</f>
        <v>3.86</v>
      </c>
      <c r="E754" s="274" t="s">
        <v>2642</v>
      </c>
      <c r="F754" s="274"/>
      <c r="G754" s="274"/>
      <c r="H754" s="274"/>
      <c r="I754" s="274">
        <v>0.11</v>
      </c>
      <c r="J754" s="456">
        <f t="shared" si="28"/>
        <v>0.11</v>
      </c>
      <c r="K754" s="583"/>
      <c r="L754" s="268" t="s">
        <v>2625</v>
      </c>
      <c r="M754" s="268" t="s">
        <v>2634</v>
      </c>
      <c r="N754" s="278">
        <f>IFERROR(INDEX('Data Lokasi'!S:S,MATCH('Input Real Tanam&amp;Petik Nanas'!C754,'Data Lokasi'!C:C,0)),"")</f>
        <v>45241</v>
      </c>
      <c r="O754" s="278"/>
      <c r="P754" s="283">
        <f>IFERROR(INDEX('Data Lokasi'!V:V,MATCH(C754,'Data Lokasi'!C:C,0)),"")</f>
        <v>0</v>
      </c>
      <c r="Q754" s="304">
        <f t="shared" si="29"/>
        <v>0</v>
      </c>
      <c r="R754" s="308"/>
    </row>
    <row r="755" spans="2:18" ht="15" hidden="1" thickTop="1">
      <c r="B755" s="269">
        <v>46226</v>
      </c>
      <c r="C755" s="268" t="s">
        <v>294</v>
      </c>
      <c r="D755" s="274">
        <f>IFERROR(VLOOKUP(C755,'Data Lokasi'!C:D,2,0),"")</f>
        <v>6.93</v>
      </c>
      <c r="E755" s="274" t="s">
        <v>2642</v>
      </c>
      <c r="F755" s="274"/>
      <c r="G755" s="274"/>
      <c r="H755" s="274">
        <f>0.33+0.23</f>
        <v>0.56000000000000005</v>
      </c>
      <c r="I755" s="274"/>
      <c r="J755" s="456">
        <f t="shared" si="28"/>
        <v>0.56000000000000005</v>
      </c>
      <c r="K755" s="583"/>
      <c r="L755" s="268" t="s">
        <v>719</v>
      </c>
      <c r="M755" s="268" t="s">
        <v>2634</v>
      </c>
      <c r="N755" s="278">
        <f>IFERROR(INDEX('Data Lokasi'!S:S,MATCH('Input Real Tanam&amp;Petik Nanas'!C755,'Data Lokasi'!C:C,0)),"")</f>
        <v>44139</v>
      </c>
      <c r="O755" s="278"/>
      <c r="P755" s="283">
        <f>IFERROR(INDEX('Data Lokasi'!V:V,MATCH(C755,'Data Lokasi'!C:C,0)),"")</f>
        <v>0</v>
      </c>
      <c r="Q755" s="304">
        <f t="shared" si="29"/>
        <v>0</v>
      </c>
      <c r="R755" s="308"/>
    </row>
    <row r="756" spans="2:18" ht="15" hidden="1" thickTop="1">
      <c r="B756" s="269">
        <v>46226</v>
      </c>
      <c r="C756" s="268" t="s">
        <v>314</v>
      </c>
      <c r="D756" s="274">
        <f>IFERROR(VLOOKUP(C756,'Data Lokasi'!C:D,2,0),"")</f>
        <v>8.92</v>
      </c>
      <c r="E756" s="274" t="s">
        <v>2643</v>
      </c>
      <c r="F756" s="274"/>
      <c r="G756" s="274"/>
      <c r="H756" s="274">
        <v>0.04</v>
      </c>
      <c r="I756" s="274">
        <f>0.2+0.39</f>
        <v>0.59000000000000008</v>
      </c>
      <c r="J756" s="456">
        <f t="shared" si="28"/>
        <v>0.63000000000000012</v>
      </c>
      <c r="K756" s="583"/>
      <c r="L756" s="268" t="s">
        <v>719</v>
      </c>
      <c r="M756" s="268" t="s">
        <v>2634</v>
      </c>
      <c r="N756" s="278">
        <f>IFERROR(INDEX('Data Lokasi'!S:S,MATCH('Input Real Tanam&amp;Petik Nanas'!C756,'Data Lokasi'!C:C,0)),"")</f>
        <v>44161</v>
      </c>
      <c r="O756" s="278"/>
      <c r="P756" s="283">
        <f>IFERROR(INDEX('Data Lokasi'!V:V,MATCH(C756,'Data Lokasi'!C:C,0)),"")</f>
        <v>0</v>
      </c>
      <c r="Q756" s="304">
        <f t="shared" si="29"/>
        <v>0</v>
      </c>
      <c r="R756" s="308">
        <v>9</v>
      </c>
    </row>
    <row r="757" spans="2:18" ht="15" hidden="1" thickTop="1">
      <c r="B757" s="269">
        <v>46226</v>
      </c>
      <c r="C757" s="268" t="s">
        <v>349</v>
      </c>
      <c r="D757" s="274">
        <f>IFERROR(VLOOKUP(C757,'Data Lokasi'!C:D,2,0),"")</f>
        <v>5.79</v>
      </c>
      <c r="E757" s="274" t="s">
        <v>2643</v>
      </c>
      <c r="F757" s="274"/>
      <c r="G757" s="274"/>
      <c r="H757" s="274"/>
      <c r="I757" s="274">
        <v>3.5</v>
      </c>
      <c r="J757" s="456">
        <f t="shared" si="28"/>
        <v>3.5</v>
      </c>
      <c r="K757" s="583"/>
      <c r="L757" s="268" t="s">
        <v>2625</v>
      </c>
      <c r="M757" s="268" t="s">
        <v>2634</v>
      </c>
      <c r="N757" s="278">
        <f>IFERROR(INDEX('Data Lokasi'!S:S,MATCH('Input Real Tanam&amp;Petik Nanas'!C757,'Data Lokasi'!C:C,0)),"")</f>
        <v>44272</v>
      </c>
      <c r="O757" s="278"/>
      <c r="P757" s="283">
        <f>IFERROR(INDEX('Data Lokasi'!V:V,MATCH(C757,'Data Lokasi'!C:C,0)),"")</f>
        <v>0</v>
      </c>
      <c r="Q757" s="304">
        <f t="shared" si="29"/>
        <v>0</v>
      </c>
      <c r="R757" s="308"/>
    </row>
    <row r="758" spans="2:18" ht="15" hidden="1" thickTop="1">
      <c r="B758" s="269">
        <v>46226</v>
      </c>
      <c r="C758" s="268" t="s">
        <v>395</v>
      </c>
      <c r="D758" s="274">
        <f>IFERROR(VLOOKUP(C758,'Data Lokasi'!C:D,2,0),"")</f>
        <v>6.32</v>
      </c>
      <c r="E758" s="274" t="s">
        <v>2643</v>
      </c>
      <c r="F758" s="274"/>
      <c r="G758" s="274">
        <v>0.01</v>
      </c>
      <c r="H758" s="274">
        <f>0.03+0.13</f>
        <v>0.16</v>
      </c>
      <c r="I758" s="274"/>
      <c r="J758" s="456">
        <f t="shared" si="28"/>
        <v>0.17</v>
      </c>
      <c r="K758" s="583"/>
      <c r="L758" s="268" t="s">
        <v>719</v>
      </c>
      <c r="M758" s="268" t="s">
        <v>2634</v>
      </c>
      <c r="N758" s="278">
        <f>IFERROR(INDEX('Data Lokasi'!S:S,MATCH('Input Real Tanam&amp;Petik Nanas'!C758,'Data Lokasi'!C:C,0)),"")</f>
        <v>44369</v>
      </c>
      <c r="O758" s="278"/>
      <c r="P758" s="283">
        <f>IFERROR(INDEX('Data Lokasi'!V:V,MATCH(C758,'Data Lokasi'!C:C,0)),"")</f>
        <v>0</v>
      </c>
      <c r="Q758" s="304">
        <f t="shared" si="29"/>
        <v>0</v>
      </c>
      <c r="R758" s="308">
        <v>4</v>
      </c>
    </row>
    <row r="759" spans="2:18" ht="15" hidden="1" thickTop="1">
      <c r="B759" s="269">
        <v>46226</v>
      </c>
      <c r="C759" s="268" t="s">
        <v>371</v>
      </c>
      <c r="D759" s="274">
        <f>IFERROR(VLOOKUP(C759,'Data Lokasi'!C:D,2,0),"")</f>
        <v>7.06</v>
      </c>
      <c r="E759" s="274" t="s">
        <v>2643</v>
      </c>
      <c r="F759" s="274"/>
      <c r="G759" s="274"/>
      <c r="H759" s="274">
        <f>0.04+0.21</f>
        <v>0.25</v>
      </c>
      <c r="I759" s="274"/>
      <c r="J759" s="456">
        <f t="shared" si="28"/>
        <v>0.25</v>
      </c>
      <c r="K759" s="583"/>
      <c r="L759" s="268" t="s">
        <v>719</v>
      </c>
      <c r="M759" s="268" t="s">
        <v>2634</v>
      </c>
      <c r="N759" s="278">
        <f>IFERROR(INDEX('Data Lokasi'!S:S,MATCH('Input Real Tanam&amp;Petik Nanas'!C759,'Data Lokasi'!C:C,0)),"")</f>
        <v>44335</v>
      </c>
      <c r="O759" s="278"/>
      <c r="P759" s="283">
        <f>IFERROR(INDEX('Data Lokasi'!V:V,MATCH(C759,'Data Lokasi'!C:C,0)),"")</f>
        <v>0</v>
      </c>
      <c r="Q759" s="304">
        <f t="shared" si="29"/>
        <v>0</v>
      </c>
      <c r="R759" s="308">
        <v>4</v>
      </c>
    </row>
    <row r="760" spans="2:18" ht="15" hidden="1" thickTop="1">
      <c r="B760" s="269">
        <v>46226</v>
      </c>
      <c r="C760" s="268" t="s">
        <v>505</v>
      </c>
      <c r="D760" s="274">
        <f>IFERROR(VLOOKUP(C760,'Data Lokasi'!C:D,2,0),"")</f>
        <v>9.16</v>
      </c>
      <c r="E760" s="274" t="s">
        <v>2643</v>
      </c>
      <c r="F760" s="274"/>
      <c r="G760" s="274"/>
      <c r="H760" s="274"/>
      <c r="I760" s="274">
        <v>1.53</v>
      </c>
      <c r="J760" s="456">
        <f t="shared" si="28"/>
        <v>1.53</v>
      </c>
      <c r="K760" s="583"/>
      <c r="L760" s="268" t="s">
        <v>2625</v>
      </c>
      <c r="M760" s="268" t="s">
        <v>2634</v>
      </c>
      <c r="N760" s="278">
        <f>IFERROR(INDEX('Data Lokasi'!S:S,MATCH('Input Real Tanam&amp;Petik Nanas'!C760,'Data Lokasi'!C:C,0)),"")</f>
        <v>44581</v>
      </c>
      <c r="O760" s="278"/>
      <c r="P760" s="283">
        <f>IFERROR(INDEX('Data Lokasi'!V:V,MATCH(C760,'Data Lokasi'!C:C,0)),"")</f>
        <v>0</v>
      </c>
      <c r="Q760" s="304">
        <f t="shared" si="29"/>
        <v>0</v>
      </c>
      <c r="R760" s="308"/>
    </row>
    <row r="761" spans="2:18" ht="15" hidden="1" thickTop="1">
      <c r="B761" s="269">
        <v>46226</v>
      </c>
      <c r="C761" s="268" t="s">
        <v>53</v>
      </c>
      <c r="D761" s="274">
        <f>IFERROR(VLOOKUP(C761,'Data Lokasi'!C:D,2,0),"")</f>
        <v>5.57</v>
      </c>
      <c r="E761" s="274" t="s">
        <v>2643</v>
      </c>
      <c r="F761" s="274"/>
      <c r="G761" s="274"/>
      <c r="H761" s="274"/>
      <c r="I761" s="274">
        <v>0.42</v>
      </c>
      <c r="J761" s="456">
        <f t="shared" si="28"/>
        <v>0.42</v>
      </c>
      <c r="K761" s="583"/>
      <c r="L761" s="268" t="s">
        <v>2625</v>
      </c>
      <c r="M761" s="268" t="s">
        <v>2631</v>
      </c>
      <c r="N761" s="278">
        <f>IFERROR(INDEX('Data Lokasi'!S:S,MATCH('Input Real Tanam&amp;Petik Nanas'!C761,'Data Lokasi'!C:C,0)),"")</f>
        <v>44723</v>
      </c>
      <c r="O761" s="278"/>
      <c r="P761" s="283">
        <f>IFERROR(INDEX('Data Lokasi'!V:V,MATCH(C761,'Data Lokasi'!C:C,0)),"")</f>
        <v>0</v>
      </c>
      <c r="Q761" s="304">
        <f t="shared" si="29"/>
        <v>0</v>
      </c>
      <c r="R761" s="308"/>
    </row>
    <row r="762" spans="2:18" ht="15" hidden="1" thickTop="1">
      <c r="B762" s="269">
        <v>46226</v>
      </c>
      <c r="C762" s="268" t="s">
        <v>425</v>
      </c>
      <c r="D762" s="274">
        <f>IFERROR(VLOOKUP(C762,'Data Lokasi'!C:D,2,0),"")</f>
        <v>8.85</v>
      </c>
      <c r="E762" s="274" t="s">
        <v>2643</v>
      </c>
      <c r="F762" s="274"/>
      <c r="G762" s="274">
        <v>0.01</v>
      </c>
      <c r="H762" s="274"/>
      <c r="I762" s="274"/>
      <c r="J762" s="456">
        <f t="shared" si="28"/>
        <v>0.01</v>
      </c>
      <c r="K762" s="583"/>
      <c r="L762" s="268" t="s">
        <v>719</v>
      </c>
      <c r="M762" s="268" t="s">
        <v>2631</v>
      </c>
      <c r="N762" s="278">
        <f>IFERROR(INDEX('Data Lokasi'!S:S,MATCH('Input Real Tanam&amp;Petik Nanas'!C762,'Data Lokasi'!C:C,0)),"")</f>
        <v>44389</v>
      </c>
      <c r="O762" s="278"/>
      <c r="P762" s="283">
        <f>IFERROR(INDEX('Data Lokasi'!V:V,MATCH(C762,'Data Lokasi'!C:C,0)),"")</f>
        <v>0</v>
      </c>
      <c r="Q762" s="304">
        <f t="shared" si="29"/>
        <v>0</v>
      </c>
      <c r="R762" s="308">
        <v>3</v>
      </c>
    </row>
    <row r="763" spans="2:18" ht="15" hidden="1" thickTop="1">
      <c r="B763" s="269">
        <v>46226</v>
      </c>
      <c r="C763" s="268" t="s">
        <v>441</v>
      </c>
      <c r="D763" s="274">
        <f>IFERROR(VLOOKUP(C763,'Data Lokasi'!C:D,2,0),"")</f>
        <v>11.2</v>
      </c>
      <c r="E763" s="274" t="s">
        <v>2643</v>
      </c>
      <c r="F763" s="274">
        <v>0.03</v>
      </c>
      <c r="G763" s="274">
        <v>0.04</v>
      </c>
      <c r="H763" s="274">
        <v>0.03</v>
      </c>
      <c r="I763" s="274"/>
      <c r="J763" s="456">
        <f t="shared" si="28"/>
        <v>0.1</v>
      </c>
      <c r="K763" s="583"/>
      <c r="L763" s="268" t="s">
        <v>719</v>
      </c>
      <c r="M763" s="268" t="s">
        <v>2631</v>
      </c>
      <c r="N763" s="278">
        <f>IFERROR(INDEX('Data Lokasi'!S:S,MATCH('Input Real Tanam&amp;Petik Nanas'!C763,'Data Lokasi'!C:C,0)),"")</f>
        <v>44429</v>
      </c>
      <c r="O763" s="278"/>
      <c r="P763" s="283">
        <f>IFERROR(INDEX('Data Lokasi'!V:V,MATCH(C763,'Data Lokasi'!C:C,0)),"")</f>
        <v>0</v>
      </c>
      <c r="Q763" s="304">
        <f t="shared" si="29"/>
        <v>0</v>
      </c>
      <c r="R763" s="308">
        <v>3</v>
      </c>
    </row>
    <row r="764" spans="2:18" ht="15" hidden="1" thickTop="1">
      <c r="B764" s="269">
        <v>46226</v>
      </c>
      <c r="C764" s="268" t="s">
        <v>2554</v>
      </c>
      <c r="D764" s="274">
        <f>IFERROR(VLOOKUP(C764,'Data Lokasi'!C:D,2,0),"")</f>
        <v>6.64</v>
      </c>
      <c r="E764" s="274" t="s">
        <v>2643</v>
      </c>
      <c r="F764" s="274"/>
      <c r="G764" s="274"/>
      <c r="H764" s="274"/>
      <c r="I764" s="274">
        <v>0.71</v>
      </c>
      <c r="J764" s="456">
        <f t="shared" si="28"/>
        <v>0.71</v>
      </c>
      <c r="K764" s="583"/>
      <c r="L764" s="268" t="s">
        <v>2625</v>
      </c>
      <c r="M764" s="268" t="s">
        <v>2631</v>
      </c>
      <c r="N764" s="278">
        <f>IFERROR(INDEX('Data Lokasi'!S:S,MATCH('Input Real Tanam&amp;Petik Nanas'!C764,'Data Lokasi'!C:C,0)),"")</f>
        <v>45667</v>
      </c>
      <c r="O764" s="278"/>
      <c r="P764" s="283">
        <f>IFERROR(INDEX('Data Lokasi'!V:V,MATCH(C764,'Data Lokasi'!C:C,0)),"")</f>
        <v>0</v>
      </c>
      <c r="Q764" s="304">
        <f t="shared" si="29"/>
        <v>0</v>
      </c>
      <c r="R764" s="308"/>
    </row>
    <row r="765" spans="2:18" ht="15" hidden="1" thickTop="1">
      <c r="B765" s="269">
        <v>46227</v>
      </c>
      <c r="C765" s="268" t="s">
        <v>196</v>
      </c>
      <c r="D765" s="274">
        <f>IFERROR(VLOOKUP(C765,'Data Lokasi'!C:D,2,0),"")</f>
        <v>11.7</v>
      </c>
      <c r="E765" s="274" t="s">
        <v>2642</v>
      </c>
      <c r="F765" s="274"/>
      <c r="G765" s="274"/>
      <c r="H765" s="274"/>
      <c r="I765" s="274">
        <v>1.83</v>
      </c>
      <c r="J765" s="456">
        <f t="shared" si="28"/>
        <v>1.83</v>
      </c>
      <c r="K765" s="583"/>
      <c r="L765" s="268" t="s">
        <v>2625</v>
      </c>
      <c r="M765" s="268" t="s">
        <v>2634</v>
      </c>
      <c r="N765" s="278">
        <f>IFERROR(INDEX('Data Lokasi'!S:S,MATCH('Input Real Tanam&amp;Petik Nanas'!C765,'Data Lokasi'!C:C,0)),"")</f>
        <v>43948</v>
      </c>
      <c r="O765" s="278"/>
      <c r="P765" s="283">
        <f>IFERROR(INDEX('Data Lokasi'!V:V,MATCH(C765,'Data Lokasi'!C:C,0)),"")</f>
        <v>0</v>
      </c>
      <c r="Q765" s="304">
        <f t="shared" si="29"/>
        <v>0</v>
      </c>
      <c r="R765" s="308"/>
    </row>
    <row r="766" spans="2:18" ht="15" hidden="1" thickTop="1">
      <c r="B766" s="269">
        <v>46227</v>
      </c>
      <c r="C766" s="268" t="s">
        <v>665</v>
      </c>
      <c r="D766" s="274">
        <f>IFERROR(VLOOKUP(C766,'Data Lokasi'!C:D,2,0),"")</f>
        <v>4.68</v>
      </c>
      <c r="E766" s="274" t="s">
        <v>2642</v>
      </c>
      <c r="F766" s="274"/>
      <c r="G766" s="274"/>
      <c r="H766" s="274"/>
      <c r="I766" s="274">
        <v>7.0000000000000007E-2</v>
      </c>
      <c r="J766" s="456">
        <f t="shared" si="28"/>
        <v>7.0000000000000007E-2</v>
      </c>
      <c r="K766" s="583"/>
      <c r="L766" s="268" t="s">
        <v>2625</v>
      </c>
      <c r="M766" s="268" t="s">
        <v>2634</v>
      </c>
      <c r="N766" s="278">
        <f>IFERROR(INDEX('Data Lokasi'!S:S,MATCH('Input Real Tanam&amp;Petik Nanas'!C766,'Data Lokasi'!C:C,0)),"")</f>
        <v>45061</v>
      </c>
      <c r="O766" s="278"/>
      <c r="P766" s="283">
        <f>IFERROR(INDEX('Data Lokasi'!V:V,MATCH(C766,'Data Lokasi'!C:C,0)),"")</f>
        <v>0</v>
      </c>
      <c r="Q766" s="304">
        <f t="shared" si="29"/>
        <v>0</v>
      </c>
      <c r="R766" s="308"/>
    </row>
    <row r="767" spans="2:18" ht="15" hidden="1" thickTop="1">
      <c r="B767" s="269">
        <v>46227</v>
      </c>
      <c r="C767" s="268" t="s">
        <v>234</v>
      </c>
      <c r="D767" s="274">
        <f>IFERROR(VLOOKUP(C767,'Data Lokasi'!C:D,2,0),"")</f>
        <v>5.85</v>
      </c>
      <c r="E767" s="274" t="s">
        <v>2642</v>
      </c>
      <c r="F767" s="274"/>
      <c r="G767" s="274"/>
      <c r="H767" s="274"/>
      <c r="I767" s="274">
        <v>0.11</v>
      </c>
      <c r="J767" s="456">
        <f t="shared" si="28"/>
        <v>0.11</v>
      </c>
      <c r="K767" s="583"/>
      <c r="L767" s="268" t="s">
        <v>2625</v>
      </c>
      <c r="M767" s="268" t="s">
        <v>2634</v>
      </c>
      <c r="N767" s="278">
        <f>IFERROR(INDEX('Data Lokasi'!S:S,MATCH('Input Real Tanam&amp;Petik Nanas'!C767,'Data Lokasi'!C:C,0)),"")</f>
        <v>44038</v>
      </c>
      <c r="O767" s="278"/>
      <c r="P767" s="283">
        <f>IFERROR(INDEX('Data Lokasi'!V:V,MATCH(C767,'Data Lokasi'!C:C,0)),"")</f>
        <v>0</v>
      </c>
      <c r="Q767" s="304">
        <f t="shared" si="29"/>
        <v>0</v>
      </c>
      <c r="R767" s="308"/>
    </row>
    <row r="768" spans="2:18" ht="15" hidden="1" thickTop="1">
      <c r="B768" s="269">
        <v>46227</v>
      </c>
      <c r="C768" s="268" t="s">
        <v>657</v>
      </c>
      <c r="D768" s="274">
        <f>IFERROR(VLOOKUP(C768,'Data Lokasi'!C:D,2,0),"")</f>
        <v>7.73</v>
      </c>
      <c r="E768" s="274" t="s">
        <v>2642</v>
      </c>
      <c r="F768" s="274"/>
      <c r="G768" s="274"/>
      <c r="H768" s="274"/>
      <c r="I768" s="274">
        <v>0.37</v>
      </c>
      <c r="J768" s="456">
        <f t="shared" si="28"/>
        <v>0.37</v>
      </c>
      <c r="K768" s="583"/>
      <c r="L768" s="268" t="s">
        <v>2625</v>
      </c>
      <c r="M768" s="268" t="s">
        <v>2634</v>
      </c>
      <c r="N768" s="278">
        <f>IFERROR(INDEX('Data Lokasi'!S:S,MATCH('Input Real Tanam&amp;Petik Nanas'!C768,'Data Lokasi'!C:C,0)),"")</f>
        <v>45003</v>
      </c>
      <c r="O768" s="278"/>
      <c r="P768" s="283">
        <f>IFERROR(INDEX('Data Lokasi'!V:V,MATCH(C768,'Data Lokasi'!C:C,0)),"")</f>
        <v>0</v>
      </c>
      <c r="Q768" s="304">
        <f t="shared" si="29"/>
        <v>0</v>
      </c>
      <c r="R768" s="308"/>
    </row>
    <row r="769" spans="2:18" ht="15" hidden="1" thickTop="1">
      <c r="B769" s="269">
        <v>46227</v>
      </c>
      <c r="C769" s="268" t="s">
        <v>659</v>
      </c>
      <c r="D769" s="274">
        <f>IFERROR(VLOOKUP(C769,'Data Lokasi'!C:D,2,0),"")</f>
        <v>5.7</v>
      </c>
      <c r="E769" s="274" t="s">
        <v>2642</v>
      </c>
      <c r="F769" s="274"/>
      <c r="G769" s="274"/>
      <c r="H769" s="274"/>
      <c r="I769" s="274">
        <v>0.18</v>
      </c>
      <c r="J769" s="456">
        <f t="shared" si="28"/>
        <v>0.18</v>
      </c>
      <c r="K769" s="583"/>
      <c r="L769" s="268" t="s">
        <v>719</v>
      </c>
      <c r="M769" s="268" t="s">
        <v>2634</v>
      </c>
      <c r="N769" s="278">
        <f>IFERROR(INDEX('Data Lokasi'!S:S,MATCH('Input Real Tanam&amp;Petik Nanas'!C769,'Data Lokasi'!C:C,0)),"")</f>
        <v>45010</v>
      </c>
      <c r="O769" s="278"/>
      <c r="P769" s="283">
        <f>IFERROR(INDEX('Data Lokasi'!V:V,MATCH(C769,'Data Lokasi'!C:C,0)),"")</f>
        <v>0</v>
      </c>
      <c r="Q769" s="304">
        <f t="shared" si="29"/>
        <v>0</v>
      </c>
      <c r="R769" s="308"/>
    </row>
    <row r="770" spans="2:18" ht="15" hidden="1" thickTop="1">
      <c r="B770" s="269">
        <v>46227</v>
      </c>
      <c r="C770" s="268" t="s">
        <v>1443</v>
      </c>
      <c r="D770" s="274">
        <f>IFERROR(VLOOKUP(C770,'Data Lokasi'!C:D,2,0),"")</f>
        <v>1.34</v>
      </c>
      <c r="E770" s="274" t="s">
        <v>2642</v>
      </c>
      <c r="F770" s="274"/>
      <c r="G770" s="274">
        <v>0.02</v>
      </c>
      <c r="H770" s="274"/>
      <c r="I770" s="274"/>
      <c r="J770" s="456">
        <f t="shared" si="28"/>
        <v>0.02</v>
      </c>
      <c r="K770" s="583"/>
      <c r="L770" s="268" t="s">
        <v>719</v>
      </c>
      <c r="M770" s="268" t="s">
        <v>2634</v>
      </c>
      <c r="N770" s="278">
        <f>IFERROR(INDEX('Data Lokasi'!S:S,MATCH('Input Real Tanam&amp;Petik Nanas'!C770,'Data Lokasi'!C:C,0)),"")</f>
        <v>46222</v>
      </c>
      <c r="O770" s="278"/>
      <c r="P770" s="283">
        <f>IFERROR(INDEX('Data Lokasi'!V:V,MATCH(C770,'Data Lokasi'!C:C,0)),"")</f>
        <v>0</v>
      </c>
      <c r="Q770" s="304">
        <f t="shared" si="29"/>
        <v>0</v>
      </c>
      <c r="R770" s="308"/>
    </row>
    <row r="771" spans="2:18" ht="15" hidden="1" thickTop="1">
      <c r="B771" s="269">
        <v>46227</v>
      </c>
      <c r="C771" s="268" t="s">
        <v>294</v>
      </c>
      <c r="D771" s="274">
        <f>IFERROR(VLOOKUP(C771,'Data Lokasi'!C:D,2,0),"")</f>
        <v>6.93</v>
      </c>
      <c r="E771" s="274" t="s">
        <v>2642</v>
      </c>
      <c r="F771" s="274"/>
      <c r="G771" s="274"/>
      <c r="H771" s="274">
        <v>0.56000000000000005</v>
      </c>
      <c r="I771" s="274"/>
      <c r="J771" s="456">
        <f t="shared" si="28"/>
        <v>0.56000000000000005</v>
      </c>
      <c r="K771" s="583"/>
      <c r="L771" s="268" t="s">
        <v>719</v>
      </c>
      <c r="M771" s="268" t="s">
        <v>2634</v>
      </c>
      <c r="N771" s="278">
        <f>IFERROR(INDEX('Data Lokasi'!S:S,MATCH('Input Real Tanam&amp;Petik Nanas'!C771,'Data Lokasi'!C:C,0)),"")</f>
        <v>44139</v>
      </c>
      <c r="O771" s="278"/>
      <c r="P771" s="283">
        <f>IFERROR(INDEX('Data Lokasi'!V:V,MATCH(C771,'Data Lokasi'!C:C,0)),"")</f>
        <v>0</v>
      </c>
      <c r="Q771" s="304">
        <f t="shared" si="29"/>
        <v>0</v>
      </c>
      <c r="R771" s="308"/>
    </row>
    <row r="772" spans="2:18" ht="15" hidden="1" thickTop="1">
      <c r="B772" s="269">
        <v>46227</v>
      </c>
      <c r="C772" s="268" t="s">
        <v>701</v>
      </c>
      <c r="D772" s="274">
        <f>IFERROR(VLOOKUP(C772,'Data Lokasi'!C:D,2,0),"")</f>
        <v>6.03</v>
      </c>
      <c r="E772" s="274" t="s">
        <v>2642</v>
      </c>
      <c r="F772" s="274"/>
      <c r="G772" s="274"/>
      <c r="H772" s="274"/>
      <c r="I772" s="274">
        <v>0.87</v>
      </c>
      <c r="J772" s="456">
        <f t="shared" si="28"/>
        <v>0.87</v>
      </c>
      <c r="K772" s="583"/>
      <c r="L772" s="268" t="s">
        <v>2625</v>
      </c>
      <c r="M772" s="268" t="s">
        <v>2631</v>
      </c>
      <c r="N772" s="278">
        <f>IFERROR(INDEX('Data Lokasi'!S:S,MATCH('Input Real Tanam&amp;Petik Nanas'!C772,'Data Lokasi'!C:C,0)),"")</f>
        <v>45185</v>
      </c>
      <c r="O772" s="278"/>
      <c r="P772" s="283">
        <f>IFERROR(INDEX('Data Lokasi'!V:V,MATCH(C772,'Data Lokasi'!C:C,0)),"")</f>
        <v>0</v>
      </c>
      <c r="Q772" s="304">
        <f t="shared" si="29"/>
        <v>0</v>
      </c>
      <c r="R772" s="308"/>
    </row>
    <row r="773" spans="2:18" ht="15" hidden="1" thickTop="1">
      <c r="B773" s="269">
        <v>46227</v>
      </c>
      <c r="C773" s="268" t="s">
        <v>705</v>
      </c>
      <c r="D773" s="274">
        <f>IFERROR(VLOOKUP(C773,'Data Lokasi'!C:D,2,0),"")</f>
        <v>7.67</v>
      </c>
      <c r="E773" s="274" t="s">
        <v>2642</v>
      </c>
      <c r="F773" s="274"/>
      <c r="G773" s="274"/>
      <c r="H773" s="274"/>
      <c r="I773" s="274">
        <v>0.66</v>
      </c>
      <c r="J773" s="456">
        <f t="shared" si="28"/>
        <v>0.66</v>
      </c>
      <c r="K773" s="583"/>
      <c r="L773" s="268" t="s">
        <v>2625</v>
      </c>
      <c r="M773" s="268" t="s">
        <v>2631</v>
      </c>
      <c r="N773" s="278">
        <f>IFERROR(INDEX('Data Lokasi'!S:S,MATCH('Input Real Tanam&amp;Petik Nanas'!C773,'Data Lokasi'!C:C,0)),"")</f>
        <v>45202</v>
      </c>
      <c r="O773" s="278"/>
      <c r="P773" s="283">
        <f>IFERROR(INDEX('Data Lokasi'!V:V,MATCH(C773,'Data Lokasi'!C:C,0)),"")</f>
        <v>0</v>
      </c>
      <c r="Q773" s="304">
        <f t="shared" si="29"/>
        <v>0</v>
      </c>
      <c r="R773" s="308"/>
    </row>
    <row r="774" spans="2:18" ht="15" hidden="1" thickTop="1">
      <c r="B774" s="269">
        <v>46227</v>
      </c>
      <c r="C774" s="268" t="s">
        <v>126</v>
      </c>
      <c r="D774" s="274">
        <f>IFERROR(VLOOKUP(C774,'Data Lokasi'!C:D,2,0),"")</f>
        <v>6.39</v>
      </c>
      <c r="E774" s="274" t="s">
        <v>2642</v>
      </c>
      <c r="F774" s="274"/>
      <c r="G774" s="274"/>
      <c r="H774" s="274"/>
      <c r="I774" s="274">
        <v>0.27</v>
      </c>
      <c r="J774" s="456">
        <f t="shared" si="28"/>
        <v>0.27</v>
      </c>
      <c r="K774" s="583"/>
      <c r="L774" s="268" t="s">
        <v>2625</v>
      </c>
      <c r="M774" s="268" t="s">
        <v>2631</v>
      </c>
      <c r="N774" s="278">
        <f>IFERROR(INDEX('Data Lokasi'!S:S,MATCH('Input Real Tanam&amp;Petik Nanas'!C774,'Data Lokasi'!C:C,0)),"")</f>
        <v>44207</v>
      </c>
      <c r="O774" s="278"/>
      <c r="P774" s="283">
        <f>IFERROR(INDEX('Data Lokasi'!V:V,MATCH(C774,'Data Lokasi'!C:C,0)),"")</f>
        <v>0</v>
      </c>
      <c r="Q774" s="304">
        <f t="shared" si="29"/>
        <v>0</v>
      </c>
      <c r="R774" s="308"/>
    </row>
    <row r="775" spans="2:18" ht="15" hidden="1" thickTop="1">
      <c r="B775" s="269">
        <v>46227</v>
      </c>
      <c r="C775" s="268" t="s">
        <v>695</v>
      </c>
      <c r="D775" s="274">
        <f>IFERROR(VLOOKUP(C775,'Data Lokasi'!C:D,2,0),"")</f>
        <v>5</v>
      </c>
      <c r="E775" s="274" t="s">
        <v>2642</v>
      </c>
      <c r="F775" s="274"/>
      <c r="G775" s="274"/>
      <c r="H775" s="274"/>
      <c r="I775" s="274">
        <v>0.84</v>
      </c>
      <c r="J775" s="456">
        <f t="shared" si="28"/>
        <v>0.84</v>
      </c>
      <c r="K775" s="583"/>
      <c r="L775" s="268" t="s">
        <v>2625</v>
      </c>
      <c r="M775" s="268" t="s">
        <v>2631</v>
      </c>
      <c r="N775" s="278">
        <f>IFERROR(INDEX('Data Lokasi'!S:S,MATCH('Input Real Tanam&amp;Petik Nanas'!C775,'Data Lokasi'!C:C,0)),"")</f>
        <v>45117</v>
      </c>
      <c r="O775" s="278"/>
      <c r="P775" s="283">
        <f>IFERROR(INDEX('Data Lokasi'!V:V,MATCH(C775,'Data Lokasi'!C:C,0)),"")</f>
        <v>0</v>
      </c>
      <c r="Q775" s="304">
        <f t="shared" si="29"/>
        <v>0</v>
      </c>
      <c r="R775" s="308"/>
    </row>
    <row r="776" spans="2:18" ht="15" hidden="1" thickTop="1">
      <c r="B776" s="269">
        <v>46227</v>
      </c>
      <c r="C776" s="268" t="s">
        <v>110</v>
      </c>
      <c r="D776" s="274">
        <f>IFERROR(VLOOKUP(C776,'Data Lokasi'!C:D,2,0),"")</f>
        <v>9</v>
      </c>
      <c r="E776" s="274" t="s">
        <v>2642</v>
      </c>
      <c r="F776" s="274"/>
      <c r="G776" s="274"/>
      <c r="H776" s="274"/>
      <c r="I776" s="274">
        <v>0.44</v>
      </c>
      <c r="J776" s="456">
        <f t="shared" si="28"/>
        <v>0.44</v>
      </c>
      <c r="K776" s="583"/>
      <c r="L776" s="268" t="s">
        <v>2625</v>
      </c>
      <c r="M776" s="268" t="s">
        <v>2631</v>
      </c>
      <c r="N776" s="278">
        <f>IFERROR(INDEX('Data Lokasi'!S:S,MATCH('Input Real Tanam&amp;Petik Nanas'!C776,'Data Lokasi'!C:C,0)),"")</f>
        <v>44193</v>
      </c>
      <c r="O776" s="278"/>
      <c r="P776" s="283">
        <f>IFERROR(INDEX('Data Lokasi'!V:V,MATCH(C776,'Data Lokasi'!C:C,0)),"")</f>
        <v>0</v>
      </c>
      <c r="Q776" s="304">
        <f t="shared" si="29"/>
        <v>0</v>
      </c>
      <c r="R776" s="308"/>
    </row>
    <row r="777" spans="2:18" ht="15" hidden="1" thickTop="1">
      <c r="B777" s="269">
        <v>46227</v>
      </c>
      <c r="C777" s="268" t="s">
        <v>688</v>
      </c>
      <c r="D777" s="274">
        <f>IFERROR(VLOOKUP(C777,'Data Lokasi'!C:D,2,0),"")</f>
        <v>7.73</v>
      </c>
      <c r="E777" s="274" t="s">
        <v>2642</v>
      </c>
      <c r="F777" s="274"/>
      <c r="G777" s="274"/>
      <c r="H777" s="274"/>
      <c r="I777" s="274">
        <v>0.02</v>
      </c>
      <c r="J777" s="456">
        <f t="shared" si="28"/>
        <v>0.02</v>
      </c>
      <c r="K777" s="583"/>
      <c r="L777" s="268" t="s">
        <v>2625</v>
      </c>
      <c r="M777" s="268" t="s">
        <v>2631</v>
      </c>
      <c r="N777" s="278">
        <f>IFERROR(INDEX('Data Lokasi'!S:S,MATCH('Input Real Tanam&amp;Petik Nanas'!C777,'Data Lokasi'!C:C,0)),"")</f>
        <v>45119</v>
      </c>
      <c r="O777" s="278"/>
      <c r="P777" s="283">
        <f>IFERROR(INDEX('Data Lokasi'!V:V,MATCH(C777,'Data Lokasi'!C:C,0)),"")</f>
        <v>0</v>
      </c>
      <c r="Q777" s="304">
        <f t="shared" si="29"/>
        <v>0</v>
      </c>
      <c r="R777" s="308"/>
    </row>
    <row r="778" spans="2:18" ht="15" hidden="1" thickTop="1">
      <c r="B778" s="269">
        <v>46227</v>
      </c>
      <c r="C778" s="268" t="s">
        <v>2542</v>
      </c>
      <c r="D778" s="274">
        <f>IFERROR(VLOOKUP(C778,'Data Lokasi'!C:D,2,0),"")</f>
        <v>0.6</v>
      </c>
      <c r="E778" s="274" t="s">
        <v>2643</v>
      </c>
      <c r="F778" s="274"/>
      <c r="G778" s="274"/>
      <c r="H778" s="274">
        <v>0.05</v>
      </c>
      <c r="I778" s="274"/>
      <c r="J778" s="456">
        <f t="shared" si="28"/>
        <v>0.05</v>
      </c>
      <c r="K778" s="583"/>
      <c r="L778" s="268" t="s">
        <v>719</v>
      </c>
      <c r="M778" s="268" t="s">
        <v>2634</v>
      </c>
      <c r="N778" s="278">
        <f>IFERROR(INDEX('Data Lokasi'!S:S,MATCH('Input Real Tanam&amp;Petik Nanas'!C778,'Data Lokasi'!C:C,0)),"")</f>
        <v>45431</v>
      </c>
      <c r="O778" s="278"/>
      <c r="P778" s="283">
        <f>IFERROR(INDEX('Data Lokasi'!V:V,MATCH(C778,'Data Lokasi'!C:C,0)),"")</f>
        <v>0</v>
      </c>
      <c r="Q778" s="304">
        <f t="shared" si="29"/>
        <v>0</v>
      </c>
      <c r="R778" s="308">
        <v>4</v>
      </c>
    </row>
    <row r="779" spans="2:18" ht="15" hidden="1" thickTop="1">
      <c r="B779" s="269">
        <v>46227</v>
      </c>
      <c r="C779" s="268" t="s">
        <v>371</v>
      </c>
      <c r="D779" s="274">
        <f>IFERROR(VLOOKUP(C779,'Data Lokasi'!C:D,2,0),"")</f>
        <v>7.06</v>
      </c>
      <c r="E779" s="274" t="s">
        <v>2643</v>
      </c>
      <c r="F779" s="274"/>
      <c r="G779" s="274"/>
      <c r="H779" s="274">
        <v>0.13</v>
      </c>
      <c r="I779" s="274"/>
      <c r="J779" s="456">
        <f t="shared" si="28"/>
        <v>0.13</v>
      </c>
      <c r="K779" s="583"/>
      <c r="L779" s="268" t="s">
        <v>719</v>
      </c>
      <c r="M779" s="268" t="s">
        <v>2634</v>
      </c>
      <c r="N779" s="278">
        <f>IFERROR(INDEX('Data Lokasi'!S:S,MATCH('Input Real Tanam&amp;Petik Nanas'!C779,'Data Lokasi'!C:C,0)),"")</f>
        <v>44335</v>
      </c>
      <c r="O779" s="278"/>
      <c r="P779" s="283">
        <f>IFERROR(INDEX('Data Lokasi'!V:V,MATCH(C779,'Data Lokasi'!C:C,0)),"")</f>
        <v>0</v>
      </c>
      <c r="Q779" s="304">
        <f t="shared" si="29"/>
        <v>0</v>
      </c>
      <c r="R779" s="308">
        <v>4</v>
      </c>
    </row>
    <row r="780" spans="2:18" ht="15" hidden="1" thickTop="1">
      <c r="B780" s="269">
        <v>46227</v>
      </c>
      <c r="C780" s="268" t="s">
        <v>545</v>
      </c>
      <c r="D780" s="274">
        <f>IFERROR(VLOOKUP(C780,'Data Lokasi'!C:D,2,0),"")</f>
        <v>5.92</v>
      </c>
      <c r="E780" s="274" t="s">
        <v>2643</v>
      </c>
      <c r="F780" s="274"/>
      <c r="G780" s="274"/>
      <c r="H780" s="274"/>
      <c r="I780" s="274">
        <v>0.65</v>
      </c>
      <c r="J780" s="456">
        <f t="shared" si="28"/>
        <v>0.65</v>
      </c>
      <c r="K780" s="583"/>
      <c r="L780" s="268" t="s">
        <v>2625</v>
      </c>
      <c r="M780" s="268" t="s">
        <v>2634</v>
      </c>
      <c r="N780" s="278">
        <f>IFERROR(INDEX('Data Lokasi'!S:S,MATCH('Input Real Tanam&amp;Petik Nanas'!C780,'Data Lokasi'!C:C,0)),"")</f>
        <v>44648</v>
      </c>
      <c r="O780" s="278"/>
      <c r="P780" s="283">
        <f>IFERROR(INDEX('Data Lokasi'!V:V,MATCH(C780,'Data Lokasi'!C:C,0)),"")</f>
        <v>0</v>
      </c>
      <c r="Q780" s="304">
        <f t="shared" si="29"/>
        <v>0</v>
      </c>
      <c r="R780" s="308"/>
    </row>
    <row r="781" spans="2:18" ht="15" hidden="1" thickTop="1">
      <c r="B781" s="269">
        <v>46227</v>
      </c>
      <c r="C781" s="268" t="s">
        <v>53</v>
      </c>
      <c r="D781" s="274">
        <f>IFERROR(VLOOKUP(C781,'Data Lokasi'!C:D,2,0),"")</f>
        <v>5.57</v>
      </c>
      <c r="E781" s="274" t="s">
        <v>2643</v>
      </c>
      <c r="F781" s="274"/>
      <c r="G781" s="274"/>
      <c r="H781" s="274"/>
      <c r="I781" s="274">
        <v>0.15</v>
      </c>
      <c r="J781" s="456">
        <f t="shared" si="28"/>
        <v>0.15</v>
      </c>
      <c r="K781" s="583"/>
      <c r="L781" s="268" t="s">
        <v>2625</v>
      </c>
      <c r="M781" s="268" t="s">
        <v>2631</v>
      </c>
      <c r="N781" s="278">
        <f>IFERROR(INDEX('Data Lokasi'!S:S,MATCH('Input Real Tanam&amp;Petik Nanas'!C781,'Data Lokasi'!C:C,0)),"")</f>
        <v>44723</v>
      </c>
      <c r="O781" s="278"/>
      <c r="P781" s="283">
        <f>IFERROR(INDEX('Data Lokasi'!V:V,MATCH(C781,'Data Lokasi'!C:C,0)),"")</f>
        <v>0</v>
      </c>
      <c r="Q781" s="304">
        <f t="shared" si="29"/>
        <v>0</v>
      </c>
      <c r="R781" s="308"/>
    </row>
    <row r="782" spans="2:18" ht="15" hidden="1" thickTop="1">
      <c r="B782" s="269">
        <v>46227</v>
      </c>
      <c r="C782" s="317" t="s">
        <v>2545</v>
      </c>
      <c r="D782" s="274">
        <f>IFERROR(VLOOKUP(C782,'Data Lokasi'!C:D,2,0),"")</f>
        <v>10.91</v>
      </c>
      <c r="E782" s="274" t="s">
        <v>2643</v>
      </c>
      <c r="F782" s="274"/>
      <c r="G782" s="274"/>
      <c r="H782" s="274"/>
      <c r="I782" s="274">
        <v>1.1200000000000001</v>
      </c>
      <c r="J782" s="456">
        <f t="shared" si="28"/>
        <v>1.1200000000000001</v>
      </c>
      <c r="K782" s="583"/>
      <c r="L782" s="268" t="s">
        <v>2625</v>
      </c>
      <c r="M782" s="268" t="s">
        <v>2634</v>
      </c>
      <c r="N782" s="278">
        <f>IFERROR(INDEX('Data Lokasi'!S:S,MATCH('Input Real Tanam&amp;Petik Nanas'!C782,'Data Lokasi'!C:C,0)),"")</f>
        <v>45644</v>
      </c>
      <c r="O782" s="278"/>
      <c r="P782" s="283">
        <f>IFERROR(INDEX('Data Lokasi'!V:V,MATCH(C782,'Data Lokasi'!C:C,0)),"")</f>
        <v>0</v>
      </c>
      <c r="Q782" s="304">
        <f t="shared" si="29"/>
        <v>0</v>
      </c>
      <c r="R782" s="308"/>
    </row>
    <row r="783" spans="2:18" ht="15" hidden="1" thickTop="1">
      <c r="B783" s="269">
        <v>46227</v>
      </c>
      <c r="C783" s="268" t="s">
        <v>339</v>
      </c>
      <c r="D783" s="274">
        <f>IFERROR(VLOOKUP(C783,'Data Lokasi'!C:D,2,0),"")</f>
        <v>7.68</v>
      </c>
      <c r="E783" s="274" t="s">
        <v>2643</v>
      </c>
      <c r="F783" s="274"/>
      <c r="G783" s="274">
        <v>0.1</v>
      </c>
      <c r="H783" s="274">
        <f>0.27+0.55</f>
        <v>0.82000000000000006</v>
      </c>
      <c r="I783" s="274"/>
      <c r="J783" s="456">
        <f t="shared" si="28"/>
        <v>0.92</v>
      </c>
      <c r="K783" s="583"/>
      <c r="L783" s="268" t="s">
        <v>719</v>
      </c>
      <c r="M783" s="268" t="s">
        <v>2634</v>
      </c>
      <c r="N783" s="278">
        <f>IFERROR(INDEX('Data Lokasi'!S:S,MATCH('Input Real Tanam&amp;Petik Nanas'!C783,'Data Lokasi'!C:C,0)),"")</f>
        <v>44252</v>
      </c>
      <c r="O783" s="278"/>
      <c r="P783" s="283">
        <f>IFERROR(INDEX('Data Lokasi'!V:V,MATCH(C783,'Data Lokasi'!C:C,0)),"")</f>
        <v>0</v>
      </c>
      <c r="Q783" s="304">
        <f t="shared" si="29"/>
        <v>0</v>
      </c>
      <c r="R783" s="308">
        <v>11</v>
      </c>
    </row>
    <row r="784" spans="2:18" ht="15" hidden="1" thickTop="1">
      <c r="B784" s="269">
        <v>46227</v>
      </c>
      <c r="C784" s="268" t="s">
        <v>499</v>
      </c>
      <c r="D784" s="274">
        <f>IFERROR(VLOOKUP(C784,'Data Lokasi'!C:D,2,0),"")</f>
        <v>6.82</v>
      </c>
      <c r="E784" s="274" t="s">
        <v>2643</v>
      </c>
      <c r="F784" s="274"/>
      <c r="G784" s="274"/>
      <c r="H784" s="274"/>
      <c r="I784" s="274">
        <v>2.77</v>
      </c>
      <c r="J784" s="456">
        <f t="shared" si="28"/>
        <v>2.77</v>
      </c>
      <c r="K784" s="583"/>
      <c r="L784" s="268" t="s">
        <v>2625</v>
      </c>
      <c r="M784" s="268" t="s">
        <v>2634</v>
      </c>
      <c r="N784" s="278">
        <f>IFERROR(INDEX('Data Lokasi'!S:S,MATCH('Input Real Tanam&amp;Petik Nanas'!C784,'Data Lokasi'!C:C,0)),"")</f>
        <v>44573</v>
      </c>
      <c r="O784" s="278"/>
      <c r="P784" s="283">
        <f>IFERROR(INDEX('Data Lokasi'!V:V,MATCH(C784,'Data Lokasi'!C:C,0)),"")</f>
        <v>0</v>
      </c>
      <c r="Q784" s="304">
        <f t="shared" si="29"/>
        <v>0</v>
      </c>
      <c r="R784" s="308"/>
    </row>
    <row r="785" spans="2:18" ht="15" hidden="1" thickTop="1">
      <c r="B785" s="269">
        <v>46227</v>
      </c>
      <c r="C785" s="268" t="s">
        <v>349</v>
      </c>
      <c r="D785" s="274">
        <f>IFERROR(VLOOKUP(C785,'Data Lokasi'!C:D,2,0),"")</f>
        <v>5.79</v>
      </c>
      <c r="E785" s="274" t="s">
        <v>2643</v>
      </c>
      <c r="F785" s="274"/>
      <c r="G785" s="274"/>
      <c r="H785" s="274"/>
      <c r="I785" s="274">
        <v>0.44</v>
      </c>
      <c r="J785" s="456">
        <f t="shared" si="28"/>
        <v>0.44</v>
      </c>
      <c r="K785" s="583"/>
      <c r="L785" s="268" t="s">
        <v>2625</v>
      </c>
      <c r="M785" s="268" t="s">
        <v>2634</v>
      </c>
      <c r="N785" s="278">
        <f>IFERROR(INDEX('Data Lokasi'!S:S,MATCH('Input Real Tanam&amp;Petik Nanas'!C785,'Data Lokasi'!C:C,0)),"")</f>
        <v>44272</v>
      </c>
      <c r="O785" s="278"/>
      <c r="P785" s="283">
        <f>IFERROR(INDEX('Data Lokasi'!V:V,MATCH(C785,'Data Lokasi'!C:C,0)),"")</f>
        <v>0</v>
      </c>
      <c r="Q785" s="304">
        <f t="shared" si="29"/>
        <v>0</v>
      </c>
      <c r="R785" s="308"/>
    </row>
    <row r="786" spans="2:18" ht="15" hidden="1" thickTop="1">
      <c r="B786" s="269">
        <v>46227</v>
      </c>
      <c r="C786" s="268" t="s">
        <v>425</v>
      </c>
      <c r="D786" s="274">
        <f>IFERROR(VLOOKUP(C786,'Data Lokasi'!C:D,2,0),"")</f>
        <v>8.85</v>
      </c>
      <c r="E786" s="274" t="s">
        <v>2643</v>
      </c>
      <c r="F786" s="274">
        <v>1E-4</v>
      </c>
      <c r="G786" s="274">
        <f>0.007+0.007</f>
        <v>1.4E-2</v>
      </c>
      <c r="H786" s="274">
        <v>1E-3</v>
      </c>
      <c r="I786" s="274"/>
      <c r="J786" s="456">
        <f t="shared" si="28"/>
        <v>1.5099999999999999E-2</v>
      </c>
      <c r="K786" s="583"/>
      <c r="L786" s="268" t="s">
        <v>719</v>
      </c>
      <c r="M786" s="268" t="s">
        <v>2631</v>
      </c>
      <c r="N786" s="278">
        <f>IFERROR(INDEX('Data Lokasi'!S:S,MATCH('Input Real Tanam&amp;Petik Nanas'!C786,'Data Lokasi'!C:C,0)),"")</f>
        <v>44389</v>
      </c>
      <c r="O786" s="278"/>
      <c r="P786" s="283">
        <f>IFERROR(INDEX('Data Lokasi'!V:V,MATCH(C786,'Data Lokasi'!C:C,0)),"")</f>
        <v>0</v>
      </c>
      <c r="Q786" s="304">
        <f t="shared" si="29"/>
        <v>0</v>
      </c>
      <c r="R786" s="308">
        <v>3</v>
      </c>
    </row>
    <row r="787" spans="2:18" ht="15" hidden="1" thickTop="1">
      <c r="B787" s="269">
        <v>46227</v>
      </c>
      <c r="C787" s="268" t="s">
        <v>441</v>
      </c>
      <c r="D787" s="274">
        <f>IFERROR(VLOOKUP(C787,'Data Lokasi'!C:D,2,0),"")</f>
        <v>11.2</v>
      </c>
      <c r="E787" s="274" t="s">
        <v>2643</v>
      </c>
      <c r="F787" s="274">
        <v>0.02</v>
      </c>
      <c r="G787" s="274">
        <v>0.03</v>
      </c>
      <c r="H787" s="274">
        <f>0.01+0.009</f>
        <v>1.9E-2</v>
      </c>
      <c r="I787" s="274"/>
      <c r="J787" s="456">
        <f t="shared" si="28"/>
        <v>6.9000000000000006E-2</v>
      </c>
      <c r="K787" s="583"/>
      <c r="L787" s="268" t="s">
        <v>719</v>
      </c>
      <c r="M787" s="268" t="s">
        <v>2631</v>
      </c>
      <c r="N787" s="278">
        <f>IFERROR(INDEX('Data Lokasi'!S:S,MATCH('Input Real Tanam&amp;Petik Nanas'!C787,'Data Lokasi'!C:C,0)),"")</f>
        <v>44429</v>
      </c>
      <c r="O787" s="278"/>
      <c r="P787" s="283">
        <f>IFERROR(INDEX('Data Lokasi'!V:V,MATCH(C787,'Data Lokasi'!C:C,0)),"")</f>
        <v>0</v>
      </c>
      <c r="Q787" s="304">
        <f t="shared" si="29"/>
        <v>0</v>
      </c>
      <c r="R787" s="308">
        <v>3</v>
      </c>
    </row>
    <row r="788" spans="2:18" ht="15" hidden="1" thickTop="1">
      <c r="B788" s="269">
        <v>46227</v>
      </c>
      <c r="C788" s="268" t="s">
        <v>2555</v>
      </c>
      <c r="D788" s="274">
        <f>IFERROR(VLOOKUP(C788,'Data Lokasi'!C:D,2,0),"")</f>
        <v>7.69</v>
      </c>
      <c r="E788" s="274" t="s">
        <v>2643</v>
      </c>
      <c r="F788" s="274"/>
      <c r="G788" s="274"/>
      <c r="H788" s="274"/>
      <c r="I788" s="274">
        <v>0.6</v>
      </c>
      <c r="J788" s="456">
        <f t="shared" si="28"/>
        <v>0.6</v>
      </c>
      <c r="K788" s="583"/>
      <c r="L788" s="268" t="s">
        <v>2625</v>
      </c>
      <c r="M788" s="268" t="s">
        <v>2631</v>
      </c>
      <c r="N788" s="278">
        <f>IFERROR(INDEX('Data Lokasi'!S:S,MATCH('Input Real Tanam&amp;Petik Nanas'!C788,'Data Lokasi'!C:C,0)),"")</f>
        <v>45669</v>
      </c>
      <c r="O788" s="278"/>
      <c r="P788" s="283">
        <f>IFERROR(INDEX('Data Lokasi'!V:V,MATCH(C788,'Data Lokasi'!C:C,0)),"")</f>
        <v>0</v>
      </c>
      <c r="Q788" s="304">
        <f t="shared" si="29"/>
        <v>0</v>
      </c>
      <c r="R788" s="308"/>
    </row>
    <row r="789" spans="2:18" ht="15" hidden="1" thickTop="1">
      <c r="B789" s="269">
        <v>46229</v>
      </c>
      <c r="C789" s="268" t="s">
        <v>705</v>
      </c>
      <c r="D789" s="274">
        <f>IFERROR(VLOOKUP(C789,'Data Lokasi'!C:D,2,0),"")</f>
        <v>7.67</v>
      </c>
      <c r="E789" s="274" t="s">
        <v>2642</v>
      </c>
      <c r="F789" s="274"/>
      <c r="G789" s="274"/>
      <c r="H789" s="274"/>
      <c r="I789" s="274">
        <v>1.28</v>
      </c>
      <c r="J789" s="456">
        <f t="shared" si="28"/>
        <v>1.28</v>
      </c>
      <c r="K789" s="583"/>
      <c r="L789" s="268" t="s">
        <v>2625</v>
      </c>
      <c r="M789" s="268" t="s">
        <v>2631</v>
      </c>
      <c r="N789" s="278">
        <f>IFERROR(INDEX('Data Lokasi'!S:S,MATCH('Input Real Tanam&amp;Petik Nanas'!C789,'Data Lokasi'!C:C,0)),"")</f>
        <v>45202</v>
      </c>
      <c r="O789" s="278"/>
      <c r="P789" s="283">
        <f>IFERROR(INDEX('Data Lokasi'!V:V,MATCH(C789,'Data Lokasi'!C:C,0)),"")</f>
        <v>0</v>
      </c>
      <c r="Q789" s="304">
        <f t="shared" si="29"/>
        <v>0</v>
      </c>
      <c r="R789" s="308"/>
    </row>
    <row r="790" spans="2:18" ht="15" hidden="1" thickTop="1">
      <c r="B790" s="269">
        <v>46229</v>
      </c>
      <c r="C790" s="268" t="s">
        <v>701</v>
      </c>
      <c r="D790" s="274">
        <f>IFERROR(VLOOKUP(C790,'Data Lokasi'!C:D,2,0),"")</f>
        <v>6.03</v>
      </c>
      <c r="E790" s="274" t="s">
        <v>2642</v>
      </c>
      <c r="F790" s="274"/>
      <c r="G790" s="274"/>
      <c r="H790" s="274"/>
      <c r="I790" s="274">
        <v>0.53</v>
      </c>
      <c r="J790" s="456">
        <f t="shared" si="28"/>
        <v>0.53</v>
      </c>
      <c r="K790" s="583"/>
      <c r="L790" s="268" t="s">
        <v>2625</v>
      </c>
      <c r="M790" s="268" t="s">
        <v>2631</v>
      </c>
      <c r="N790" s="278">
        <f>IFERROR(INDEX('Data Lokasi'!S:S,MATCH('Input Real Tanam&amp;Petik Nanas'!C790,'Data Lokasi'!C:C,0)),"")</f>
        <v>45185</v>
      </c>
      <c r="O790" s="278"/>
      <c r="P790" s="283">
        <f>IFERROR(INDEX('Data Lokasi'!V:V,MATCH(C790,'Data Lokasi'!C:C,0)),"")</f>
        <v>0</v>
      </c>
      <c r="Q790" s="304">
        <f t="shared" si="29"/>
        <v>0</v>
      </c>
      <c r="R790" s="308"/>
    </row>
    <row r="791" spans="2:18" ht="15" hidden="1" thickTop="1">
      <c r="B791" s="269">
        <v>46229</v>
      </c>
      <c r="C791" s="268" t="s">
        <v>126</v>
      </c>
      <c r="D791" s="274">
        <f>IFERROR(VLOOKUP(C791,'Data Lokasi'!C:D,2,0),"")</f>
        <v>6.39</v>
      </c>
      <c r="E791" s="274" t="s">
        <v>2642</v>
      </c>
      <c r="F791" s="274"/>
      <c r="G791" s="274"/>
      <c r="H791" s="274"/>
      <c r="I791" s="274">
        <v>0.94</v>
      </c>
      <c r="J791" s="456">
        <f t="shared" si="28"/>
        <v>0.94</v>
      </c>
      <c r="K791" s="583"/>
      <c r="L791" s="268" t="s">
        <v>2625</v>
      </c>
      <c r="M791" s="268" t="s">
        <v>2631</v>
      </c>
      <c r="N791" s="278">
        <f>IFERROR(INDEX('Data Lokasi'!S:S,MATCH('Input Real Tanam&amp;Petik Nanas'!C791,'Data Lokasi'!C:C,0)),"")</f>
        <v>44207</v>
      </c>
      <c r="O791" s="278"/>
      <c r="P791" s="283">
        <f>IFERROR(INDEX('Data Lokasi'!V:V,MATCH(C791,'Data Lokasi'!C:C,0)),"")</f>
        <v>0</v>
      </c>
      <c r="Q791" s="304">
        <f t="shared" si="29"/>
        <v>0</v>
      </c>
      <c r="R791" s="308"/>
    </row>
    <row r="792" spans="2:18" ht="15" hidden="1" thickTop="1">
      <c r="B792" s="269">
        <v>46229</v>
      </c>
      <c r="C792" s="268" t="s">
        <v>110</v>
      </c>
      <c r="D792" s="274">
        <f>IFERROR(VLOOKUP(C792,'Data Lokasi'!C:D,2,0),"")</f>
        <v>9</v>
      </c>
      <c r="E792" s="274" t="s">
        <v>2642</v>
      </c>
      <c r="F792" s="274"/>
      <c r="G792" s="274"/>
      <c r="H792" s="274"/>
      <c r="I792" s="274">
        <v>0.1</v>
      </c>
      <c r="J792" s="456">
        <f t="shared" si="28"/>
        <v>0.1</v>
      </c>
      <c r="K792" s="583"/>
      <c r="L792" s="268" t="s">
        <v>2625</v>
      </c>
      <c r="M792" s="268" t="s">
        <v>2631</v>
      </c>
      <c r="N792" s="278">
        <f>IFERROR(INDEX('Data Lokasi'!S:S,MATCH('Input Real Tanam&amp;Petik Nanas'!C792,'Data Lokasi'!C:C,0)),"")</f>
        <v>44193</v>
      </c>
      <c r="O792" s="278"/>
      <c r="P792" s="283">
        <f>IFERROR(INDEX('Data Lokasi'!V:V,MATCH(C792,'Data Lokasi'!C:C,0)),"")</f>
        <v>0</v>
      </c>
      <c r="Q792" s="304">
        <f t="shared" si="29"/>
        <v>0</v>
      </c>
      <c r="R792" s="308"/>
    </row>
    <row r="793" spans="2:18" ht="15" hidden="1" thickTop="1">
      <c r="B793" s="269">
        <v>46229</v>
      </c>
      <c r="C793" s="268" t="s">
        <v>294</v>
      </c>
      <c r="D793" s="274">
        <f>IFERROR(VLOOKUP(C793,'Data Lokasi'!C:D,2,0),"")</f>
        <v>6.93</v>
      </c>
      <c r="E793" s="274" t="s">
        <v>2642</v>
      </c>
      <c r="F793" s="274"/>
      <c r="G793" s="274"/>
      <c r="H793" s="274">
        <v>0.56999999999999995</v>
      </c>
      <c r="I793" s="274"/>
      <c r="J793" s="456">
        <f t="shared" si="28"/>
        <v>0.56999999999999995</v>
      </c>
      <c r="K793" s="583"/>
      <c r="L793" s="268" t="s">
        <v>2625</v>
      </c>
      <c r="M793" s="268" t="s">
        <v>2634</v>
      </c>
      <c r="N793" s="278">
        <f>IFERROR(INDEX('Data Lokasi'!S:S,MATCH('Input Real Tanam&amp;Petik Nanas'!C793,'Data Lokasi'!C:C,0)),"")</f>
        <v>44139</v>
      </c>
      <c r="O793" s="278"/>
      <c r="P793" s="283">
        <f>IFERROR(INDEX('Data Lokasi'!V:V,MATCH(C793,'Data Lokasi'!C:C,0)),"")</f>
        <v>0</v>
      </c>
      <c r="Q793" s="304">
        <f t="shared" si="29"/>
        <v>0</v>
      </c>
      <c r="R793" s="308"/>
    </row>
    <row r="794" spans="2:18" ht="15" hidden="1" thickTop="1">
      <c r="B794" s="269">
        <v>46229</v>
      </c>
      <c r="C794" s="268" t="s">
        <v>684</v>
      </c>
      <c r="D794" s="274">
        <f>IFERROR(VLOOKUP(C794,'Data Lokasi'!C:D,2,0),"")</f>
        <v>8.8699999999999992</v>
      </c>
      <c r="E794" s="274" t="s">
        <v>2642</v>
      </c>
      <c r="F794" s="274"/>
      <c r="G794" s="274"/>
      <c r="H794" s="274"/>
      <c r="I794" s="274">
        <v>0.21</v>
      </c>
      <c r="J794" s="456">
        <f t="shared" si="28"/>
        <v>0.21</v>
      </c>
      <c r="K794" s="583"/>
      <c r="L794" s="268" t="s">
        <v>2625</v>
      </c>
      <c r="M794" s="268" t="s">
        <v>2634</v>
      </c>
      <c r="N794" s="278">
        <f>IFERROR(INDEX('Data Lokasi'!S:S,MATCH('Input Real Tanam&amp;Petik Nanas'!C794,'Data Lokasi'!C:C,0)),"")</f>
        <v>45090</v>
      </c>
      <c r="O794" s="278"/>
      <c r="P794" s="283">
        <f>IFERROR(INDEX('Data Lokasi'!V:V,MATCH(C794,'Data Lokasi'!C:C,0)),"")</f>
        <v>0</v>
      </c>
      <c r="Q794" s="304">
        <f t="shared" si="29"/>
        <v>0</v>
      </c>
      <c r="R794" s="308"/>
    </row>
    <row r="795" spans="2:18" ht="15" hidden="1" thickTop="1">
      <c r="B795" s="269">
        <v>46229</v>
      </c>
      <c r="C795" s="268" t="s">
        <v>196</v>
      </c>
      <c r="D795" s="274">
        <f>IFERROR(VLOOKUP(C795,'Data Lokasi'!C:D,2,0),"")</f>
        <v>11.7</v>
      </c>
      <c r="E795" s="274" t="s">
        <v>2642</v>
      </c>
      <c r="F795" s="274"/>
      <c r="G795" s="274"/>
      <c r="H795" s="274"/>
      <c r="I795" s="274">
        <v>0.59</v>
      </c>
      <c r="J795" s="456">
        <f t="shared" si="28"/>
        <v>0.59</v>
      </c>
      <c r="K795" s="583"/>
      <c r="L795" s="268" t="s">
        <v>2625</v>
      </c>
      <c r="M795" s="268" t="s">
        <v>2634</v>
      </c>
      <c r="N795" s="278">
        <f>IFERROR(INDEX('Data Lokasi'!S:S,MATCH('Input Real Tanam&amp;Petik Nanas'!C795,'Data Lokasi'!C:C,0)),"")</f>
        <v>43948</v>
      </c>
      <c r="O795" s="278"/>
      <c r="P795" s="283">
        <f>IFERROR(INDEX('Data Lokasi'!V:V,MATCH(C795,'Data Lokasi'!C:C,0)),"")</f>
        <v>0</v>
      </c>
      <c r="Q795" s="304">
        <f t="shared" si="29"/>
        <v>0</v>
      </c>
      <c r="R795" s="308"/>
    </row>
    <row r="796" spans="2:18" ht="15" hidden="1" thickTop="1">
      <c r="B796" s="269">
        <v>46229</v>
      </c>
      <c r="C796" s="268" t="s">
        <v>659</v>
      </c>
      <c r="D796" s="274">
        <f>IFERROR(VLOOKUP(C796,'Data Lokasi'!C:D,2,0),"")</f>
        <v>5.7</v>
      </c>
      <c r="E796" s="274" t="s">
        <v>2642</v>
      </c>
      <c r="F796" s="274"/>
      <c r="G796" s="274"/>
      <c r="H796" s="274"/>
      <c r="I796" s="274">
        <v>0.13</v>
      </c>
      <c r="J796" s="456">
        <f t="shared" si="28"/>
        <v>0.13</v>
      </c>
      <c r="K796" s="583"/>
      <c r="L796" s="268" t="s">
        <v>2625</v>
      </c>
      <c r="M796" s="268" t="s">
        <v>2634</v>
      </c>
      <c r="N796" s="278">
        <f>IFERROR(INDEX('Data Lokasi'!S:S,MATCH('Input Real Tanam&amp;Petik Nanas'!C796,'Data Lokasi'!C:C,0)),"")</f>
        <v>45010</v>
      </c>
      <c r="O796" s="278"/>
      <c r="P796" s="283">
        <f>IFERROR(INDEX('Data Lokasi'!V:V,MATCH(C796,'Data Lokasi'!C:C,0)),"")</f>
        <v>0</v>
      </c>
      <c r="Q796" s="304">
        <f t="shared" si="29"/>
        <v>0</v>
      </c>
      <c r="R796" s="308"/>
    </row>
    <row r="797" spans="2:18" ht="15" hidden="1" thickTop="1">
      <c r="B797" s="269">
        <v>46229</v>
      </c>
      <c r="C797" s="268" t="s">
        <v>657</v>
      </c>
      <c r="D797" s="274">
        <f>IFERROR(VLOOKUP(C797,'Data Lokasi'!C:D,2,0),"")</f>
        <v>7.73</v>
      </c>
      <c r="E797" s="274" t="s">
        <v>2642</v>
      </c>
      <c r="F797" s="274"/>
      <c r="G797" s="274"/>
      <c r="H797" s="274"/>
      <c r="I797" s="274">
        <v>0.18</v>
      </c>
      <c r="J797" s="456">
        <f t="shared" si="28"/>
        <v>0.18</v>
      </c>
      <c r="K797" s="583"/>
      <c r="L797" s="268" t="s">
        <v>719</v>
      </c>
      <c r="M797" s="268" t="s">
        <v>2634</v>
      </c>
      <c r="N797" s="278">
        <f>IFERROR(INDEX('Data Lokasi'!S:S,MATCH('Input Real Tanam&amp;Petik Nanas'!C797,'Data Lokasi'!C:C,0)),"")</f>
        <v>45003</v>
      </c>
      <c r="O797" s="278"/>
      <c r="P797" s="283">
        <f>IFERROR(INDEX('Data Lokasi'!V:V,MATCH(C797,'Data Lokasi'!C:C,0)),"")</f>
        <v>0</v>
      </c>
      <c r="Q797" s="304">
        <f t="shared" si="29"/>
        <v>0</v>
      </c>
      <c r="R797" s="308"/>
    </row>
    <row r="798" spans="2:18" ht="15" hidden="1" thickTop="1">
      <c r="B798" s="269">
        <v>46229</v>
      </c>
      <c r="C798" s="268" t="s">
        <v>126</v>
      </c>
      <c r="D798" s="274">
        <f>IFERROR(VLOOKUP(C798,'Data Lokasi'!C:D,2,0),"")</f>
        <v>6.39</v>
      </c>
      <c r="E798" s="274" t="s">
        <v>2642</v>
      </c>
      <c r="F798" s="274"/>
      <c r="G798" s="274"/>
      <c r="H798" s="274"/>
      <c r="I798" s="274">
        <v>1</v>
      </c>
      <c r="J798" s="456">
        <f t="shared" si="28"/>
        <v>1</v>
      </c>
      <c r="K798" s="583"/>
      <c r="L798" s="268" t="s">
        <v>2625</v>
      </c>
      <c r="M798" s="268" t="s">
        <v>2634</v>
      </c>
      <c r="N798" s="278">
        <f>IFERROR(INDEX('Data Lokasi'!S:S,MATCH('Input Real Tanam&amp;Petik Nanas'!C798,'Data Lokasi'!C:C,0)),"")</f>
        <v>44207</v>
      </c>
      <c r="O798" s="278"/>
      <c r="P798" s="283">
        <f>IFERROR(INDEX('Data Lokasi'!V:V,MATCH(C798,'Data Lokasi'!C:C,0)),"")</f>
        <v>0</v>
      </c>
      <c r="Q798" s="304">
        <f t="shared" si="29"/>
        <v>0</v>
      </c>
      <c r="R798" s="308"/>
    </row>
    <row r="799" spans="2:18" ht="15" hidden="1" thickTop="1">
      <c r="B799" s="269">
        <v>46229</v>
      </c>
      <c r="C799" s="268" t="s">
        <v>234</v>
      </c>
      <c r="D799" s="274">
        <f>IFERROR(VLOOKUP(C799,'Data Lokasi'!C:D,2,0),"")</f>
        <v>5.85</v>
      </c>
      <c r="E799" s="274" t="s">
        <v>2642</v>
      </c>
      <c r="F799" s="274"/>
      <c r="G799" s="274"/>
      <c r="H799" s="274"/>
      <c r="I799" s="274">
        <v>7.0000000000000007E-2</v>
      </c>
      <c r="J799" s="456">
        <f t="shared" si="28"/>
        <v>7.0000000000000007E-2</v>
      </c>
      <c r="K799" s="583"/>
      <c r="L799" s="268" t="s">
        <v>2625</v>
      </c>
      <c r="M799" s="268" t="s">
        <v>2634</v>
      </c>
      <c r="N799" s="278">
        <f>IFERROR(INDEX('Data Lokasi'!S:S,MATCH('Input Real Tanam&amp;Petik Nanas'!C799,'Data Lokasi'!C:C,0)),"")</f>
        <v>44038</v>
      </c>
      <c r="O799" s="278"/>
      <c r="P799" s="283">
        <f>IFERROR(INDEX('Data Lokasi'!V:V,MATCH(C799,'Data Lokasi'!C:C,0)),"")</f>
        <v>0</v>
      </c>
      <c r="Q799" s="304">
        <f t="shared" si="29"/>
        <v>0</v>
      </c>
      <c r="R799" s="308"/>
    </row>
    <row r="800" spans="2:18" ht="15" hidden="1" thickTop="1">
      <c r="B800" s="269">
        <v>46228</v>
      </c>
      <c r="C800" s="268" t="s">
        <v>687</v>
      </c>
      <c r="D800" s="274">
        <f>IFERROR(VLOOKUP(C800,'Data Lokasi'!C:D,2,0),"")</f>
        <v>10.58</v>
      </c>
      <c r="E800" s="274" t="s">
        <v>2642</v>
      </c>
      <c r="F800" s="274"/>
      <c r="G800" s="274"/>
      <c r="H800" s="274">
        <v>0.04</v>
      </c>
      <c r="I800" s="274"/>
      <c r="J800" s="456">
        <f t="shared" si="28"/>
        <v>0.04</v>
      </c>
      <c r="K800" s="583"/>
      <c r="L800" s="268" t="s">
        <v>719</v>
      </c>
      <c r="M800" s="268" t="s">
        <v>2634</v>
      </c>
      <c r="N800" s="278">
        <f>IFERROR(INDEX('Data Lokasi'!S:S,MATCH('Input Real Tanam&amp;Petik Nanas'!C800,'Data Lokasi'!C:C,0)),"")</f>
        <v>45105</v>
      </c>
      <c r="O800" s="278"/>
      <c r="P800" s="283">
        <f>IFERROR(INDEX('Data Lokasi'!V:V,MATCH(C800,'Data Lokasi'!C:C,0)),"")</f>
        <v>0</v>
      </c>
      <c r="Q800" s="304">
        <f t="shared" si="29"/>
        <v>0</v>
      </c>
      <c r="R800" s="308"/>
    </row>
    <row r="801" spans="2:18" ht="15" hidden="1" thickTop="1">
      <c r="B801" s="269">
        <v>46228</v>
      </c>
      <c r="C801" s="268" t="s">
        <v>196</v>
      </c>
      <c r="D801" s="274">
        <f>IFERROR(VLOOKUP(C801,'Data Lokasi'!C:D,2,0),"")</f>
        <v>11.7</v>
      </c>
      <c r="E801" s="274" t="s">
        <v>2642</v>
      </c>
      <c r="F801" s="274"/>
      <c r="G801" s="274"/>
      <c r="H801" s="274"/>
      <c r="I801" s="274">
        <v>1.73</v>
      </c>
      <c r="J801" s="456">
        <f t="shared" si="28"/>
        <v>1.73</v>
      </c>
      <c r="K801" s="583"/>
      <c r="L801" s="268" t="s">
        <v>2625</v>
      </c>
      <c r="M801" s="268" t="s">
        <v>2634</v>
      </c>
      <c r="N801" s="278">
        <f>IFERROR(INDEX('Data Lokasi'!S:S,MATCH('Input Real Tanam&amp;Petik Nanas'!C801,'Data Lokasi'!C:C,0)),"")</f>
        <v>43948</v>
      </c>
      <c r="O801" s="278"/>
      <c r="P801" s="283">
        <f>IFERROR(INDEX('Data Lokasi'!V:V,MATCH(C801,'Data Lokasi'!C:C,0)),"")</f>
        <v>0</v>
      </c>
      <c r="Q801" s="304">
        <f t="shared" si="29"/>
        <v>0</v>
      </c>
      <c r="R801" s="308"/>
    </row>
    <row r="802" spans="2:18" ht="15" hidden="1" thickTop="1">
      <c r="B802" s="269">
        <v>46228</v>
      </c>
      <c r="C802" s="268" t="s">
        <v>657</v>
      </c>
      <c r="D802" s="274">
        <f>IFERROR(VLOOKUP(C802,'Data Lokasi'!C:D,2,0),"")</f>
        <v>7.73</v>
      </c>
      <c r="E802" s="274" t="s">
        <v>2642</v>
      </c>
      <c r="F802" s="274"/>
      <c r="G802" s="274"/>
      <c r="H802" s="274"/>
      <c r="I802" s="274">
        <v>0.21</v>
      </c>
      <c r="J802" s="456">
        <f t="shared" si="28"/>
        <v>0.21</v>
      </c>
      <c r="K802" s="583"/>
      <c r="L802" s="268" t="s">
        <v>2625</v>
      </c>
      <c r="M802" s="268" t="s">
        <v>2634</v>
      </c>
      <c r="N802" s="278">
        <f>IFERROR(INDEX('Data Lokasi'!S:S,MATCH('Input Real Tanam&amp;Petik Nanas'!C802,'Data Lokasi'!C:C,0)),"")</f>
        <v>45003</v>
      </c>
      <c r="O802" s="278"/>
      <c r="P802" s="283">
        <f>IFERROR(INDEX('Data Lokasi'!V:V,MATCH(C802,'Data Lokasi'!C:C,0)),"")</f>
        <v>0</v>
      </c>
      <c r="Q802" s="304">
        <f t="shared" si="29"/>
        <v>0</v>
      </c>
      <c r="R802" s="308"/>
    </row>
    <row r="803" spans="2:18" ht="15" hidden="1" thickTop="1">
      <c r="B803" s="269">
        <v>46228</v>
      </c>
      <c r="C803" s="268" t="s">
        <v>659</v>
      </c>
      <c r="D803" s="274">
        <f>IFERROR(VLOOKUP(C803,'Data Lokasi'!C:D,2,0),"")</f>
        <v>5.7</v>
      </c>
      <c r="E803" s="274" t="s">
        <v>2642</v>
      </c>
      <c r="F803" s="274"/>
      <c r="G803" s="274"/>
      <c r="H803" s="274"/>
      <c r="I803" s="274">
        <v>0.28000000000000003</v>
      </c>
      <c r="J803" s="456">
        <f t="shared" si="28"/>
        <v>0.28000000000000003</v>
      </c>
      <c r="K803" s="583"/>
      <c r="L803" s="268" t="s">
        <v>2625</v>
      </c>
      <c r="M803" s="268" t="s">
        <v>2634</v>
      </c>
      <c r="N803" s="278">
        <f>IFERROR(INDEX('Data Lokasi'!S:S,MATCH('Input Real Tanam&amp;Petik Nanas'!C803,'Data Lokasi'!C:C,0)),"")</f>
        <v>45010</v>
      </c>
      <c r="O803" s="278"/>
      <c r="P803" s="283">
        <f>IFERROR(INDEX('Data Lokasi'!V:V,MATCH(C803,'Data Lokasi'!C:C,0)),"")</f>
        <v>0</v>
      </c>
      <c r="Q803" s="304">
        <f t="shared" si="29"/>
        <v>0</v>
      </c>
      <c r="R803" s="308"/>
    </row>
    <row r="804" spans="2:18" ht="15" hidden="1" thickTop="1">
      <c r="B804" s="269">
        <v>46228</v>
      </c>
      <c r="C804" s="268" t="s">
        <v>294</v>
      </c>
      <c r="D804" s="274">
        <f>IFERROR(VLOOKUP(C804,'Data Lokasi'!C:D,2,0),"")</f>
        <v>6.93</v>
      </c>
      <c r="E804" s="274" t="s">
        <v>2642</v>
      </c>
      <c r="F804" s="274"/>
      <c r="G804" s="274"/>
      <c r="H804" s="274">
        <v>0.52</v>
      </c>
      <c r="I804" s="274"/>
      <c r="J804" s="456">
        <f t="shared" si="28"/>
        <v>0.52</v>
      </c>
      <c r="K804" s="583"/>
      <c r="L804" s="268" t="s">
        <v>719</v>
      </c>
      <c r="M804" s="268" t="s">
        <v>2634</v>
      </c>
      <c r="N804" s="278">
        <f>IFERROR(INDEX('Data Lokasi'!S:S,MATCH('Input Real Tanam&amp;Petik Nanas'!C804,'Data Lokasi'!C:C,0)),"")</f>
        <v>44139</v>
      </c>
      <c r="O804" s="278"/>
      <c r="P804" s="283">
        <f>IFERROR(INDEX('Data Lokasi'!V:V,MATCH(C804,'Data Lokasi'!C:C,0)),"")</f>
        <v>0</v>
      </c>
      <c r="Q804" s="304">
        <f t="shared" si="29"/>
        <v>0</v>
      </c>
      <c r="R804" s="308"/>
    </row>
    <row r="805" spans="2:18" ht="15" hidden="1" thickTop="1">
      <c r="B805" s="269">
        <v>46228</v>
      </c>
      <c r="C805" s="268" t="s">
        <v>665</v>
      </c>
      <c r="D805" s="274">
        <f>IFERROR(VLOOKUP(C805,'Data Lokasi'!C:D,2,0),"")</f>
        <v>4.68</v>
      </c>
      <c r="E805" s="274" t="s">
        <v>2642</v>
      </c>
      <c r="F805" s="274"/>
      <c r="G805" s="274"/>
      <c r="H805" s="274"/>
      <c r="I805" s="274">
        <v>0.02</v>
      </c>
      <c r="J805" s="456">
        <f t="shared" si="28"/>
        <v>0.02</v>
      </c>
      <c r="K805" s="583"/>
      <c r="L805" s="268" t="s">
        <v>2625</v>
      </c>
      <c r="M805" s="268" t="s">
        <v>2634</v>
      </c>
      <c r="N805" s="278">
        <f>IFERROR(INDEX('Data Lokasi'!S:S,MATCH('Input Real Tanam&amp;Petik Nanas'!C805,'Data Lokasi'!C:C,0)),"")</f>
        <v>45061</v>
      </c>
      <c r="O805" s="278"/>
      <c r="P805" s="283">
        <f>IFERROR(INDEX('Data Lokasi'!V:V,MATCH(C805,'Data Lokasi'!C:C,0)),"")</f>
        <v>0</v>
      </c>
      <c r="Q805" s="304">
        <f t="shared" si="29"/>
        <v>0</v>
      </c>
      <c r="R805" s="308"/>
    </row>
    <row r="806" spans="2:18" ht="15" hidden="1" thickTop="1">
      <c r="B806" s="269">
        <v>46228</v>
      </c>
      <c r="C806" s="268" t="s">
        <v>234</v>
      </c>
      <c r="D806" s="274">
        <f>IFERROR(VLOOKUP(C806,'Data Lokasi'!C:D,2,0),"")</f>
        <v>5.85</v>
      </c>
      <c r="E806" s="274" t="s">
        <v>2642</v>
      </c>
      <c r="F806" s="274"/>
      <c r="G806" s="274"/>
      <c r="H806" s="274"/>
      <c r="I806" s="274">
        <f>0.2+0.52-0.32</f>
        <v>0.39999999999999997</v>
      </c>
      <c r="J806" s="456">
        <f t="shared" si="28"/>
        <v>0.39999999999999997</v>
      </c>
      <c r="K806" s="583"/>
      <c r="L806" s="268" t="s">
        <v>2625</v>
      </c>
      <c r="M806" s="268" t="s">
        <v>2634</v>
      </c>
      <c r="N806" s="278">
        <f>IFERROR(INDEX('Data Lokasi'!S:S,MATCH('Input Real Tanam&amp;Petik Nanas'!C806,'Data Lokasi'!C:C,0)),"")</f>
        <v>44038</v>
      </c>
      <c r="O806" s="278"/>
      <c r="P806" s="283">
        <f>IFERROR(INDEX('Data Lokasi'!V:V,MATCH(C806,'Data Lokasi'!C:C,0)),"")</f>
        <v>0</v>
      </c>
      <c r="Q806" s="304">
        <f t="shared" si="29"/>
        <v>0</v>
      </c>
      <c r="R806" s="308"/>
    </row>
    <row r="807" spans="2:18" ht="15" hidden="1" thickTop="1">
      <c r="B807" s="269">
        <v>46228</v>
      </c>
      <c r="C807" s="268" t="s">
        <v>126</v>
      </c>
      <c r="D807" s="274">
        <f>IFERROR(VLOOKUP(C807,'Data Lokasi'!C:D,2,0),"")</f>
        <v>6.39</v>
      </c>
      <c r="E807" s="274" t="s">
        <v>2642</v>
      </c>
      <c r="F807" s="274"/>
      <c r="G807" s="274"/>
      <c r="H807" s="274"/>
      <c r="I807" s="274">
        <v>1.1599999999999999</v>
      </c>
      <c r="J807" s="456">
        <f t="shared" si="28"/>
        <v>1.1599999999999999</v>
      </c>
      <c r="K807" s="583"/>
      <c r="L807" s="268" t="s">
        <v>2625</v>
      </c>
      <c r="M807" s="268" t="s">
        <v>2631</v>
      </c>
      <c r="N807" s="278">
        <f>IFERROR(INDEX('Data Lokasi'!S:S,MATCH('Input Real Tanam&amp;Petik Nanas'!C807,'Data Lokasi'!C:C,0)),"")</f>
        <v>44207</v>
      </c>
      <c r="O807" s="278"/>
      <c r="P807" s="283">
        <f>IFERROR(INDEX('Data Lokasi'!V:V,MATCH(C807,'Data Lokasi'!C:C,0)),"")</f>
        <v>0</v>
      </c>
      <c r="Q807" s="304">
        <f t="shared" si="29"/>
        <v>0</v>
      </c>
      <c r="R807" s="308"/>
    </row>
    <row r="808" spans="2:18" ht="15" hidden="1" thickTop="1">
      <c r="B808" s="269">
        <v>46228</v>
      </c>
      <c r="C808" s="268" t="s">
        <v>701</v>
      </c>
      <c r="D808" s="274">
        <f>IFERROR(VLOOKUP(C808,'Data Lokasi'!C:D,2,0),"")</f>
        <v>6.03</v>
      </c>
      <c r="E808" s="274" t="s">
        <v>2642</v>
      </c>
      <c r="F808" s="274"/>
      <c r="G808" s="274"/>
      <c r="H808" s="274"/>
      <c r="I808" s="274">
        <v>0.93</v>
      </c>
      <c r="J808" s="456">
        <f t="shared" si="28"/>
        <v>0.93</v>
      </c>
      <c r="K808" s="583"/>
      <c r="L808" s="268" t="s">
        <v>2625</v>
      </c>
      <c r="M808" s="268" t="s">
        <v>2631</v>
      </c>
      <c r="N808" s="278">
        <f>IFERROR(INDEX('Data Lokasi'!S:S,MATCH('Input Real Tanam&amp;Petik Nanas'!C808,'Data Lokasi'!C:C,0)),"")</f>
        <v>45185</v>
      </c>
      <c r="O808" s="278"/>
      <c r="P808" s="283">
        <f>IFERROR(INDEX('Data Lokasi'!V:V,MATCH(C808,'Data Lokasi'!C:C,0)),"")</f>
        <v>0</v>
      </c>
      <c r="Q808" s="304">
        <f t="shared" si="29"/>
        <v>0</v>
      </c>
      <c r="R808" s="308"/>
    </row>
    <row r="809" spans="2:18" ht="15" hidden="1" thickTop="1">
      <c r="B809" s="269">
        <v>46228</v>
      </c>
      <c r="C809" s="268" t="s">
        <v>705</v>
      </c>
      <c r="D809" s="274">
        <f>IFERROR(VLOOKUP(C809,'Data Lokasi'!C:D,2,0),"")</f>
        <v>7.67</v>
      </c>
      <c r="E809" s="274" t="s">
        <v>2642</v>
      </c>
      <c r="F809" s="274"/>
      <c r="G809" s="274"/>
      <c r="H809" s="274"/>
      <c r="I809" s="274">
        <v>1.01</v>
      </c>
      <c r="J809" s="456">
        <f t="shared" si="28"/>
        <v>1.01</v>
      </c>
      <c r="K809" s="583"/>
      <c r="L809" s="268" t="s">
        <v>2625</v>
      </c>
      <c r="M809" s="268" t="s">
        <v>2631</v>
      </c>
      <c r="N809" s="278">
        <f>IFERROR(INDEX('Data Lokasi'!S:S,MATCH('Input Real Tanam&amp;Petik Nanas'!C809,'Data Lokasi'!C:C,0)),"")</f>
        <v>45202</v>
      </c>
      <c r="O809" s="278"/>
      <c r="P809" s="283">
        <f>IFERROR(INDEX('Data Lokasi'!V:V,MATCH(C809,'Data Lokasi'!C:C,0)),"")</f>
        <v>0</v>
      </c>
      <c r="Q809" s="304">
        <f t="shared" si="29"/>
        <v>0</v>
      </c>
      <c r="R809" s="308"/>
    </row>
    <row r="810" spans="2:18" ht="15" hidden="1" thickTop="1">
      <c r="B810" s="269">
        <v>46228</v>
      </c>
      <c r="C810" s="268" t="s">
        <v>2555</v>
      </c>
      <c r="D810" s="274">
        <f>IFERROR(VLOOKUP(C810,'Data Lokasi'!C:D,2,0),"")</f>
        <v>7.69</v>
      </c>
      <c r="E810" s="274" t="s">
        <v>2643</v>
      </c>
      <c r="F810" s="274"/>
      <c r="G810" s="274"/>
      <c r="H810" s="274"/>
      <c r="I810" s="274">
        <v>0.35</v>
      </c>
      <c r="J810" s="456">
        <f t="shared" si="28"/>
        <v>0.35</v>
      </c>
      <c r="K810" s="583"/>
      <c r="L810" s="268" t="s">
        <v>2625</v>
      </c>
      <c r="M810" s="268" t="s">
        <v>2631</v>
      </c>
      <c r="N810" s="278">
        <f>IFERROR(INDEX('Data Lokasi'!S:S,MATCH('Input Real Tanam&amp;Petik Nanas'!C810,'Data Lokasi'!C:C,0)),"")</f>
        <v>45669</v>
      </c>
      <c r="O810" s="278"/>
      <c r="P810" s="283">
        <f>IFERROR(INDEX('Data Lokasi'!V:V,MATCH(C810,'Data Lokasi'!C:C,0)),"")</f>
        <v>0</v>
      </c>
      <c r="Q810" s="304">
        <f t="shared" si="29"/>
        <v>0</v>
      </c>
      <c r="R810" s="308"/>
    </row>
    <row r="811" spans="2:18" ht="15" hidden="1" thickTop="1">
      <c r="B811" s="269">
        <v>46228</v>
      </c>
      <c r="C811" s="268" t="s">
        <v>441</v>
      </c>
      <c r="D811" s="274">
        <f>IFERROR(VLOOKUP(C811,'Data Lokasi'!C:D,2,0),"")</f>
        <v>11.2</v>
      </c>
      <c r="E811" s="274" t="s">
        <v>2643</v>
      </c>
      <c r="F811" s="274">
        <v>0.04</v>
      </c>
      <c r="G811" s="274">
        <f>0.03+0.03</f>
        <v>0.06</v>
      </c>
      <c r="H811" s="274">
        <v>0.04</v>
      </c>
      <c r="I811" s="274"/>
      <c r="J811" s="456">
        <f t="shared" si="28"/>
        <v>0.14000000000000001</v>
      </c>
      <c r="K811" s="583"/>
      <c r="L811" s="268" t="s">
        <v>719</v>
      </c>
      <c r="M811" s="268" t="s">
        <v>2631</v>
      </c>
      <c r="N811" s="278">
        <f>IFERROR(INDEX('Data Lokasi'!S:S,MATCH('Input Real Tanam&amp;Petik Nanas'!C811,'Data Lokasi'!C:C,0)),"")</f>
        <v>44429</v>
      </c>
      <c r="O811" s="278"/>
      <c r="P811" s="283">
        <f>IFERROR(INDEX('Data Lokasi'!V:V,MATCH(C811,'Data Lokasi'!C:C,0)),"")</f>
        <v>0</v>
      </c>
      <c r="Q811" s="304">
        <f t="shared" si="29"/>
        <v>0</v>
      </c>
      <c r="R811" s="308">
        <v>3</v>
      </c>
    </row>
    <row r="812" spans="2:18" ht="15" hidden="1" thickTop="1">
      <c r="B812" s="269">
        <v>46228</v>
      </c>
      <c r="C812" s="268" t="s">
        <v>371</v>
      </c>
      <c r="D812" s="274">
        <f>IFERROR(VLOOKUP(C812,'Data Lokasi'!C:D,2,0),"")</f>
        <v>7.06</v>
      </c>
      <c r="E812" s="274" t="s">
        <v>2643</v>
      </c>
      <c r="F812" s="274"/>
      <c r="G812" s="274"/>
      <c r="H812" s="274">
        <v>0.1</v>
      </c>
      <c r="I812" s="274"/>
      <c r="J812" s="456">
        <f t="shared" si="28"/>
        <v>0.1</v>
      </c>
      <c r="K812" s="583"/>
      <c r="L812" s="268" t="s">
        <v>719</v>
      </c>
      <c r="M812" s="268" t="s">
        <v>2634</v>
      </c>
      <c r="N812" s="278">
        <f>IFERROR(INDEX('Data Lokasi'!S:S,MATCH('Input Real Tanam&amp;Petik Nanas'!C812,'Data Lokasi'!C:C,0)),"")</f>
        <v>44335</v>
      </c>
      <c r="O812" s="278"/>
      <c r="P812" s="283">
        <f>IFERROR(INDEX('Data Lokasi'!V:V,MATCH(C812,'Data Lokasi'!C:C,0)),"")</f>
        <v>0</v>
      </c>
      <c r="Q812" s="304">
        <f t="shared" si="29"/>
        <v>0</v>
      </c>
      <c r="R812" s="308">
        <v>4</v>
      </c>
    </row>
    <row r="813" spans="2:18" ht="15" hidden="1" thickTop="1">
      <c r="B813" s="269">
        <v>46228</v>
      </c>
      <c r="C813" s="268" t="s">
        <v>131</v>
      </c>
      <c r="D813" s="274">
        <f>IFERROR(VLOOKUP(C813,'Data Lokasi'!C:D,2,0),"")</f>
        <v>5.52</v>
      </c>
      <c r="E813" s="274" t="s">
        <v>2643</v>
      </c>
      <c r="F813" s="274"/>
      <c r="G813" s="274"/>
      <c r="H813" s="274"/>
      <c r="I813" s="274">
        <v>2.4900000000000002</v>
      </c>
      <c r="J813" s="456">
        <f t="shared" si="28"/>
        <v>2.4900000000000002</v>
      </c>
      <c r="K813" s="583"/>
      <c r="L813" s="268" t="s">
        <v>2625</v>
      </c>
      <c r="M813" s="268" t="s">
        <v>2634</v>
      </c>
      <c r="N813" s="278">
        <f>IFERROR(INDEX('Data Lokasi'!S:S,MATCH('Input Real Tanam&amp;Petik Nanas'!C813,'Data Lokasi'!C:C,0)),"")</f>
        <v>0</v>
      </c>
      <c r="O813" s="278"/>
      <c r="P813" s="283">
        <f>IFERROR(INDEX('Data Lokasi'!V:V,MATCH(C813,'Data Lokasi'!C:C,0)),"")</f>
        <v>0</v>
      </c>
      <c r="Q813" s="304">
        <f t="shared" si="29"/>
        <v>0</v>
      </c>
      <c r="R813" s="308"/>
    </row>
    <row r="814" spans="2:18" ht="15" hidden="1" thickTop="1">
      <c r="B814" s="269">
        <v>46228</v>
      </c>
      <c r="C814" s="268" t="s">
        <v>339</v>
      </c>
      <c r="D814" s="274">
        <f>IFERROR(VLOOKUP(C814,'Data Lokasi'!C:D,2,0),"")</f>
        <v>7.68</v>
      </c>
      <c r="E814" s="274" t="s">
        <v>2643</v>
      </c>
      <c r="F814" s="274"/>
      <c r="G814" s="274">
        <v>0.04</v>
      </c>
      <c r="H814" s="274">
        <f>0.17+0.25</f>
        <v>0.42000000000000004</v>
      </c>
      <c r="I814" s="274"/>
      <c r="J814" s="456">
        <f t="shared" si="28"/>
        <v>0.46</v>
      </c>
      <c r="K814" s="583"/>
      <c r="L814" s="268" t="s">
        <v>719</v>
      </c>
      <c r="M814" s="268" t="s">
        <v>2634</v>
      </c>
      <c r="N814" s="278">
        <f>IFERROR(INDEX('Data Lokasi'!S:S,MATCH('Input Real Tanam&amp;Petik Nanas'!C814,'Data Lokasi'!C:C,0)),"")</f>
        <v>44252</v>
      </c>
      <c r="O814" s="278"/>
      <c r="P814" s="283">
        <f>IFERROR(INDEX('Data Lokasi'!V:V,MATCH(C814,'Data Lokasi'!C:C,0)),"")</f>
        <v>0</v>
      </c>
      <c r="Q814" s="304">
        <f t="shared" si="29"/>
        <v>0</v>
      </c>
      <c r="R814" s="308">
        <v>11</v>
      </c>
    </row>
    <row r="815" spans="2:18" ht="15" hidden="1" thickTop="1">
      <c r="B815" s="269">
        <v>46228</v>
      </c>
      <c r="C815" s="268" t="s">
        <v>476</v>
      </c>
      <c r="D815" s="274">
        <f>IFERROR(VLOOKUP(C815,'Data Lokasi'!C:D,2,0),"")</f>
        <v>5.26</v>
      </c>
      <c r="E815" s="274" t="s">
        <v>2643</v>
      </c>
      <c r="F815" s="274"/>
      <c r="G815" s="274">
        <v>0.03</v>
      </c>
      <c r="H815" s="274">
        <f>0.07+0.17</f>
        <v>0.24000000000000002</v>
      </c>
      <c r="I815" s="274"/>
      <c r="J815" s="456">
        <f t="shared" si="28"/>
        <v>0.27</v>
      </c>
      <c r="K815" s="583"/>
      <c r="L815" s="268" t="s">
        <v>719</v>
      </c>
      <c r="M815" s="268" t="s">
        <v>2634</v>
      </c>
      <c r="N815" s="278">
        <f>IFERROR(INDEX('Data Lokasi'!S:S,MATCH('Input Real Tanam&amp;Petik Nanas'!C815,'Data Lokasi'!C:C,0)),"")</f>
        <v>44487</v>
      </c>
      <c r="O815" s="278"/>
      <c r="P815" s="283">
        <f>IFERROR(INDEX('Data Lokasi'!V:V,MATCH(C815,'Data Lokasi'!C:C,0)),"")</f>
        <v>0</v>
      </c>
      <c r="Q815" s="304">
        <f t="shared" si="29"/>
        <v>0</v>
      </c>
      <c r="R815" s="308">
        <v>5</v>
      </c>
    </row>
    <row r="816" spans="2:18" ht="15" hidden="1" thickTop="1">
      <c r="B816" s="269">
        <v>46228</v>
      </c>
      <c r="C816" s="268" t="s">
        <v>499</v>
      </c>
      <c r="D816" s="274">
        <f>IFERROR(VLOOKUP(C816,'Data Lokasi'!C:D,2,0),"")</f>
        <v>6.82</v>
      </c>
      <c r="E816" s="274" t="s">
        <v>2643</v>
      </c>
      <c r="F816" s="274"/>
      <c r="G816" s="274"/>
      <c r="H816" s="274"/>
      <c r="I816" s="274">
        <v>1.34</v>
      </c>
      <c r="J816" s="456">
        <f t="shared" si="28"/>
        <v>1.34</v>
      </c>
      <c r="K816" s="583"/>
      <c r="L816" s="268" t="s">
        <v>2625</v>
      </c>
      <c r="M816" s="268" t="s">
        <v>2634</v>
      </c>
      <c r="N816" s="278">
        <f>IFERROR(INDEX('Data Lokasi'!S:S,MATCH('Input Real Tanam&amp;Petik Nanas'!C816,'Data Lokasi'!C:C,0)),"")</f>
        <v>44573</v>
      </c>
      <c r="O816" s="278"/>
      <c r="P816" s="283">
        <f>IFERROR(INDEX('Data Lokasi'!V:V,MATCH(C816,'Data Lokasi'!C:C,0)),"")</f>
        <v>0</v>
      </c>
      <c r="Q816" s="304">
        <f t="shared" si="29"/>
        <v>0</v>
      </c>
      <c r="R816" s="308"/>
    </row>
    <row r="817" spans="2:18" ht="15" hidden="1" thickTop="1">
      <c r="B817" s="269">
        <v>46228</v>
      </c>
      <c r="C817" s="268" t="s">
        <v>556</v>
      </c>
      <c r="D817" s="274">
        <f>IFERROR(VLOOKUP(C817,'Data Lokasi'!C:D,2,0),"")</f>
        <v>8.42</v>
      </c>
      <c r="E817" s="274" t="s">
        <v>2643</v>
      </c>
      <c r="F817" s="274"/>
      <c r="G817" s="274"/>
      <c r="H817" s="274"/>
      <c r="I817" s="274">
        <v>1.96</v>
      </c>
      <c r="J817" s="456">
        <f t="shared" si="28"/>
        <v>1.96</v>
      </c>
      <c r="K817" s="583"/>
      <c r="L817" s="268" t="s">
        <v>2625</v>
      </c>
      <c r="M817" s="268" t="s">
        <v>2634</v>
      </c>
      <c r="N817" s="278">
        <f>IFERROR(INDEX('Data Lokasi'!S:S,MATCH('Input Real Tanam&amp;Petik Nanas'!C817,'Data Lokasi'!C:C,0)),"")</f>
        <v>44659</v>
      </c>
      <c r="O817" s="278"/>
      <c r="P817" s="283">
        <f>IFERROR(INDEX('Data Lokasi'!V:V,MATCH(C817,'Data Lokasi'!C:C,0)),"")</f>
        <v>0</v>
      </c>
      <c r="Q817" s="304">
        <f t="shared" si="29"/>
        <v>0</v>
      </c>
      <c r="R817" s="308"/>
    </row>
    <row r="818" spans="2:18" ht="15" hidden="1" thickTop="1">
      <c r="B818" s="269">
        <v>46229</v>
      </c>
      <c r="C818" s="268" t="s">
        <v>522</v>
      </c>
      <c r="D818" s="274">
        <f>IFERROR(VLOOKUP(C818,'Data Lokasi'!C:D,2,0),"")</f>
        <v>9.02</v>
      </c>
      <c r="E818" s="274" t="s">
        <v>2643</v>
      </c>
      <c r="F818" s="274"/>
      <c r="G818" s="274"/>
      <c r="H818" s="274"/>
      <c r="I818" s="274">
        <v>4.3099999999999996</v>
      </c>
      <c r="J818" s="456">
        <f t="shared" si="28"/>
        <v>4.3099999999999996</v>
      </c>
      <c r="K818" s="583"/>
      <c r="L818" s="268" t="s">
        <v>2625</v>
      </c>
      <c r="M818" s="268" t="s">
        <v>2631</v>
      </c>
      <c r="N818" s="278">
        <f>IFERROR(INDEX('Data Lokasi'!S:S,MATCH('Input Real Tanam&amp;Petik Nanas'!C818,'Data Lokasi'!C:C,0)),"")</f>
        <v>44615</v>
      </c>
      <c r="O818" s="278"/>
      <c r="P818" s="283">
        <f>IFERROR(INDEX('Data Lokasi'!V:V,MATCH(C818,'Data Lokasi'!C:C,0)),"")</f>
        <v>0</v>
      </c>
      <c r="Q818" s="304">
        <f t="shared" si="29"/>
        <v>0</v>
      </c>
      <c r="R818" s="308"/>
    </row>
    <row r="819" spans="2:18" ht="15" hidden="1" thickTop="1">
      <c r="B819" s="269">
        <v>46229</v>
      </c>
      <c r="C819" s="268" t="s">
        <v>555</v>
      </c>
      <c r="D819" s="274">
        <f>IFERROR(VLOOKUP(C819,'Data Lokasi'!C:D,2,0),"")</f>
        <v>4.18</v>
      </c>
      <c r="E819" s="274" t="s">
        <v>2643</v>
      </c>
      <c r="F819" s="274"/>
      <c r="G819" s="274"/>
      <c r="H819" s="274"/>
      <c r="I819" s="274">
        <v>1.27</v>
      </c>
      <c r="J819" s="456">
        <f t="shared" si="28"/>
        <v>1.27</v>
      </c>
      <c r="K819" s="583"/>
      <c r="L819" s="268" t="s">
        <v>2625</v>
      </c>
      <c r="M819" s="268" t="s">
        <v>2634</v>
      </c>
      <c r="N819" s="278">
        <f>IFERROR(INDEX('Data Lokasi'!S:S,MATCH('Input Real Tanam&amp;Petik Nanas'!C819,'Data Lokasi'!C:C,0)),"")</f>
        <v>44699</v>
      </c>
      <c r="O819" s="278"/>
      <c r="P819" s="283">
        <f>IFERROR(INDEX('Data Lokasi'!V:V,MATCH(C819,'Data Lokasi'!C:C,0)),"")</f>
        <v>0</v>
      </c>
      <c r="Q819" s="304">
        <f t="shared" si="29"/>
        <v>0</v>
      </c>
      <c r="R819" s="308"/>
    </row>
    <row r="820" spans="2:18" ht="15" hidden="1" thickTop="1">
      <c r="B820" s="269">
        <v>46229</v>
      </c>
      <c r="C820" s="268" t="s">
        <v>425</v>
      </c>
      <c r="D820" s="274">
        <f>IFERROR(VLOOKUP(C820,'Data Lokasi'!C:D,2,0),"")</f>
        <v>8.85</v>
      </c>
      <c r="E820" s="274" t="s">
        <v>2643</v>
      </c>
      <c r="F820" s="274"/>
      <c r="G820" s="274">
        <v>0.02</v>
      </c>
      <c r="H820" s="274">
        <f>0.19+0.4</f>
        <v>0.59000000000000008</v>
      </c>
      <c r="I820" s="274"/>
      <c r="J820" s="456">
        <f t="shared" si="28"/>
        <v>0.6100000000000001</v>
      </c>
      <c r="K820" s="583"/>
      <c r="L820" s="268" t="s">
        <v>719</v>
      </c>
      <c r="M820" s="268" t="s">
        <v>2631</v>
      </c>
      <c r="N820" s="278">
        <f>IFERROR(INDEX('Data Lokasi'!S:S,MATCH('Input Real Tanam&amp;Petik Nanas'!C820,'Data Lokasi'!C:C,0)),"")</f>
        <v>44389</v>
      </c>
      <c r="O820" s="278"/>
      <c r="P820" s="283">
        <f>IFERROR(INDEX('Data Lokasi'!V:V,MATCH(C820,'Data Lokasi'!C:C,0)),"")</f>
        <v>0</v>
      </c>
      <c r="Q820" s="304">
        <f t="shared" si="29"/>
        <v>0</v>
      </c>
      <c r="R820" s="308">
        <v>4</v>
      </c>
    </row>
    <row r="821" spans="2:18" ht="15" hidden="1" thickTop="1">
      <c r="B821" s="269">
        <v>46229</v>
      </c>
      <c r="C821" s="268" t="s">
        <v>381</v>
      </c>
      <c r="D821" s="274">
        <f>IFERROR(VLOOKUP(C821,'Data Lokasi'!C:D,2,0),"")</f>
        <v>8.18</v>
      </c>
      <c r="E821" s="274" t="s">
        <v>2643</v>
      </c>
      <c r="F821" s="274"/>
      <c r="G821" s="274">
        <v>0.04</v>
      </c>
      <c r="H821" s="274">
        <f>0.06+0.08</f>
        <v>0.14000000000000001</v>
      </c>
      <c r="I821" s="274"/>
      <c r="J821" s="456">
        <f t="shared" si="28"/>
        <v>0.18000000000000002</v>
      </c>
      <c r="K821" s="583"/>
      <c r="L821" s="268" t="s">
        <v>719</v>
      </c>
      <c r="M821" s="268" t="s">
        <v>2634</v>
      </c>
      <c r="N821" s="278">
        <f>IFERROR(INDEX('Data Lokasi'!S:S,MATCH('Input Real Tanam&amp;Petik Nanas'!C821,'Data Lokasi'!C:C,0)),"")</f>
        <v>44335</v>
      </c>
      <c r="O821" s="278"/>
      <c r="P821" s="283">
        <f>IFERROR(INDEX('Data Lokasi'!V:V,MATCH(C821,'Data Lokasi'!C:C,0)),"")</f>
        <v>0</v>
      </c>
      <c r="Q821" s="304">
        <f t="shared" si="29"/>
        <v>0</v>
      </c>
      <c r="R821" s="308">
        <v>7</v>
      </c>
    </row>
    <row r="822" spans="2:18" ht="15" hidden="1" thickTop="1">
      <c r="B822" s="269">
        <v>46229</v>
      </c>
      <c r="C822" s="268" t="s">
        <v>476</v>
      </c>
      <c r="D822" s="274">
        <f>IFERROR(VLOOKUP(C822,'Data Lokasi'!C:D,2,0),"")</f>
        <v>5.26</v>
      </c>
      <c r="E822" s="274" t="s">
        <v>2643</v>
      </c>
      <c r="F822" s="274"/>
      <c r="G822" s="274"/>
      <c r="H822" s="274">
        <f>0.06+0.13</f>
        <v>0.19</v>
      </c>
      <c r="I822" s="274"/>
      <c r="J822" s="456">
        <f t="shared" si="28"/>
        <v>0.19</v>
      </c>
      <c r="K822" s="583"/>
      <c r="L822" s="268" t="s">
        <v>719</v>
      </c>
      <c r="M822" s="268" t="s">
        <v>2634</v>
      </c>
      <c r="N822" s="278">
        <f>IFERROR(INDEX('Data Lokasi'!S:S,MATCH('Input Real Tanam&amp;Petik Nanas'!C822,'Data Lokasi'!C:C,0)),"")</f>
        <v>44487</v>
      </c>
      <c r="O822" s="278"/>
      <c r="P822" s="283">
        <f>IFERROR(INDEX('Data Lokasi'!V:V,MATCH(C822,'Data Lokasi'!C:C,0)),"")</f>
        <v>0</v>
      </c>
      <c r="Q822" s="304">
        <f t="shared" si="29"/>
        <v>0</v>
      </c>
      <c r="R822" s="308">
        <v>5</v>
      </c>
    </row>
    <row r="823" spans="2:18" ht="15" hidden="1" thickTop="1">
      <c r="B823" s="269">
        <v>46229</v>
      </c>
      <c r="C823" s="268" t="s">
        <v>499</v>
      </c>
      <c r="D823" s="274">
        <f>IFERROR(VLOOKUP(C823,'Data Lokasi'!C:D,2,0),"")</f>
        <v>6.82</v>
      </c>
      <c r="E823" s="274" t="s">
        <v>2643</v>
      </c>
      <c r="F823" s="274"/>
      <c r="G823" s="274"/>
      <c r="H823" s="274"/>
      <c r="I823" s="274">
        <v>0.11</v>
      </c>
      <c r="J823" s="456">
        <f t="shared" si="28"/>
        <v>0.11</v>
      </c>
      <c r="K823" s="583"/>
      <c r="L823" s="268" t="s">
        <v>2625</v>
      </c>
      <c r="M823" s="268" t="s">
        <v>2634</v>
      </c>
      <c r="N823" s="278">
        <f>IFERROR(INDEX('Data Lokasi'!S:S,MATCH('Input Real Tanam&amp;Petik Nanas'!C823,'Data Lokasi'!C:C,0)),"")</f>
        <v>44573</v>
      </c>
      <c r="O823" s="278"/>
      <c r="P823" s="283">
        <f>IFERROR(INDEX('Data Lokasi'!V:V,MATCH(C823,'Data Lokasi'!C:C,0)),"")</f>
        <v>0</v>
      </c>
      <c r="Q823" s="304">
        <f t="shared" si="29"/>
        <v>0</v>
      </c>
      <c r="R823" s="308"/>
    </row>
    <row r="824" spans="2:18" ht="15" hidden="1" thickTop="1">
      <c r="B824" s="269">
        <v>46229</v>
      </c>
      <c r="C824" s="268" t="s">
        <v>556</v>
      </c>
      <c r="D824" s="274">
        <f>IFERROR(VLOOKUP(C824,'Data Lokasi'!C:D,2,0),"")</f>
        <v>8.42</v>
      </c>
      <c r="E824" s="274" t="s">
        <v>2643</v>
      </c>
      <c r="F824" s="274"/>
      <c r="G824" s="274"/>
      <c r="H824" s="274"/>
      <c r="I824" s="274">
        <v>2.79</v>
      </c>
      <c r="J824" s="456">
        <f t="shared" si="28"/>
        <v>2.79</v>
      </c>
      <c r="K824" s="583"/>
      <c r="L824" s="268" t="s">
        <v>2625</v>
      </c>
      <c r="M824" s="268" t="s">
        <v>2634</v>
      </c>
      <c r="N824" s="278">
        <f>IFERROR(INDEX('Data Lokasi'!S:S,MATCH('Input Real Tanam&amp;Petik Nanas'!C824,'Data Lokasi'!C:C,0)),"")</f>
        <v>44659</v>
      </c>
      <c r="O824" s="278"/>
      <c r="P824" s="283">
        <f>IFERROR(INDEX('Data Lokasi'!V:V,MATCH(C824,'Data Lokasi'!C:C,0)),"")</f>
        <v>0</v>
      </c>
      <c r="Q824" s="304">
        <f t="shared" si="29"/>
        <v>0</v>
      </c>
      <c r="R824" s="308"/>
    </row>
    <row r="825" spans="2:18" ht="15" hidden="1" thickTop="1">
      <c r="B825" s="269">
        <v>46230</v>
      </c>
      <c r="C825" s="268" t="s">
        <v>110</v>
      </c>
      <c r="D825" s="274">
        <f>IFERROR(VLOOKUP(C825,'Data Lokasi'!C:D,2,0),"")</f>
        <v>9</v>
      </c>
      <c r="E825" s="274" t="s">
        <v>2642</v>
      </c>
      <c r="F825" s="274"/>
      <c r="G825" s="274"/>
      <c r="H825" s="274"/>
      <c r="I825" s="274">
        <v>0.42</v>
      </c>
      <c r="J825" s="456">
        <f t="shared" si="28"/>
        <v>0.42</v>
      </c>
      <c r="K825" s="583"/>
      <c r="L825" s="268" t="s">
        <v>2625</v>
      </c>
      <c r="M825" s="268" t="s">
        <v>2631</v>
      </c>
      <c r="N825" s="278">
        <f>IFERROR(INDEX('Data Lokasi'!S:S,MATCH('Input Real Tanam&amp;Petik Nanas'!C825,'Data Lokasi'!C:C,0)),"")</f>
        <v>44193</v>
      </c>
      <c r="O825" s="278"/>
      <c r="P825" s="283">
        <f>IFERROR(INDEX('Data Lokasi'!V:V,MATCH(C825,'Data Lokasi'!C:C,0)),"")</f>
        <v>0</v>
      </c>
      <c r="Q825" s="304">
        <f t="shared" si="29"/>
        <v>0</v>
      </c>
      <c r="R825" s="308"/>
    </row>
    <row r="826" spans="2:18" ht="15" hidden="1" thickTop="1">
      <c r="B826" s="269">
        <v>46230</v>
      </c>
      <c r="C826" s="268" t="s">
        <v>695</v>
      </c>
      <c r="D826" s="274">
        <f>IFERROR(VLOOKUP(C826,'Data Lokasi'!C:D,2,0),"")</f>
        <v>5</v>
      </c>
      <c r="E826" s="274" t="s">
        <v>2642</v>
      </c>
      <c r="F826" s="274"/>
      <c r="G826" s="274"/>
      <c r="H826" s="274"/>
      <c r="I826" s="274">
        <v>0.32</v>
      </c>
      <c r="J826" s="456">
        <f t="shared" si="28"/>
        <v>0.32</v>
      </c>
      <c r="K826" s="583"/>
      <c r="L826" s="268" t="s">
        <v>2625</v>
      </c>
      <c r="M826" s="268" t="s">
        <v>2631</v>
      </c>
      <c r="N826" s="278">
        <f>IFERROR(INDEX('Data Lokasi'!S:S,MATCH('Input Real Tanam&amp;Petik Nanas'!C826,'Data Lokasi'!C:C,0)),"")</f>
        <v>45117</v>
      </c>
      <c r="O826" s="278"/>
      <c r="P826" s="283">
        <f>IFERROR(INDEX('Data Lokasi'!V:V,MATCH(C826,'Data Lokasi'!C:C,0)),"")</f>
        <v>0</v>
      </c>
      <c r="Q826" s="304">
        <f t="shared" si="29"/>
        <v>0</v>
      </c>
      <c r="R826" s="308"/>
    </row>
    <row r="827" spans="2:18" ht="15" hidden="1" thickTop="1">
      <c r="B827" s="269">
        <v>46230</v>
      </c>
      <c r="C827" s="268" t="s">
        <v>126</v>
      </c>
      <c r="D827" s="274">
        <f>IFERROR(VLOOKUP(C827,'Data Lokasi'!C:D,2,0),"")</f>
        <v>6.39</v>
      </c>
      <c r="E827" s="274" t="s">
        <v>2642</v>
      </c>
      <c r="F827" s="274"/>
      <c r="G827" s="274"/>
      <c r="H827" s="274"/>
      <c r="I827" s="274">
        <v>0.68</v>
      </c>
      <c r="J827" s="456">
        <f t="shared" si="28"/>
        <v>0.68</v>
      </c>
      <c r="K827" s="583"/>
      <c r="L827" s="268" t="s">
        <v>2625</v>
      </c>
      <c r="M827" s="268" t="s">
        <v>2631</v>
      </c>
      <c r="N827" s="278">
        <f>IFERROR(INDEX('Data Lokasi'!S:S,MATCH('Input Real Tanam&amp;Petik Nanas'!C827,'Data Lokasi'!C:C,0)),"")</f>
        <v>44207</v>
      </c>
      <c r="O827" s="278"/>
      <c r="P827" s="283">
        <f>IFERROR(INDEX('Data Lokasi'!V:V,MATCH(C827,'Data Lokasi'!C:C,0)),"")</f>
        <v>0</v>
      </c>
      <c r="Q827" s="304">
        <f t="shared" si="29"/>
        <v>0</v>
      </c>
      <c r="R827" s="308"/>
    </row>
    <row r="828" spans="2:18" ht="15" hidden="1" thickTop="1">
      <c r="B828" s="269">
        <v>46230</v>
      </c>
      <c r="C828" s="268" t="s">
        <v>701</v>
      </c>
      <c r="D828" s="274">
        <f>IFERROR(VLOOKUP(C828,'Data Lokasi'!C:D,2,0),"")</f>
        <v>6.03</v>
      </c>
      <c r="E828" s="274" t="s">
        <v>2642</v>
      </c>
      <c r="F828" s="274"/>
      <c r="G828" s="274"/>
      <c r="H828" s="274"/>
      <c r="I828" s="274">
        <v>1.04</v>
      </c>
      <c r="J828" s="456">
        <f t="shared" si="28"/>
        <v>1.04</v>
      </c>
      <c r="K828" s="583"/>
      <c r="L828" s="268" t="s">
        <v>2625</v>
      </c>
      <c r="M828" s="268" t="s">
        <v>2631</v>
      </c>
      <c r="N828" s="278">
        <f>IFERROR(INDEX('Data Lokasi'!S:S,MATCH('Input Real Tanam&amp;Petik Nanas'!C828,'Data Lokasi'!C:C,0)),"")</f>
        <v>45185</v>
      </c>
      <c r="O828" s="278"/>
      <c r="P828" s="283">
        <f>IFERROR(INDEX('Data Lokasi'!V:V,MATCH(C828,'Data Lokasi'!C:C,0)),"")</f>
        <v>0</v>
      </c>
      <c r="Q828" s="304">
        <f t="shared" si="29"/>
        <v>0</v>
      </c>
      <c r="R828" s="308"/>
    </row>
    <row r="829" spans="2:18" ht="15" hidden="1" thickTop="1">
      <c r="B829" s="269">
        <v>46230</v>
      </c>
      <c r="C829" s="268" t="s">
        <v>705</v>
      </c>
      <c r="D829" s="274">
        <f>IFERROR(VLOOKUP(C829,'Data Lokasi'!C:D,2,0),"")</f>
        <v>7.67</v>
      </c>
      <c r="E829" s="274" t="s">
        <v>2642</v>
      </c>
      <c r="F829" s="274"/>
      <c r="G829" s="274"/>
      <c r="H829" s="274"/>
      <c r="I829" s="274">
        <v>0.66</v>
      </c>
      <c r="J829" s="456">
        <f t="shared" si="28"/>
        <v>0.66</v>
      </c>
      <c r="K829" s="583"/>
      <c r="L829" s="268" t="s">
        <v>2625</v>
      </c>
      <c r="M829" s="268" t="s">
        <v>2631</v>
      </c>
      <c r="N829" s="278">
        <f>IFERROR(INDEX('Data Lokasi'!S:S,MATCH('Input Real Tanam&amp;Petik Nanas'!C829,'Data Lokasi'!C:C,0)),"")</f>
        <v>45202</v>
      </c>
      <c r="O829" s="278"/>
      <c r="P829" s="283">
        <f>IFERROR(INDEX('Data Lokasi'!V:V,MATCH(C829,'Data Lokasi'!C:C,0)),"")</f>
        <v>0</v>
      </c>
      <c r="Q829" s="304">
        <f t="shared" si="29"/>
        <v>0</v>
      </c>
      <c r="R829" s="308"/>
    </row>
    <row r="830" spans="2:18" ht="15" hidden="1" thickTop="1">
      <c r="B830" s="269">
        <v>46230</v>
      </c>
      <c r="C830" s="268" t="s">
        <v>706</v>
      </c>
      <c r="D830" s="274">
        <f>IFERROR(VLOOKUP(C830,'Data Lokasi'!C:D,2,0),"")</f>
        <v>5.44</v>
      </c>
      <c r="E830" s="274" t="s">
        <v>2642</v>
      </c>
      <c r="F830" s="274"/>
      <c r="G830" s="274"/>
      <c r="H830" s="274"/>
      <c r="I830" s="274">
        <v>0.08</v>
      </c>
      <c r="J830" s="456">
        <f t="shared" si="28"/>
        <v>0.08</v>
      </c>
      <c r="K830" s="583"/>
      <c r="L830" s="268" t="s">
        <v>2625</v>
      </c>
      <c r="M830" s="268" t="s">
        <v>2631</v>
      </c>
      <c r="N830" s="278">
        <f>IFERROR(INDEX('Data Lokasi'!S:S,MATCH('Input Real Tanam&amp;Petik Nanas'!C830,'Data Lokasi'!C:C,0)),"")</f>
        <v>45205</v>
      </c>
      <c r="O830" s="278"/>
      <c r="P830" s="283">
        <f>IFERROR(INDEX('Data Lokasi'!V:V,MATCH(C830,'Data Lokasi'!C:C,0)),"")</f>
        <v>0</v>
      </c>
      <c r="Q830" s="304">
        <f t="shared" si="29"/>
        <v>0</v>
      </c>
      <c r="R830" s="308"/>
    </row>
    <row r="831" spans="2:18" ht="15" hidden="1" thickTop="1">
      <c r="B831" s="269">
        <v>46230</v>
      </c>
      <c r="C831" s="268" t="s">
        <v>320</v>
      </c>
      <c r="D831" s="274">
        <f>IFERROR(VLOOKUP(C831,'Data Lokasi'!C:D,2,0),"")</f>
        <v>9.0299999999999994</v>
      </c>
      <c r="E831" s="274" t="s">
        <v>2642</v>
      </c>
      <c r="F831" s="274"/>
      <c r="G831" s="274"/>
      <c r="H831" s="274">
        <v>0.88</v>
      </c>
      <c r="I831" s="274"/>
      <c r="J831" s="456">
        <f t="shared" si="28"/>
        <v>0.88</v>
      </c>
      <c r="K831" s="583"/>
      <c r="L831" s="268" t="s">
        <v>719</v>
      </c>
      <c r="M831" s="268" t="s">
        <v>2634</v>
      </c>
      <c r="N831" s="278">
        <f>IFERROR(INDEX('Data Lokasi'!S:S,MATCH('Input Real Tanam&amp;Petik Nanas'!C831,'Data Lokasi'!C:C,0)),"")</f>
        <v>44216</v>
      </c>
      <c r="O831" s="278"/>
      <c r="P831" s="283">
        <f>IFERROR(INDEX('Data Lokasi'!V:V,MATCH(C831,'Data Lokasi'!C:C,0)),"")</f>
        <v>0</v>
      </c>
      <c r="Q831" s="304">
        <f t="shared" si="29"/>
        <v>0</v>
      </c>
      <c r="R831" s="308"/>
    </row>
    <row r="832" spans="2:18" ht="15" hidden="1" thickTop="1">
      <c r="B832" s="269">
        <v>46230</v>
      </c>
      <c r="C832" s="268" t="s">
        <v>684</v>
      </c>
      <c r="D832" s="274">
        <f>IFERROR(VLOOKUP(C832,'Data Lokasi'!C:D,2,0),"")</f>
        <v>8.8699999999999992</v>
      </c>
      <c r="E832" s="274" t="s">
        <v>2642</v>
      </c>
      <c r="F832" s="274"/>
      <c r="G832" s="274"/>
      <c r="H832" s="274"/>
      <c r="I832" s="274">
        <v>0.53</v>
      </c>
      <c r="J832" s="456">
        <f t="shared" si="28"/>
        <v>0.53</v>
      </c>
      <c r="K832" s="583"/>
      <c r="L832" s="268" t="s">
        <v>2625</v>
      </c>
      <c r="M832" s="268" t="s">
        <v>2634</v>
      </c>
      <c r="N832" s="278">
        <f>IFERROR(INDEX('Data Lokasi'!S:S,MATCH('Input Real Tanam&amp;Petik Nanas'!C832,'Data Lokasi'!C:C,0)),"")</f>
        <v>45090</v>
      </c>
      <c r="O832" s="278"/>
      <c r="P832" s="283">
        <f>IFERROR(INDEX('Data Lokasi'!V:V,MATCH(C832,'Data Lokasi'!C:C,0)),"")</f>
        <v>0</v>
      </c>
      <c r="Q832" s="304">
        <f t="shared" si="29"/>
        <v>0</v>
      </c>
      <c r="R832" s="308"/>
    </row>
    <row r="833" spans="2:18" ht="15" hidden="1" thickTop="1">
      <c r="B833" s="269">
        <v>46230</v>
      </c>
      <c r="C833" s="268" t="s">
        <v>196</v>
      </c>
      <c r="D833" s="274">
        <f>IFERROR(VLOOKUP(C833,'Data Lokasi'!C:D,2,0),"")</f>
        <v>11.7</v>
      </c>
      <c r="E833" s="274" t="s">
        <v>2642</v>
      </c>
      <c r="F833" s="274"/>
      <c r="G833" s="274"/>
      <c r="H833" s="274"/>
      <c r="I833" s="274">
        <v>0.73</v>
      </c>
      <c r="J833" s="456">
        <f t="shared" si="28"/>
        <v>0.73</v>
      </c>
      <c r="K833" s="583"/>
      <c r="L833" s="268" t="s">
        <v>2625</v>
      </c>
      <c r="M833" s="268" t="s">
        <v>2634</v>
      </c>
      <c r="N833" s="278">
        <f>IFERROR(INDEX('Data Lokasi'!S:S,MATCH('Input Real Tanam&amp;Petik Nanas'!C833,'Data Lokasi'!C:C,0)),"")</f>
        <v>43948</v>
      </c>
      <c r="O833" s="278"/>
      <c r="P833" s="283">
        <f>IFERROR(INDEX('Data Lokasi'!V:V,MATCH(C833,'Data Lokasi'!C:C,0)),"")</f>
        <v>0</v>
      </c>
      <c r="Q833" s="304">
        <f t="shared" si="29"/>
        <v>0</v>
      </c>
      <c r="R833" s="308"/>
    </row>
    <row r="834" spans="2:18" ht="15" hidden="1" thickTop="1">
      <c r="B834" s="269">
        <v>46230</v>
      </c>
      <c r="C834" s="268" t="s">
        <v>659</v>
      </c>
      <c r="D834" s="274">
        <f>IFERROR(VLOOKUP(C834,'Data Lokasi'!C:D,2,0),"")</f>
        <v>5.7</v>
      </c>
      <c r="E834" s="274" t="s">
        <v>2642</v>
      </c>
      <c r="F834" s="274"/>
      <c r="G834" s="274"/>
      <c r="H834" s="274"/>
      <c r="I834" s="274">
        <v>0.56999999999999995</v>
      </c>
      <c r="J834" s="456">
        <f t="shared" si="28"/>
        <v>0.56999999999999995</v>
      </c>
      <c r="K834" s="583"/>
      <c r="L834" s="268" t="s">
        <v>2625</v>
      </c>
      <c r="M834" s="268" t="s">
        <v>2634</v>
      </c>
      <c r="N834" s="278">
        <f>IFERROR(INDEX('Data Lokasi'!S:S,MATCH('Input Real Tanam&amp;Petik Nanas'!C834,'Data Lokasi'!C:C,0)),"")</f>
        <v>45010</v>
      </c>
      <c r="O834" s="278"/>
      <c r="P834" s="283">
        <f>IFERROR(INDEX('Data Lokasi'!V:V,MATCH(C834,'Data Lokasi'!C:C,0)),"")</f>
        <v>0</v>
      </c>
      <c r="Q834" s="304">
        <f t="shared" si="29"/>
        <v>0</v>
      </c>
      <c r="R834" s="308"/>
    </row>
    <row r="835" spans="2:18" ht="15" hidden="1" thickTop="1">
      <c r="B835" s="269">
        <v>46230</v>
      </c>
      <c r="C835" s="268" t="s">
        <v>657</v>
      </c>
      <c r="D835" s="274">
        <f>IFERROR(VLOOKUP(C835,'Data Lokasi'!C:D,2,0),"")</f>
        <v>7.73</v>
      </c>
      <c r="E835" s="274" t="s">
        <v>2642</v>
      </c>
      <c r="F835" s="274"/>
      <c r="G835" s="274"/>
      <c r="H835" s="274"/>
      <c r="I835" s="274">
        <v>0.28999999999999998</v>
      </c>
      <c r="J835" s="456">
        <f t="shared" si="28"/>
        <v>0.28999999999999998</v>
      </c>
      <c r="K835" s="583"/>
      <c r="L835" s="268" t="s">
        <v>719</v>
      </c>
      <c r="M835" s="268" t="s">
        <v>2634</v>
      </c>
      <c r="N835" s="278">
        <f>IFERROR(INDEX('Data Lokasi'!S:S,MATCH('Input Real Tanam&amp;Petik Nanas'!C835,'Data Lokasi'!C:C,0)),"")</f>
        <v>45003</v>
      </c>
      <c r="O835" s="278"/>
      <c r="P835" s="283">
        <f>IFERROR(INDEX('Data Lokasi'!V:V,MATCH(C835,'Data Lokasi'!C:C,0)),"")</f>
        <v>0</v>
      </c>
      <c r="Q835" s="304">
        <f t="shared" si="29"/>
        <v>0</v>
      </c>
      <c r="R835" s="308"/>
    </row>
    <row r="836" spans="2:18" ht="15" hidden="1" thickTop="1">
      <c r="B836" s="269">
        <v>46230</v>
      </c>
      <c r="C836" s="268" t="s">
        <v>286</v>
      </c>
      <c r="D836" s="274">
        <f>IFERROR(VLOOKUP(C836,'Data Lokasi'!C:D,2,0),"")</f>
        <v>8.33</v>
      </c>
      <c r="E836" s="274" t="s">
        <v>2642</v>
      </c>
      <c r="F836" s="274"/>
      <c r="G836" s="274"/>
      <c r="H836" s="274"/>
      <c r="I836" s="274">
        <v>0.05</v>
      </c>
      <c r="J836" s="456">
        <f t="shared" si="28"/>
        <v>0.05</v>
      </c>
      <c r="K836" s="583"/>
      <c r="L836" s="268" t="s">
        <v>2625</v>
      </c>
      <c r="M836" s="268" t="s">
        <v>2634</v>
      </c>
      <c r="N836" s="278">
        <f>IFERROR(INDEX('Data Lokasi'!S:S,MATCH('Input Real Tanam&amp;Petik Nanas'!C836,'Data Lokasi'!C:C,0)),"")</f>
        <v>44125</v>
      </c>
      <c r="O836" s="278"/>
      <c r="P836" s="283">
        <f>IFERROR(INDEX('Data Lokasi'!V:V,MATCH(C836,'Data Lokasi'!C:C,0)),"")</f>
        <v>0</v>
      </c>
      <c r="Q836" s="304">
        <f t="shared" si="29"/>
        <v>0</v>
      </c>
      <c r="R836" s="308"/>
    </row>
    <row r="837" spans="2:18" ht="15" hidden="1" thickTop="1">
      <c r="B837" s="269">
        <v>46230</v>
      </c>
      <c r="C837" s="268" t="s">
        <v>234</v>
      </c>
      <c r="D837" s="274">
        <f>IFERROR(VLOOKUP(C837,'Data Lokasi'!C:D,2,0),"")</f>
        <v>5.85</v>
      </c>
      <c r="E837" s="274" t="s">
        <v>2642</v>
      </c>
      <c r="F837" s="274"/>
      <c r="G837" s="274"/>
      <c r="H837" s="274"/>
      <c r="I837" s="274">
        <v>0.06</v>
      </c>
      <c r="J837" s="456">
        <f t="shared" si="28"/>
        <v>0.06</v>
      </c>
      <c r="K837" s="583"/>
      <c r="L837" s="268" t="s">
        <v>2625</v>
      </c>
      <c r="M837" s="268" t="s">
        <v>2634</v>
      </c>
      <c r="N837" s="278">
        <f>IFERROR(INDEX('Data Lokasi'!S:S,MATCH('Input Real Tanam&amp;Petik Nanas'!C837,'Data Lokasi'!C:C,0)),"")</f>
        <v>44038</v>
      </c>
      <c r="O837" s="278"/>
      <c r="P837" s="283">
        <f>IFERROR(INDEX('Data Lokasi'!V:V,MATCH(C837,'Data Lokasi'!C:C,0)),"")</f>
        <v>0</v>
      </c>
      <c r="Q837" s="304">
        <f t="shared" si="29"/>
        <v>0</v>
      </c>
      <c r="R837" s="308"/>
    </row>
    <row r="838" spans="2:18" ht="15" hidden="1" thickTop="1">
      <c r="B838" s="269">
        <v>46230</v>
      </c>
      <c r="C838" s="268" t="s">
        <v>263</v>
      </c>
      <c r="D838" s="274">
        <f>IFERROR(VLOOKUP(C838,'Data Lokasi'!C:D,2,0),"")</f>
        <v>7.7</v>
      </c>
      <c r="E838" s="274" t="s">
        <v>2642</v>
      </c>
      <c r="F838" s="274"/>
      <c r="G838" s="274"/>
      <c r="H838" s="274"/>
      <c r="I838" s="274">
        <v>0.06</v>
      </c>
      <c r="J838" s="456">
        <f t="shared" si="28"/>
        <v>0.06</v>
      </c>
      <c r="K838" s="583"/>
      <c r="L838" s="268" t="s">
        <v>2625</v>
      </c>
      <c r="M838" s="268" t="s">
        <v>2634</v>
      </c>
      <c r="N838" s="278">
        <f>IFERROR(INDEX('Data Lokasi'!S:S,MATCH('Input Real Tanam&amp;Petik Nanas'!C838,'Data Lokasi'!C:C,0)),"")</f>
        <v>44079</v>
      </c>
      <c r="O838" s="278"/>
      <c r="P838" s="283">
        <f>IFERROR(INDEX('Data Lokasi'!V:V,MATCH(C838,'Data Lokasi'!C:C,0)),"")</f>
        <v>0</v>
      </c>
      <c r="Q838" s="304">
        <f t="shared" si="29"/>
        <v>0</v>
      </c>
      <c r="R838" s="308"/>
    </row>
    <row r="839" spans="2:18" ht="15" hidden="1" thickTop="1">
      <c r="B839" s="269">
        <v>46230</v>
      </c>
      <c r="C839" s="268" t="s">
        <v>229</v>
      </c>
      <c r="D839" s="274">
        <f>IFERROR(VLOOKUP(C839,'Data Lokasi'!C:D,2,0),"")</f>
        <v>6.97</v>
      </c>
      <c r="E839" s="274" t="s">
        <v>2642</v>
      </c>
      <c r="F839" s="274"/>
      <c r="G839" s="274"/>
      <c r="H839" s="274"/>
      <c r="I839" s="274">
        <v>0.08</v>
      </c>
      <c r="J839" s="456">
        <f t="shared" si="28"/>
        <v>0.08</v>
      </c>
      <c r="K839" s="583"/>
      <c r="L839" s="268" t="s">
        <v>2625</v>
      </c>
      <c r="M839" s="268" t="s">
        <v>2634</v>
      </c>
      <c r="N839" s="278">
        <f>IFERROR(INDEX('Data Lokasi'!S:S,MATCH('Input Real Tanam&amp;Petik Nanas'!C839,'Data Lokasi'!C:C,0)),"")</f>
        <v>44020</v>
      </c>
      <c r="O839" s="278"/>
      <c r="P839" s="283">
        <f>IFERROR(INDEX('Data Lokasi'!V:V,MATCH(C839,'Data Lokasi'!C:C,0)),"")</f>
        <v>0</v>
      </c>
      <c r="Q839" s="304">
        <f t="shared" si="29"/>
        <v>0</v>
      </c>
      <c r="R839" s="308"/>
    </row>
    <row r="840" spans="2:18" ht="15" hidden="1" thickTop="1">
      <c r="B840" s="269">
        <v>46230</v>
      </c>
      <c r="C840" s="268" t="s">
        <v>425</v>
      </c>
      <c r="D840" s="274">
        <f>IFERROR(VLOOKUP(C840,'Data Lokasi'!C:D,2,0),"")</f>
        <v>8.85</v>
      </c>
      <c r="E840" s="274" t="s">
        <v>2643</v>
      </c>
      <c r="F840" s="274"/>
      <c r="G840" s="274">
        <v>2E-3</v>
      </c>
      <c r="H840" s="274">
        <f>0.06+0.13</f>
        <v>0.19</v>
      </c>
      <c r="I840" s="274"/>
      <c r="J840" s="456">
        <f t="shared" si="28"/>
        <v>0.192</v>
      </c>
      <c r="K840" s="583"/>
      <c r="L840" s="268" t="s">
        <v>719</v>
      </c>
      <c r="M840" s="268" t="s">
        <v>2631</v>
      </c>
      <c r="N840" s="278">
        <f>IFERROR(INDEX('Data Lokasi'!S:S,MATCH('Input Real Tanam&amp;Petik Nanas'!C840,'Data Lokasi'!C:C,0)),"")</f>
        <v>44389</v>
      </c>
      <c r="O840" s="278"/>
      <c r="P840" s="283">
        <f>IFERROR(INDEX('Data Lokasi'!V:V,MATCH(C840,'Data Lokasi'!C:C,0)),"")</f>
        <v>0</v>
      </c>
      <c r="Q840" s="304">
        <f t="shared" si="29"/>
        <v>0</v>
      </c>
      <c r="R840" s="308">
        <v>4</v>
      </c>
    </row>
    <row r="841" spans="2:18" ht="15" hidden="1" thickTop="1">
      <c r="B841" s="269">
        <v>46230</v>
      </c>
      <c r="C841" s="268" t="s">
        <v>441</v>
      </c>
      <c r="D841" s="274">
        <f>IFERROR(VLOOKUP(C841,'Data Lokasi'!C:D,2,0),"")</f>
        <v>11.2</v>
      </c>
      <c r="E841" s="274" t="s">
        <v>2643</v>
      </c>
      <c r="F841" s="274">
        <v>0.04</v>
      </c>
      <c r="G841" s="274">
        <v>0.04</v>
      </c>
      <c r="H841" s="274">
        <v>0.03</v>
      </c>
      <c r="I841" s="274"/>
      <c r="J841" s="456">
        <f t="shared" si="28"/>
        <v>0.11</v>
      </c>
      <c r="K841" s="583"/>
      <c r="L841" s="268" t="s">
        <v>719</v>
      </c>
      <c r="M841" s="268" t="s">
        <v>2631</v>
      </c>
      <c r="N841" s="278">
        <f>IFERROR(INDEX('Data Lokasi'!S:S,MATCH('Input Real Tanam&amp;Petik Nanas'!C841,'Data Lokasi'!C:C,0)),"")</f>
        <v>44429</v>
      </c>
      <c r="O841" s="278"/>
      <c r="P841" s="283">
        <f>IFERROR(INDEX('Data Lokasi'!V:V,MATCH(C841,'Data Lokasi'!C:C,0)),"")</f>
        <v>0</v>
      </c>
      <c r="Q841" s="304">
        <f t="shared" si="29"/>
        <v>0</v>
      </c>
      <c r="R841" s="308">
        <v>3</v>
      </c>
    </row>
    <row r="842" spans="2:18" ht="15" hidden="1" thickTop="1">
      <c r="B842" s="269">
        <v>46230</v>
      </c>
      <c r="C842" s="268" t="s">
        <v>360</v>
      </c>
      <c r="D842" s="274">
        <f>IFERROR(VLOOKUP(C842,'Data Lokasi'!C:D,2,0),"")</f>
        <v>10.66</v>
      </c>
      <c r="E842" s="274" t="s">
        <v>2643</v>
      </c>
      <c r="F842" s="274"/>
      <c r="G842" s="274">
        <v>0.02</v>
      </c>
      <c r="H842" s="274">
        <f>0.08+0.32</f>
        <v>0.4</v>
      </c>
      <c r="I842" s="274"/>
      <c r="J842" s="456">
        <f t="shared" si="28"/>
        <v>0.42000000000000004</v>
      </c>
      <c r="K842" s="583"/>
      <c r="L842" s="268" t="s">
        <v>719</v>
      </c>
      <c r="M842" s="268" t="s">
        <v>2631</v>
      </c>
      <c r="N842" s="278">
        <f>IFERROR(INDEX('Data Lokasi'!S:S,MATCH('Input Real Tanam&amp;Petik Nanas'!C842,'Data Lokasi'!C:C,0)),"")</f>
        <v>44300</v>
      </c>
      <c r="O842" s="278"/>
      <c r="P842" s="283">
        <f>IFERROR(INDEX('Data Lokasi'!V:V,MATCH(C842,'Data Lokasi'!C:C,0)),"")</f>
        <v>0</v>
      </c>
      <c r="Q842" s="304">
        <f t="shared" si="29"/>
        <v>0</v>
      </c>
      <c r="R842" s="308">
        <v>4</v>
      </c>
    </row>
    <row r="843" spans="2:18" ht="15" hidden="1" thickTop="1">
      <c r="B843" s="269">
        <v>46230</v>
      </c>
      <c r="C843" s="268" t="s">
        <v>522</v>
      </c>
      <c r="D843" s="274">
        <f>IFERROR(VLOOKUP(C843,'Data Lokasi'!C:D,2,0),"")</f>
        <v>9.02</v>
      </c>
      <c r="E843" s="274" t="s">
        <v>2643</v>
      </c>
      <c r="F843" s="274"/>
      <c r="G843" s="274"/>
      <c r="H843" s="274"/>
      <c r="I843" s="274">
        <v>1.2</v>
      </c>
      <c r="J843" s="456">
        <f t="shared" si="28"/>
        <v>1.2</v>
      </c>
      <c r="K843" s="583"/>
      <c r="L843" s="268" t="s">
        <v>2625</v>
      </c>
      <c r="M843" s="268" t="s">
        <v>2631</v>
      </c>
      <c r="N843" s="278">
        <f>IFERROR(INDEX('Data Lokasi'!S:S,MATCH('Input Real Tanam&amp;Petik Nanas'!C843,'Data Lokasi'!C:C,0)),"")</f>
        <v>44615</v>
      </c>
      <c r="O843" s="278"/>
      <c r="P843" s="283">
        <f>IFERROR(INDEX('Data Lokasi'!V:V,MATCH(C843,'Data Lokasi'!C:C,0)),"")</f>
        <v>0</v>
      </c>
      <c r="Q843" s="304">
        <f t="shared" si="29"/>
        <v>0</v>
      </c>
      <c r="R843" s="308"/>
    </row>
    <row r="844" spans="2:18" ht="15" hidden="1" thickTop="1">
      <c r="B844" s="269">
        <v>46230</v>
      </c>
      <c r="C844" s="268" t="s">
        <v>555</v>
      </c>
      <c r="D844" s="274">
        <f>IFERROR(VLOOKUP(C844,'Data Lokasi'!C:D,2,0),"")</f>
        <v>4.18</v>
      </c>
      <c r="E844" s="274" t="s">
        <v>2643</v>
      </c>
      <c r="F844" s="274"/>
      <c r="G844" s="274"/>
      <c r="H844" s="274"/>
      <c r="I844" s="274">
        <v>1.06</v>
      </c>
      <c r="J844" s="456">
        <f t="shared" si="28"/>
        <v>1.06</v>
      </c>
      <c r="K844" s="583"/>
      <c r="L844" s="268" t="s">
        <v>2625</v>
      </c>
      <c r="M844" s="268" t="s">
        <v>2634</v>
      </c>
      <c r="N844" s="278">
        <f>IFERROR(INDEX('Data Lokasi'!S:S,MATCH('Input Real Tanam&amp;Petik Nanas'!C844,'Data Lokasi'!C:C,0)),"")</f>
        <v>44699</v>
      </c>
      <c r="O844" s="278"/>
      <c r="P844" s="283">
        <f>IFERROR(INDEX('Data Lokasi'!V:V,MATCH(C844,'Data Lokasi'!C:C,0)),"")</f>
        <v>0</v>
      </c>
      <c r="Q844" s="304">
        <f t="shared" si="29"/>
        <v>0</v>
      </c>
      <c r="R844" s="308"/>
    </row>
    <row r="845" spans="2:18" ht="15" hidden="1" thickTop="1">
      <c r="B845" s="269">
        <v>46230</v>
      </c>
      <c r="C845" s="268" t="s">
        <v>381</v>
      </c>
      <c r="D845" s="274">
        <f>IFERROR(VLOOKUP(C845,'Data Lokasi'!C:D,2,0),"")</f>
        <v>8.18</v>
      </c>
      <c r="E845" s="274" t="s">
        <v>2643</v>
      </c>
      <c r="F845" s="274"/>
      <c r="G845" s="274">
        <v>0.04</v>
      </c>
      <c r="H845" s="274">
        <f>0.18+0.29</f>
        <v>0.47</v>
      </c>
      <c r="I845" s="274"/>
      <c r="J845" s="456">
        <f t="shared" si="28"/>
        <v>0.51</v>
      </c>
      <c r="K845" s="583"/>
      <c r="L845" s="268" t="s">
        <v>719</v>
      </c>
      <c r="M845" s="268" t="s">
        <v>2634</v>
      </c>
      <c r="N845" s="278">
        <f>IFERROR(INDEX('Data Lokasi'!S:S,MATCH('Input Real Tanam&amp;Petik Nanas'!C845,'Data Lokasi'!C:C,0)),"")</f>
        <v>44335</v>
      </c>
      <c r="O845" s="278"/>
      <c r="P845" s="283">
        <f>IFERROR(INDEX('Data Lokasi'!V:V,MATCH(C845,'Data Lokasi'!C:C,0)),"")</f>
        <v>0</v>
      </c>
      <c r="Q845" s="304">
        <f t="shared" si="29"/>
        <v>0</v>
      </c>
      <c r="R845" s="308">
        <v>7</v>
      </c>
    </row>
    <row r="846" spans="2:18" ht="15" hidden="1" thickTop="1">
      <c r="B846" s="269">
        <v>46230</v>
      </c>
      <c r="C846" s="268" t="s">
        <v>161</v>
      </c>
      <c r="D846" s="274">
        <f>IFERROR(VLOOKUP(C846,'Data Lokasi'!C:D,2,0),"")</f>
        <v>9.85</v>
      </c>
      <c r="E846" s="274" t="s">
        <v>2643</v>
      </c>
      <c r="F846" s="274"/>
      <c r="G846" s="274"/>
      <c r="H846" s="274"/>
      <c r="I846" s="274">
        <v>2.04</v>
      </c>
      <c r="J846" s="456">
        <f t="shared" si="28"/>
        <v>2.04</v>
      </c>
      <c r="K846" s="583"/>
      <c r="L846" s="268" t="s">
        <v>2625</v>
      </c>
      <c r="M846" s="268" t="s">
        <v>2634</v>
      </c>
      <c r="N846" s="278">
        <f>IFERROR(INDEX('Data Lokasi'!S:S,MATCH('Input Real Tanam&amp;Petik Nanas'!C846,'Data Lokasi'!C:C,0)),"")</f>
        <v>45297</v>
      </c>
      <c r="O846" s="278"/>
      <c r="P846" s="283">
        <f>IFERROR(INDEX('Data Lokasi'!V:V,MATCH(C846,'Data Lokasi'!C:C,0)),"")</f>
        <v>0</v>
      </c>
      <c r="Q846" s="304">
        <f t="shared" si="29"/>
        <v>0</v>
      </c>
      <c r="R846" s="308"/>
    </row>
    <row r="847" spans="2:18" ht="15" hidden="1" thickTop="1">
      <c r="B847" s="269">
        <v>46230</v>
      </c>
      <c r="C847" s="268" t="s">
        <v>556</v>
      </c>
      <c r="D847" s="274">
        <f>IFERROR(VLOOKUP(C847,'Data Lokasi'!C:D,2,0),"")</f>
        <v>8.42</v>
      </c>
      <c r="E847" s="274" t="s">
        <v>2643</v>
      </c>
      <c r="F847" s="274"/>
      <c r="G847" s="274"/>
      <c r="H847" s="274"/>
      <c r="I847" s="274">
        <v>0.89</v>
      </c>
      <c r="J847" s="456">
        <f t="shared" si="28"/>
        <v>0.89</v>
      </c>
      <c r="K847" s="583"/>
      <c r="L847" s="268" t="s">
        <v>2625</v>
      </c>
      <c r="M847" s="268" t="s">
        <v>2634</v>
      </c>
      <c r="N847" s="278">
        <f>IFERROR(INDEX('Data Lokasi'!S:S,MATCH('Input Real Tanam&amp;Petik Nanas'!C847,'Data Lokasi'!C:C,0)),"")</f>
        <v>44659</v>
      </c>
      <c r="O847" s="278"/>
      <c r="P847" s="283">
        <f>IFERROR(INDEX('Data Lokasi'!V:V,MATCH(C847,'Data Lokasi'!C:C,0)),"")</f>
        <v>0</v>
      </c>
      <c r="Q847" s="304">
        <f t="shared" si="29"/>
        <v>0</v>
      </c>
      <c r="R847" s="308"/>
    </row>
    <row r="848" spans="2:18" ht="15" hidden="1" thickTop="1">
      <c r="B848" s="269">
        <v>46231</v>
      </c>
      <c r="C848" s="268" t="s">
        <v>705</v>
      </c>
      <c r="D848" s="274">
        <f>IFERROR(VLOOKUP(C848,'Data Lokasi'!C:D,2,0),"")</f>
        <v>7.67</v>
      </c>
      <c r="E848" s="274" t="s">
        <v>2642</v>
      </c>
      <c r="F848" s="274"/>
      <c r="G848" s="274"/>
      <c r="H848" s="274">
        <v>0.84</v>
      </c>
      <c r="I848" s="274"/>
      <c r="J848" s="456">
        <f t="shared" si="28"/>
        <v>0.84</v>
      </c>
      <c r="K848" s="583"/>
      <c r="L848" s="268" t="s">
        <v>719</v>
      </c>
      <c r="M848" s="268" t="s">
        <v>2631</v>
      </c>
      <c r="N848" s="278">
        <f>IFERROR(INDEX('Data Lokasi'!S:S,MATCH('Input Real Tanam&amp;Petik Nanas'!C848,'Data Lokasi'!C:C,0)),"")</f>
        <v>45202</v>
      </c>
      <c r="O848" s="278"/>
      <c r="P848" s="283">
        <f>IFERROR(INDEX('Data Lokasi'!V:V,MATCH(C848,'Data Lokasi'!C:C,0)),"")</f>
        <v>0</v>
      </c>
      <c r="Q848" s="304">
        <f t="shared" si="29"/>
        <v>0</v>
      </c>
      <c r="R848" s="308"/>
    </row>
    <row r="849" spans="2:18" ht="15" hidden="1" thickTop="1">
      <c r="B849" s="269">
        <v>46231</v>
      </c>
      <c r="C849" s="268" t="s">
        <v>701</v>
      </c>
      <c r="D849" s="274">
        <f>IFERROR(VLOOKUP(C849,'Data Lokasi'!C:D,2,0),"")</f>
        <v>6.03</v>
      </c>
      <c r="E849" s="274" t="s">
        <v>2642</v>
      </c>
      <c r="F849" s="274"/>
      <c r="G849" s="274"/>
      <c r="H849" s="274"/>
      <c r="I849" s="274">
        <v>0.32</v>
      </c>
      <c r="J849" s="456">
        <f t="shared" si="28"/>
        <v>0.32</v>
      </c>
      <c r="K849" s="583"/>
      <c r="L849" s="268" t="s">
        <v>2625</v>
      </c>
      <c r="M849" s="268" t="s">
        <v>2631</v>
      </c>
      <c r="N849" s="278">
        <f>IFERROR(INDEX('Data Lokasi'!S:S,MATCH('Input Real Tanam&amp;Petik Nanas'!C849,'Data Lokasi'!C:C,0)),"")</f>
        <v>45185</v>
      </c>
      <c r="O849" s="278"/>
      <c r="P849" s="283">
        <f>IFERROR(INDEX('Data Lokasi'!V:V,MATCH(C849,'Data Lokasi'!C:C,0)),"")</f>
        <v>0</v>
      </c>
      <c r="Q849" s="304">
        <f t="shared" si="29"/>
        <v>0</v>
      </c>
      <c r="R849" s="308"/>
    </row>
    <row r="850" spans="2:18" ht="15" hidden="1" thickTop="1">
      <c r="B850" s="269">
        <v>46231</v>
      </c>
      <c r="C850" s="268" t="s">
        <v>126</v>
      </c>
      <c r="D850" s="274">
        <f>IFERROR(VLOOKUP(C850,'Data Lokasi'!C:D,2,0),"")</f>
        <v>6.39</v>
      </c>
      <c r="E850" s="274" t="s">
        <v>2642</v>
      </c>
      <c r="F850" s="274"/>
      <c r="G850" s="274"/>
      <c r="H850" s="274"/>
      <c r="I850" s="274">
        <v>0.49</v>
      </c>
      <c r="J850" s="456">
        <f t="shared" si="28"/>
        <v>0.49</v>
      </c>
      <c r="K850" s="583"/>
      <c r="L850" s="268" t="s">
        <v>2625</v>
      </c>
      <c r="M850" s="268" t="s">
        <v>2631</v>
      </c>
      <c r="N850" s="278">
        <f>IFERROR(INDEX('Data Lokasi'!S:S,MATCH('Input Real Tanam&amp;Petik Nanas'!C850,'Data Lokasi'!C:C,0)),"")</f>
        <v>44207</v>
      </c>
      <c r="O850" s="278"/>
      <c r="P850" s="283">
        <f>IFERROR(INDEX('Data Lokasi'!V:V,MATCH(C850,'Data Lokasi'!C:C,0)),"")</f>
        <v>0</v>
      </c>
      <c r="Q850" s="304">
        <f t="shared" si="29"/>
        <v>0</v>
      </c>
      <c r="R850" s="308"/>
    </row>
    <row r="851" spans="2:18" ht="15" hidden="1" thickTop="1">
      <c r="B851" s="269">
        <v>46231</v>
      </c>
      <c r="C851" s="268" t="s">
        <v>695</v>
      </c>
      <c r="D851" s="274">
        <f>IFERROR(VLOOKUP(C851,'Data Lokasi'!C:D,2,0),"")</f>
        <v>5</v>
      </c>
      <c r="E851" s="274" t="s">
        <v>2642</v>
      </c>
      <c r="F851" s="274"/>
      <c r="G851" s="274"/>
      <c r="H851" s="274"/>
      <c r="I851" s="274">
        <v>0.77</v>
      </c>
      <c r="J851" s="456">
        <f t="shared" si="28"/>
        <v>0.77</v>
      </c>
      <c r="K851" s="583"/>
      <c r="L851" s="268" t="s">
        <v>2625</v>
      </c>
      <c r="M851" s="268" t="s">
        <v>2631</v>
      </c>
      <c r="N851" s="278">
        <f>IFERROR(INDEX('Data Lokasi'!S:S,MATCH('Input Real Tanam&amp;Petik Nanas'!C851,'Data Lokasi'!C:C,0)),"")</f>
        <v>45117</v>
      </c>
      <c r="O851" s="278"/>
      <c r="P851" s="283">
        <f>IFERROR(INDEX('Data Lokasi'!V:V,MATCH(C851,'Data Lokasi'!C:C,0)),"")</f>
        <v>0</v>
      </c>
      <c r="Q851" s="304">
        <f t="shared" si="29"/>
        <v>0</v>
      </c>
      <c r="R851" s="308"/>
    </row>
    <row r="852" spans="2:18" ht="15" hidden="1" thickTop="1">
      <c r="B852" s="269">
        <v>46231</v>
      </c>
      <c r="C852" s="268" t="s">
        <v>110</v>
      </c>
      <c r="D852" s="274">
        <f>IFERROR(VLOOKUP(C852,'Data Lokasi'!C:D,2,0),"")</f>
        <v>9</v>
      </c>
      <c r="E852" s="274" t="s">
        <v>2642</v>
      </c>
      <c r="F852" s="274"/>
      <c r="G852" s="274"/>
      <c r="H852" s="274"/>
      <c r="I852" s="274">
        <v>0.83</v>
      </c>
      <c r="J852" s="456">
        <f t="shared" si="28"/>
        <v>0.83</v>
      </c>
      <c r="K852" s="583"/>
      <c r="L852" s="268" t="s">
        <v>2625</v>
      </c>
      <c r="M852" s="268" t="s">
        <v>2631</v>
      </c>
      <c r="N852" s="278">
        <f>IFERROR(INDEX('Data Lokasi'!S:S,MATCH('Input Real Tanam&amp;Petik Nanas'!C852,'Data Lokasi'!C:C,0)),"")</f>
        <v>44193</v>
      </c>
      <c r="O852" s="278"/>
      <c r="P852" s="283">
        <f>IFERROR(INDEX('Data Lokasi'!V:V,MATCH(C852,'Data Lokasi'!C:C,0)),"")</f>
        <v>0</v>
      </c>
      <c r="Q852" s="304">
        <f t="shared" si="29"/>
        <v>0</v>
      </c>
      <c r="R852" s="308"/>
    </row>
    <row r="853" spans="2:18" ht="15" hidden="1" thickTop="1">
      <c r="B853" s="269">
        <v>46231</v>
      </c>
      <c r="C853" s="268" t="s">
        <v>320</v>
      </c>
      <c r="D853" s="274">
        <f>IFERROR(VLOOKUP(C853,'Data Lokasi'!C:D,2,0),"")</f>
        <v>9.0299999999999994</v>
      </c>
      <c r="E853" s="274" t="s">
        <v>2642</v>
      </c>
      <c r="F853" s="274"/>
      <c r="G853" s="274"/>
      <c r="H853" s="274">
        <v>0.25</v>
      </c>
      <c r="I853" s="274"/>
      <c r="J853" s="456">
        <f t="shared" si="28"/>
        <v>0.25</v>
      </c>
      <c r="K853" s="583"/>
      <c r="L853" s="268" t="s">
        <v>719</v>
      </c>
      <c r="M853" s="268" t="s">
        <v>2634</v>
      </c>
      <c r="N853" s="278">
        <f>IFERROR(INDEX('Data Lokasi'!S:S,MATCH('Input Real Tanam&amp;Petik Nanas'!C853,'Data Lokasi'!C:C,0)),"")</f>
        <v>44216</v>
      </c>
      <c r="O853" s="278"/>
      <c r="P853" s="283">
        <f>IFERROR(INDEX('Data Lokasi'!V:V,MATCH(C853,'Data Lokasi'!C:C,0)),"")</f>
        <v>0</v>
      </c>
      <c r="Q853" s="304">
        <f t="shared" si="29"/>
        <v>0</v>
      </c>
      <c r="R853" s="308"/>
    </row>
    <row r="854" spans="2:18" ht="15" hidden="1" thickTop="1">
      <c r="B854" s="269">
        <v>46231</v>
      </c>
      <c r="C854" s="268" t="s">
        <v>684</v>
      </c>
      <c r="D854" s="274">
        <f>IFERROR(VLOOKUP(C854,'Data Lokasi'!C:D,2,0),"")</f>
        <v>8.8699999999999992</v>
      </c>
      <c r="E854" s="274" t="s">
        <v>2642</v>
      </c>
      <c r="F854" s="274"/>
      <c r="G854" s="274"/>
      <c r="H854" s="274"/>
      <c r="I854" s="274">
        <v>1.58</v>
      </c>
      <c r="J854" s="456">
        <f t="shared" si="28"/>
        <v>1.58</v>
      </c>
      <c r="K854" s="583"/>
      <c r="L854" s="268" t="s">
        <v>2625</v>
      </c>
      <c r="M854" s="268" t="s">
        <v>2634</v>
      </c>
      <c r="N854" s="278">
        <f>IFERROR(INDEX('Data Lokasi'!S:S,MATCH('Input Real Tanam&amp;Petik Nanas'!C854,'Data Lokasi'!C:C,0)),"")</f>
        <v>45090</v>
      </c>
      <c r="O854" s="278"/>
      <c r="P854" s="283">
        <f>IFERROR(INDEX('Data Lokasi'!V:V,MATCH(C854,'Data Lokasi'!C:C,0)),"")</f>
        <v>0</v>
      </c>
      <c r="Q854" s="304">
        <f t="shared" si="29"/>
        <v>0</v>
      </c>
      <c r="R854" s="308"/>
    </row>
    <row r="855" spans="2:18" ht="15" hidden="1" thickTop="1">
      <c r="B855" s="269">
        <v>46231</v>
      </c>
      <c r="C855" s="268" t="s">
        <v>196</v>
      </c>
      <c r="D855" s="274">
        <f>IFERROR(VLOOKUP(C855,'Data Lokasi'!C:D,2,0),"")</f>
        <v>11.7</v>
      </c>
      <c r="E855" s="274" t="s">
        <v>2642</v>
      </c>
      <c r="F855" s="274"/>
      <c r="G855" s="274"/>
      <c r="H855" s="274"/>
      <c r="I855" s="274">
        <v>0.84</v>
      </c>
      <c r="J855" s="456">
        <f t="shared" si="28"/>
        <v>0.84</v>
      </c>
      <c r="K855" s="583"/>
      <c r="L855" s="268" t="s">
        <v>2625</v>
      </c>
      <c r="M855" s="268" t="s">
        <v>2634</v>
      </c>
      <c r="N855" s="278">
        <f>IFERROR(INDEX('Data Lokasi'!S:S,MATCH('Input Real Tanam&amp;Petik Nanas'!C855,'Data Lokasi'!C:C,0)),"")</f>
        <v>43948</v>
      </c>
      <c r="O855" s="278"/>
      <c r="P855" s="283">
        <f>IFERROR(INDEX('Data Lokasi'!V:V,MATCH(C855,'Data Lokasi'!C:C,0)),"")</f>
        <v>0</v>
      </c>
      <c r="Q855" s="304">
        <f t="shared" si="29"/>
        <v>0</v>
      </c>
      <c r="R855" s="308"/>
    </row>
    <row r="856" spans="2:18" ht="15" hidden="1" thickTop="1">
      <c r="B856" s="269">
        <v>46231</v>
      </c>
      <c r="C856" s="268" t="s">
        <v>659</v>
      </c>
      <c r="D856" s="274">
        <f>IFERROR(VLOOKUP(C856,'Data Lokasi'!C:D,2,0),"")</f>
        <v>5.7</v>
      </c>
      <c r="E856" s="274" t="s">
        <v>2642</v>
      </c>
      <c r="F856" s="274"/>
      <c r="G856" s="274"/>
      <c r="H856" s="274"/>
      <c r="I856" s="274">
        <v>0.14000000000000001</v>
      </c>
      <c r="J856" s="456">
        <f t="shared" si="28"/>
        <v>0.14000000000000001</v>
      </c>
      <c r="K856" s="583"/>
      <c r="L856" s="268" t="s">
        <v>2625</v>
      </c>
      <c r="M856" s="268" t="s">
        <v>2634</v>
      </c>
      <c r="N856" s="278">
        <f>IFERROR(INDEX('Data Lokasi'!S:S,MATCH('Input Real Tanam&amp;Petik Nanas'!C856,'Data Lokasi'!C:C,0)),"")</f>
        <v>45010</v>
      </c>
      <c r="O856" s="278"/>
      <c r="P856" s="283">
        <f>IFERROR(INDEX('Data Lokasi'!V:V,MATCH(C856,'Data Lokasi'!C:C,0)),"")</f>
        <v>0</v>
      </c>
      <c r="Q856" s="304">
        <f t="shared" si="29"/>
        <v>0</v>
      </c>
      <c r="R856" s="308"/>
    </row>
    <row r="857" spans="2:18" ht="15" hidden="1" thickTop="1">
      <c r="B857" s="269">
        <v>46231</v>
      </c>
      <c r="C857" s="268" t="s">
        <v>234</v>
      </c>
      <c r="D857" s="274">
        <f>IFERROR(VLOOKUP(C857,'Data Lokasi'!C:D,2,0),"")</f>
        <v>5.85</v>
      </c>
      <c r="E857" s="274" t="s">
        <v>2642</v>
      </c>
      <c r="F857" s="274"/>
      <c r="G857" s="274"/>
      <c r="H857" s="274"/>
      <c r="I857" s="274">
        <v>0.05</v>
      </c>
      <c r="J857" s="456">
        <f t="shared" si="28"/>
        <v>0.05</v>
      </c>
      <c r="K857" s="583"/>
      <c r="L857" s="268" t="s">
        <v>2625</v>
      </c>
      <c r="M857" s="268" t="s">
        <v>2634</v>
      </c>
      <c r="N857" s="278">
        <f>IFERROR(INDEX('Data Lokasi'!S:S,MATCH('Input Real Tanam&amp;Petik Nanas'!C857,'Data Lokasi'!C:C,0)),"")</f>
        <v>44038</v>
      </c>
      <c r="O857" s="278"/>
      <c r="P857" s="283">
        <f>IFERROR(INDEX('Data Lokasi'!V:V,MATCH(C857,'Data Lokasi'!C:C,0)),"")</f>
        <v>0</v>
      </c>
      <c r="Q857" s="304">
        <f t="shared" si="29"/>
        <v>0</v>
      </c>
      <c r="R857" s="308"/>
    </row>
    <row r="858" spans="2:18" ht="15" hidden="1" thickTop="1">
      <c r="B858" s="269">
        <v>46231</v>
      </c>
      <c r="C858" s="268" t="s">
        <v>294</v>
      </c>
      <c r="D858" s="274">
        <f>IFERROR(VLOOKUP(C858,'Data Lokasi'!C:D,2,0),"")</f>
        <v>6.93</v>
      </c>
      <c r="E858" s="274" t="s">
        <v>2642</v>
      </c>
      <c r="F858" s="274"/>
      <c r="G858" s="274"/>
      <c r="H858" s="274">
        <v>0.43</v>
      </c>
      <c r="I858" s="274"/>
      <c r="J858" s="456">
        <f t="shared" si="28"/>
        <v>0.43</v>
      </c>
      <c r="K858" s="583"/>
      <c r="L858" s="268" t="s">
        <v>719</v>
      </c>
      <c r="M858" s="268" t="s">
        <v>2634</v>
      </c>
      <c r="N858" s="278">
        <f>IFERROR(INDEX('Data Lokasi'!S:S,MATCH('Input Real Tanam&amp;Petik Nanas'!C858,'Data Lokasi'!C:C,0)),"")</f>
        <v>44139</v>
      </c>
      <c r="O858" s="278"/>
      <c r="P858" s="283">
        <f>IFERROR(INDEX('Data Lokasi'!V:V,MATCH(C858,'Data Lokasi'!C:C,0)),"")</f>
        <v>0</v>
      </c>
      <c r="Q858" s="304">
        <f t="shared" si="29"/>
        <v>0</v>
      </c>
      <c r="R858" s="308"/>
    </row>
    <row r="859" spans="2:18" ht="15" hidden="1" thickTop="1">
      <c r="B859" s="269">
        <v>46231</v>
      </c>
      <c r="C859" s="268" t="s">
        <v>425</v>
      </c>
      <c r="D859" s="274">
        <f>IFERROR(VLOOKUP(C859,'Data Lokasi'!C:D,2,0),"")</f>
        <v>8.85</v>
      </c>
      <c r="E859" s="274" t="s">
        <v>2643</v>
      </c>
      <c r="F859" s="274"/>
      <c r="G859" s="274">
        <v>2E-3</v>
      </c>
      <c r="H859" s="274">
        <f>0.02+0.03</f>
        <v>0.05</v>
      </c>
      <c r="I859" s="274"/>
      <c r="J859" s="456">
        <f t="shared" si="28"/>
        <v>5.2000000000000005E-2</v>
      </c>
      <c r="K859" s="583"/>
      <c r="L859" s="268" t="s">
        <v>719</v>
      </c>
      <c r="M859" s="268" t="s">
        <v>2631</v>
      </c>
      <c r="N859" s="278">
        <f>IFERROR(INDEX('Data Lokasi'!S:S,MATCH('Input Real Tanam&amp;Petik Nanas'!C859,'Data Lokasi'!C:C,0)),"")</f>
        <v>44389</v>
      </c>
      <c r="O859" s="278"/>
      <c r="P859" s="283">
        <f>IFERROR(INDEX('Data Lokasi'!V:V,MATCH(C859,'Data Lokasi'!C:C,0)),"")</f>
        <v>0</v>
      </c>
      <c r="Q859" s="304">
        <f t="shared" si="29"/>
        <v>0</v>
      </c>
      <c r="R859" s="308">
        <v>4</v>
      </c>
    </row>
    <row r="860" spans="2:18" ht="15" hidden="1" thickTop="1">
      <c r="B860" s="269">
        <v>46231</v>
      </c>
      <c r="C860" s="268" t="s">
        <v>441</v>
      </c>
      <c r="D860" s="274">
        <f>IFERROR(VLOOKUP(C860,'Data Lokasi'!C:D,2,0),"")</f>
        <v>11.2</v>
      </c>
      <c r="E860" s="274" t="s">
        <v>2643</v>
      </c>
      <c r="F860" s="274">
        <v>0.04</v>
      </c>
      <c r="G860" s="274">
        <v>0.03</v>
      </c>
      <c r="H860" s="274">
        <v>0.04</v>
      </c>
      <c r="I860" s="274"/>
      <c r="J860" s="456">
        <f t="shared" si="28"/>
        <v>0.11000000000000001</v>
      </c>
      <c r="K860" s="583"/>
      <c r="L860" s="268" t="s">
        <v>719</v>
      </c>
      <c r="M860" s="268" t="s">
        <v>2631</v>
      </c>
      <c r="N860" s="278">
        <f>IFERROR(INDEX('Data Lokasi'!S:S,MATCH('Input Real Tanam&amp;Petik Nanas'!C860,'Data Lokasi'!C:C,0)),"")</f>
        <v>44429</v>
      </c>
      <c r="O860" s="278"/>
      <c r="P860" s="283">
        <f>IFERROR(INDEX('Data Lokasi'!V:V,MATCH(C860,'Data Lokasi'!C:C,0)),"")</f>
        <v>0</v>
      </c>
      <c r="Q860" s="304">
        <f t="shared" si="29"/>
        <v>0</v>
      </c>
      <c r="R860" s="308">
        <v>3</v>
      </c>
    </row>
    <row r="861" spans="2:18" ht="15" hidden="1" thickTop="1">
      <c r="B861" s="269">
        <v>46231</v>
      </c>
      <c r="C861" s="268" t="s">
        <v>554</v>
      </c>
      <c r="D861" s="274">
        <f>IFERROR(VLOOKUP(C861,'Data Lokasi'!C:D,2,0),"")</f>
        <v>5.62</v>
      </c>
      <c r="E861" s="274" t="s">
        <v>2643</v>
      </c>
      <c r="F861" s="274"/>
      <c r="G861" s="274">
        <v>0.02</v>
      </c>
      <c r="H861" s="274">
        <f>0.16+0.35</f>
        <v>0.51</v>
      </c>
      <c r="I861" s="274"/>
      <c r="J861" s="456">
        <f t="shared" si="28"/>
        <v>0.53</v>
      </c>
      <c r="K861" s="583"/>
      <c r="L861" s="268" t="s">
        <v>719</v>
      </c>
      <c r="M861" s="268" t="s">
        <v>2634</v>
      </c>
      <c r="N861" s="278">
        <f>IFERROR(INDEX('Data Lokasi'!S:S,MATCH('Input Real Tanam&amp;Petik Nanas'!C861,'Data Lokasi'!C:C,0)),"")</f>
        <v>44655</v>
      </c>
      <c r="O861" s="278"/>
      <c r="P861" s="283">
        <f>IFERROR(INDEX('Data Lokasi'!V:V,MATCH(C861,'Data Lokasi'!C:C,0)),"")</f>
        <v>0</v>
      </c>
      <c r="Q861" s="304">
        <f t="shared" si="29"/>
        <v>0</v>
      </c>
      <c r="R861" s="308">
        <v>2</v>
      </c>
    </row>
    <row r="862" spans="2:18" ht="15" hidden="1" thickTop="1">
      <c r="B862" s="269">
        <v>46231</v>
      </c>
      <c r="C862" s="268" t="s">
        <v>161</v>
      </c>
      <c r="D862" s="274">
        <f>IFERROR(VLOOKUP(C862,'Data Lokasi'!C:D,2,0),"")</f>
        <v>9.85</v>
      </c>
      <c r="E862" s="274" t="s">
        <v>2643</v>
      </c>
      <c r="F862" s="274"/>
      <c r="G862" s="274"/>
      <c r="H862" s="274"/>
      <c r="I862" s="274">
        <v>1.94</v>
      </c>
      <c r="J862" s="456">
        <f t="shared" si="28"/>
        <v>1.94</v>
      </c>
      <c r="K862" s="583"/>
      <c r="L862" s="268" t="s">
        <v>2625</v>
      </c>
      <c r="M862" s="268" t="s">
        <v>2634</v>
      </c>
      <c r="N862" s="278">
        <f>IFERROR(INDEX('Data Lokasi'!S:S,MATCH('Input Real Tanam&amp;Petik Nanas'!C862,'Data Lokasi'!C:C,0)),"")</f>
        <v>45297</v>
      </c>
      <c r="O862" s="278"/>
      <c r="P862" s="283">
        <f>IFERROR(INDEX('Data Lokasi'!V:V,MATCH(C862,'Data Lokasi'!C:C,0)),"")</f>
        <v>0</v>
      </c>
      <c r="Q862" s="304">
        <f t="shared" si="29"/>
        <v>0</v>
      </c>
      <c r="R862" s="308"/>
    </row>
    <row r="863" spans="2:18" ht="15" hidden="1" thickTop="1">
      <c r="B863" s="269">
        <v>46231</v>
      </c>
      <c r="C863" s="268" t="s">
        <v>556</v>
      </c>
      <c r="D863" s="274">
        <f>IFERROR(VLOOKUP(C863,'Data Lokasi'!C:D,2,0),"")</f>
        <v>8.42</v>
      </c>
      <c r="E863" s="274" t="s">
        <v>2643</v>
      </c>
      <c r="F863" s="274"/>
      <c r="G863" s="274"/>
      <c r="H863" s="274"/>
      <c r="I863" s="274">
        <v>0.43</v>
      </c>
      <c r="J863" s="456">
        <f t="shared" si="28"/>
        <v>0.43</v>
      </c>
      <c r="K863" s="583"/>
      <c r="L863" s="268" t="s">
        <v>2625</v>
      </c>
      <c r="M863" s="268" t="s">
        <v>2634</v>
      </c>
      <c r="N863" s="278">
        <f>IFERROR(INDEX('Data Lokasi'!S:S,MATCH('Input Real Tanam&amp;Petik Nanas'!C863,'Data Lokasi'!C:C,0)),"")</f>
        <v>44659</v>
      </c>
      <c r="O863" s="278"/>
      <c r="P863" s="283">
        <f>IFERROR(INDEX('Data Lokasi'!V:V,MATCH(C863,'Data Lokasi'!C:C,0)),"")</f>
        <v>0</v>
      </c>
      <c r="Q863" s="304">
        <f t="shared" si="29"/>
        <v>0</v>
      </c>
      <c r="R863" s="308"/>
    </row>
    <row r="864" spans="2:18" ht="15" hidden="1" thickTop="1">
      <c r="B864" s="269">
        <v>46231</v>
      </c>
      <c r="C864" s="268" t="s">
        <v>360</v>
      </c>
      <c r="D864" s="274">
        <f>IFERROR(VLOOKUP(C864,'Data Lokasi'!C:D,2,0),"")</f>
        <v>10.66</v>
      </c>
      <c r="E864" s="274" t="s">
        <v>2643</v>
      </c>
      <c r="F864" s="274"/>
      <c r="G864" s="274">
        <v>0.01</v>
      </c>
      <c r="H864" s="274">
        <f>0.06+0.23</f>
        <v>0.29000000000000004</v>
      </c>
      <c r="I864" s="274"/>
      <c r="J864" s="456">
        <f t="shared" si="28"/>
        <v>0.30000000000000004</v>
      </c>
      <c r="K864" s="583"/>
      <c r="L864" s="268" t="s">
        <v>719</v>
      </c>
      <c r="M864" s="268" t="s">
        <v>2631</v>
      </c>
      <c r="N864" s="278">
        <f>IFERROR(INDEX('Data Lokasi'!S:S,MATCH('Input Real Tanam&amp;Petik Nanas'!C864,'Data Lokasi'!C:C,0)),"")</f>
        <v>44300</v>
      </c>
      <c r="O864" s="278"/>
      <c r="P864" s="283">
        <f>IFERROR(INDEX('Data Lokasi'!V:V,MATCH(C864,'Data Lokasi'!C:C,0)),"")</f>
        <v>0</v>
      </c>
      <c r="Q864" s="304">
        <f t="shared" si="29"/>
        <v>0</v>
      </c>
      <c r="R864" s="308">
        <v>4</v>
      </c>
    </row>
    <row r="865" spans="2:18" ht="15" hidden="1" thickTop="1">
      <c r="B865" s="269">
        <v>46231</v>
      </c>
      <c r="C865" s="268" t="s">
        <v>522</v>
      </c>
      <c r="D865" s="274">
        <f>IFERROR(VLOOKUP(C865,'Data Lokasi'!C:D,2,0),"")</f>
        <v>9.02</v>
      </c>
      <c r="E865" s="274" t="s">
        <v>2643</v>
      </c>
      <c r="F865" s="274"/>
      <c r="G865" s="274"/>
      <c r="H865" s="274"/>
      <c r="I865" s="274">
        <v>0.2</v>
      </c>
      <c r="J865" s="456">
        <f t="shared" si="28"/>
        <v>0.2</v>
      </c>
      <c r="K865" s="583"/>
      <c r="L865" s="268" t="s">
        <v>2625</v>
      </c>
      <c r="M865" s="268" t="s">
        <v>2631</v>
      </c>
      <c r="N865" s="278">
        <f>IFERROR(INDEX('Data Lokasi'!S:S,MATCH('Input Real Tanam&amp;Petik Nanas'!C865,'Data Lokasi'!C:C,0)),"")</f>
        <v>44615</v>
      </c>
      <c r="O865" s="278"/>
      <c r="P865" s="283">
        <f>IFERROR(INDEX('Data Lokasi'!V:V,MATCH(C865,'Data Lokasi'!C:C,0)),"")</f>
        <v>0</v>
      </c>
      <c r="Q865" s="304">
        <f t="shared" si="29"/>
        <v>0</v>
      </c>
      <c r="R865" s="308"/>
    </row>
    <row r="866" spans="2:18" ht="15" hidden="1" thickTop="1">
      <c r="B866" s="269">
        <v>46231</v>
      </c>
      <c r="C866" s="268" t="s">
        <v>555</v>
      </c>
      <c r="D866" s="274">
        <f>IFERROR(VLOOKUP(C866,'Data Lokasi'!C:D,2,0),"")</f>
        <v>4.18</v>
      </c>
      <c r="E866" s="274" t="s">
        <v>2643</v>
      </c>
      <c r="F866" s="274"/>
      <c r="G866" s="274"/>
      <c r="H866" s="274"/>
      <c r="I866" s="274">
        <v>0.48</v>
      </c>
      <c r="J866" s="456">
        <f t="shared" si="28"/>
        <v>0.48</v>
      </c>
      <c r="K866" s="583"/>
      <c r="L866" s="268" t="s">
        <v>2625</v>
      </c>
      <c r="M866" s="268" t="s">
        <v>2634</v>
      </c>
      <c r="N866" s="278">
        <f>IFERROR(INDEX('Data Lokasi'!S:S,MATCH('Input Real Tanam&amp;Petik Nanas'!C866,'Data Lokasi'!C:C,0)),"")</f>
        <v>44699</v>
      </c>
      <c r="O866" s="278"/>
      <c r="P866" s="283">
        <f>IFERROR(INDEX('Data Lokasi'!V:V,MATCH(C866,'Data Lokasi'!C:C,0)),"")</f>
        <v>0</v>
      </c>
      <c r="Q866" s="304">
        <f t="shared" si="29"/>
        <v>0</v>
      </c>
      <c r="R866" s="308"/>
    </row>
    <row r="867" spans="2:18" ht="15" hidden="1" thickTop="1">
      <c r="B867" s="269">
        <v>46231</v>
      </c>
      <c r="C867" s="268" t="s">
        <v>707</v>
      </c>
      <c r="D867" s="274">
        <f>IFERROR(VLOOKUP(C867,'Data Lokasi'!C:D,2,0),"")</f>
        <v>10.62</v>
      </c>
      <c r="E867" s="274" t="s">
        <v>2643</v>
      </c>
      <c r="F867" s="274"/>
      <c r="G867" s="274"/>
      <c r="H867" s="274"/>
      <c r="I867" s="274">
        <v>2.95</v>
      </c>
      <c r="J867" s="456">
        <f t="shared" si="28"/>
        <v>2.95</v>
      </c>
      <c r="K867" s="583"/>
      <c r="L867" s="268" t="s">
        <v>2625</v>
      </c>
      <c r="M867" s="268" t="s">
        <v>2631</v>
      </c>
      <c r="N867" s="278">
        <f>IFERROR(INDEX('Data Lokasi'!S:S,MATCH('Input Real Tanam&amp;Petik Nanas'!C867,'Data Lokasi'!C:C,0)),"")</f>
        <v>0</v>
      </c>
      <c r="O867" s="278"/>
      <c r="P867" s="283">
        <f>IFERROR(INDEX('Data Lokasi'!V:V,MATCH(C867,'Data Lokasi'!C:C,0)),"")</f>
        <v>0</v>
      </c>
      <c r="Q867" s="304">
        <f t="shared" si="29"/>
        <v>0</v>
      </c>
      <c r="R867" s="308"/>
    </row>
    <row r="868" spans="2:18" ht="15" hidden="1" thickTop="1">
      <c r="B868" s="269">
        <v>46232</v>
      </c>
      <c r="C868" s="268" t="s">
        <v>294</v>
      </c>
      <c r="D868" s="274">
        <f>IFERROR(VLOOKUP(C868,'Data Lokasi'!C:D,2,0),"")</f>
        <v>6.93</v>
      </c>
      <c r="E868" s="274" t="s">
        <v>2642</v>
      </c>
      <c r="F868" s="274"/>
      <c r="G868" s="274"/>
      <c r="H868" s="274">
        <v>0.66</v>
      </c>
      <c r="I868" s="274"/>
      <c r="J868" s="456">
        <f t="shared" si="28"/>
        <v>0.66</v>
      </c>
      <c r="K868" s="583"/>
      <c r="L868" s="268" t="s">
        <v>719</v>
      </c>
      <c r="M868" s="268" t="s">
        <v>2634</v>
      </c>
      <c r="N868" s="278">
        <f>IFERROR(INDEX('Data Lokasi'!S:S,MATCH('Input Real Tanam&amp;Petik Nanas'!C868,'Data Lokasi'!C:C,0)),"")</f>
        <v>44139</v>
      </c>
      <c r="O868" s="278"/>
      <c r="P868" s="283">
        <f>IFERROR(INDEX('Data Lokasi'!V:V,MATCH(C868,'Data Lokasi'!C:C,0)),"")</f>
        <v>0</v>
      </c>
      <c r="Q868" s="304">
        <f t="shared" si="29"/>
        <v>0</v>
      </c>
      <c r="R868" s="308"/>
    </row>
    <row r="869" spans="2:18" ht="15" hidden="1" thickTop="1">
      <c r="B869" s="269">
        <v>46232</v>
      </c>
      <c r="C869" s="268" t="s">
        <v>684</v>
      </c>
      <c r="D869" s="274">
        <f>IFERROR(VLOOKUP(C869,'Data Lokasi'!C:D,2,0),"")</f>
        <v>8.8699999999999992</v>
      </c>
      <c r="E869" s="274" t="s">
        <v>2642</v>
      </c>
      <c r="F869" s="274"/>
      <c r="G869" s="274"/>
      <c r="H869" s="274"/>
      <c r="I869" s="274">
        <v>1.97</v>
      </c>
      <c r="J869" s="456">
        <f t="shared" si="28"/>
        <v>1.97</v>
      </c>
      <c r="K869" s="583"/>
      <c r="L869" s="268" t="s">
        <v>2625</v>
      </c>
      <c r="M869" s="268" t="s">
        <v>2634</v>
      </c>
      <c r="N869" s="278">
        <f>IFERROR(INDEX('Data Lokasi'!S:S,MATCH('Input Real Tanam&amp;Petik Nanas'!C869,'Data Lokasi'!C:C,0)),"")</f>
        <v>45090</v>
      </c>
      <c r="O869" s="278"/>
      <c r="P869" s="283">
        <f>IFERROR(INDEX('Data Lokasi'!V:V,MATCH(C869,'Data Lokasi'!C:C,0)),"")</f>
        <v>0</v>
      </c>
      <c r="Q869" s="304">
        <f t="shared" si="29"/>
        <v>0</v>
      </c>
      <c r="R869" s="308"/>
    </row>
    <row r="870" spans="2:18" ht="15" hidden="1" thickTop="1">
      <c r="B870" s="269">
        <v>46232</v>
      </c>
      <c r="C870" s="268" t="s">
        <v>659</v>
      </c>
      <c r="D870" s="274">
        <f>IFERROR(VLOOKUP(C870,'Data Lokasi'!C:D,2,0),"")</f>
        <v>5.7</v>
      </c>
      <c r="E870" s="274" t="s">
        <v>2642</v>
      </c>
      <c r="F870" s="274"/>
      <c r="G870" s="274"/>
      <c r="H870" s="274"/>
      <c r="I870" s="274">
        <v>0.11</v>
      </c>
      <c r="J870" s="456">
        <f t="shared" si="28"/>
        <v>0.11</v>
      </c>
      <c r="K870" s="583"/>
      <c r="L870" s="268" t="s">
        <v>2625</v>
      </c>
      <c r="M870" s="268" t="s">
        <v>2634</v>
      </c>
      <c r="N870" s="278">
        <f>IFERROR(INDEX('Data Lokasi'!S:S,MATCH('Input Real Tanam&amp;Petik Nanas'!C870,'Data Lokasi'!C:C,0)),"")</f>
        <v>45010</v>
      </c>
      <c r="O870" s="278"/>
      <c r="P870" s="283">
        <f>IFERROR(INDEX('Data Lokasi'!V:V,MATCH(C870,'Data Lokasi'!C:C,0)),"")</f>
        <v>0</v>
      </c>
      <c r="Q870" s="304">
        <f t="shared" si="29"/>
        <v>0</v>
      </c>
      <c r="R870" s="308"/>
    </row>
    <row r="871" spans="2:18" ht="15" hidden="1" thickTop="1">
      <c r="B871" s="269">
        <v>46232</v>
      </c>
      <c r="C871" s="268" t="s">
        <v>196</v>
      </c>
      <c r="D871" s="274">
        <f>IFERROR(VLOOKUP(C871,'Data Lokasi'!C:D,2,0),"")</f>
        <v>11.7</v>
      </c>
      <c r="E871" s="274" t="s">
        <v>2642</v>
      </c>
      <c r="F871" s="274"/>
      <c r="G871" s="274"/>
      <c r="H871" s="274"/>
      <c r="I871" s="274">
        <v>0.41</v>
      </c>
      <c r="J871" s="456">
        <f t="shared" si="28"/>
        <v>0.41</v>
      </c>
      <c r="K871" s="583"/>
      <c r="L871" s="268" t="s">
        <v>2625</v>
      </c>
      <c r="M871" s="268" t="s">
        <v>2634</v>
      </c>
      <c r="N871" s="278">
        <f>IFERROR(INDEX('Data Lokasi'!S:S,MATCH('Input Real Tanam&amp;Petik Nanas'!C871,'Data Lokasi'!C:C,0)),"")</f>
        <v>43948</v>
      </c>
      <c r="O871" s="278"/>
      <c r="P871" s="283">
        <f>IFERROR(INDEX('Data Lokasi'!V:V,MATCH(C871,'Data Lokasi'!C:C,0)),"")</f>
        <v>0</v>
      </c>
      <c r="Q871" s="304">
        <f t="shared" si="29"/>
        <v>0</v>
      </c>
      <c r="R871" s="308"/>
    </row>
    <row r="872" spans="2:18" ht="15" hidden="1" thickTop="1">
      <c r="B872" s="269">
        <v>46232</v>
      </c>
      <c r="C872" s="268" t="s">
        <v>657</v>
      </c>
      <c r="D872" s="274">
        <f>IFERROR(VLOOKUP(C872,'Data Lokasi'!C:D,2,0),"")</f>
        <v>7.73</v>
      </c>
      <c r="E872" s="274" t="s">
        <v>2642</v>
      </c>
      <c r="F872" s="274"/>
      <c r="G872" s="274"/>
      <c r="H872" s="274"/>
      <c r="I872" s="274">
        <v>0.12</v>
      </c>
      <c r="J872" s="456">
        <f t="shared" si="28"/>
        <v>0.12</v>
      </c>
      <c r="K872" s="583"/>
      <c r="L872" s="268" t="s">
        <v>719</v>
      </c>
      <c r="M872" s="268" t="s">
        <v>2634</v>
      </c>
      <c r="N872" s="278">
        <f>IFERROR(INDEX('Data Lokasi'!S:S,MATCH('Input Real Tanam&amp;Petik Nanas'!C872,'Data Lokasi'!C:C,0)),"")</f>
        <v>45003</v>
      </c>
      <c r="O872" s="278"/>
      <c r="P872" s="283">
        <f>IFERROR(INDEX('Data Lokasi'!V:V,MATCH(C872,'Data Lokasi'!C:C,0)),"")</f>
        <v>0</v>
      </c>
      <c r="Q872" s="304">
        <f t="shared" si="29"/>
        <v>0</v>
      </c>
      <c r="R872" s="308"/>
    </row>
    <row r="873" spans="2:18" ht="15" hidden="1" thickTop="1">
      <c r="B873" s="269">
        <v>46232</v>
      </c>
      <c r="C873" s="268" t="s">
        <v>182</v>
      </c>
      <c r="D873" s="274">
        <f>IFERROR(VLOOKUP(C873,'Data Lokasi'!C:D,2,0),"")</f>
        <v>8.7200000000000006</v>
      </c>
      <c r="E873" s="274" t="s">
        <v>2642</v>
      </c>
      <c r="F873" s="274"/>
      <c r="G873" s="274"/>
      <c r="H873" s="274"/>
      <c r="I873" s="274">
        <v>7.0000000000000007E-2</v>
      </c>
      <c r="J873" s="456">
        <f t="shared" si="28"/>
        <v>7.0000000000000007E-2</v>
      </c>
      <c r="K873" s="583"/>
      <c r="L873" s="268" t="s">
        <v>2625</v>
      </c>
      <c r="M873" s="268" t="s">
        <v>2631</v>
      </c>
      <c r="N873" s="278">
        <f>IFERROR(INDEX('Data Lokasi'!S:S,MATCH('Input Real Tanam&amp;Petik Nanas'!C873,'Data Lokasi'!C:C,0)),"")</f>
        <v>43935</v>
      </c>
      <c r="O873" s="278"/>
      <c r="P873" s="283">
        <f>IFERROR(INDEX('Data Lokasi'!V:V,MATCH(C873,'Data Lokasi'!C:C,0)),"")</f>
        <v>0</v>
      </c>
      <c r="Q873" s="304">
        <f t="shared" si="29"/>
        <v>0</v>
      </c>
      <c r="R873" s="308"/>
    </row>
    <row r="874" spans="2:18" ht="15" hidden="1" thickTop="1">
      <c r="B874" s="269">
        <v>46232</v>
      </c>
      <c r="C874" s="268" t="s">
        <v>705</v>
      </c>
      <c r="D874" s="274">
        <f>IFERROR(VLOOKUP(C874,'Data Lokasi'!C:D,2,0),"")</f>
        <v>7.67</v>
      </c>
      <c r="E874" s="274" t="s">
        <v>2642</v>
      </c>
      <c r="F874" s="274"/>
      <c r="G874" s="274"/>
      <c r="H874" s="274">
        <v>0.71</v>
      </c>
      <c r="I874" s="274"/>
      <c r="J874" s="456">
        <f t="shared" si="28"/>
        <v>0.71</v>
      </c>
      <c r="K874" s="583"/>
      <c r="L874" s="268" t="s">
        <v>719</v>
      </c>
      <c r="M874" s="268" t="s">
        <v>2631</v>
      </c>
      <c r="N874" s="278">
        <f>IFERROR(INDEX('Data Lokasi'!S:S,MATCH('Input Real Tanam&amp;Petik Nanas'!C874,'Data Lokasi'!C:C,0)),"")</f>
        <v>45202</v>
      </c>
      <c r="O874" s="278"/>
      <c r="P874" s="283">
        <f>IFERROR(INDEX('Data Lokasi'!V:V,MATCH(C874,'Data Lokasi'!C:C,0)),"")</f>
        <v>0</v>
      </c>
      <c r="Q874" s="304">
        <f t="shared" si="29"/>
        <v>0</v>
      </c>
      <c r="R874" s="308"/>
    </row>
    <row r="875" spans="2:18" ht="15" hidden="1" thickTop="1">
      <c r="B875" s="269">
        <v>46232</v>
      </c>
      <c r="C875" s="268" t="s">
        <v>232</v>
      </c>
      <c r="D875" s="274">
        <f>IFERROR(VLOOKUP(C875,'Data Lokasi'!C:D,2,0),"")</f>
        <v>8.7799999999999994</v>
      </c>
      <c r="E875" s="274" t="s">
        <v>2642</v>
      </c>
      <c r="F875" s="274"/>
      <c r="G875" s="274"/>
      <c r="H875" s="274"/>
      <c r="I875" s="274">
        <v>0.06</v>
      </c>
      <c r="J875" s="456">
        <f t="shared" si="28"/>
        <v>0.06</v>
      </c>
      <c r="K875" s="583"/>
      <c r="L875" s="268" t="s">
        <v>2625</v>
      </c>
      <c r="M875" s="268" t="s">
        <v>2631</v>
      </c>
      <c r="N875" s="278">
        <f>IFERROR(INDEX('Data Lokasi'!S:S,MATCH('Input Real Tanam&amp;Petik Nanas'!C875,'Data Lokasi'!C:C,0)),"")</f>
        <v>44022</v>
      </c>
      <c r="O875" s="278"/>
      <c r="P875" s="283">
        <f>IFERROR(INDEX('Data Lokasi'!V:V,MATCH(C875,'Data Lokasi'!C:C,0)),"")</f>
        <v>0</v>
      </c>
      <c r="Q875" s="304">
        <f t="shared" si="29"/>
        <v>0</v>
      </c>
      <c r="R875" s="308"/>
    </row>
    <row r="876" spans="2:18" ht="15" hidden="1" thickTop="1">
      <c r="B876" s="269">
        <v>46232</v>
      </c>
      <c r="C876" s="268" t="s">
        <v>701</v>
      </c>
      <c r="D876" s="274">
        <f>IFERROR(VLOOKUP(C876,'Data Lokasi'!C:D,2,0),"")</f>
        <v>6.03</v>
      </c>
      <c r="E876" s="274" t="s">
        <v>2642</v>
      </c>
      <c r="F876" s="274"/>
      <c r="G876" s="274"/>
      <c r="H876" s="274"/>
      <c r="I876" s="274">
        <v>0.57999999999999996</v>
      </c>
      <c r="J876" s="456">
        <f t="shared" si="28"/>
        <v>0.57999999999999996</v>
      </c>
      <c r="K876" s="583"/>
      <c r="L876" s="268" t="s">
        <v>2625</v>
      </c>
      <c r="M876" s="268" t="s">
        <v>2631</v>
      </c>
      <c r="N876" s="278">
        <f>IFERROR(INDEX('Data Lokasi'!S:S,MATCH('Input Real Tanam&amp;Petik Nanas'!C876,'Data Lokasi'!C:C,0)),"")</f>
        <v>45185</v>
      </c>
      <c r="O876" s="278"/>
      <c r="P876" s="283">
        <f>IFERROR(INDEX('Data Lokasi'!V:V,MATCH(C876,'Data Lokasi'!C:C,0)),"")</f>
        <v>0</v>
      </c>
      <c r="Q876" s="304">
        <f t="shared" si="29"/>
        <v>0</v>
      </c>
      <c r="R876" s="308"/>
    </row>
    <row r="877" spans="2:18" ht="15" hidden="1" thickTop="1">
      <c r="B877" s="269">
        <v>46232</v>
      </c>
      <c r="C877" s="268" t="s">
        <v>126</v>
      </c>
      <c r="D877" s="274">
        <f>IFERROR(VLOOKUP(C877,'Data Lokasi'!C:D,2,0),"")</f>
        <v>6.39</v>
      </c>
      <c r="E877" s="274" t="s">
        <v>2642</v>
      </c>
      <c r="F877" s="274"/>
      <c r="G877" s="274"/>
      <c r="H877" s="274"/>
      <c r="I877" s="274">
        <v>0.32</v>
      </c>
      <c r="J877" s="456">
        <f t="shared" si="28"/>
        <v>0.32</v>
      </c>
      <c r="K877" s="583"/>
      <c r="L877" s="268" t="s">
        <v>2625</v>
      </c>
      <c r="M877" s="268" t="s">
        <v>2631</v>
      </c>
      <c r="N877" s="278">
        <f>IFERROR(INDEX('Data Lokasi'!S:S,MATCH('Input Real Tanam&amp;Petik Nanas'!C877,'Data Lokasi'!C:C,0)),"")</f>
        <v>44207</v>
      </c>
      <c r="O877" s="278"/>
      <c r="P877" s="283">
        <f>IFERROR(INDEX('Data Lokasi'!V:V,MATCH(C877,'Data Lokasi'!C:C,0)),"")</f>
        <v>0</v>
      </c>
      <c r="Q877" s="304">
        <f t="shared" si="29"/>
        <v>0</v>
      </c>
      <c r="R877" s="308"/>
    </row>
    <row r="878" spans="2:18" ht="15" hidden="1" thickTop="1">
      <c r="B878" s="269">
        <v>46232</v>
      </c>
      <c r="C878" s="268" t="s">
        <v>695</v>
      </c>
      <c r="D878" s="274">
        <f>IFERROR(VLOOKUP(C878,'Data Lokasi'!C:D,2,0),"")</f>
        <v>5</v>
      </c>
      <c r="E878" s="274" t="s">
        <v>2642</v>
      </c>
      <c r="F878" s="274"/>
      <c r="G878" s="274"/>
      <c r="H878" s="274"/>
      <c r="I878" s="274">
        <v>0.62</v>
      </c>
      <c r="J878" s="456">
        <f t="shared" si="28"/>
        <v>0.62</v>
      </c>
      <c r="K878" s="583"/>
      <c r="L878" s="268" t="s">
        <v>2625</v>
      </c>
      <c r="M878" s="268" t="s">
        <v>2631</v>
      </c>
      <c r="N878" s="278">
        <f>IFERROR(INDEX('Data Lokasi'!S:S,MATCH('Input Real Tanam&amp;Petik Nanas'!C878,'Data Lokasi'!C:C,0)),"")</f>
        <v>45117</v>
      </c>
      <c r="O878" s="278"/>
      <c r="P878" s="283">
        <f>IFERROR(INDEX('Data Lokasi'!V:V,MATCH(C878,'Data Lokasi'!C:C,0)),"")</f>
        <v>0</v>
      </c>
      <c r="Q878" s="304">
        <f t="shared" si="29"/>
        <v>0</v>
      </c>
      <c r="R878" s="308"/>
    </row>
    <row r="879" spans="2:18" ht="15" hidden="1" thickTop="1">
      <c r="B879" s="269">
        <v>46232</v>
      </c>
      <c r="C879" s="268" t="s">
        <v>110</v>
      </c>
      <c r="D879" s="274">
        <f>IFERROR(VLOOKUP(C879,'Data Lokasi'!C:D,2,0),"")</f>
        <v>9</v>
      </c>
      <c r="E879" s="274" t="s">
        <v>2642</v>
      </c>
      <c r="F879" s="274"/>
      <c r="G879" s="274"/>
      <c r="H879" s="274"/>
      <c r="I879" s="274">
        <v>0.92</v>
      </c>
      <c r="J879" s="456">
        <f t="shared" si="28"/>
        <v>0.92</v>
      </c>
      <c r="K879" s="583"/>
      <c r="L879" s="268" t="s">
        <v>2625</v>
      </c>
      <c r="M879" s="268" t="s">
        <v>2631</v>
      </c>
      <c r="N879" s="278">
        <f>IFERROR(INDEX('Data Lokasi'!S:S,MATCH('Input Real Tanam&amp;Petik Nanas'!C879,'Data Lokasi'!C:C,0)),"")</f>
        <v>44193</v>
      </c>
      <c r="O879" s="278"/>
      <c r="P879" s="283">
        <f>IFERROR(INDEX('Data Lokasi'!V:V,MATCH(C879,'Data Lokasi'!C:C,0)),"")</f>
        <v>0</v>
      </c>
      <c r="Q879" s="304">
        <f t="shared" si="29"/>
        <v>0</v>
      </c>
      <c r="R879" s="308"/>
    </row>
    <row r="880" spans="2:18" ht="15" hidden="1" thickTop="1">
      <c r="B880" s="269">
        <v>46232</v>
      </c>
      <c r="C880" s="268" t="s">
        <v>114</v>
      </c>
      <c r="D880" s="274">
        <f>IFERROR(VLOOKUP(C880,'Data Lokasi'!C:D,2,0),"")</f>
        <v>5.88</v>
      </c>
      <c r="E880" s="274" t="s">
        <v>2643</v>
      </c>
      <c r="F880" s="274"/>
      <c r="G880" s="274"/>
      <c r="H880" s="274"/>
      <c r="I880" s="274">
        <v>0.99</v>
      </c>
      <c r="J880" s="456">
        <f t="shared" si="28"/>
        <v>0.99</v>
      </c>
      <c r="K880" s="583"/>
      <c r="L880" s="268" t="s">
        <v>2625</v>
      </c>
      <c r="M880" s="268" t="s">
        <v>2631</v>
      </c>
      <c r="N880" s="278">
        <f>IFERROR(INDEX('Data Lokasi'!S:S,MATCH('Input Real Tanam&amp;Petik Nanas'!C880,'Data Lokasi'!C:C,0)),"")</f>
        <v>45259</v>
      </c>
      <c r="O880" s="278"/>
      <c r="P880" s="283">
        <f>IFERROR(INDEX('Data Lokasi'!V:V,MATCH(C880,'Data Lokasi'!C:C,0)),"")</f>
        <v>0</v>
      </c>
      <c r="Q880" s="304">
        <f t="shared" si="29"/>
        <v>0</v>
      </c>
      <c r="R880" s="308"/>
    </row>
    <row r="881" spans="2:18" ht="15" hidden="1" thickTop="1">
      <c r="B881" s="269">
        <v>46232</v>
      </c>
      <c r="C881" s="268" t="s">
        <v>519</v>
      </c>
      <c r="D881" s="274">
        <f>IFERROR(VLOOKUP(C881,'Data Lokasi'!C:D,2,0),"")</f>
        <v>6.48</v>
      </c>
      <c r="E881" s="274" t="s">
        <v>2643</v>
      </c>
      <c r="F881" s="274"/>
      <c r="G881" s="274"/>
      <c r="H881" s="274"/>
      <c r="I881" s="274">
        <v>1.23</v>
      </c>
      <c r="J881" s="456">
        <f t="shared" si="28"/>
        <v>1.23</v>
      </c>
      <c r="K881" s="583"/>
      <c r="L881" s="268" t="s">
        <v>2625</v>
      </c>
      <c r="M881" s="268" t="s">
        <v>2631</v>
      </c>
      <c r="N881" s="278">
        <f>IFERROR(INDEX('Data Lokasi'!S:S,MATCH('Input Real Tanam&amp;Petik Nanas'!C881,'Data Lokasi'!C:C,0)),"")</f>
        <v>44610</v>
      </c>
      <c r="O881" s="278"/>
      <c r="P881" s="283">
        <f>IFERROR(INDEX('Data Lokasi'!V:V,MATCH(C881,'Data Lokasi'!C:C,0)),"")</f>
        <v>0</v>
      </c>
      <c r="Q881" s="304">
        <f t="shared" si="29"/>
        <v>0</v>
      </c>
      <c r="R881" s="308"/>
    </row>
    <row r="882" spans="2:18" ht="15" hidden="1" thickTop="1">
      <c r="B882" s="269">
        <v>46232</v>
      </c>
      <c r="C882" s="268" t="s">
        <v>441</v>
      </c>
      <c r="D882" s="274">
        <f>IFERROR(VLOOKUP(C882,'Data Lokasi'!C:D,2,0),"")</f>
        <v>11.2</v>
      </c>
      <c r="E882" s="274" t="s">
        <v>2643</v>
      </c>
      <c r="F882" s="274">
        <v>0.05</v>
      </c>
      <c r="G882" s="274">
        <v>0.03</v>
      </c>
      <c r="H882" s="274">
        <v>0.02</v>
      </c>
      <c r="I882" s="274"/>
      <c r="J882" s="456">
        <f t="shared" si="28"/>
        <v>0.1</v>
      </c>
      <c r="K882" s="583"/>
      <c r="L882" s="268" t="s">
        <v>719</v>
      </c>
      <c r="M882" s="268" t="s">
        <v>2631</v>
      </c>
      <c r="N882" s="278">
        <f>IFERROR(INDEX('Data Lokasi'!S:S,MATCH('Input Real Tanam&amp;Petik Nanas'!C882,'Data Lokasi'!C:C,0)),"")</f>
        <v>44429</v>
      </c>
      <c r="O882" s="278"/>
      <c r="P882" s="283">
        <f>IFERROR(INDEX('Data Lokasi'!V:V,MATCH(C882,'Data Lokasi'!C:C,0)),"")</f>
        <v>0</v>
      </c>
      <c r="Q882" s="304">
        <f t="shared" si="29"/>
        <v>0</v>
      </c>
      <c r="R882" s="308">
        <v>3</v>
      </c>
    </row>
    <row r="883" spans="2:18" ht="15" hidden="1" thickTop="1">
      <c r="B883" s="269">
        <v>46232</v>
      </c>
      <c r="C883" s="268" t="s">
        <v>554</v>
      </c>
      <c r="D883" s="274">
        <f>IFERROR(VLOOKUP(C883,'Data Lokasi'!C:D,2,0),"")</f>
        <v>5.62</v>
      </c>
      <c r="E883" s="274" t="s">
        <v>2643</v>
      </c>
      <c r="F883" s="274"/>
      <c r="G883" s="274">
        <v>0.02</v>
      </c>
      <c r="H883" s="274">
        <f>0.07+0.17</f>
        <v>0.24000000000000002</v>
      </c>
      <c r="I883" s="274"/>
      <c r="J883" s="456">
        <f t="shared" si="28"/>
        <v>0.26</v>
      </c>
      <c r="K883" s="583"/>
      <c r="L883" s="268" t="s">
        <v>719</v>
      </c>
      <c r="M883" s="268" t="s">
        <v>2634</v>
      </c>
      <c r="N883" s="278">
        <f>IFERROR(INDEX('Data Lokasi'!S:S,MATCH('Input Real Tanam&amp;Petik Nanas'!C883,'Data Lokasi'!C:C,0)),"")</f>
        <v>44655</v>
      </c>
      <c r="O883" s="278"/>
      <c r="P883" s="283">
        <f>IFERROR(INDEX('Data Lokasi'!V:V,MATCH(C883,'Data Lokasi'!C:C,0)),"")</f>
        <v>0</v>
      </c>
      <c r="Q883" s="304">
        <f t="shared" si="29"/>
        <v>0</v>
      </c>
      <c r="R883" s="308">
        <v>2</v>
      </c>
    </row>
    <row r="884" spans="2:18" ht="15" hidden="1" thickTop="1">
      <c r="B884" s="269">
        <v>46232</v>
      </c>
      <c r="C884" s="268" t="s">
        <v>161</v>
      </c>
      <c r="D884" s="274">
        <f>IFERROR(VLOOKUP(C884,'Data Lokasi'!C:D,2,0),"")</f>
        <v>9.85</v>
      </c>
      <c r="E884" s="274" t="s">
        <v>2643</v>
      </c>
      <c r="F884" s="274"/>
      <c r="G884" s="274"/>
      <c r="H884" s="274"/>
      <c r="I884" s="274">
        <v>0.64</v>
      </c>
      <c r="J884" s="456">
        <f t="shared" si="28"/>
        <v>0.64</v>
      </c>
      <c r="K884" s="583"/>
      <c r="L884" s="268" t="s">
        <v>2625</v>
      </c>
      <c r="M884" s="268" t="s">
        <v>2634</v>
      </c>
      <c r="N884" s="278">
        <f>IFERROR(INDEX('Data Lokasi'!S:S,MATCH('Input Real Tanam&amp;Petik Nanas'!C884,'Data Lokasi'!C:C,0)),"")</f>
        <v>45297</v>
      </c>
      <c r="O884" s="278"/>
      <c r="P884" s="283">
        <f>IFERROR(INDEX('Data Lokasi'!V:V,MATCH(C884,'Data Lokasi'!C:C,0)),"")</f>
        <v>0</v>
      </c>
      <c r="Q884" s="304">
        <f t="shared" si="29"/>
        <v>0</v>
      </c>
      <c r="R884" s="308"/>
    </row>
    <row r="885" spans="2:18" ht="15" hidden="1" thickTop="1">
      <c r="B885" s="269">
        <v>46232</v>
      </c>
      <c r="C885" s="268" t="s">
        <v>556</v>
      </c>
      <c r="D885" s="274">
        <f>IFERROR(VLOOKUP(C885,'Data Lokasi'!C:D,2,0),"")</f>
        <v>8.42</v>
      </c>
      <c r="E885" s="274" t="s">
        <v>2643</v>
      </c>
      <c r="F885" s="274"/>
      <c r="G885" s="274"/>
      <c r="H885" s="274"/>
      <c r="I885" s="274">
        <v>0.08</v>
      </c>
      <c r="J885" s="456">
        <f t="shared" si="28"/>
        <v>0.08</v>
      </c>
      <c r="K885" s="583"/>
      <c r="L885" s="268" t="s">
        <v>2625</v>
      </c>
      <c r="M885" s="268" t="s">
        <v>2634</v>
      </c>
      <c r="N885" s="278">
        <f>IFERROR(INDEX('Data Lokasi'!S:S,MATCH('Input Real Tanam&amp;Petik Nanas'!C885,'Data Lokasi'!C:C,0)),"")</f>
        <v>44659</v>
      </c>
      <c r="O885" s="278"/>
      <c r="P885" s="283">
        <f>IFERROR(INDEX('Data Lokasi'!V:V,MATCH(C885,'Data Lokasi'!C:C,0)),"")</f>
        <v>0</v>
      </c>
      <c r="Q885" s="304">
        <f t="shared" si="29"/>
        <v>0</v>
      </c>
      <c r="R885" s="308"/>
    </row>
    <row r="886" spans="2:18" ht="15" hidden="1" thickTop="1">
      <c r="B886" s="269">
        <v>46232</v>
      </c>
      <c r="C886" s="268" t="s">
        <v>156</v>
      </c>
      <c r="D886" s="274">
        <f>IFERROR(VLOOKUP(C886,'Data Lokasi'!C:D,2,0),"")</f>
        <v>6.23</v>
      </c>
      <c r="E886" s="274" t="s">
        <v>2643</v>
      </c>
      <c r="F886" s="274"/>
      <c r="G886" s="274"/>
      <c r="H886" s="274"/>
      <c r="I886" s="274">
        <v>1.82</v>
      </c>
      <c r="J886" s="456">
        <f t="shared" si="28"/>
        <v>1.82</v>
      </c>
      <c r="K886" s="583"/>
      <c r="L886" s="268" t="s">
        <v>2625</v>
      </c>
      <c r="M886" s="268" t="s">
        <v>2634</v>
      </c>
      <c r="N886" s="278">
        <f>IFERROR(INDEX('Data Lokasi'!S:S,MATCH('Input Real Tanam&amp;Petik Nanas'!C886,'Data Lokasi'!C:C,0)),"")</f>
        <v>0</v>
      </c>
      <c r="O886" s="278"/>
      <c r="P886" s="283">
        <f>IFERROR(INDEX('Data Lokasi'!V:V,MATCH(C886,'Data Lokasi'!C:C,0)),"")</f>
        <v>0</v>
      </c>
      <c r="Q886" s="304">
        <f t="shared" si="29"/>
        <v>0</v>
      </c>
      <c r="R886" s="308"/>
    </row>
    <row r="887" spans="2:18" ht="15" hidden="1" thickTop="1">
      <c r="B887" s="269">
        <v>46232</v>
      </c>
      <c r="C887" s="268" t="s">
        <v>360</v>
      </c>
      <c r="D887" s="274">
        <f>IFERROR(VLOOKUP(C887,'Data Lokasi'!C:D,2,0),"")</f>
        <v>10.66</v>
      </c>
      <c r="E887" s="274" t="s">
        <v>2643</v>
      </c>
      <c r="F887" s="274"/>
      <c r="G887" s="274"/>
      <c r="H887" s="274">
        <f>0.04+0.13</f>
        <v>0.17</v>
      </c>
      <c r="I887" s="274"/>
      <c r="J887" s="456">
        <f t="shared" si="28"/>
        <v>0.17</v>
      </c>
      <c r="K887" s="583"/>
      <c r="L887" s="268" t="s">
        <v>719</v>
      </c>
      <c r="M887" s="268" t="s">
        <v>2631</v>
      </c>
      <c r="N887" s="278">
        <f>IFERROR(INDEX('Data Lokasi'!S:S,MATCH('Input Real Tanam&amp;Petik Nanas'!C887,'Data Lokasi'!C:C,0)),"")</f>
        <v>44300</v>
      </c>
      <c r="O887" s="278"/>
      <c r="P887" s="283">
        <f>IFERROR(INDEX('Data Lokasi'!V:V,MATCH(C887,'Data Lokasi'!C:C,0)),"")</f>
        <v>0</v>
      </c>
      <c r="Q887" s="304">
        <f t="shared" si="29"/>
        <v>0</v>
      </c>
      <c r="R887" s="308">
        <v>4</v>
      </c>
    </row>
    <row r="888" spans="2:18" ht="15" hidden="1" thickTop="1">
      <c r="B888" s="269">
        <v>46232</v>
      </c>
      <c r="C888" s="268" t="s">
        <v>472</v>
      </c>
      <c r="D888" s="274">
        <f>IFERROR(VLOOKUP(C888,'Data Lokasi'!C:D,2,0),"")</f>
        <v>14.38</v>
      </c>
      <c r="E888" s="274" t="s">
        <v>2643</v>
      </c>
      <c r="F888" s="274"/>
      <c r="G888" s="274">
        <f>0.03+0.04</f>
        <v>7.0000000000000007E-2</v>
      </c>
      <c r="H888" s="274">
        <f>0.08+0.27</f>
        <v>0.35000000000000003</v>
      </c>
      <c r="I888" s="274"/>
      <c r="J888" s="456">
        <f t="shared" si="28"/>
        <v>0.42000000000000004</v>
      </c>
      <c r="K888" s="583"/>
      <c r="L888" s="268" t="s">
        <v>719</v>
      </c>
      <c r="M888" s="268" t="s">
        <v>2631</v>
      </c>
      <c r="N888" s="278">
        <f>IFERROR(INDEX('Data Lokasi'!S:S,MATCH('Input Real Tanam&amp;Petik Nanas'!C888,'Data Lokasi'!C:C,0)),"")</f>
        <v>44487</v>
      </c>
      <c r="O888" s="278"/>
      <c r="P888" s="283">
        <f>IFERROR(INDEX('Data Lokasi'!V:V,MATCH(C888,'Data Lokasi'!C:C,0)),"")</f>
        <v>0</v>
      </c>
      <c r="Q888" s="304">
        <f t="shared" si="29"/>
        <v>0</v>
      </c>
      <c r="R888" s="308">
        <v>1</v>
      </c>
    </row>
    <row r="889" spans="2:18" ht="15" hidden="1" thickTop="1">
      <c r="B889" s="269">
        <v>46232</v>
      </c>
      <c r="C889" s="268" t="s">
        <v>707</v>
      </c>
      <c r="D889" s="274">
        <f>IFERROR(VLOOKUP(C889,'Data Lokasi'!C:D,2,0),"")</f>
        <v>10.62</v>
      </c>
      <c r="E889" s="274" t="s">
        <v>2643</v>
      </c>
      <c r="F889" s="274"/>
      <c r="G889" s="274"/>
      <c r="H889" s="274"/>
      <c r="I889" s="274">
        <v>0.57999999999999996</v>
      </c>
      <c r="J889" s="456">
        <f t="shared" si="28"/>
        <v>0.57999999999999996</v>
      </c>
      <c r="K889" s="583"/>
      <c r="L889" s="268" t="s">
        <v>2625</v>
      </c>
      <c r="M889" s="268" t="s">
        <v>2631</v>
      </c>
      <c r="N889" s="278">
        <f>IFERROR(INDEX('Data Lokasi'!S:S,MATCH('Input Real Tanam&amp;Petik Nanas'!C889,'Data Lokasi'!C:C,0)),"")</f>
        <v>0</v>
      </c>
      <c r="O889" s="278"/>
      <c r="P889" s="283">
        <f>IFERROR(INDEX('Data Lokasi'!V:V,MATCH(C889,'Data Lokasi'!C:C,0)),"")</f>
        <v>0</v>
      </c>
      <c r="Q889" s="304">
        <f t="shared" si="29"/>
        <v>0</v>
      </c>
      <c r="R889" s="308"/>
    </row>
    <row r="890" spans="2:18" ht="15" hidden="1" thickTop="1">
      <c r="B890" s="269">
        <v>46233</v>
      </c>
      <c r="C890" s="268" t="s">
        <v>299</v>
      </c>
      <c r="D890" s="274">
        <f>IFERROR(VLOOKUP(C890,'Data Lokasi'!C:D,2,0),"")</f>
        <v>3.62</v>
      </c>
      <c r="E890" s="274" t="s">
        <v>2642</v>
      </c>
      <c r="F890" s="274"/>
      <c r="G890" s="274"/>
      <c r="H890" s="274">
        <v>0.56999999999999995</v>
      </c>
      <c r="I890" s="274"/>
      <c r="J890" s="456">
        <f t="shared" si="28"/>
        <v>0.56999999999999995</v>
      </c>
      <c r="K890" s="583"/>
      <c r="L890" s="268" t="s">
        <v>719</v>
      </c>
      <c r="M890" s="268" t="s">
        <v>2634</v>
      </c>
      <c r="N890" s="278">
        <f>IFERROR(INDEX('Data Lokasi'!S:S,MATCH('Input Real Tanam&amp;Petik Nanas'!C890,'Data Lokasi'!C:C,0)),"")</f>
        <v>44144</v>
      </c>
      <c r="O890" s="278"/>
      <c r="P890" s="283">
        <f>IFERROR(INDEX('Data Lokasi'!V:V,MATCH(C890,'Data Lokasi'!C:C,0)),"")</f>
        <v>0</v>
      </c>
      <c r="Q890" s="304">
        <f t="shared" si="29"/>
        <v>0</v>
      </c>
      <c r="R890" s="308"/>
    </row>
    <row r="891" spans="2:18" ht="15" hidden="1" thickTop="1">
      <c r="B891" s="269">
        <v>46233</v>
      </c>
      <c r="C891" s="268" t="s">
        <v>684</v>
      </c>
      <c r="D891" s="274">
        <f>IFERROR(VLOOKUP(C891,'Data Lokasi'!C:D,2,0),"")</f>
        <v>8.8699999999999992</v>
      </c>
      <c r="E891" s="274" t="s">
        <v>2642</v>
      </c>
      <c r="F891" s="274"/>
      <c r="G891" s="274"/>
      <c r="H891" s="274"/>
      <c r="I891" s="274">
        <v>1.87</v>
      </c>
      <c r="J891" s="456">
        <f t="shared" si="28"/>
        <v>1.87</v>
      </c>
      <c r="K891" s="583"/>
      <c r="L891" s="268" t="s">
        <v>2625</v>
      </c>
      <c r="M891" s="268" t="s">
        <v>2634</v>
      </c>
      <c r="N891" s="278">
        <f>IFERROR(INDEX('Data Lokasi'!S:S,MATCH('Input Real Tanam&amp;Petik Nanas'!C891,'Data Lokasi'!C:C,0)),"")</f>
        <v>45090</v>
      </c>
      <c r="O891" s="278"/>
      <c r="P891" s="283">
        <f>IFERROR(INDEX('Data Lokasi'!V:V,MATCH(C891,'Data Lokasi'!C:C,0)),"")</f>
        <v>0</v>
      </c>
      <c r="Q891" s="304">
        <f t="shared" si="29"/>
        <v>0</v>
      </c>
      <c r="R891" s="308"/>
    </row>
    <row r="892" spans="2:18" ht="15" hidden="1" thickTop="1">
      <c r="B892" s="269">
        <v>46233</v>
      </c>
      <c r="C892" s="268" t="s">
        <v>311</v>
      </c>
      <c r="D892" s="274">
        <f>IFERROR(VLOOKUP(C892,'Data Lokasi'!C:D,2,0),"")</f>
        <v>5.15</v>
      </c>
      <c r="E892" s="274" t="s">
        <v>2642</v>
      </c>
      <c r="F892" s="274"/>
      <c r="G892" s="274"/>
      <c r="H892" s="274"/>
      <c r="I892" s="274">
        <v>0.34</v>
      </c>
      <c r="J892" s="456">
        <f t="shared" si="28"/>
        <v>0.34</v>
      </c>
      <c r="K892" s="583"/>
      <c r="L892" s="268" t="s">
        <v>2625</v>
      </c>
      <c r="M892" s="268" t="s">
        <v>2634</v>
      </c>
      <c r="N892" s="278">
        <f>IFERROR(INDEX('Data Lokasi'!S:S,MATCH('Input Real Tanam&amp;Petik Nanas'!C892,'Data Lokasi'!C:C,0)),"")</f>
        <v>44175</v>
      </c>
      <c r="O892" s="278"/>
      <c r="P892" s="283">
        <f>IFERROR(INDEX('Data Lokasi'!V:V,MATCH(C892,'Data Lokasi'!C:C,0)),"")</f>
        <v>0</v>
      </c>
      <c r="Q892" s="304">
        <f t="shared" si="29"/>
        <v>0</v>
      </c>
      <c r="R892" s="308"/>
    </row>
    <row r="893" spans="2:18" ht="15" hidden="1" thickTop="1">
      <c r="B893" s="269">
        <v>46233</v>
      </c>
      <c r="C893" s="268" t="s">
        <v>196</v>
      </c>
      <c r="D893" s="274">
        <f>IFERROR(VLOOKUP(C893,'Data Lokasi'!C:D,2,0),"")</f>
        <v>11.7</v>
      </c>
      <c r="E893" s="274" t="s">
        <v>2642</v>
      </c>
      <c r="F893" s="274"/>
      <c r="G893" s="274"/>
      <c r="H893" s="274"/>
      <c r="I893" s="274">
        <v>0.06</v>
      </c>
      <c r="J893" s="456">
        <f t="shared" si="28"/>
        <v>0.06</v>
      </c>
      <c r="K893" s="583"/>
      <c r="L893" s="268" t="s">
        <v>2625</v>
      </c>
      <c r="M893" s="268" t="s">
        <v>2634</v>
      </c>
      <c r="N893" s="278">
        <f>IFERROR(INDEX('Data Lokasi'!S:S,MATCH('Input Real Tanam&amp;Petik Nanas'!C893,'Data Lokasi'!C:C,0)),"")</f>
        <v>43948</v>
      </c>
      <c r="O893" s="278"/>
      <c r="P893" s="283">
        <f>IFERROR(INDEX('Data Lokasi'!V:V,MATCH(C893,'Data Lokasi'!C:C,0)),"")</f>
        <v>0</v>
      </c>
      <c r="Q893" s="304">
        <f t="shared" si="29"/>
        <v>0</v>
      </c>
      <c r="R893" s="308"/>
    </row>
    <row r="894" spans="2:18" ht="15" hidden="1" thickTop="1">
      <c r="B894" s="269">
        <v>46233</v>
      </c>
      <c r="C894" s="268" t="s">
        <v>657</v>
      </c>
      <c r="D894" s="274">
        <f>IFERROR(VLOOKUP(C894,'Data Lokasi'!C:D,2,0),"")</f>
        <v>7.73</v>
      </c>
      <c r="E894" s="274" t="s">
        <v>2642</v>
      </c>
      <c r="F894" s="274"/>
      <c r="G894" s="274"/>
      <c r="H894" s="274"/>
      <c r="I894" s="274">
        <v>0.19</v>
      </c>
      <c r="J894" s="456">
        <f t="shared" si="28"/>
        <v>0.19</v>
      </c>
      <c r="K894" s="583"/>
      <c r="L894" s="268" t="s">
        <v>2625</v>
      </c>
      <c r="M894" s="268" t="s">
        <v>2634</v>
      </c>
      <c r="N894" s="278">
        <f>IFERROR(INDEX('Data Lokasi'!S:S,MATCH('Input Real Tanam&amp;Petik Nanas'!C894,'Data Lokasi'!C:C,0)),"")</f>
        <v>45003</v>
      </c>
      <c r="O894" s="278"/>
      <c r="P894" s="283">
        <f>IFERROR(INDEX('Data Lokasi'!V:V,MATCH(C894,'Data Lokasi'!C:C,0)),"")</f>
        <v>0</v>
      </c>
      <c r="Q894" s="304">
        <f t="shared" si="29"/>
        <v>0</v>
      </c>
      <c r="R894" s="308"/>
    </row>
    <row r="895" spans="2:18" ht="15" hidden="1" thickTop="1">
      <c r="B895" s="269">
        <v>46233</v>
      </c>
      <c r="C895" s="268" t="s">
        <v>680</v>
      </c>
      <c r="D895" s="274">
        <f>IFERROR(VLOOKUP(C895,'Data Lokasi'!C:D,2,0),"")</f>
        <v>5</v>
      </c>
      <c r="E895" s="274" t="s">
        <v>2642</v>
      </c>
      <c r="F895" s="274"/>
      <c r="G895" s="274"/>
      <c r="H895" s="274"/>
      <c r="I895" s="274">
        <v>0.03</v>
      </c>
      <c r="J895" s="456">
        <f t="shared" si="28"/>
        <v>0.03</v>
      </c>
      <c r="K895" s="583"/>
      <c r="L895" s="268" t="s">
        <v>2625</v>
      </c>
      <c r="M895" s="268" t="s">
        <v>2634</v>
      </c>
      <c r="N895" s="278">
        <f>IFERROR(INDEX('Data Lokasi'!S:S,MATCH('Input Real Tanam&amp;Petik Nanas'!C895,'Data Lokasi'!C:C,0)),"")</f>
        <v>45093</v>
      </c>
      <c r="O895" s="278"/>
      <c r="P895" s="283">
        <f>IFERROR(INDEX('Data Lokasi'!V:V,MATCH(C895,'Data Lokasi'!C:C,0)),"")</f>
        <v>0</v>
      </c>
      <c r="Q895" s="304">
        <f t="shared" si="29"/>
        <v>0</v>
      </c>
      <c r="R895" s="308"/>
    </row>
    <row r="896" spans="2:18" ht="15" hidden="1" thickTop="1">
      <c r="B896" s="269">
        <v>46233</v>
      </c>
      <c r="C896" s="268" t="s">
        <v>234</v>
      </c>
      <c r="D896" s="274">
        <f>IFERROR(VLOOKUP(C896,'Data Lokasi'!C:D,2,0),"")</f>
        <v>5.85</v>
      </c>
      <c r="E896" s="274" t="s">
        <v>2642</v>
      </c>
      <c r="F896" s="274"/>
      <c r="G896" s="274"/>
      <c r="H896" s="274"/>
      <c r="I896" s="274">
        <v>0.04</v>
      </c>
      <c r="J896" s="456">
        <f t="shared" si="28"/>
        <v>0.04</v>
      </c>
      <c r="K896" s="583"/>
      <c r="L896" s="268" t="s">
        <v>2625</v>
      </c>
      <c r="M896" s="268" t="s">
        <v>2634</v>
      </c>
      <c r="N896" s="278">
        <f>IFERROR(INDEX('Data Lokasi'!S:S,MATCH('Input Real Tanam&amp;Petik Nanas'!C896,'Data Lokasi'!C:C,0)),"")</f>
        <v>44038</v>
      </c>
      <c r="O896" s="278"/>
      <c r="P896" s="283">
        <f>IFERROR(INDEX('Data Lokasi'!V:V,MATCH(C896,'Data Lokasi'!C:C,0)),"")</f>
        <v>0</v>
      </c>
      <c r="Q896" s="304">
        <f t="shared" si="29"/>
        <v>0</v>
      </c>
      <c r="R896" s="308"/>
    </row>
    <row r="897" spans="2:18" ht="15" hidden="1" thickTop="1">
      <c r="B897" s="269">
        <v>46233</v>
      </c>
      <c r="C897" s="268" t="s">
        <v>320</v>
      </c>
      <c r="D897" s="274">
        <f>IFERROR(VLOOKUP(C897,'Data Lokasi'!C:D,2,0),"")</f>
        <v>9.0299999999999994</v>
      </c>
      <c r="E897" s="274" t="s">
        <v>2642</v>
      </c>
      <c r="F897" s="274"/>
      <c r="G897" s="274"/>
      <c r="H897" s="274">
        <v>0.16</v>
      </c>
      <c r="I897" s="274"/>
      <c r="J897" s="456">
        <f t="shared" si="28"/>
        <v>0.16</v>
      </c>
      <c r="K897" s="583"/>
      <c r="L897" s="268" t="s">
        <v>719</v>
      </c>
      <c r="M897" s="268" t="s">
        <v>2634</v>
      </c>
      <c r="N897" s="278">
        <f>IFERROR(INDEX('Data Lokasi'!S:S,MATCH('Input Real Tanam&amp;Petik Nanas'!C897,'Data Lokasi'!C:C,0)),"")</f>
        <v>44216</v>
      </c>
      <c r="O897" s="278"/>
      <c r="P897" s="283">
        <f>IFERROR(INDEX('Data Lokasi'!V:V,MATCH(C897,'Data Lokasi'!C:C,0)),"")</f>
        <v>0</v>
      </c>
      <c r="Q897" s="304">
        <f t="shared" si="29"/>
        <v>0</v>
      </c>
      <c r="R897" s="308"/>
    </row>
    <row r="898" spans="2:18" ht="15" hidden="1" thickTop="1">
      <c r="B898" s="269">
        <v>46233</v>
      </c>
      <c r="C898" s="268" t="s">
        <v>636</v>
      </c>
      <c r="D898" s="274">
        <f>IFERROR(VLOOKUP(C898,'Data Lokasi'!C:D,2,0),"")</f>
        <v>6</v>
      </c>
      <c r="E898" s="274" t="s">
        <v>2642</v>
      </c>
      <c r="F898" s="274"/>
      <c r="G898" s="274"/>
      <c r="H898" s="274"/>
      <c r="I898" s="274">
        <v>0.55000000000000004</v>
      </c>
      <c r="J898" s="456">
        <f t="shared" si="28"/>
        <v>0.55000000000000004</v>
      </c>
      <c r="K898" s="583"/>
      <c r="L898" s="268" t="s">
        <v>2625</v>
      </c>
      <c r="M898" s="268" t="s">
        <v>2631</v>
      </c>
      <c r="N898" s="278">
        <f>IFERROR(INDEX('Data Lokasi'!S:S,MATCH('Input Real Tanam&amp;Petik Nanas'!C898,'Data Lokasi'!C:C,0)),"")</f>
        <v>44915</v>
      </c>
      <c r="O898" s="278"/>
      <c r="P898" s="283">
        <f>IFERROR(INDEX('Data Lokasi'!V:V,MATCH(C898,'Data Lokasi'!C:C,0)),"")</f>
        <v>0</v>
      </c>
      <c r="Q898" s="304">
        <f t="shared" si="29"/>
        <v>0</v>
      </c>
      <c r="R898" s="308"/>
    </row>
    <row r="899" spans="2:18" ht="15" hidden="1" thickTop="1">
      <c r="B899" s="269">
        <v>46233</v>
      </c>
      <c r="C899" s="268" t="s">
        <v>110</v>
      </c>
      <c r="D899" s="274">
        <f>IFERROR(VLOOKUP(C899,'Data Lokasi'!C:D,2,0),"")</f>
        <v>9</v>
      </c>
      <c r="E899" s="274" t="s">
        <v>2642</v>
      </c>
      <c r="F899" s="274"/>
      <c r="G899" s="274"/>
      <c r="H899" s="274"/>
      <c r="I899" s="274">
        <v>0.79</v>
      </c>
      <c r="J899" s="456">
        <f t="shared" si="28"/>
        <v>0.79</v>
      </c>
      <c r="K899" s="583"/>
      <c r="L899" s="268" t="s">
        <v>2625</v>
      </c>
      <c r="M899" s="268" t="s">
        <v>2631</v>
      </c>
      <c r="N899" s="278">
        <f>IFERROR(INDEX('Data Lokasi'!S:S,MATCH('Input Real Tanam&amp;Petik Nanas'!C899,'Data Lokasi'!C:C,0)),"")</f>
        <v>44193</v>
      </c>
      <c r="O899" s="278"/>
      <c r="P899" s="283">
        <f>IFERROR(INDEX('Data Lokasi'!V:V,MATCH(C899,'Data Lokasi'!C:C,0)),"")</f>
        <v>0</v>
      </c>
      <c r="Q899" s="304">
        <f t="shared" si="29"/>
        <v>0</v>
      </c>
      <c r="R899" s="308"/>
    </row>
    <row r="900" spans="2:18" ht="15" hidden="1" thickTop="1">
      <c r="B900" s="269">
        <v>46233</v>
      </c>
      <c r="C900" s="268" t="s">
        <v>126</v>
      </c>
      <c r="D900" s="274">
        <f>IFERROR(VLOOKUP(C900,'Data Lokasi'!C:D,2,0),"")</f>
        <v>6.39</v>
      </c>
      <c r="E900" s="274" t="s">
        <v>2642</v>
      </c>
      <c r="F900" s="274"/>
      <c r="G900" s="274"/>
      <c r="H900" s="274"/>
      <c r="I900" s="274">
        <v>0.44</v>
      </c>
      <c r="J900" s="456">
        <f t="shared" si="28"/>
        <v>0.44</v>
      </c>
      <c r="K900" s="583"/>
      <c r="L900" s="268" t="s">
        <v>2625</v>
      </c>
      <c r="M900" s="268" t="s">
        <v>2631</v>
      </c>
      <c r="N900" s="278">
        <f>IFERROR(INDEX('Data Lokasi'!S:S,MATCH('Input Real Tanam&amp;Petik Nanas'!C900,'Data Lokasi'!C:C,0)),"")</f>
        <v>44207</v>
      </c>
      <c r="O900" s="278"/>
      <c r="P900" s="283">
        <f>IFERROR(INDEX('Data Lokasi'!V:V,MATCH(C900,'Data Lokasi'!C:C,0)),"")</f>
        <v>0</v>
      </c>
      <c r="Q900" s="304">
        <f t="shared" si="29"/>
        <v>0</v>
      </c>
      <c r="R900" s="308"/>
    </row>
    <row r="901" spans="2:18" ht="15" hidden="1" thickTop="1">
      <c r="B901" s="269">
        <v>46233</v>
      </c>
      <c r="C901" s="268" t="s">
        <v>701</v>
      </c>
      <c r="D901" s="274">
        <f>IFERROR(VLOOKUP(C901,'Data Lokasi'!C:D,2,0),"")</f>
        <v>6.03</v>
      </c>
      <c r="E901" s="274" t="s">
        <v>2642</v>
      </c>
      <c r="F901" s="274"/>
      <c r="G901" s="274"/>
      <c r="H901" s="274"/>
      <c r="I901" s="274">
        <v>0.28000000000000003</v>
      </c>
      <c r="J901" s="456">
        <f t="shared" si="28"/>
        <v>0.28000000000000003</v>
      </c>
      <c r="K901" s="583"/>
      <c r="L901" s="268" t="s">
        <v>2625</v>
      </c>
      <c r="M901" s="268" t="s">
        <v>2631</v>
      </c>
      <c r="N901" s="278">
        <f>IFERROR(INDEX('Data Lokasi'!S:S,MATCH('Input Real Tanam&amp;Petik Nanas'!C901,'Data Lokasi'!C:C,0)),"")</f>
        <v>45185</v>
      </c>
      <c r="O901" s="278"/>
      <c r="P901" s="283">
        <f>IFERROR(INDEX('Data Lokasi'!V:V,MATCH(C901,'Data Lokasi'!C:C,0)),"")</f>
        <v>0</v>
      </c>
      <c r="Q901" s="304">
        <f t="shared" si="29"/>
        <v>0</v>
      </c>
      <c r="R901" s="308"/>
    </row>
    <row r="902" spans="2:18" ht="15" hidden="1" thickTop="1">
      <c r="B902" s="269">
        <v>46233</v>
      </c>
      <c r="C902" s="268" t="s">
        <v>705</v>
      </c>
      <c r="D902" s="274">
        <f>IFERROR(VLOOKUP(C902,'Data Lokasi'!C:D,2,0),"")</f>
        <v>7.67</v>
      </c>
      <c r="E902" s="274" t="s">
        <v>2642</v>
      </c>
      <c r="F902" s="274"/>
      <c r="G902" s="274"/>
      <c r="H902" s="274"/>
      <c r="I902" s="274">
        <v>0.32</v>
      </c>
      <c r="J902" s="456">
        <f t="shared" si="28"/>
        <v>0.32</v>
      </c>
      <c r="K902" s="583"/>
      <c r="L902" s="268" t="s">
        <v>2625</v>
      </c>
      <c r="M902" s="268" t="s">
        <v>2631</v>
      </c>
      <c r="N902" s="278">
        <f>IFERROR(INDEX('Data Lokasi'!S:S,MATCH('Input Real Tanam&amp;Petik Nanas'!C902,'Data Lokasi'!C:C,0)),"")</f>
        <v>45202</v>
      </c>
      <c r="O902" s="278"/>
      <c r="P902" s="283">
        <f>IFERROR(INDEX('Data Lokasi'!V:V,MATCH(C902,'Data Lokasi'!C:C,0)),"")</f>
        <v>0</v>
      </c>
      <c r="Q902" s="304">
        <f t="shared" si="29"/>
        <v>0</v>
      </c>
      <c r="R902" s="308"/>
    </row>
    <row r="903" spans="2:18" ht="15" hidden="1" thickTop="1">
      <c r="B903" s="269">
        <v>46233</v>
      </c>
      <c r="C903" s="268" t="s">
        <v>705</v>
      </c>
      <c r="D903" s="274">
        <f>IFERROR(VLOOKUP(C903,'Data Lokasi'!C:D,2,0),"")</f>
        <v>7.67</v>
      </c>
      <c r="E903" s="274" t="s">
        <v>2642</v>
      </c>
      <c r="F903" s="274"/>
      <c r="G903" s="274"/>
      <c r="H903" s="274">
        <v>0.38</v>
      </c>
      <c r="I903" s="274"/>
      <c r="J903" s="456">
        <f t="shared" si="28"/>
        <v>0.38</v>
      </c>
      <c r="K903" s="583"/>
      <c r="L903" s="268" t="s">
        <v>719</v>
      </c>
      <c r="M903" s="268" t="s">
        <v>2631</v>
      </c>
      <c r="N903" s="278">
        <f>IFERROR(INDEX('Data Lokasi'!S:S,MATCH('Input Real Tanam&amp;Petik Nanas'!C903,'Data Lokasi'!C:C,0)),"")</f>
        <v>45202</v>
      </c>
      <c r="O903" s="278"/>
      <c r="P903" s="283">
        <f>IFERROR(INDEX('Data Lokasi'!V:V,MATCH(C903,'Data Lokasi'!C:C,0)),"")</f>
        <v>0</v>
      </c>
      <c r="Q903" s="304">
        <f t="shared" si="29"/>
        <v>0</v>
      </c>
      <c r="R903" s="308"/>
    </row>
    <row r="904" spans="2:18" ht="15" hidden="1" thickTop="1">
      <c r="B904" s="269">
        <v>46233</v>
      </c>
      <c r="C904" s="268" t="s">
        <v>708</v>
      </c>
      <c r="D904" s="274">
        <f>IFERROR(VLOOKUP(C904,'Data Lokasi'!C:D,2,0),"")</f>
        <v>7.54</v>
      </c>
      <c r="E904" s="274" t="s">
        <v>2642</v>
      </c>
      <c r="F904" s="274"/>
      <c r="G904" s="274"/>
      <c r="H904" s="274"/>
      <c r="I904" s="274">
        <v>0.49</v>
      </c>
      <c r="J904" s="456">
        <f t="shared" si="28"/>
        <v>0.49</v>
      </c>
      <c r="K904" s="583"/>
      <c r="L904" s="268" t="s">
        <v>2625</v>
      </c>
      <c r="M904" s="268" t="s">
        <v>2631</v>
      </c>
      <c r="N904" s="278">
        <f>IFERROR(INDEX('Data Lokasi'!S:S,MATCH('Input Real Tanam&amp;Petik Nanas'!C904,'Data Lokasi'!C:C,0)),"")</f>
        <v>45240</v>
      </c>
      <c r="O904" s="278"/>
      <c r="P904" s="283">
        <f>IFERROR(INDEX('Data Lokasi'!V:V,MATCH(C904,'Data Lokasi'!C:C,0)),"")</f>
        <v>0</v>
      </c>
      <c r="Q904" s="304">
        <f t="shared" si="29"/>
        <v>0</v>
      </c>
      <c r="R904" s="308"/>
    </row>
    <row r="905" spans="2:18" ht="15" hidden="1" thickTop="1">
      <c r="B905" s="269">
        <v>46233</v>
      </c>
      <c r="C905" s="268" t="s">
        <v>360</v>
      </c>
      <c r="D905" s="274">
        <f>IFERROR(VLOOKUP(C905,'Data Lokasi'!C:D,2,0),"")</f>
        <v>10.66</v>
      </c>
      <c r="E905" s="274" t="s">
        <v>2643</v>
      </c>
      <c r="F905" s="274"/>
      <c r="G905" s="274">
        <v>0.01</v>
      </c>
      <c r="H905" s="274">
        <f>0.04+0.1</f>
        <v>0.14000000000000001</v>
      </c>
      <c r="I905" s="274"/>
      <c r="J905" s="456">
        <f t="shared" si="28"/>
        <v>0.15000000000000002</v>
      </c>
      <c r="K905" s="583"/>
      <c r="L905" s="268" t="s">
        <v>719</v>
      </c>
      <c r="M905" s="268" t="s">
        <v>2631</v>
      </c>
      <c r="N905" s="278">
        <f>IFERROR(INDEX('Data Lokasi'!S:S,MATCH('Input Real Tanam&amp;Petik Nanas'!C905,'Data Lokasi'!C:C,0)),"")</f>
        <v>44300</v>
      </c>
      <c r="O905" s="278"/>
      <c r="P905" s="283">
        <f>IFERROR(INDEX('Data Lokasi'!V:V,MATCH(C905,'Data Lokasi'!C:C,0)),"")</f>
        <v>0</v>
      </c>
      <c r="Q905" s="304">
        <f t="shared" si="29"/>
        <v>0</v>
      </c>
      <c r="R905" s="308">
        <v>4</v>
      </c>
    </row>
    <row r="906" spans="2:18" ht="15" hidden="1" thickTop="1">
      <c r="B906" s="269">
        <v>46233</v>
      </c>
      <c r="C906" s="268" t="s">
        <v>472</v>
      </c>
      <c r="D906" s="274">
        <f>IFERROR(VLOOKUP(C906,'Data Lokasi'!C:D,2,0),"")</f>
        <v>14.38</v>
      </c>
      <c r="E906" s="274" t="s">
        <v>2643</v>
      </c>
      <c r="F906" s="274"/>
      <c r="G906" s="274">
        <v>0.05</v>
      </c>
      <c r="H906" s="274">
        <f>0.08+0.24</f>
        <v>0.32</v>
      </c>
      <c r="I906" s="274"/>
      <c r="J906" s="456">
        <f t="shared" si="28"/>
        <v>0.37</v>
      </c>
      <c r="K906" s="583"/>
      <c r="L906" s="268" t="s">
        <v>719</v>
      </c>
      <c r="M906" s="268" t="s">
        <v>2631</v>
      </c>
      <c r="N906" s="278">
        <f>IFERROR(INDEX('Data Lokasi'!S:S,MATCH('Input Real Tanam&amp;Petik Nanas'!C906,'Data Lokasi'!C:C,0)),"")</f>
        <v>44487</v>
      </c>
      <c r="O906" s="278"/>
      <c r="P906" s="283">
        <f>IFERROR(INDEX('Data Lokasi'!V:V,MATCH(C906,'Data Lokasi'!C:C,0)),"")</f>
        <v>0</v>
      </c>
      <c r="Q906" s="304">
        <f t="shared" si="29"/>
        <v>0</v>
      </c>
      <c r="R906" s="308">
        <v>1</v>
      </c>
    </row>
    <row r="907" spans="2:18" ht="15" hidden="1" thickTop="1">
      <c r="B907" s="269">
        <v>46233</v>
      </c>
      <c r="C907" s="268" t="s">
        <v>554</v>
      </c>
      <c r="D907" s="274">
        <f>IFERROR(VLOOKUP(C907,'Data Lokasi'!C:D,2,0),"")</f>
        <v>5.62</v>
      </c>
      <c r="E907" s="274" t="s">
        <v>2643</v>
      </c>
      <c r="F907" s="274"/>
      <c r="G907" s="274">
        <v>0.01</v>
      </c>
      <c r="H907" s="274">
        <v>7.0000000000000007E-2</v>
      </c>
      <c r="I907" s="274"/>
      <c r="J907" s="456">
        <f t="shared" si="28"/>
        <v>0.08</v>
      </c>
      <c r="K907" s="583"/>
      <c r="L907" s="268" t="s">
        <v>719</v>
      </c>
      <c r="M907" s="268" t="s">
        <v>2634</v>
      </c>
      <c r="N907" s="278">
        <f>IFERROR(INDEX('Data Lokasi'!S:S,MATCH('Input Real Tanam&amp;Petik Nanas'!C907,'Data Lokasi'!C:C,0)),"")</f>
        <v>44655</v>
      </c>
      <c r="O907" s="278"/>
      <c r="P907" s="283">
        <f>IFERROR(INDEX('Data Lokasi'!V:V,MATCH(C907,'Data Lokasi'!C:C,0)),"")</f>
        <v>0</v>
      </c>
      <c r="Q907" s="304">
        <f t="shared" si="29"/>
        <v>0</v>
      </c>
      <c r="R907" s="308">
        <v>2</v>
      </c>
    </row>
    <row r="908" spans="2:18" ht="15" hidden="1" thickTop="1">
      <c r="B908" s="269">
        <v>46233</v>
      </c>
      <c r="C908" s="268" t="s">
        <v>156</v>
      </c>
      <c r="D908" s="274">
        <f>IFERROR(VLOOKUP(C908,'Data Lokasi'!C:D,2,0),"")</f>
        <v>6.23</v>
      </c>
      <c r="E908" s="274" t="s">
        <v>2643</v>
      </c>
      <c r="F908" s="274"/>
      <c r="G908" s="274"/>
      <c r="H908" s="274"/>
      <c r="I908" s="274">
        <v>1.43</v>
      </c>
      <c r="J908" s="456">
        <f t="shared" si="28"/>
        <v>1.43</v>
      </c>
      <c r="K908" s="583"/>
      <c r="L908" s="268" t="s">
        <v>2625</v>
      </c>
      <c r="M908" s="268" t="s">
        <v>2634</v>
      </c>
      <c r="N908" s="278">
        <f>IFERROR(INDEX('Data Lokasi'!S:S,MATCH('Input Real Tanam&amp;Petik Nanas'!C908,'Data Lokasi'!C:C,0)),"")</f>
        <v>0</v>
      </c>
      <c r="O908" s="278"/>
      <c r="P908" s="283">
        <f>IFERROR(INDEX('Data Lokasi'!V:V,MATCH(C908,'Data Lokasi'!C:C,0)),"")</f>
        <v>0</v>
      </c>
      <c r="Q908" s="304">
        <f t="shared" si="29"/>
        <v>0</v>
      </c>
      <c r="R908" s="308"/>
    </row>
    <row r="909" spans="2:18" ht="15" hidden="1" thickTop="1">
      <c r="B909" s="269">
        <v>46233</v>
      </c>
      <c r="C909" s="268" t="s">
        <v>556</v>
      </c>
      <c r="D909" s="274">
        <f>IFERROR(VLOOKUP(C909,'Data Lokasi'!C:D,2,0),"")</f>
        <v>8.42</v>
      </c>
      <c r="E909" s="274" t="s">
        <v>2643</v>
      </c>
      <c r="F909" s="274"/>
      <c r="G909" s="274"/>
      <c r="H909" s="274"/>
      <c r="I909" s="274">
        <v>0.28000000000000003</v>
      </c>
      <c r="J909" s="456">
        <f t="shared" si="28"/>
        <v>0.28000000000000003</v>
      </c>
      <c r="K909" s="583"/>
      <c r="L909" s="268" t="s">
        <v>2625</v>
      </c>
      <c r="M909" s="268" t="s">
        <v>2634</v>
      </c>
      <c r="N909" s="278">
        <f>IFERROR(INDEX('Data Lokasi'!S:S,MATCH('Input Real Tanam&amp;Petik Nanas'!C909,'Data Lokasi'!C:C,0)),"")</f>
        <v>44659</v>
      </c>
      <c r="O909" s="278"/>
      <c r="P909" s="283">
        <f>IFERROR(INDEX('Data Lokasi'!V:V,MATCH(C909,'Data Lokasi'!C:C,0)),"")</f>
        <v>0</v>
      </c>
      <c r="Q909" s="304">
        <f t="shared" si="29"/>
        <v>0</v>
      </c>
      <c r="R909" s="308"/>
    </row>
    <row r="910" spans="2:18" ht="15" hidden="1" thickTop="1">
      <c r="B910" s="269">
        <v>46233</v>
      </c>
      <c r="C910" s="268" t="s">
        <v>412</v>
      </c>
      <c r="D910" s="274">
        <f>IFERROR(VLOOKUP(C910,'Data Lokasi'!C:D,2,0),"")</f>
        <v>6.3</v>
      </c>
      <c r="E910" s="274" t="s">
        <v>2643</v>
      </c>
      <c r="F910" s="274"/>
      <c r="G910" s="274"/>
      <c r="H910" s="274"/>
      <c r="I910" s="274">
        <v>0.69</v>
      </c>
      <c r="J910" s="456">
        <f t="shared" si="28"/>
        <v>0.69</v>
      </c>
      <c r="K910" s="583"/>
      <c r="L910" s="268" t="s">
        <v>2625</v>
      </c>
      <c r="M910" s="268" t="s">
        <v>2634</v>
      </c>
      <c r="N910" s="278">
        <f>IFERROR(INDEX('Data Lokasi'!S:S,MATCH('Input Real Tanam&amp;Petik Nanas'!C910,'Data Lokasi'!C:C,0)),"")</f>
        <v>44374</v>
      </c>
      <c r="O910" s="278"/>
      <c r="P910" s="283">
        <f>IFERROR(INDEX('Data Lokasi'!V:V,MATCH(C910,'Data Lokasi'!C:C,0)),"")</f>
        <v>0</v>
      </c>
      <c r="Q910" s="304">
        <f t="shared" si="29"/>
        <v>0</v>
      </c>
      <c r="R910" s="308"/>
    </row>
    <row r="911" spans="2:18" ht="15" hidden="1" thickTop="1">
      <c r="B911" s="269">
        <v>46234</v>
      </c>
      <c r="C911" s="268" t="s">
        <v>337</v>
      </c>
      <c r="D911" s="274">
        <f>IFERROR(VLOOKUP(C911,'Data Lokasi'!C:D,2,0),"")</f>
        <v>9.17</v>
      </c>
      <c r="E911" s="274" t="s">
        <v>2643</v>
      </c>
      <c r="F911" s="274"/>
      <c r="G911" s="274">
        <v>0.03</v>
      </c>
      <c r="H911" s="274">
        <f>0.14+0.52</f>
        <v>0.66</v>
      </c>
      <c r="I911" s="274"/>
      <c r="J911" s="456">
        <f t="shared" si="28"/>
        <v>0.69000000000000006</v>
      </c>
      <c r="K911" s="583"/>
      <c r="L911" s="268" t="s">
        <v>719</v>
      </c>
      <c r="M911" s="268" t="s">
        <v>2631</v>
      </c>
      <c r="N911" s="278">
        <f>IFERROR(INDEX('Data Lokasi'!S:S,MATCH('Input Real Tanam&amp;Petik Nanas'!C911,'Data Lokasi'!C:C,0)),"")</f>
        <v>44250</v>
      </c>
      <c r="O911" s="278"/>
      <c r="P911" s="283">
        <f>IFERROR(INDEX('Data Lokasi'!V:V,MATCH(C911,'Data Lokasi'!C:C,0)),"")</f>
        <v>0</v>
      </c>
      <c r="Q911" s="304">
        <f t="shared" si="29"/>
        <v>0</v>
      </c>
      <c r="R911" s="308">
        <v>6</v>
      </c>
    </row>
    <row r="912" spans="2:18" ht="15" hidden="1" thickTop="1">
      <c r="B912" s="269">
        <v>46234</v>
      </c>
      <c r="C912" s="268" t="s">
        <v>512</v>
      </c>
      <c r="D912" s="274">
        <f>IFERROR(VLOOKUP(C912,'Data Lokasi'!C:D,2,0),"")</f>
        <v>9.14</v>
      </c>
      <c r="E912" s="274" t="s">
        <v>2643</v>
      </c>
      <c r="F912" s="274"/>
      <c r="G912" s="274"/>
      <c r="H912" s="274"/>
      <c r="I912" s="274">
        <v>1.57</v>
      </c>
      <c r="J912" s="456">
        <f t="shared" si="28"/>
        <v>1.57</v>
      </c>
      <c r="K912" s="583"/>
      <c r="L912" s="268" t="s">
        <v>2625</v>
      </c>
      <c r="M912" s="268" t="s">
        <v>2634</v>
      </c>
      <c r="N912" s="278">
        <f>IFERROR(INDEX('Data Lokasi'!S:S,MATCH('Input Real Tanam&amp;Petik Nanas'!C912,'Data Lokasi'!C:C,0)),"")</f>
        <v>44591</v>
      </c>
      <c r="O912" s="278"/>
      <c r="P912" s="283">
        <f>IFERROR(INDEX('Data Lokasi'!V:V,MATCH(C912,'Data Lokasi'!C:C,0)),"")</f>
        <v>0</v>
      </c>
      <c r="Q912" s="304">
        <f t="shared" si="29"/>
        <v>0</v>
      </c>
      <c r="R912" s="308"/>
    </row>
    <row r="913" spans="2:18" ht="15" hidden="1" thickTop="1">
      <c r="B913" s="269">
        <v>46234</v>
      </c>
      <c r="C913" s="268" t="s">
        <v>448</v>
      </c>
      <c r="D913" s="274">
        <f>IFERROR(VLOOKUP(C913,'Data Lokasi'!C:D,2,0),"")</f>
        <v>11.22</v>
      </c>
      <c r="E913" s="274" t="s">
        <v>2643</v>
      </c>
      <c r="F913" s="274"/>
      <c r="G913" s="274"/>
      <c r="H913" s="274"/>
      <c r="I913" s="274">
        <v>0.42</v>
      </c>
      <c r="J913" s="456">
        <f t="shared" si="28"/>
        <v>0.42</v>
      </c>
      <c r="K913" s="583"/>
      <c r="L913" s="268" t="s">
        <v>2625</v>
      </c>
      <c r="M913" s="268" t="s">
        <v>2634</v>
      </c>
      <c r="N913" s="278">
        <f>IFERROR(INDEX('Data Lokasi'!S:S,MATCH('Input Real Tanam&amp;Petik Nanas'!C913,'Data Lokasi'!C:C,0)),"")</f>
        <v>44456</v>
      </c>
      <c r="O913" s="278"/>
      <c r="P913" s="283">
        <f>IFERROR(INDEX('Data Lokasi'!V:V,MATCH(C913,'Data Lokasi'!C:C,0)),"")</f>
        <v>0</v>
      </c>
      <c r="Q913" s="304">
        <f t="shared" si="29"/>
        <v>0</v>
      </c>
      <c r="R913" s="308"/>
    </row>
    <row r="914" spans="2:18" ht="15" hidden="1" thickTop="1">
      <c r="B914" s="269">
        <v>46234</v>
      </c>
      <c r="C914" s="268" t="s">
        <v>499</v>
      </c>
      <c r="D914" s="274">
        <f>IFERROR(VLOOKUP(C914,'Data Lokasi'!C:D,2,0),"")</f>
        <v>6.82</v>
      </c>
      <c r="E914" s="274" t="s">
        <v>2643</v>
      </c>
      <c r="F914" s="274"/>
      <c r="G914" s="274"/>
      <c r="H914" s="274"/>
      <c r="I914" s="274">
        <v>0.28999999999999998</v>
      </c>
      <c r="J914" s="456">
        <f t="shared" si="28"/>
        <v>0.28999999999999998</v>
      </c>
      <c r="K914" s="583"/>
      <c r="L914" s="268" t="s">
        <v>2625</v>
      </c>
      <c r="M914" s="268" t="s">
        <v>2634</v>
      </c>
      <c r="N914" s="278">
        <f>IFERROR(INDEX('Data Lokasi'!S:S,MATCH('Input Real Tanam&amp;Petik Nanas'!C914,'Data Lokasi'!C:C,0)),"")</f>
        <v>44573</v>
      </c>
      <c r="O914" s="278"/>
      <c r="P914" s="283">
        <f>IFERROR(INDEX('Data Lokasi'!V:V,MATCH(C914,'Data Lokasi'!C:C,0)),"")</f>
        <v>0</v>
      </c>
      <c r="Q914" s="304">
        <f t="shared" si="29"/>
        <v>0</v>
      </c>
      <c r="R914" s="308"/>
    </row>
    <row r="915" spans="2:18" ht="15" hidden="1" thickTop="1">
      <c r="B915" s="269">
        <v>46234</v>
      </c>
      <c r="C915" s="268" t="s">
        <v>110</v>
      </c>
      <c r="D915" s="274">
        <f>IFERROR(VLOOKUP(C915,'Data Lokasi'!C:D,2,0),"")</f>
        <v>9</v>
      </c>
      <c r="E915" s="274" t="s">
        <v>2642</v>
      </c>
      <c r="F915" s="274"/>
      <c r="G915" s="274"/>
      <c r="H915" s="274"/>
      <c r="I915" s="274">
        <v>1.32</v>
      </c>
      <c r="J915" s="456">
        <f t="shared" si="28"/>
        <v>1.32</v>
      </c>
      <c r="K915" s="583"/>
      <c r="L915" s="268" t="s">
        <v>2625</v>
      </c>
      <c r="M915" s="268" t="s">
        <v>2631</v>
      </c>
      <c r="N915" s="278">
        <f>IFERROR(INDEX('Data Lokasi'!S:S,MATCH('Input Real Tanam&amp;Petik Nanas'!C915,'Data Lokasi'!C:C,0)),"")</f>
        <v>44193</v>
      </c>
      <c r="O915" s="278"/>
      <c r="P915" s="283">
        <f>IFERROR(INDEX('Data Lokasi'!V:V,MATCH(C915,'Data Lokasi'!C:C,0)),"")</f>
        <v>0</v>
      </c>
      <c r="Q915" s="304">
        <f t="shared" si="29"/>
        <v>0</v>
      </c>
      <c r="R915" s="308"/>
    </row>
    <row r="916" spans="2:18" ht="15" hidden="1" thickTop="1">
      <c r="B916" s="269">
        <v>46234</v>
      </c>
      <c r="C916" s="268" t="s">
        <v>695</v>
      </c>
      <c r="D916" s="274">
        <f>IFERROR(VLOOKUP(C916,'Data Lokasi'!C:D,2,0),"")</f>
        <v>5</v>
      </c>
      <c r="E916" s="274" t="s">
        <v>2642</v>
      </c>
      <c r="F916" s="274"/>
      <c r="G916" s="274"/>
      <c r="H916" s="274"/>
      <c r="I916" s="274">
        <v>0.1</v>
      </c>
      <c r="J916" s="456">
        <f t="shared" ref="J916:J1169" si="30">IF(SUM(F916:I916)=0,"",(SUM(F916:I916)))</f>
        <v>0.1</v>
      </c>
      <c r="K916" s="583"/>
      <c r="L916" s="268" t="s">
        <v>2625</v>
      </c>
      <c r="M916" s="268" t="s">
        <v>2631</v>
      </c>
      <c r="N916" s="278">
        <f>IFERROR(INDEX('Data Lokasi'!S:S,MATCH('Input Real Tanam&amp;Petik Nanas'!C916,'Data Lokasi'!C:C,0)),"")</f>
        <v>45117</v>
      </c>
      <c r="O916" s="278"/>
      <c r="P916" s="283">
        <f>IFERROR(INDEX('Data Lokasi'!V:V,MATCH(C916,'Data Lokasi'!C:C,0)),"")</f>
        <v>0</v>
      </c>
      <c r="Q916" s="304">
        <f t="shared" ref="Q916:Q1169" si="31">IF(ISERROR(P916/D916),"",(P916/D916))</f>
        <v>0</v>
      </c>
      <c r="R916" s="308"/>
    </row>
    <row r="917" spans="2:18" ht="15" hidden="1" thickTop="1">
      <c r="B917" s="269">
        <v>46234</v>
      </c>
      <c r="C917" s="268" t="s">
        <v>126</v>
      </c>
      <c r="D917" s="274">
        <f>IFERROR(VLOOKUP(C917,'Data Lokasi'!C:D,2,0),"")</f>
        <v>6.39</v>
      </c>
      <c r="E917" s="274" t="s">
        <v>2642</v>
      </c>
      <c r="F917" s="274"/>
      <c r="G917" s="274"/>
      <c r="H917" s="274"/>
      <c r="I917" s="274">
        <v>0.45</v>
      </c>
      <c r="J917" s="456">
        <f t="shared" si="30"/>
        <v>0.45</v>
      </c>
      <c r="K917" s="583"/>
      <c r="L917" s="268" t="s">
        <v>2625</v>
      </c>
      <c r="M917" s="268" t="s">
        <v>2631</v>
      </c>
      <c r="N917" s="278">
        <f>IFERROR(INDEX('Data Lokasi'!S:S,MATCH('Input Real Tanam&amp;Petik Nanas'!C917,'Data Lokasi'!C:C,0)),"")</f>
        <v>44207</v>
      </c>
      <c r="O917" s="278"/>
      <c r="P917" s="283">
        <f>IFERROR(INDEX('Data Lokasi'!V:V,MATCH(C917,'Data Lokasi'!C:C,0)),"")</f>
        <v>0</v>
      </c>
      <c r="Q917" s="304">
        <f t="shared" si="31"/>
        <v>0</v>
      </c>
      <c r="R917" s="308"/>
    </row>
    <row r="918" spans="2:18" ht="15" hidden="1" thickTop="1">
      <c r="B918" s="269">
        <v>46234</v>
      </c>
      <c r="C918" s="268" t="s">
        <v>701</v>
      </c>
      <c r="D918" s="274">
        <f>IFERROR(VLOOKUP(C918,'Data Lokasi'!C:D,2,0),"")</f>
        <v>6.03</v>
      </c>
      <c r="E918" s="274" t="s">
        <v>2642</v>
      </c>
      <c r="F918" s="274"/>
      <c r="G918" s="274"/>
      <c r="H918" s="274"/>
      <c r="I918" s="274">
        <v>0.54</v>
      </c>
      <c r="J918" s="456">
        <f t="shared" si="30"/>
        <v>0.54</v>
      </c>
      <c r="K918" s="583"/>
      <c r="L918" s="268" t="s">
        <v>2625</v>
      </c>
      <c r="M918" s="268" t="s">
        <v>2631</v>
      </c>
      <c r="N918" s="278">
        <f>IFERROR(INDEX('Data Lokasi'!S:S,MATCH('Input Real Tanam&amp;Petik Nanas'!C918,'Data Lokasi'!C:C,0)),"")</f>
        <v>45185</v>
      </c>
      <c r="O918" s="278"/>
      <c r="P918" s="283">
        <f>IFERROR(INDEX('Data Lokasi'!V:V,MATCH(C918,'Data Lokasi'!C:C,0)),"")</f>
        <v>0</v>
      </c>
      <c r="Q918" s="304">
        <f t="shared" si="31"/>
        <v>0</v>
      </c>
      <c r="R918" s="308"/>
    </row>
    <row r="919" spans="2:18" ht="15" hidden="1" thickTop="1">
      <c r="B919" s="269">
        <v>46234</v>
      </c>
      <c r="C919" s="268" t="s">
        <v>705</v>
      </c>
      <c r="D919" s="274">
        <f>IFERROR(VLOOKUP(C919,'Data Lokasi'!C:D,2,0),"")</f>
        <v>7.67</v>
      </c>
      <c r="E919" s="274" t="s">
        <v>2642</v>
      </c>
      <c r="F919" s="274"/>
      <c r="G919" s="274"/>
      <c r="H919" s="274"/>
      <c r="I919" s="274">
        <v>0.51</v>
      </c>
      <c r="J919" s="456">
        <f t="shared" si="30"/>
        <v>0.51</v>
      </c>
      <c r="K919" s="583"/>
      <c r="L919" s="268" t="s">
        <v>2625</v>
      </c>
      <c r="M919" s="268" t="s">
        <v>2631</v>
      </c>
      <c r="N919" s="278">
        <f>IFERROR(INDEX('Data Lokasi'!S:S,MATCH('Input Real Tanam&amp;Petik Nanas'!C919,'Data Lokasi'!C:C,0)),"")</f>
        <v>45202</v>
      </c>
      <c r="O919" s="278"/>
      <c r="P919" s="283">
        <f>IFERROR(INDEX('Data Lokasi'!V:V,MATCH(C919,'Data Lokasi'!C:C,0)),"")</f>
        <v>0</v>
      </c>
      <c r="Q919" s="304">
        <f t="shared" si="31"/>
        <v>0</v>
      </c>
      <c r="R919" s="308"/>
    </row>
    <row r="920" spans="2:18" ht="15" hidden="1" thickTop="1">
      <c r="B920" s="269">
        <v>46234</v>
      </c>
      <c r="C920" s="268" t="s">
        <v>708</v>
      </c>
      <c r="D920" s="274">
        <f>IFERROR(VLOOKUP(C920,'Data Lokasi'!C:D,2,0),"")</f>
        <v>7.54</v>
      </c>
      <c r="E920" s="274" t="s">
        <v>2642</v>
      </c>
      <c r="F920" s="274"/>
      <c r="G920" s="274"/>
      <c r="H920" s="274"/>
      <c r="I920" s="274">
        <v>0.22</v>
      </c>
      <c r="J920" s="456">
        <f t="shared" si="30"/>
        <v>0.22</v>
      </c>
      <c r="K920" s="583"/>
      <c r="L920" s="268" t="s">
        <v>2625</v>
      </c>
      <c r="M920" s="268" t="s">
        <v>2631</v>
      </c>
      <c r="N920" s="278">
        <f>IFERROR(INDEX('Data Lokasi'!S:S,MATCH('Input Real Tanam&amp;Petik Nanas'!C920,'Data Lokasi'!C:C,0)),"")</f>
        <v>45240</v>
      </c>
      <c r="O920" s="278"/>
      <c r="P920" s="283">
        <f>IFERROR(INDEX('Data Lokasi'!V:V,MATCH(C920,'Data Lokasi'!C:C,0)),"")</f>
        <v>0</v>
      </c>
      <c r="Q920" s="304">
        <f t="shared" si="31"/>
        <v>0</v>
      </c>
      <c r="R920" s="308"/>
    </row>
    <row r="921" spans="2:18" ht="15" hidden="1" thickTop="1">
      <c r="B921" s="269">
        <v>46234</v>
      </c>
      <c r="C921" s="268" t="s">
        <v>636</v>
      </c>
      <c r="D921" s="274">
        <f>IFERROR(VLOOKUP(C921,'Data Lokasi'!C:D,2,0),"")</f>
        <v>6</v>
      </c>
      <c r="E921" s="274" t="s">
        <v>2642</v>
      </c>
      <c r="F921" s="274"/>
      <c r="G921" s="274"/>
      <c r="H921" s="274"/>
      <c r="I921" s="274">
        <v>0.11</v>
      </c>
      <c r="J921" s="456">
        <f t="shared" si="30"/>
        <v>0.11</v>
      </c>
      <c r="K921" s="583"/>
      <c r="L921" s="268" t="s">
        <v>2625</v>
      </c>
      <c r="M921" s="268" t="s">
        <v>2631</v>
      </c>
      <c r="N921" s="278">
        <f>IFERROR(INDEX('Data Lokasi'!S:S,MATCH('Input Real Tanam&amp;Petik Nanas'!C921,'Data Lokasi'!C:C,0)),"")</f>
        <v>44915</v>
      </c>
      <c r="O921" s="278"/>
      <c r="P921" s="283">
        <f>IFERROR(INDEX('Data Lokasi'!V:V,MATCH(C921,'Data Lokasi'!C:C,0)),"")</f>
        <v>0</v>
      </c>
      <c r="Q921" s="304">
        <f t="shared" si="31"/>
        <v>0</v>
      </c>
      <c r="R921" s="308"/>
    </row>
    <row r="922" spans="2:18" ht="15" hidden="1" thickTop="1">
      <c r="B922" s="269">
        <v>46234</v>
      </c>
      <c r="C922" s="268" t="s">
        <v>299</v>
      </c>
      <c r="D922" s="274">
        <f>IFERROR(VLOOKUP(C922,'Data Lokasi'!C:D,2,0),"")</f>
        <v>3.62</v>
      </c>
      <c r="E922" s="274" t="s">
        <v>2642</v>
      </c>
      <c r="F922" s="274"/>
      <c r="G922" s="274"/>
      <c r="H922" s="274">
        <v>0.55000000000000004</v>
      </c>
      <c r="I922" s="274"/>
      <c r="J922" s="456">
        <f t="shared" si="30"/>
        <v>0.55000000000000004</v>
      </c>
      <c r="K922" s="583"/>
      <c r="L922" s="268" t="s">
        <v>719</v>
      </c>
      <c r="M922" s="268" t="s">
        <v>2634</v>
      </c>
      <c r="N922" s="278">
        <f>IFERROR(INDEX('Data Lokasi'!S:S,MATCH('Input Real Tanam&amp;Petik Nanas'!C922,'Data Lokasi'!C:C,0)),"")</f>
        <v>44144</v>
      </c>
      <c r="O922" s="278"/>
      <c r="P922" s="283">
        <f>IFERROR(INDEX('Data Lokasi'!V:V,MATCH(C922,'Data Lokasi'!C:C,0)),"")</f>
        <v>0</v>
      </c>
      <c r="Q922" s="304">
        <f t="shared" si="31"/>
        <v>0</v>
      </c>
      <c r="R922" s="308"/>
    </row>
    <row r="923" spans="2:18" ht="15" hidden="1" thickTop="1">
      <c r="B923" s="269">
        <v>46234</v>
      </c>
      <c r="C923" s="268" t="s">
        <v>684</v>
      </c>
      <c r="D923" s="274">
        <f>IFERROR(VLOOKUP(C923,'Data Lokasi'!C:D,2,0),"")</f>
        <v>8.8699999999999992</v>
      </c>
      <c r="E923" s="274" t="s">
        <v>2642</v>
      </c>
      <c r="F923" s="274"/>
      <c r="G923" s="274"/>
      <c r="H923" s="274"/>
      <c r="I923" s="274">
        <v>1.5</v>
      </c>
      <c r="J923" s="456">
        <f t="shared" si="30"/>
        <v>1.5</v>
      </c>
      <c r="K923" s="583"/>
      <c r="L923" s="268" t="s">
        <v>2625</v>
      </c>
      <c r="M923" s="268" t="s">
        <v>2634</v>
      </c>
      <c r="N923" s="278">
        <f>IFERROR(INDEX('Data Lokasi'!S:S,MATCH('Input Real Tanam&amp;Petik Nanas'!C923,'Data Lokasi'!C:C,0)),"")</f>
        <v>45090</v>
      </c>
      <c r="O923" s="278"/>
      <c r="P923" s="283">
        <f>IFERROR(INDEX('Data Lokasi'!V:V,MATCH(C923,'Data Lokasi'!C:C,0)),"")</f>
        <v>0</v>
      </c>
      <c r="Q923" s="304">
        <f t="shared" si="31"/>
        <v>0</v>
      </c>
      <c r="R923" s="308"/>
    </row>
    <row r="924" spans="2:18" ht="15" hidden="1" thickTop="1">
      <c r="B924" s="269">
        <v>46234</v>
      </c>
      <c r="C924" s="268" t="s">
        <v>311</v>
      </c>
      <c r="D924" s="274">
        <f>IFERROR(VLOOKUP(C924,'Data Lokasi'!C:D,2,0),"")</f>
        <v>5.15</v>
      </c>
      <c r="E924" s="274" t="s">
        <v>2642</v>
      </c>
      <c r="F924" s="274"/>
      <c r="G924" s="274"/>
      <c r="H924" s="274"/>
      <c r="I924" s="274">
        <v>0.56999999999999995</v>
      </c>
      <c r="J924" s="456">
        <f t="shared" si="30"/>
        <v>0.56999999999999995</v>
      </c>
      <c r="K924" s="583"/>
      <c r="L924" s="268" t="s">
        <v>2625</v>
      </c>
      <c r="M924" s="268" t="s">
        <v>2634</v>
      </c>
      <c r="N924" s="278">
        <f>IFERROR(INDEX('Data Lokasi'!S:S,MATCH('Input Real Tanam&amp;Petik Nanas'!C924,'Data Lokasi'!C:C,0)),"")</f>
        <v>44175</v>
      </c>
      <c r="O924" s="278"/>
      <c r="P924" s="283">
        <f>IFERROR(INDEX('Data Lokasi'!V:V,MATCH(C924,'Data Lokasi'!C:C,0)),"")</f>
        <v>0</v>
      </c>
      <c r="Q924" s="304">
        <f t="shared" si="31"/>
        <v>0</v>
      </c>
      <c r="R924" s="308"/>
    </row>
    <row r="925" spans="2:18" ht="15" hidden="1" thickTop="1">
      <c r="B925" s="269">
        <v>46234</v>
      </c>
      <c r="C925" s="268" t="s">
        <v>196</v>
      </c>
      <c r="D925" s="274">
        <f>IFERROR(VLOOKUP(C925,'Data Lokasi'!C:D,2,0),"")</f>
        <v>11.7</v>
      </c>
      <c r="E925" s="274" t="s">
        <v>2642</v>
      </c>
      <c r="F925" s="274"/>
      <c r="G925" s="274"/>
      <c r="H925" s="274"/>
      <c r="I925" s="274">
        <v>0.2</v>
      </c>
      <c r="J925" s="456">
        <f t="shared" si="30"/>
        <v>0.2</v>
      </c>
      <c r="K925" s="583"/>
      <c r="L925" s="268" t="s">
        <v>2625</v>
      </c>
      <c r="M925" s="268" t="s">
        <v>2634</v>
      </c>
      <c r="N925" s="278">
        <f>IFERROR(INDEX('Data Lokasi'!S:S,MATCH('Input Real Tanam&amp;Petik Nanas'!C925,'Data Lokasi'!C:C,0)),"")</f>
        <v>43948</v>
      </c>
      <c r="O925" s="278"/>
      <c r="P925" s="283">
        <f>IFERROR(INDEX('Data Lokasi'!V:V,MATCH(C925,'Data Lokasi'!C:C,0)),"")</f>
        <v>0</v>
      </c>
      <c r="Q925" s="304">
        <f t="shared" si="31"/>
        <v>0</v>
      </c>
      <c r="R925" s="308"/>
    </row>
    <row r="926" spans="2:18" ht="15" hidden="1" thickTop="1">
      <c r="B926" s="269">
        <v>46234</v>
      </c>
      <c r="C926" s="268" t="s">
        <v>657</v>
      </c>
      <c r="D926" s="274">
        <f>IFERROR(VLOOKUP(C926,'Data Lokasi'!C:D,2,0),"")</f>
        <v>7.73</v>
      </c>
      <c r="E926" s="274" t="s">
        <v>2642</v>
      </c>
      <c r="F926" s="274"/>
      <c r="G926" s="274"/>
      <c r="H926" s="274"/>
      <c r="I926" s="274">
        <v>0.04</v>
      </c>
      <c r="J926" s="456">
        <f t="shared" si="30"/>
        <v>0.04</v>
      </c>
      <c r="K926" s="583"/>
      <c r="L926" s="268" t="s">
        <v>2625</v>
      </c>
      <c r="M926" s="268" t="s">
        <v>2634</v>
      </c>
      <c r="N926" s="278">
        <f>IFERROR(INDEX('Data Lokasi'!S:S,MATCH('Input Real Tanam&amp;Petik Nanas'!C926,'Data Lokasi'!C:C,0)),"")</f>
        <v>45003</v>
      </c>
      <c r="O926" s="278"/>
      <c r="P926" s="283">
        <f>IFERROR(INDEX('Data Lokasi'!V:V,MATCH(C926,'Data Lokasi'!C:C,0)),"")</f>
        <v>0</v>
      </c>
      <c r="Q926" s="304">
        <f t="shared" si="31"/>
        <v>0</v>
      </c>
      <c r="R926" s="308"/>
    </row>
    <row r="927" spans="2:18" ht="15" hidden="1" thickTop="1">
      <c r="B927" s="269">
        <v>46234</v>
      </c>
      <c r="C927" s="268" t="s">
        <v>680</v>
      </c>
      <c r="D927" s="274">
        <f>IFERROR(VLOOKUP(C927,'Data Lokasi'!C:D,2,0),"")</f>
        <v>5</v>
      </c>
      <c r="E927" s="274" t="s">
        <v>2642</v>
      </c>
      <c r="F927" s="274"/>
      <c r="G927" s="274"/>
      <c r="H927" s="274"/>
      <c r="I927" s="274">
        <v>0.04</v>
      </c>
      <c r="J927" s="456">
        <f t="shared" si="30"/>
        <v>0.04</v>
      </c>
      <c r="K927" s="583"/>
      <c r="L927" s="268" t="s">
        <v>2625</v>
      </c>
      <c r="M927" s="268" t="s">
        <v>2634</v>
      </c>
      <c r="N927" s="278">
        <f>IFERROR(INDEX('Data Lokasi'!S:S,MATCH('Input Real Tanam&amp;Petik Nanas'!C927,'Data Lokasi'!C:C,0)),"")</f>
        <v>45093</v>
      </c>
      <c r="O927" s="278"/>
      <c r="P927" s="283">
        <f>IFERROR(INDEX('Data Lokasi'!V:V,MATCH(C927,'Data Lokasi'!C:C,0)),"")</f>
        <v>0</v>
      </c>
      <c r="Q927" s="304">
        <f t="shared" si="31"/>
        <v>0</v>
      </c>
      <c r="R927" s="308"/>
    </row>
    <row r="928" spans="2:18" ht="15" hidden="1" thickTop="1">
      <c r="B928" s="269">
        <v>46234</v>
      </c>
      <c r="C928" s="268" t="s">
        <v>263</v>
      </c>
      <c r="D928" s="274">
        <f>IFERROR(VLOOKUP(C928,'Data Lokasi'!C:D,2,0),"")</f>
        <v>7.7</v>
      </c>
      <c r="E928" s="274" t="s">
        <v>2642</v>
      </c>
      <c r="F928" s="274"/>
      <c r="G928" s="274"/>
      <c r="H928" s="274"/>
      <c r="I928" s="274">
        <v>0.03</v>
      </c>
      <c r="J928" s="456">
        <f t="shared" si="30"/>
        <v>0.03</v>
      </c>
      <c r="K928" s="583"/>
      <c r="L928" s="268" t="s">
        <v>2625</v>
      </c>
      <c r="M928" s="268" t="s">
        <v>2634</v>
      </c>
      <c r="N928" s="278">
        <f>IFERROR(INDEX('Data Lokasi'!S:S,MATCH('Input Real Tanam&amp;Petik Nanas'!C928,'Data Lokasi'!C:C,0)),"")</f>
        <v>44079</v>
      </c>
      <c r="O928" s="278"/>
      <c r="P928" s="283">
        <f>IFERROR(INDEX('Data Lokasi'!V:V,MATCH(C928,'Data Lokasi'!C:C,0)),"")</f>
        <v>0</v>
      </c>
      <c r="Q928" s="304">
        <f t="shared" si="31"/>
        <v>0</v>
      </c>
      <c r="R928" s="308"/>
    </row>
    <row r="929" spans="2:18" ht="15" hidden="1" thickTop="1">
      <c r="B929" s="269">
        <v>46234</v>
      </c>
      <c r="C929" s="268" t="s">
        <v>320</v>
      </c>
      <c r="D929" s="274">
        <f>IFERROR(VLOOKUP(C929,'Data Lokasi'!C:D,2,0),"")</f>
        <v>9.0299999999999994</v>
      </c>
      <c r="E929" s="274" t="s">
        <v>2642</v>
      </c>
      <c r="F929" s="274"/>
      <c r="G929" s="274"/>
      <c r="H929" s="274">
        <v>0.12</v>
      </c>
      <c r="I929" s="274"/>
      <c r="J929" s="456">
        <f t="shared" si="30"/>
        <v>0.12</v>
      </c>
      <c r="K929" s="583"/>
      <c r="L929" s="268" t="s">
        <v>719</v>
      </c>
      <c r="M929" s="268" t="s">
        <v>2634</v>
      </c>
      <c r="N929" s="278">
        <f>IFERROR(INDEX('Data Lokasi'!S:S,MATCH('Input Real Tanam&amp;Petik Nanas'!C929,'Data Lokasi'!C:C,0)),"")</f>
        <v>44216</v>
      </c>
      <c r="O929" s="278"/>
      <c r="P929" s="283">
        <f>IFERROR(INDEX('Data Lokasi'!V:V,MATCH(C929,'Data Lokasi'!C:C,0)),"")</f>
        <v>0</v>
      </c>
      <c r="Q929" s="304">
        <f t="shared" si="31"/>
        <v>0</v>
      </c>
      <c r="R929" s="308"/>
    </row>
    <row r="930" spans="2:18" ht="15" hidden="1" thickTop="1">
      <c r="B930" s="269">
        <v>46234</v>
      </c>
      <c r="C930" s="268" t="s">
        <v>665</v>
      </c>
      <c r="D930" s="274">
        <f>IFERROR(VLOOKUP(C930,'Data Lokasi'!C:D,2,0),"")</f>
        <v>4.68</v>
      </c>
      <c r="E930" s="274" t="s">
        <v>2642</v>
      </c>
      <c r="F930" s="274"/>
      <c r="G930" s="274"/>
      <c r="H930" s="274"/>
      <c r="I930" s="274">
        <v>0.03</v>
      </c>
      <c r="J930" s="456">
        <f t="shared" si="30"/>
        <v>0.03</v>
      </c>
      <c r="K930" s="583"/>
      <c r="L930" s="268" t="s">
        <v>2625</v>
      </c>
      <c r="M930" s="268" t="s">
        <v>2634</v>
      </c>
      <c r="N930" s="278">
        <f>IFERROR(INDEX('Data Lokasi'!S:S,MATCH('Input Real Tanam&amp;Petik Nanas'!C930,'Data Lokasi'!C:C,0)),"")</f>
        <v>45061</v>
      </c>
      <c r="O930" s="278"/>
      <c r="P930" s="283">
        <f>IFERROR(INDEX('Data Lokasi'!V:V,MATCH(C930,'Data Lokasi'!C:C,0)),"")</f>
        <v>0</v>
      </c>
      <c r="Q930" s="304">
        <f t="shared" si="31"/>
        <v>0</v>
      </c>
      <c r="R930" s="308"/>
    </row>
    <row r="931" spans="2:18" ht="15" hidden="1" thickTop="1">
      <c r="B931" s="269">
        <v>46234</v>
      </c>
      <c r="C931" s="268" t="s">
        <v>623</v>
      </c>
      <c r="D931" s="274">
        <f>IFERROR(VLOOKUP(C931,'Data Lokasi'!C:D,2,0),"")</f>
        <v>4.07</v>
      </c>
      <c r="E931" s="274" t="s">
        <v>2642</v>
      </c>
      <c r="F931" s="274"/>
      <c r="G931" s="274"/>
      <c r="H931" s="274"/>
      <c r="I931" s="274">
        <v>0.03</v>
      </c>
      <c r="J931" s="456">
        <f t="shared" si="30"/>
        <v>0.03</v>
      </c>
      <c r="K931" s="583"/>
      <c r="L931" s="268" t="s">
        <v>2625</v>
      </c>
      <c r="M931" s="268" t="s">
        <v>2634</v>
      </c>
      <c r="N931" s="278">
        <f>IFERROR(INDEX('Data Lokasi'!S:S,MATCH('Input Real Tanam&amp;Petik Nanas'!C931,'Data Lokasi'!C:C,0)),"")</f>
        <v>44863</v>
      </c>
      <c r="O931" s="278"/>
      <c r="P931" s="283">
        <f>IFERROR(INDEX('Data Lokasi'!V:V,MATCH(C931,'Data Lokasi'!C:C,0)),"")</f>
        <v>0</v>
      </c>
      <c r="Q931" s="304">
        <f t="shared" si="31"/>
        <v>0</v>
      </c>
      <c r="R931" s="308"/>
    </row>
    <row r="932" spans="2:18" ht="15" hidden="1" thickTop="1">
      <c r="B932" s="269">
        <v>46234</v>
      </c>
      <c r="C932" s="268" t="s">
        <v>441</v>
      </c>
      <c r="D932" s="274">
        <f>IFERROR(VLOOKUP(C932,'Data Lokasi'!C:D,2,0),"")</f>
        <v>11.2</v>
      </c>
      <c r="E932" s="274" t="s">
        <v>2643</v>
      </c>
      <c r="F932" s="274">
        <v>0.04</v>
      </c>
      <c r="G932" s="274">
        <v>0.02</v>
      </c>
      <c r="H932" s="274">
        <v>0.02</v>
      </c>
      <c r="I932" s="274"/>
      <c r="J932" s="456">
        <f t="shared" si="30"/>
        <v>0.08</v>
      </c>
      <c r="K932" s="583"/>
      <c r="L932" s="268" t="s">
        <v>719</v>
      </c>
      <c r="M932" s="268" t="s">
        <v>2631</v>
      </c>
      <c r="N932" s="278">
        <f>IFERROR(INDEX('Data Lokasi'!S:S,MATCH('Input Real Tanam&amp;Petik Nanas'!C932,'Data Lokasi'!C:C,0)),"")</f>
        <v>44429</v>
      </c>
      <c r="O932" s="278"/>
      <c r="P932" s="283">
        <f>IFERROR(INDEX('Data Lokasi'!V:V,MATCH(C932,'Data Lokasi'!C:C,0)),"")</f>
        <v>0</v>
      </c>
      <c r="Q932" s="304">
        <f t="shared" si="31"/>
        <v>0</v>
      </c>
      <c r="R932" s="308">
        <v>3</v>
      </c>
    </row>
    <row r="933" spans="2:18" ht="15" hidden="1" thickTop="1">
      <c r="B933" s="269">
        <v>46234</v>
      </c>
      <c r="C933" s="268" t="s">
        <v>19</v>
      </c>
      <c r="D933" s="274">
        <f>IFERROR(VLOOKUP(C933,'Data Lokasi'!C:D,2,0),"")</f>
        <v>9.15</v>
      </c>
      <c r="E933" s="274" t="s">
        <v>2643</v>
      </c>
      <c r="F933" s="274"/>
      <c r="G933" s="274"/>
      <c r="H933" s="274"/>
      <c r="I933" s="274">
        <v>1.97</v>
      </c>
      <c r="J933" s="456">
        <f t="shared" si="30"/>
        <v>1.97</v>
      </c>
      <c r="K933" s="583"/>
      <c r="L933" s="268" t="s">
        <v>2625</v>
      </c>
      <c r="M933" s="268" t="s">
        <v>2631</v>
      </c>
      <c r="N933" s="278">
        <f>IFERROR(INDEX('Data Lokasi'!S:S,MATCH('Input Real Tanam&amp;Petik Nanas'!C933,'Data Lokasi'!C:C,0)),"")</f>
        <v>44713</v>
      </c>
      <c r="O933" s="278"/>
      <c r="P933" s="283">
        <f>IFERROR(INDEX('Data Lokasi'!V:V,MATCH(C933,'Data Lokasi'!C:C,0)),"")</f>
        <v>0</v>
      </c>
      <c r="Q933" s="304">
        <f t="shared" si="31"/>
        <v>0</v>
      </c>
      <c r="R933" s="308"/>
    </row>
    <row r="934" spans="2:18" ht="15" hidden="1" thickTop="1">
      <c r="B934" s="269">
        <v>46233</v>
      </c>
      <c r="C934" s="268" t="s">
        <v>441</v>
      </c>
      <c r="D934" s="274">
        <f>IFERROR(VLOOKUP(C934,'Data Lokasi'!C:D,2,0),"")</f>
        <v>11.2</v>
      </c>
      <c r="E934" s="274" t="s">
        <v>2643</v>
      </c>
      <c r="F934" s="274">
        <v>0.04</v>
      </c>
      <c r="G934" s="274">
        <v>0.03</v>
      </c>
      <c r="H934" s="274">
        <v>0.03</v>
      </c>
      <c r="I934" s="274"/>
      <c r="J934" s="456">
        <f t="shared" si="30"/>
        <v>0.1</v>
      </c>
      <c r="K934" s="583"/>
      <c r="L934" s="268" t="s">
        <v>719</v>
      </c>
      <c r="M934" s="268" t="s">
        <v>2631</v>
      </c>
      <c r="N934" s="278">
        <f>IFERROR(INDEX('Data Lokasi'!S:S,MATCH('Input Real Tanam&amp;Petik Nanas'!C934,'Data Lokasi'!C:C,0)),"")</f>
        <v>44429</v>
      </c>
      <c r="O934" s="278"/>
      <c r="P934" s="283">
        <f>IFERROR(INDEX('Data Lokasi'!V:V,MATCH(C934,'Data Lokasi'!C:C,0)),"")</f>
        <v>0</v>
      </c>
      <c r="Q934" s="304">
        <f t="shared" si="31"/>
        <v>0</v>
      </c>
      <c r="R934" s="308">
        <v>3</v>
      </c>
    </row>
    <row r="935" spans="2:18" ht="15" hidden="1" thickTop="1">
      <c r="B935" s="269">
        <v>46233</v>
      </c>
      <c r="C935" s="268" t="s">
        <v>519</v>
      </c>
      <c r="D935" s="274">
        <f>IFERROR(VLOOKUP(C935,'Data Lokasi'!C:D,2,0),"")</f>
        <v>6.48</v>
      </c>
      <c r="E935" s="274" t="s">
        <v>2643</v>
      </c>
      <c r="F935" s="274"/>
      <c r="G935" s="274"/>
      <c r="H935" s="274"/>
      <c r="I935" s="274">
        <v>2.21</v>
      </c>
      <c r="J935" s="456">
        <f t="shared" si="30"/>
        <v>2.21</v>
      </c>
      <c r="K935" s="583"/>
      <c r="L935" s="268" t="s">
        <v>2625</v>
      </c>
      <c r="M935" s="268" t="s">
        <v>2631</v>
      </c>
      <c r="N935" s="278">
        <f>IFERROR(INDEX('Data Lokasi'!S:S,MATCH('Input Real Tanam&amp;Petik Nanas'!C935,'Data Lokasi'!C:C,0)),"")</f>
        <v>44610</v>
      </c>
      <c r="O935" s="278"/>
      <c r="P935" s="283">
        <f>IFERROR(INDEX('Data Lokasi'!V:V,MATCH(C935,'Data Lokasi'!C:C,0)),"")</f>
        <v>0</v>
      </c>
      <c r="Q935" s="304">
        <f t="shared" si="31"/>
        <v>0</v>
      </c>
      <c r="R935" s="308"/>
    </row>
    <row r="936" spans="2:18" ht="15" hidden="1" thickTop="1">
      <c r="B936" s="269">
        <v>46235</v>
      </c>
      <c r="C936" s="268" t="s">
        <v>636</v>
      </c>
      <c r="D936" s="274">
        <f>IFERROR(VLOOKUP(C936,'Data Lokasi'!C:D,2,0),"")</f>
        <v>6</v>
      </c>
      <c r="E936" s="274" t="s">
        <v>2642</v>
      </c>
      <c r="F936" s="274"/>
      <c r="G936" s="274"/>
      <c r="H936" s="274"/>
      <c r="I936" s="274">
        <v>0.09</v>
      </c>
      <c r="J936" s="456">
        <f t="shared" si="30"/>
        <v>0.09</v>
      </c>
      <c r="K936" s="583"/>
      <c r="L936" s="268" t="s">
        <v>2625</v>
      </c>
      <c r="M936" s="268" t="s">
        <v>2631</v>
      </c>
      <c r="N936" s="278">
        <f>IFERROR(INDEX('Data Lokasi'!S:S,MATCH('Input Real Tanam&amp;Petik Nanas'!C936,'Data Lokasi'!C:C,0)),"")</f>
        <v>44915</v>
      </c>
      <c r="O936" s="278"/>
      <c r="P936" s="283">
        <f>IFERROR(INDEX('Data Lokasi'!V:V,MATCH(C936,'Data Lokasi'!C:C,0)),"")</f>
        <v>0</v>
      </c>
      <c r="Q936" s="304">
        <f t="shared" si="31"/>
        <v>0</v>
      </c>
      <c r="R936" s="308"/>
    </row>
    <row r="937" spans="2:18" ht="15" hidden="1" thickTop="1">
      <c r="B937" s="269">
        <v>46235</v>
      </c>
      <c r="C937" s="268" t="s">
        <v>708</v>
      </c>
      <c r="D937" s="274">
        <f>IFERROR(VLOOKUP(C937,'Data Lokasi'!C:D,2,0),"")</f>
        <v>7.54</v>
      </c>
      <c r="E937" s="274" t="s">
        <v>2642</v>
      </c>
      <c r="F937" s="274"/>
      <c r="G937" s="274"/>
      <c r="H937" s="274"/>
      <c r="I937" s="274">
        <v>0.78</v>
      </c>
      <c r="J937" s="456">
        <f t="shared" si="30"/>
        <v>0.78</v>
      </c>
      <c r="K937" s="583"/>
      <c r="L937" s="268" t="s">
        <v>2625</v>
      </c>
      <c r="M937" s="268" t="s">
        <v>2631</v>
      </c>
      <c r="N937" s="278">
        <f>IFERROR(INDEX('Data Lokasi'!S:S,MATCH('Input Real Tanam&amp;Petik Nanas'!C937,'Data Lokasi'!C:C,0)),"")</f>
        <v>45240</v>
      </c>
      <c r="O937" s="278"/>
      <c r="P937" s="283">
        <f>IFERROR(INDEX('Data Lokasi'!V:V,MATCH(C937,'Data Lokasi'!C:C,0)),"")</f>
        <v>0</v>
      </c>
      <c r="Q937" s="304">
        <f t="shared" si="31"/>
        <v>0</v>
      </c>
      <c r="R937" s="308"/>
    </row>
    <row r="938" spans="2:18" ht="15" hidden="1" thickTop="1">
      <c r="B938" s="269">
        <v>46235</v>
      </c>
      <c r="C938" s="268" t="s">
        <v>705</v>
      </c>
      <c r="D938" s="274">
        <f>IFERROR(VLOOKUP(C938,'Data Lokasi'!C:D,2,0),"")</f>
        <v>7.67</v>
      </c>
      <c r="E938" s="274" t="s">
        <v>2642</v>
      </c>
      <c r="F938" s="274"/>
      <c r="G938" s="274"/>
      <c r="H938" s="274"/>
      <c r="I938" s="274">
        <v>0.12</v>
      </c>
      <c r="J938" s="456">
        <f t="shared" si="30"/>
        <v>0.12</v>
      </c>
      <c r="K938" s="583"/>
      <c r="L938" s="268" t="s">
        <v>2625</v>
      </c>
      <c r="M938" s="268" t="s">
        <v>2631</v>
      </c>
      <c r="N938" s="278">
        <f>IFERROR(INDEX('Data Lokasi'!S:S,MATCH('Input Real Tanam&amp;Petik Nanas'!C938,'Data Lokasi'!C:C,0)),"")</f>
        <v>45202</v>
      </c>
      <c r="O938" s="278"/>
      <c r="P938" s="283">
        <f>IFERROR(INDEX('Data Lokasi'!V:V,MATCH(C938,'Data Lokasi'!C:C,0)),"")</f>
        <v>0</v>
      </c>
      <c r="Q938" s="304">
        <f t="shared" si="31"/>
        <v>0</v>
      </c>
      <c r="R938" s="308"/>
    </row>
    <row r="939" spans="2:18" ht="15" hidden="1" thickTop="1">
      <c r="B939" s="269">
        <v>46235</v>
      </c>
      <c r="C939" s="268" t="s">
        <v>701</v>
      </c>
      <c r="D939" s="274">
        <f>IFERROR(VLOOKUP(C939,'Data Lokasi'!C:D,2,0),"")</f>
        <v>6.03</v>
      </c>
      <c r="E939" s="274" t="s">
        <v>2642</v>
      </c>
      <c r="F939" s="274"/>
      <c r="G939" s="274"/>
      <c r="H939" s="274"/>
      <c r="I939" s="274">
        <f>0.25-0.06</f>
        <v>0.19</v>
      </c>
      <c r="J939" s="456">
        <f t="shared" si="30"/>
        <v>0.19</v>
      </c>
      <c r="K939" s="583"/>
      <c r="L939" s="268" t="s">
        <v>2625</v>
      </c>
      <c r="M939" s="268" t="s">
        <v>2631</v>
      </c>
      <c r="N939" s="278">
        <f>IFERROR(INDEX('Data Lokasi'!S:S,MATCH('Input Real Tanam&amp;Petik Nanas'!C939,'Data Lokasi'!C:C,0)),"")</f>
        <v>45185</v>
      </c>
      <c r="O939" s="278"/>
      <c r="P939" s="283">
        <f>IFERROR(INDEX('Data Lokasi'!V:V,MATCH(C939,'Data Lokasi'!C:C,0)),"")</f>
        <v>0</v>
      </c>
      <c r="Q939" s="304">
        <f t="shared" si="31"/>
        <v>0</v>
      </c>
      <c r="R939" s="308"/>
    </row>
    <row r="940" spans="2:18" ht="15" hidden="1" thickTop="1">
      <c r="B940" s="269">
        <v>46235</v>
      </c>
      <c r="C940" s="268" t="s">
        <v>695</v>
      </c>
      <c r="D940" s="274">
        <f>IFERROR(VLOOKUP(C940,'Data Lokasi'!C:D,2,0),"")</f>
        <v>5</v>
      </c>
      <c r="E940" s="274" t="s">
        <v>2642</v>
      </c>
      <c r="F940" s="274"/>
      <c r="G940" s="274"/>
      <c r="H940" s="274"/>
      <c r="I940" s="274">
        <v>0.22</v>
      </c>
      <c r="J940" s="456">
        <f t="shared" si="30"/>
        <v>0.22</v>
      </c>
      <c r="K940" s="583"/>
      <c r="L940" s="268" t="s">
        <v>2625</v>
      </c>
      <c r="M940" s="268" t="s">
        <v>2631</v>
      </c>
      <c r="N940" s="278">
        <f>IFERROR(INDEX('Data Lokasi'!S:S,MATCH('Input Real Tanam&amp;Petik Nanas'!C940,'Data Lokasi'!C:C,0)),"")</f>
        <v>45117</v>
      </c>
      <c r="O940" s="278"/>
      <c r="P940" s="283">
        <f>IFERROR(INDEX('Data Lokasi'!V:V,MATCH(C940,'Data Lokasi'!C:C,0)),"")</f>
        <v>0</v>
      </c>
      <c r="Q940" s="304">
        <f t="shared" si="31"/>
        <v>0</v>
      </c>
      <c r="R940" s="308"/>
    </row>
    <row r="941" spans="2:18" ht="15" hidden="1" thickTop="1">
      <c r="B941" s="269">
        <v>46235</v>
      </c>
      <c r="C941" s="268" t="s">
        <v>110</v>
      </c>
      <c r="D941" s="274">
        <f>IFERROR(VLOOKUP(C941,'Data Lokasi'!C:D,2,0),"")</f>
        <v>9</v>
      </c>
      <c r="E941" s="274" t="s">
        <v>2642</v>
      </c>
      <c r="F941" s="274"/>
      <c r="G941" s="274"/>
      <c r="H941" s="274"/>
      <c r="I941" s="274">
        <v>0.51</v>
      </c>
      <c r="J941" s="456">
        <f t="shared" si="30"/>
        <v>0.51</v>
      </c>
      <c r="K941" s="583"/>
      <c r="L941" s="268" t="s">
        <v>2625</v>
      </c>
      <c r="M941" s="268" t="s">
        <v>2631</v>
      </c>
      <c r="N941" s="278">
        <f>IFERROR(INDEX('Data Lokasi'!S:S,MATCH('Input Real Tanam&amp;Petik Nanas'!C941,'Data Lokasi'!C:C,0)),"")</f>
        <v>44193</v>
      </c>
      <c r="O941" s="278"/>
      <c r="P941" s="283">
        <f>IFERROR(INDEX('Data Lokasi'!V:V,MATCH(C941,'Data Lokasi'!C:C,0)),"")</f>
        <v>0</v>
      </c>
      <c r="Q941" s="304">
        <f t="shared" si="31"/>
        <v>0</v>
      </c>
      <c r="R941" s="308"/>
    </row>
    <row r="942" spans="2:18" ht="15" hidden="1" thickTop="1">
      <c r="B942" s="269">
        <v>46235</v>
      </c>
      <c r="C942" s="268" t="s">
        <v>244</v>
      </c>
      <c r="D942" s="274">
        <f>IFERROR(VLOOKUP(C942,'Data Lokasi'!C:D,2,0),"")</f>
        <v>11.05</v>
      </c>
      <c r="E942" s="274" t="s">
        <v>2642</v>
      </c>
      <c r="F942" s="274"/>
      <c r="G942" s="274"/>
      <c r="H942" s="274"/>
      <c r="I942" s="274">
        <v>0.08</v>
      </c>
      <c r="J942" s="456">
        <f t="shared" si="30"/>
        <v>0.08</v>
      </c>
      <c r="K942" s="583"/>
      <c r="L942" s="268" t="s">
        <v>2625</v>
      </c>
      <c r="M942" s="268" t="s">
        <v>2631</v>
      </c>
      <c r="N942" s="278">
        <f>IFERROR(INDEX('Data Lokasi'!S:S,MATCH('Input Real Tanam&amp;Petik Nanas'!C942,'Data Lokasi'!C:C,0)),"")</f>
        <v>44025</v>
      </c>
      <c r="O942" s="278"/>
      <c r="P942" s="283">
        <f>IFERROR(INDEX('Data Lokasi'!V:V,MATCH(C942,'Data Lokasi'!C:C,0)),"")</f>
        <v>0</v>
      </c>
      <c r="Q942" s="304">
        <f t="shared" si="31"/>
        <v>0</v>
      </c>
      <c r="R942" s="308"/>
    </row>
    <row r="943" spans="2:18" ht="15" hidden="1" thickTop="1">
      <c r="B943" s="269">
        <v>46235</v>
      </c>
      <c r="C943" s="268" t="s">
        <v>697</v>
      </c>
      <c r="D943" s="274">
        <f>IFERROR(VLOOKUP(C943,'Data Lokasi'!C:D,2,0),"")</f>
        <v>4.16</v>
      </c>
      <c r="E943" s="274" t="s">
        <v>2642</v>
      </c>
      <c r="F943" s="274"/>
      <c r="G943" s="274"/>
      <c r="H943" s="274"/>
      <c r="I943" s="274">
        <v>0.45</v>
      </c>
      <c r="J943" s="456">
        <f t="shared" si="30"/>
        <v>0.45</v>
      </c>
      <c r="K943" s="583"/>
      <c r="L943" s="268" t="s">
        <v>2625</v>
      </c>
      <c r="M943" s="268" t="s">
        <v>2631</v>
      </c>
      <c r="N943" s="278">
        <f>IFERROR(INDEX('Data Lokasi'!S:S,MATCH('Input Real Tanam&amp;Petik Nanas'!C943,'Data Lokasi'!C:C,0)),"")</f>
        <v>45159</v>
      </c>
      <c r="O943" s="278"/>
      <c r="P943" s="283">
        <f>IFERROR(INDEX('Data Lokasi'!V:V,MATCH(C943,'Data Lokasi'!C:C,0)),"")</f>
        <v>0</v>
      </c>
      <c r="Q943" s="304">
        <f t="shared" si="31"/>
        <v>0</v>
      </c>
      <c r="R943" s="308"/>
    </row>
    <row r="944" spans="2:18" ht="15" hidden="1" thickTop="1">
      <c r="B944" s="269">
        <v>46235</v>
      </c>
      <c r="C944" s="268" t="s">
        <v>294</v>
      </c>
      <c r="D944" s="274">
        <f>IFERROR(VLOOKUP(C944,'Data Lokasi'!C:D,2,0),"")</f>
        <v>6.93</v>
      </c>
      <c r="E944" s="274" t="s">
        <v>2642</v>
      </c>
      <c r="F944" s="274"/>
      <c r="G944" s="274"/>
      <c r="H944" s="274">
        <v>0.44</v>
      </c>
      <c r="I944" s="274"/>
      <c r="J944" s="456">
        <f t="shared" si="30"/>
        <v>0.44</v>
      </c>
      <c r="K944" s="583"/>
      <c r="L944" s="268" t="s">
        <v>719</v>
      </c>
      <c r="M944" s="268" t="s">
        <v>2634</v>
      </c>
      <c r="N944" s="278">
        <f>IFERROR(INDEX('Data Lokasi'!S:S,MATCH('Input Real Tanam&amp;Petik Nanas'!C944,'Data Lokasi'!C:C,0)),"")</f>
        <v>44139</v>
      </c>
      <c r="O944" s="278"/>
      <c r="P944" s="283">
        <f>IFERROR(INDEX('Data Lokasi'!V:V,MATCH(C944,'Data Lokasi'!C:C,0)),"")</f>
        <v>0</v>
      </c>
      <c r="Q944" s="304">
        <f t="shared" si="31"/>
        <v>0</v>
      </c>
      <c r="R944" s="308"/>
    </row>
    <row r="945" spans="2:18" ht="15" hidden="1" thickTop="1">
      <c r="B945" s="269">
        <v>46235</v>
      </c>
      <c r="C945" s="268" t="s">
        <v>684</v>
      </c>
      <c r="D945" s="274">
        <f>IFERROR(VLOOKUP(C945,'Data Lokasi'!C:D,2,0),"")</f>
        <v>8.8699999999999992</v>
      </c>
      <c r="E945" s="274" t="s">
        <v>2642</v>
      </c>
      <c r="F945" s="274"/>
      <c r="G945" s="274"/>
      <c r="H945" s="274"/>
      <c r="I945" s="274">
        <v>0.33</v>
      </c>
      <c r="J945" s="456">
        <f t="shared" si="30"/>
        <v>0.33</v>
      </c>
      <c r="K945" s="583"/>
      <c r="L945" s="268" t="s">
        <v>2625</v>
      </c>
      <c r="M945" s="268" t="s">
        <v>2634</v>
      </c>
      <c r="N945" s="278">
        <f>IFERROR(INDEX('Data Lokasi'!S:S,MATCH('Input Real Tanam&amp;Petik Nanas'!C945,'Data Lokasi'!C:C,0)),"")</f>
        <v>45090</v>
      </c>
      <c r="O945" s="278"/>
      <c r="P945" s="283">
        <f>IFERROR(INDEX('Data Lokasi'!V:V,MATCH(C945,'Data Lokasi'!C:C,0)),"")</f>
        <v>0</v>
      </c>
      <c r="Q945" s="304">
        <f t="shared" si="31"/>
        <v>0</v>
      </c>
      <c r="R945" s="308"/>
    </row>
    <row r="946" spans="2:18" ht="15" hidden="1" thickTop="1">
      <c r="B946" s="269">
        <v>46235</v>
      </c>
      <c r="C946" s="268" t="s">
        <v>657</v>
      </c>
      <c r="D946" s="274">
        <f>IFERROR(VLOOKUP(C946,'Data Lokasi'!C:D,2,0),"")</f>
        <v>7.73</v>
      </c>
      <c r="E946" s="274" t="s">
        <v>2642</v>
      </c>
      <c r="F946" s="274"/>
      <c r="G946" s="274"/>
      <c r="H946" s="274"/>
      <c r="I946" s="274">
        <v>0.08</v>
      </c>
      <c r="J946" s="456">
        <f t="shared" si="30"/>
        <v>0.08</v>
      </c>
      <c r="K946" s="583"/>
      <c r="L946" s="268" t="s">
        <v>2625</v>
      </c>
      <c r="M946" s="268" t="s">
        <v>2634</v>
      </c>
      <c r="N946" s="278">
        <f>IFERROR(INDEX('Data Lokasi'!S:S,MATCH('Input Real Tanam&amp;Petik Nanas'!C946,'Data Lokasi'!C:C,0)),"")</f>
        <v>45003</v>
      </c>
      <c r="O946" s="278"/>
      <c r="P946" s="283">
        <f>IFERROR(INDEX('Data Lokasi'!V:V,MATCH(C946,'Data Lokasi'!C:C,0)),"")</f>
        <v>0</v>
      </c>
      <c r="Q946" s="304">
        <f t="shared" si="31"/>
        <v>0</v>
      </c>
      <c r="R946" s="308"/>
    </row>
    <row r="947" spans="2:18" ht="15" hidden="1" thickTop="1">
      <c r="B947" s="269">
        <v>46235</v>
      </c>
      <c r="C947" s="268" t="s">
        <v>659</v>
      </c>
      <c r="D947" s="274">
        <f>IFERROR(VLOOKUP(C947,'Data Lokasi'!C:D,2,0),"")</f>
        <v>5.7</v>
      </c>
      <c r="E947" s="274" t="s">
        <v>2642</v>
      </c>
      <c r="F947" s="274"/>
      <c r="G947" s="274"/>
      <c r="H947" s="274"/>
      <c r="I947" s="274">
        <v>0.05</v>
      </c>
      <c r="J947" s="456">
        <f t="shared" si="30"/>
        <v>0.05</v>
      </c>
      <c r="K947" s="583"/>
      <c r="L947" s="268" t="s">
        <v>2625</v>
      </c>
      <c r="M947" s="268" t="s">
        <v>2634</v>
      </c>
      <c r="N947" s="278">
        <f>IFERROR(INDEX('Data Lokasi'!S:S,MATCH('Input Real Tanam&amp;Petik Nanas'!C947,'Data Lokasi'!C:C,0)),"")</f>
        <v>45010</v>
      </c>
      <c r="O947" s="278"/>
      <c r="P947" s="283">
        <f>IFERROR(INDEX('Data Lokasi'!V:V,MATCH(C947,'Data Lokasi'!C:C,0)),"")</f>
        <v>0</v>
      </c>
      <c r="Q947" s="304">
        <f t="shared" si="31"/>
        <v>0</v>
      </c>
      <c r="R947" s="308"/>
    </row>
    <row r="948" spans="2:18" ht="15" hidden="1" thickTop="1">
      <c r="B948" s="269">
        <v>46235</v>
      </c>
      <c r="C948" s="268" t="s">
        <v>196</v>
      </c>
      <c r="D948" s="274">
        <f>IFERROR(VLOOKUP(C948,'Data Lokasi'!C:D,2,0),"")</f>
        <v>11.7</v>
      </c>
      <c r="E948" s="274" t="s">
        <v>2642</v>
      </c>
      <c r="F948" s="274"/>
      <c r="G948" s="274"/>
      <c r="H948" s="274"/>
      <c r="I948" s="274">
        <v>0.15</v>
      </c>
      <c r="J948" s="456">
        <f t="shared" si="30"/>
        <v>0.15</v>
      </c>
      <c r="K948" s="583"/>
      <c r="L948" s="268" t="s">
        <v>2625</v>
      </c>
      <c r="M948" s="268" t="s">
        <v>2634</v>
      </c>
      <c r="N948" s="278">
        <f>IFERROR(INDEX('Data Lokasi'!S:S,MATCH('Input Real Tanam&amp;Petik Nanas'!C948,'Data Lokasi'!C:C,0)),"")</f>
        <v>43948</v>
      </c>
      <c r="O948" s="278"/>
      <c r="P948" s="283">
        <f>IFERROR(INDEX('Data Lokasi'!V:V,MATCH(C948,'Data Lokasi'!C:C,0)),"")</f>
        <v>0</v>
      </c>
      <c r="Q948" s="304">
        <f t="shared" si="31"/>
        <v>0</v>
      </c>
      <c r="R948" s="308"/>
    </row>
    <row r="949" spans="2:18" ht="15" hidden="1" thickTop="1">
      <c r="B949" s="269">
        <v>46235</v>
      </c>
      <c r="C949" s="268" t="s">
        <v>311</v>
      </c>
      <c r="D949" s="274">
        <f>IFERROR(VLOOKUP(C949,'Data Lokasi'!C:D,2,0),"")</f>
        <v>5.15</v>
      </c>
      <c r="E949" s="274" t="s">
        <v>2642</v>
      </c>
      <c r="F949" s="274"/>
      <c r="G949" s="274"/>
      <c r="H949" s="274"/>
      <c r="I949" s="274">
        <v>1.03</v>
      </c>
      <c r="J949" s="456">
        <f t="shared" si="30"/>
        <v>1.03</v>
      </c>
      <c r="K949" s="583"/>
      <c r="L949" s="268" t="s">
        <v>2625</v>
      </c>
      <c r="M949" s="268" t="s">
        <v>2634</v>
      </c>
      <c r="N949" s="278">
        <f>IFERROR(INDEX('Data Lokasi'!S:S,MATCH('Input Real Tanam&amp;Petik Nanas'!C949,'Data Lokasi'!C:C,0)),"")</f>
        <v>44175</v>
      </c>
      <c r="O949" s="278"/>
      <c r="P949" s="283">
        <f>IFERROR(INDEX('Data Lokasi'!V:V,MATCH(C949,'Data Lokasi'!C:C,0)),"")</f>
        <v>0</v>
      </c>
      <c r="Q949" s="304">
        <f t="shared" si="31"/>
        <v>0</v>
      </c>
      <c r="R949" s="308"/>
    </row>
    <row r="950" spans="2:18" ht="15" hidden="1" thickTop="1">
      <c r="B950" s="269">
        <v>46235</v>
      </c>
      <c r="C950" s="268" t="s">
        <v>234</v>
      </c>
      <c r="D950" s="274">
        <f>IFERROR(VLOOKUP(C950,'Data Lokasi'!C:D,2,0),"")</f>
        <v>5.85</v>
      </c>
      <c r="E950" s="274" t="s">
        <v>2642</v>
      </c>
      <c r="F950" s="274"/>
      <c r="G950" s="274"/>
      <c r="H950" s="274"/>
      <c r="I950" s="274">
        <f>0.04</f>
        <v>0.04</v>
      </c>
      <c r="J950" s="456">
        <f t="shared" si="30"/>
        <v>0.04</v>
      </c>
      <c r="K950" s="583"/>
      <c r="L950" s="268" t="s">
        <v>2625</v>
      </c>
      <c r="M950" s="268" t="s">
        <v>2634</v>
      </c>
      <c r="N950" s="278">
        <f>IFERROR(INDEX('Data Lokasi'!S:S,MATCH('Input Real Tanam&amp;Petik Nanas'!C950,'Data Lokasi'!C:C,0)),"")</f>
        <v>44038</v>
      </c>
      <c r="O950" s="278"/>
      <c r="P950" s="283">
        <f>IFERROR(INDEX('Data Lokasi'!V:V,MATCH(C950,'Data Lokasi'!C:C,0)),"")</f>
        <v>0</v>
      </c>
      <c r="Q950" s="304">
        <f t="shared" si="31"/>
        <v>0</v>
      </c>
      <c r="R950" s="308"/>
    </row>
    <row r="951" spans="2:18" ht="15" hidden="1" thickTop="1">
      <c r="B951" s="269">
        <v>46235</v>
      </c>
      <c r="C951" s="268" t="s">
        <v>1443</v>
      </c>
      <c r="D951" s="274">
        <f>IFERROR(VLOOKUP(C951,'Data Lokasi'!C:D,2,0),"")</f>
        <v>1.34</v>
      </c>
      <c r="E951" s="274" t="s">
        <v>2642</v>
      </c>
      <c r="F951" s="274"/>
      <c r="G951" s="274">
        <v>0.09</v>
      </c>
      <c r="H951" s="274"/>
      <c r="I951" s="274"/>
      <c r="J951" s="456">
        <f t="shared" si="30"/>
        <v>0.09</v>
      </c>
      <c r="K951" s="583"/>
      <c r="L951" s="268" t="s">
        <v>719</v>
      </c>
      <c r="M951" s="268" t="s">
        <v>2634</v>
      </c>
      <c r="N951" s="278">
        <f>IFERROR(INDEX('Data Lokasi'!S:S,MATCH('Input Real Tanam&amp;Petik Nanas'!C951,'Data Lokasi'!C:C,0)),"")</f>
        <v>46222</v>
      </c>
      <c r="O951" s="278"/>
      <c r="P951" s="283">
        <f>IFERROR(INDEX('Data Lokasi'!V:V,MATCH(C951,'Data Lokasi'!C:C,0)),"")</f>
        <v>0</v>
      </c>
      <c r="Q951" s="304">
        <f t="shared" si="31"/>
        <v>0</v>
      </c>
      <c r="R951" s="308"/>
    </row>
    <row r="952" spans="2:18" ht="15" hidden="1" thickTop="1">
      <c r="B952" s="269">
        <v>46235</v>
      </c>
      <c r="C952" s="268" t="s">
        <v>687</v>
      </c>
      <c r="D952" s="274">
        <f>IFERROR(VLOOKUP(C952,'Data Lokasi'!C:D,2,0),"")</f>
        <v>10.58</v>
      </c>
      <c r="E952" s="274" t="s">
        <v>2642</v>
      </c>
      <c r="F952" s="274"/>
      <c r="G952" s="274"/>
      <c r="H952" s="274"/>
      <c r="I952" s="274">
        <v>0.08</v>
      </c>
      <c r="J952" s="456">
        <f t="shared" si="30"/>
        <v>0.08</v>
      </c>
      <c r="K952" s="583"/>
      <c r="L952" s="268" t="s">
        <v>2625</v>
      </c>
      <c r="M952" s="268" t="s">
        <v>2634</v>
      </c>
      <c r="N952" s="278">
        <f>IFERROR(INDEX('Data Lokasi'!S:S,MATCH('Input Real Tanam&amp;Petik Nanas'!C952,'Data Lokasi'!C:C,0)),"")</f>
        <v>45105</v>
      </c>
      <c r="O952" s="278"/>
      <c r="P952" s="283">
        <f>IFERROR(INDEX('Data Lokasi'!V:V,MATCH(C952,'Data Lokasi'!C:C,0)),"")</f>
        <v>0</v>
      </c>
      <c r="Q952" s="304">
        <f t="shared" si="31"/>
        <v>0</v>
      </c>
      <c r="R952" s="308"/>
    </row>
    <row r="953" spans="2:18" ht="15" hidden="1" thickTop="1">
      <c r="B953" s="269">
        <v>46235</v>
      </c>
      <c r="C953" s="268" t="s">
        <v>512</v>
      </c>
      <c r="D953" s="274">
        <f>IFERROR(VLOOKUP(C953,'Data Lokasi'!C:D,2,0),"")</f>
        <v>9.14</v>
      </c>
      <c r="E953" s="274" t="s">
        <v>2643</v>
      </c>
      <c r="F953" s="274"/>
      <c r="G953" s="274"/>
      <c r="H953" s="274"/>
      <c r="I953" s="274">
        <v>1.31</v>
      </c>
      <c r="J953" s="456">
        <f t="shared" si="30"/>
        <v>1.31</v>
      </c>
      <c r="K953" s="583"/>
      <c r="L953" s="268" t="s">
        <v>2625</v>
      </c>
      <c r="M953" s="268" t="s">
        <v>2634</v>
      </c>
      <c r="N953" s="278">
        <f>IFERROR(INDEX('Data Lokasi'!S:S,MATCH('Input Real Tanam&amp;Petik Nanas'!C953,'Data Lokasi'!C:C,0)),"")</f>
        <v>44591</v>
      </c>
      <c r="O953" s="278"/>
      <c r="P953" s="283">
        <f>IFERROR(INDEX('Data Lokasi'!V:V,MATCH(C953,'Data Lokasi'!C:C,0)),"")</f>
        <v>0</v>
      </c>
      <c r="Q953" s="304">
        <f t="shared" si="31"/>
        <v>0</v>
      </c>
      <c r="R953" s="308"/>
    </row>
    <row r="954" spans="2:18" ht="15" hidden="1" thickTop="1">
      <c r="B954" s="269">
        <v>46235</v>
      </c>
      <c r="C954" s="268" t="s">
        <v>709</v>
      </c>
      <c r="D954" s="274">
        <f>IFERROR(VLOOKUP(C954,'Data Lokasi'!C:D,2,0),"")</f>
        <v>6.87</v>
      </c>
      <c r="E954" s="274" t="s">
        <v>2643</v>
      </c>
      <c r="F954" s="274"/>
      <c r="G954" s="274"/>
      <c r="H954" s="274"/>
      <c r="I954" s="274">
        <v>0.1</v>
      </c>
      <c r="J954" s="456">
        <f t="shared" si="30"/>
        <v>0.1</v>
      </c>
      <c r="K954" s="583"/>
      <c r="L954" s="268" t="s">
        <v>2625</v>
      </c>
      <c r="M954" s="268" t="s">
        <v>2634</v>
      </c>
      <c r="N954" s="278">
        <f>IFERROR(INDEX('Data Lokasi'!S:S,MATCH('Input Real Tanam&amp;Petik Nanas'!C954,'Data Lokasi'!C:C,0)),"")</f>
        <v>0</v>
      </c>
      <c r="O954" s="278"/>
      <c r="P954" s="283">
        <f>IFERROR(INDEX('Data Lokasi'!V:V,MATCH(C954,'Data Lokasi'!C:C,0)),"")</f>
        <v>0</v>
      </c>
      <c r="Q954" s="304">
        <f t="shared" si="31"/>
        <v>0</v>
      </c>
      <c r="R954" s="308"/>
    </row>
    <row r="955" spans="2:18" ht="15" hidden="1" thickTop="1">
      <c r="B955" s="269">
        <v>46235</v>
      </c>
      <c r="C955" s="268" t="s">
        <v>448</v>
      </c>
      <c r="D955" s="274">
        <f>IFERROR(VLOOKUP(C955,'Data Lokasi'!C:D,2,0),"")</f>
        <v>11.22</v>
      </c>
      <c r="E955" s="274" t="s">
        <v>2643</v>
      </c>
      <c r="F955" s="274"/>
      <c r="G955" s="274"/>
      <c r="H955" s="274"/>
      <c r="I955" s="274">
        <v>0.25</v>
      </c>
      <c r="J955" s="456">
        <f t="shared" si="30"/>
        <v>0.25</v>
      </c>
      <c r="K955" s="583"/>
      <c r="L955" s="268" t="s">
        <v>2625</v>
      </c>
      <c r="M955" s="268" t="s">
        <v>2634</v>
      </c>
      <c r="N955" s="278">
        <f>IFERROR(INDEX('Data Lokasi'!S:S,MATCH('Input Real Tanam&amp;Petik Nanas'!C955,'Data Lokasi'!C:C,0)),"")</f>
        <v>44456</v>
      </c>
      <c r="O955" s="278"/>
      <c r="P955" s="283">
        <f>IFERROR(INDEX('Data Lokasi'!V:V,MATCH(C955,'Data Lokasi'!C:C,0)),"")</f>
        <v>0</v>
      </c>
      <c r="Q955" s="304">
        <f t="shared" si="31"/>
        <v>0</v>
      </c>
      <c r="R955" s="308"/>
    </row>
    <row r="956" spans="2:18" ht="15" hidden="1" thickTop="1">
      <c r="B956" s="269">
        <v>46235</v>
      </c>
      <c r="C956" s="268" t="s">
        <v>499</v>
      </c>
      <c r="D956" s="274">
        <f>IFERROR(VLOOKUP(C956,'Data Lokasi'!C:D,2,0),"")</f>
        <v>6.82</v>
      </c>
      <c r="E956" s="274" t="s">
        <v>2643</v>
      </c>
      <c r="F956" s="274"/>
      <c r="G956" s="274"/>
      <c r="H956" s="274"/>
      <c r="I956" s="274">
        <v>0.21</v>
      </c>
      <c r="J956" s="456">
        <f t="shared" si="30"/>
        <v>0.21</v>
      </c>
      <c r="K956" s="583"/>
      <c r="L956" s="268" t="s">
        <v>2625</v>
      </c>
      <c r="M956" s="268" t="s">
        <v>2634</v>
      </c>
      <c r="N956" s="278">
        <f>IFERROR(INDEX('Data Lokasi'!S:S,MATCH('Input Real Tanam&amp;Petik Nanas'!C956,'Data Lokasi'!C:C,0)),"")</f>
        <v>44573</v>
      </c>
      <c r="O956" s="278"/>
      <c r="P956" s="283">
        <f>IFERROR(INDEX('Data Lokasi'!V:V,MATCH(C956,'Data Lokasi'!C:C,0)),"")</f>
        <v>0</v>
      </c>
      <c r="Q956" s="304">
        <f t="shared" si="31"/>
        <v>0</v>
      </c>
      <c r="R956" s="308"/>
    </row>
    <row r="957" spans="2:18" ht="15" hidden="1" thickTop="1">
      <c r="B957" s="269">
        <v>46235</v>
      </c>
      <c r="C957" s="268" t="s">
        <v>337</v>
      </c>
      <c r="D957" s="274">
        <f>IFERROR(VLOOKUP(C957,'Data Lokasi'!C:D,2,0),"")</f>
        <v>9.17</v>
      </c>
      <c r="E957" s="274" t="s">
        <v>2643</v>
      </c>
      <c r="F957" s="274"/>
      <c r="G957" s="274">
        <v>0.01</v>
      </c>
      <c r="H957" s="274">
        <f>0.03+0.11</f>
        <v>0.14000000000000001</v>
      </c>
      <c r="I957" s="274"/>
      <c r="J957" s="456">
        <f t="shared" si="30"/>
        <v>0.15000000000000002</v>
      </c>
      <c r="K957" s="583"/>
      <c r="L957" s="268" t="s">
        <v>719</v>
      </c>
      <c r="M957" s="268" t="s">
        <v>2631</v>
      </c>
      <c r="N957" s="278">
        <f>IFERROR(INDEX('Data Lokasi'!S:S,MATCH('Input Real Tanam&amp;Petik Nanas'!C957,'Data Lokasi'!C:C,0)),"")</f>
        <v>44250</v>
      </c>
      <c r="O957" s="278"/>
      <c r="P957" s="283">
        <f>IFERROR(INDEX('Data Lokasi'!V:V,MATCH(C957,'Data Lokasi'!C:C,0)),"")</f>
        <v>0</v>
      </c>
      <c r="Q957" s="304">
        <f t="shared" si="31"/>
        <v>0</v>
      </c>
      <c r="R957" s="308">
        <v>6</v>
      </c>
    </row>
    <row r="958" spans="2:18" ht="15" hidden="1" thickTop="1">
      <c r="B958" s="269">
        <v>46235</v>
      </c>
      <c r="C958" s="268" t="s">
        <v>534</v>
      </c>
      <c r="D958" s="274">
        <f>IFERROR(VLOOKUP(C958,'Data Lokasi'!C:D,2,0),"")</f>
        <v>6.6</v>
      </c>
      <c r="E958" s="274" t="s">
        <v>2643</v>
      </c>
      <c r="F958" s="274"/>
      <c r="G958" s="274">
        <v>0.04</v>
      </c>
      <c r="H958" s="274">
        <f>0.15+0.33</f>
        <v>0.48</v>
      </c>
      <c r="I958" s="274"/>
      <c r="J958" s="456">
        <f t="shared" si="30"/>
        <v>0.52</v>
      </c>
      <c r="K958" s="583"/>
      <c r="L958" s="268" t="s">
        <v>719</v>
      </c>
      <c r="M958" s="268" t="s">
        <v>2631</v>
      </c>
      <c r="N958" s="278">
        <f>IFERROR(INDEX('Data Lokasi'!S:S,MATCH('Input Real Tanam&amp;Petik Nanas'!C958,'Data Lokasi'!C:C,0)),"")</f>
        <v>44639</v>
      </c>
      <c r="O958" s="278"/>
      <c r="P958" s="283">
        <f>IFERROR(INDEX('Data Lokasi'!V:V,MATCH(C958,'Data Lokasi'!C:C,0)),"")</f>
        <v>0</v>
      </c>
      <c r="Q958" s="304">
        <f t="shared" si="31"/>
        <v>0</v>
      </c>
      <c r="R958" s="308">
        <v>3</v>
      </c>
    </row>
    <row r="959" spans="2:18" ht="15" hidden="1" thickTop="1">
      <c r="B959" s="269">
        <v>46235</v>
      </c>
      <c r="C959" s="268" t="s">
        <v>441</v>
      </c>
      <c r="D959" s="274">
        <f>IFERROR(VLOOKUP(C959,'Data Lokasi'!C:D,2,0),"")</f>
        <v>11.2</v>
      </c>
      <c r="E959" s="274" t="s">
        <v>2643</v>
      </c>
      <c r="F959" s="274"/>
      <c r="G959" s="274">
        <v>0.1</v>
      </c>
      <c r="H959" s="274">
        <f>0.23+0.21</f>
        <v>0.44</v>
      </c>
      <c r="I959" s="274"/>
      <c r="J959" s="456">
        <f t="shared" si="30"/>
        <v>0.54</v>
      </c>
      <c r="K959" s="583"/>
      <c r="L959" s="268" t="s">
        <v>719</v>
      </c>
      <c r="M959" s="268" t="s">
        <v>2631</v>
      </c>
      <c r="N959" s="278">
        <f>IFERROR(INDEX('Data Lokasi'!S:S,MATCH('Input Real Tanam&amp;Petik Nanas'!C959,'Data Lokasi'!C:C,0)),"")</f>
        <v>44429</v>
      </c>
      <c r="O959" s="278"/>
      <c r="P959" s="283">
        <f>IFERROR(INDEX('Data Lokasi'!V:V,MATCH(C959,'Data Lokasi'!C:C,0)),"")</f>
        <v>0</v>
      </c>
      <c r="Q959" s="304">
        <f t="shared" si="31"/>
        <v>0</v>
      </c>
      <c r="R959" s="308">
        <v>3</v>
      </c>
    </row>
    <row r="960" spans="2:18" ht="15" hidden="1" thickTop="1">
      <c r="B960" s="269">
        <v>46235</v>
      </c>
      <c r="C960" s="268" t="s">
        <v>19</v>
      </c>
      <c r="D960" s="274">
        <f>IFERROR(VLOOKUP(C960,'Data Lokasi'!C:D,2,0),"")</f>
        <v>9.15</v>
      </c>
      <c r="E960" s="274" t="s">
        <v>2643</v>
      </c>
      <c r="F960" s="274"/>
      <c r="G960" s="274"/>
      <c r="H960" s="274"/>
      <c r="I960" s="274">
        <v>2.6</v>
      </c>
      <c r="J960" s="456">
        <f t="shared" si="30"/>
        <v>2.6</v>
      </c>
      <c r="K960" s="583"/>
      <c r="L960" s="268" t="s">
        <v>2625</v>
      </c>
      <c r="M960" s="268" t="s">
        <v>2631</v>
      </c>
      <c r="N960" s="278">
        <f>IFERROR(INDEX('Data Lokasi'!S:S,MATCH('Input Real Tanam&amp;Petik Nanas'!C960,'Data Lokasi'!C:C,0)),"")</f>
        <v>44713</v>
      </c>
      <c r="O960" s="278"/>
      <c r="P960" s="283">
        <f>IFERROR(INDEX('Data Lokasi'!V:V,MATCH(C960,'Data Lokasi'!C:C,0)),"")</f>
        <v>0</v>
      </c>
      <c r="Q960" s="304">
        <f t="shared" si="31"/>
        <v>0</v>
      </c>
      <c r="R960" s="308"/>
    </row>
    <row r="961" spans="2:18" ht="15" hidden="1" thickTop="1">
      <c r="B961" s="269">
        <v>46236</v>
      </c>
      <c r="C961" s="268" t="s">
        <v>512</v>
      </c>
      <c r="D961" s="274">
        <f>IFERROR(VLOOKUP(C961,'Data Lokasi'!C:D,2,0),"")</f>
        <v>9.14</v>
      </c>
      <c r="E961" s="274" t="s">
        <v>2643</v>
      </c>
      <c r="F961" s="274"/>
      <c r="G961" s="274"/>
      <c r="H961" s="274"/>
      <c r="I961" s="274">
        <v>0.19</v>
      </c>
      <c r="J961" s="456">
        <f t="shared" si="30"/>
        <v>0.19</v>
      </c>
      <c r="K961" s="583"/>
      <c r="L961" s="268" t="s">
        <v>2625</v>
      </c>
      <c r="M961" s="268" t="s">
        <v>2634</v>
      </c>
      <c r="N961" s="278">
        <f>IFERROR(INDEX('Data Lokasi'!S:S,MATCH('Input Real Tanam&amp;Petik Nanas'!C961,'Data Lokasi'!C:C,0)),"")</f>
        <v>44591</v>
      </c>
      <c r="O961" s="278"/>
      <c r="P961" s="283">
        <f>IFERROR(INDEX('Data Lokasi'!V:V,MATCH(C961,'Data Lokasi'!C:C,0)),"")</f>
        <v>0</v>
      </c>
      <c r="Q961" s="304">
        <f t="shared" si="31"/>
        <v>0</v>
      </c>
      <c r="R961" s="308"/>
    </row>
    <row r="962" spans="2:18" ht="15" hidden="1" thickTop="1">
      <c r="B962" s="269">
        <v>46236</v>
      </c>
      <c r="C962" s="268" t="s">
        <v>709</v>
      </c>
      <c r="D962" s="274">
        <f>IFERROR(VLOOKUP(C962,'Data Lokasi'!C:D,2,0),"")</f>
        <v>6.87</v>
      </c>
      <c r="E962" s="274" t="s">
        <v>2643</v>
      </c>
      <c r="F962" s="274"/>
      <c r="G962" s="274"/>
      <c r="H962" s="274"/>
      <c r="I962" s="274">
        <v>0.73</v>
      </c>
      <c r="J962" s="456">
        <f t="shared" si="30"/>
        <v>0.73</v>
      </c>
      <c r="K962" s="583"/>
      <c r="L962" s="268" t="s">
        <v>2625</v>
      </c>
      <c r="M962" s="268" t="s">
        <v>2634</v>
      </c>
      <c r="N962" s="278">
        <f>IFERROR(INDEX('Data Lokasi'!S:S,MATCH('Input Real Tanam&amp;Petik Nanas'!C962,'Data Lokasi'!C:C,0)),"")</f>
        <v>0</v>
      </c>
      <c r="O962" s="278"/>
      <c r="P962" s="283">
        <f>IFERROR(INDEX('Data Lokasi'!V:V,MATCH(C962,'Data Lokasi'!C:C,0)),"")</f>
        <v>0</v>
      </c>
      <c r="Q962" s="304">
        <f t="shared" si="31"/>
        <v>0</v>
      </c>
      <c r="R962" s="308"/>
    </row>
    <row r="963" spans="2:18" ht="15" hidden="1" thickTop="1">
      <c r="B963" s="269">
        <v>46236</v>
      </c>
      <c r="C963" s="268" t="s">
        <v>448</v>
      </c>
      <c r="D963" s="274">
        <f>IFERROR(VLOOKUP(C963,'Data Lokasi'!C:D,2,0),"")</f>
        <v>11.22</v>
      </c>
      <c r="E963" s="274" t="s">
        <v>2643</v>
      </c>
      <c r="F963" s="274"/>
      <c r="G963" s="274"/>
      <c r="H963" s="274"/>
      <c r="I963" s="274">
        <v>0.21</v>
      </c>
      <c r="J963" s="456">
        <f t="shared" si="30"/>
        <v>0.21</v>
      </c>
      <c r="K963" s="583"/>
      <c r="L963" s="268" t="s">
        <v>2625</v>
      </c>
      <c r="M963" s="268" t="s">
        <v>2634</v>
      </c>
      <c r="N963" s="278">
        <f>IFERROR(INDEX('Data Lokasi'!S:S,MATCH('Input Real Tanam&amp;Petik Nanas'!C963,'Data Lokasi'!C:C,0)),"")</f>
        <v>44456</v>
      </c>
      <c r="O963" s="278"/>
      <c r="P963" s="283">
        <f>IFERROR(INDEX('Data Lokasi'!V:V,MATCH(C963,'Data Lokasi'!C:C,0)),"")</f>
        <v>0</v>
      </c>
      <c r="Q963" s="304">
        <f t="shared" si="31"/>
        <v>0</v>
      </c>
      <c r="R963" s="308"/>
    </row>
    <row r="964" spans="2:18" ht="15" hidden="1" thickTop="1">
      <c r="B964" s="269">
        <v>46236</v>
      </c>
      <c r="C964" s="268" t="s">
        <v>441</v>
      </c>
      <c r="D964" s="274">
        <f>IFERROR(VLOOKUP(C964,'Data Lokasi'!C:D,2,0),"")</f>
        <v>11.2</v>
      </c>
      <c r="E964" s="274" t="s">
        <v>2643</v>
      </c>
      <c r="F964" s="274"/>
      <c r="G964" s="274">
        <v>0.13</v>
      </c>
      <c r="H964" s="274">
        <f>0.27+0.21</f>
        <v>0.48</v>
      </c>
      <c r="I964" s="274"/>
      <c r="J964" s="456">
        <f t="shared" si="30"/>
        <v>0.61</v>
      </c>
      <c r="K964" s="583"/>
      <c r="L964" s="268" t="s">
        <v>719</v>
      </c>
      <c r="M964" s="268" t="s">
        <v>2631</v>
      </c>
      <c r="N964" s="278">
        <f>IFERROR(INDEX('Data Lokasi'!S:S,MATCH('Input Real Tanam&amp;Petik Nanas'!C964,'Data Lokasi'!C:C,0)),"")</f>
        <v>44429</v>
      </c>
      <c r="O964" s="278"/>
      <c r="P964" s="283">
        <f>IFERROR(INDEX('Data Lokasi'!V:V,MATCH(C964,'Data Lokasi'!C:C,0)),"")</f>
        <v>0</v>
      </c>
      <c r="Q964" s="304">
        <f t="shared" si="31"/>
        <v>0</v>
      </c>
      <c r="R964" s="308">
        <v>3</v>
      </c>
    </row>
    <row r="965" spans="2:18" ht="15" hidden="1" thickTop="1">
      <c r="B965" s="269">
        <v>46236</v>
      </c>
      <c r="C965" s="268" t="s">
        <v>519</v>
      </c>
      <c r="D965" s="274">
        <f>IFERROR(VLOOKUP(C965,'Data Lokasi'!C:D,2,0),"")</f>
        <v>6.48</v>
      </c>
      <c r="E965" s="274" t="s">
        <v>2643</v>
      </c>
      <c r="F965" s="274"/>
      <c r="G965" s="274"/>
      <c r="H965" s="274"/>
      <c r="I965" s="274">
        <v>0.63</v>
      </c>
      <c r="J965" s="456">
        <f t="shared" si="30"/>
        <v>0.63</v>
      </c>
      <c r="K965" s="583"/>
      <c r="L965" s="268" t="s">
        <v>2625</v>
      </c>
      <c r="M965" s="268" t="s">
        <v>2631</v>
      </c>
      <c r="N965" s="278">
        <f>IFERROR(INDEX('Data Lokasi'!S:S,MATCH('Input Real Tanam&amp;Petik Nanas'!C965,'Data Lokasi'!C:C,0)),"")</f>
        <v>44610</v>
      </c>
      <c r="O965" s="278"/>
      <c r="P965" s="283">
        <f>IFERROR(INDEX('Data Lokasi'!V:V,MATCH(C965,'Data Lokasi'!C:C,0)),"")</f>
        <v>0</v>
      </c>
      <c r="Q965" s="304">
        <f t="shared" si="31"/>
        <v>0</v>
      </c>
      <c r="R965" s="308"/>
    </row>
    <row r="966" spans="2:18" ht="15" hidden="1" thickTop="1">
      <c r="B966" s="269">
        <v>46236</v>
      </c>
      <c r="C966" s="268" t="s">
        <v>2499</v>
      </c>
      <c r="D966" s="274">
        <f>IFERROR(VLOOKUP(C966,'Data Lokasi'!C:D,2,0),"")</f>
        <v>5.56</v>
      </c>
      <c r="E966" s="274" t="s">
        <v>2643</v>
      </c>
      <c r="F966" s="274"/>
      <c r="G966" s="274"/>
      <c r="H966" s="274"/>
      <c r="I966" s="274">
        <v>1.05</v>
      </c>
      <c r="J966" s="456">
        <f t="shared" si="30"/>
        <v>1.05</v>
      </c>
      <c r="K966" s="583"/>
      <c r="L966" s="268" t="s">
        <v>2625</v>
      </c>
      <c r="M966" s="268" t="s">
        <v>2631</v>
      </c>
      <c r="N966" s="278">
        <f>IFERROR(INDEX('Data Lokasi'!S:S,MATCH('Input Real Tanam&amp;Petik Nanas'!C966,'Data Lokasi'!C:C,0)),"")</f>
        <v>45714</v>
      </c>
      <c r="O966" s="278"/>
      <c r="P966" s="283">
        <f>IFERROR(INDEX('Data Lokasi'!V:V,MATCH(C966,'Data Lokasi'!C:C,0)),"")</f>
        <v>0</v>
      </c>
      <c r="Q966" s="304">
        <f t="shared" si="31"/>
        <v>0</v>
      </c>
      <c r="R966" s="308"/>
    </row>
    <row r="967" spans="2:18" ht="15" hidden="1" thickTop="1">
      <c r="B967" s="269">
        <v>46236</v>
      </c>
      <c r="C967" s="268" t="s">
        <v>110</v>
      </c>
      <c r="D967" s="274">
        <f>IFERROR(VLOOKUP(C967,'Data Lokasi'!C:D,2,0),"")</f>
        <v>9</v>
      </c>
      <c r="E967" s="274" t="s">
        <v>2642</v>
      </c>
      <c r="F967" s="274"/>
      <c r="G967" s="274"/>
      <c r="H967" s="274"/>
      <c r="I967" s="274">
        <v>0.55000000000000004</v>
      </c>
      <c r="J967" s="456">
        <f t="shared" si="30"/>
        <v>0.55000000000000004</v>
      </c>
      <c r="K967" s="583"/>
      <c r="L967" s="268" t="s">
        <v>2625</v>
      </c>
      <c r="M967" s="268" t="s">
        <v>2631</v>
      </c>
      <c r="N967" s="278">
        <f>IFERROR(INDEX('Data Lokasi'!S:S,MATCH('Input Real Tanam&amp;Petik Nanas'!C967,'Data Lokasi'!C:C,0)),"")</f>
        <v>44193</v>
      </c>
      <c r="O967" s="278"/>
      <c r="P967" s="283">
        <f>IFERROR(INDEX('Data Lokasi'!V:V,MATCH(C967,'Data Lokasi'!C:C,0)),"")</f>
        <v>0</v>
      </c>
      <c r="Q967" s="304">
        <f t="shared" si="31"/>
        <v>0</v>
      </c>
      <c r="R967" s="308"/>
    </row>
    <row r="968" spans="2:18" ht="15" hidden="1" thickTop="1">
      <c r="B968" s="269">
        <v>46236</v>
      </c>
      <c r="C968" s="268" t="s">
        <v>690</v>
      </c>
      <c r="D968" s="274">
        <f>IFERROR(VLOOKUP(C968,'Data Lokasi'!C:D,2,0),"")</f>
        <v>2.52</v>
      </c>
      <c r="E968" s="274" t="s">
        <v>2642</v>
      </c>
      <c r="F968" s="274"/>
      <c r="G968" s="274"/>
      <c r="H968" s="274"/>
      <c r="I968" s="274">
        <v>1.67</v>
      </c>
      <c r="J968" s="456">
        <f t="shared" si="30"/>
        <v>1.67</v>
      </c>
      <c r="K968" s="583"/>
      <c r="L968" s="268" t="s">
        <v>2625</v>
      </c>
      <c r="M968" s="268" t="s">
        <v>2631</v>
      </c>
      <c r="N968" s="278">
        <f>IFERROR(INDEX('Data Lokasi'!S:S,MATCH('Input Real Tanam&amp;Petik Nanas'!C968,'Data Lokasi'!C:C,0)),"")</f>
        <v>45141</v>
      </c>
      <c r="O968" s="278"/>
      <c r="P968" s="283">
        <f>IFERROR(INDEX('Data Lokasi'!V:V,MATCH(C968,'Data Lokasi'!C:C,0)),"")</f>
        <v>0</v>
      </c>
      <c r="Q968" s="304">
        <f t="shared" si="31"/>
        <v>0</v>
      </c>
      <c r="R968" s="308"/>
    </row>
    <row r="969" spans="2:18" ht="15" hidden="1" thickTop="1">
      <c r="B969" s="269">
        <v>46236</v>
      </c>
      <c r="C969" s="268" t="s">
        <v>697</v>
      </c>
      <c r="D969" s="274">
        <f>IFERROR(VLOOKUP(C969,'Data Lokasi'!C:D,2,0),"")</f>
        <v>4.16</v>
      </c>
      <c r="E969" s="274" t="s">
        <v>2642</v>
      </c>
      <c r="F969" s="274"/>
      <c r="G969" s="274"/>
      <c r="H969" s="274"/>
      <c r="I969" s="274">
        <v>0.52</v>
      </c>
      <c r="J969" s="456">
        <f t="shared" si="30"/>
        <v>0.52</v>
      </c>
      <c r="K969" s="583"/>
      <c r="L969" s="268" t="s">
        <v>2625</v>
      </c>
      <c r="M969" s="268" t="s">
        <v>2631</v>
      </c>
      <c r="N969" s="278">
        <f>IFERROR(INDEX('Data Lokasi'!S:S,MATCH('Input Real Tanam&amp;Petik Nanas'!C969,'Data Lokasi'!C:C,0)),"")</f>
        <v>45159</v>
      </c>
      <c r="O969" s="278"/>
      <c r="P969" s="283">
        <f>IFERROR(INDEX('Data Lokasi'!V:V,MATCH(C969,'Data Lokasi'!C:C,0)),"")</f>
        <v>0</v>
      </c>
      <c r="Q969" s="304">
        <f t="shared" si="31"/>
        <v>0</v>
      </c>
      <c r="R969" s="308"/>
    </row>
    <row r="970" spans="2:18" ht="15" hidden="1" thickTop="1">
      <c r="B970" s="269">
        <v>46236</v>
      </c>
      <c r="C970" s="268" t="s">
        <v>636</v>
      </c>
      <c r="D970" s="274">
        <f>IFERROR(VLOOKUP(C970,'Data Lokasi'!C:D,2,0),"")</f>
        <v>6</v>
      </c>
      <c r="E970" s="274" t="s">
        <v>2642</v>
      </c>
      <c r="F970" s="274"/>
      <c r="G970" s="274"/>
      <c r="H970" s="274"/>
      <c r="I970" s="274">
        <v>0.17</v>
      </c>
      <c r="J970" s="456">
        <f t="shared" si="30"/>
        <v>0.17</v>
      </c>
      <c r="K970" s="583"/>
      <c r="L970" s="268" t="s">
        <v>2625</v>
      </c>
      <c r="M970" s="268" t="s">
        <v>2631</v>
      </c>
      <c r="N970" s="278">
        <f>IFERROR(INDEX('Data Lokasi'!S:S,MATCH('Input Real Tanam&amp;Petik Nanas'!C970,'Data Lokasi'!C:C,0)),"")</f>
        <v>44915</v>
      </c>
      <c r="O970" s="278"/>
      <c r="P970" s="283">
        <f>IFERROR(INDEX('Data Lokasi'!V:V,MATCH(C970,'Data Lokasi'!C:C,0)),"")</f>
        <v>0</v>
      </c>
      <c r="Q970" s="304">
        <f t="shared" si="31"/>
        <v>0</v>
      </c>
      <c r="R970" s="308"/>
    </row>
    <row r="971" spans="2:18" ht="15" hidden="1" thickTop="1">
      <c r="B971" s="269">
        <v>46236</v>
      </c>
      <c r="C971" s="268" t="s">
        <v>299</v>
      </c>
      <c r="D971" s="274">
        <f>IFERROR(VLOOKUP(C971,'Data Lokasi'!C:D,2,0),"")</f>
        <v>3.62</v>
      </c>
      <c r="E971" s="274" t="s">
        <v>2642</v>
      </c>
      <c r="F971" s="274"/>
      <c r="G971" s="274"/>
      <c r="H971" s="274">
        <f>0.48+0.24</f>
        <v>0.72</v>
      </c>
      <c r="I971" s="274"/>
      <c r="J971" s="456">
        <f t="shared" si="30"/>
        <v>0.72</v>
      </c>
      <c r="K971" s="583"/>
      <c r="L971" s="268" t="s">
        <v>719</v>
      </c>
      <c r="M971" s="268" t="s">
        <v>2634</v>
      </c>
      <c r="N971" s="278">
        <f>IFERROR(INDEX('Data Lokasi'!S:S,MATCH('Input Real Tanam&amp;Petik Nanas'!C971,'Data Lokasi'!C:C,0)),"")</f>
        <v>44144</v>
      </c>
      <c r="O971" s="278"/>
      <c r="P971" s="283">
        <f>IFERROR(INDEX('Data Lokasi'!V:V,MATCH(C971,'Data Lokasi'!C:C,0)),"")</f>
        <v>0</v>
      </c>
      <c r="Q971" s="304">
        <f t="shared" si="31"/>
        <v>0</v>
      </c>
      <c r="R971" s="308"/>
    </row>
    <row r="972" spans="2:18" ht="15" hidden="1" thickTop="1">
      <c r="B972" s="269">
        <v>46236</v>
      </c>
      <c r="C972" s="268" t="s">
        <v>657</v>
      </c>
      <c r="D972" s="274">
        <f>IFERROR(VLOOKUP(C972,'Data Lokasi'!C:D,2,0),"")</f>
        <v>7.73</v>
      </c>
      <c r="E972" s="274" t="s">
        <v>2642</v>
      </c>
      <c r="F972" s="274"/>
      <c r="G972" s="274"/>
      <c r="H972" s="274"/>
      <c r="I972" s="274">
        <v>0.13</v>
      </c>
      <c r="J972" s="456">
        <f t="shared" si="30"/>
        <v>0.13</v>
      </c>
      <c r="K972" s="583"/>
      <c r="L972" s="268" t="s">
        <v>2625</v>
      </c>
      <c r="M972" s="268" t="s">
        <v>2634</v>
      </c>
      <c r="N972" s="278">
        <f>IFERROR(INDEX('Data Lokasi'!S:S,MATCH('Input Real Tanam&amp;Petik Nanas'!C972,'Data Lokasi'!C:C,0)),"")</f>
        <v>45003</v>
      </c>
      <c r="O972" s="278"/>
      <c r="P972" s="283">
        <f>IFERROR(INDEX('Data Lokasi'!V:V,MATCH(C972,'Data Lokasi'!C:C,0)),"")</f>
        <v>0</v>
      </c>
      <c r="Q972" s="304">
        <f t="shared" si="31"/>
        <v>0</v>
      </c>
      <c r="R972" s="308"/>
    </row>
    <row r="973" spans="2:18" ht="15" hidden="1" thickTop="1">
      <c r="B973" s="269">
        <v>46236</v>
      </c>
      <c r="C973" s="268" t="s">
        <v>311</v>
      </c>
      <c r="D973" s="274">
        <f>IFERROR(VLOOKUP(C973,'Data Lokasi'!C:D,2,0),"")</f>
        <v>5.15</v>
      </c>
      <c r="E973" s="274" t="s">
        <v>2642</v>
      </c>
      <c r="F973" s="274"/>
      <c r="G973" s="274"/>
      <c r="H973" s="274"/>
      <c r="I973" s="274">
        <v>0.98</v>
      </c>
      <c r="J973" s="456">
        <f t="shared" si="30"/>
        <v>0.98</v>
      </c>
      <c r="K973" s="583"/>
      <c r="L973" s="268" t="s">
        <v>2625</v>
      </c>
      <c r="M973" s="268" t="s">
        <v>2634</v>
      </c>
      <c r="N973" s="278">
        <f>IFERROR(INDEX('Data Lokasi'!S:S,MATCH('Input Real Tanam&amp;Petik Nanas'!C973,'Data Lokasi'!C:C,0)),"")</f>
        <v>44175</v>
      </c>
      <c r="O973" s="278"/>
      <c r="P973" s="283">
        <f>IFERROR(INDEX('Data Lokasi'!V:V,MATCH(C973,'Data Lokasi'!C:C,0)),"")</f>
        <v>0</v>
      </c>
      <c r="Q973" s="304">
        <f t="shared" si="31"/>
        <v>0</v>
      </c>
      <c r="R973" s="308"/>
    </row>
    <row r="974" spans="2:18" ht="15" hidden="1" thickTop="1">
      <c r="B974" s="269">
        <v>46236</v>
      </c>
      <c r="C974" s="268" t="s">
        <v>684</v>
      </c>
      <c r="D974" s="274">
        <f>IFERROR(VLOOKUP(C974,'Data Lokasi'!C:D,2,0),"")</f>
        <v>8.8699999999999992</v>
      </c>
      <c r="E974" s="274" t="s">
        <v>2642</v>
      </c>
      <c r="F974" s="274"/>
      <c r="G974" s="274"/>
      <c r="H974" s="274"/>
      <c r="I974" s="274">
        <v>0.17</v>
      </c>
      <c r="J974" s="456">
        <f t="shared" si="30"/>
        <v>0.17</v>
      </c>
      <c r="K974" s="583"/>
      <c r="L974" s="268" t="s">
        <v>2625</v>
      </c>
      <c r="M974" s="268" t="s">
        <v>2634</v>
      </c>
      <c r="N974" s="278">
        <f>IFERROR(INDEX('Data Lokasi'!S:S,MATCH('Input Real Tanam&amp;Petik Nanas'!C974,'Data Lokasi'!C:C,0)),"")</f>
        <v>45090</v>
      </c>
      <c r="O974" s="278"/>
      <c r="P974" s="283">
        <f>IFERROR(INDEX('Data Lokasi'!V:V,MATCH(C974,'Data Lokasi'!C:C,0)),"")</f>
        <v>0</v>
      </c>
      <c r="Q974" s="304">
        <f t="shared" si="31"/>
        <v>0</v>
      </c>
      <c r="R974" s="308"/>
    </row>
    <row r="975" spans="2:18" ht="15" hidden="1" thickTop="1">
      <c r="B975" s="269">
        <v>46236</v>
      </c>
      <c r="C975" s="268" t="s">
        <v>196</v>
      </c>
      <c r="D975" s="274">
        <f>IFERROR(VLOOKUP(C975,'Data Lokasi'!C:D,2,0),"")</f>
        <v>11.7</v>
      </c>
      <c r="E975" s="274" t="s">
        <v>2642</v>
      </c>
      <c r="F975" s="274"/>
      <c r="G975" s="274"/>
      <c r="H975" s="274"/>
      <c r="I975" s="274">
        <v>0.02</v>
      </c>
      <c r="J975" s="456">
        <f t="shared" si="30"/>
        <v>0.02</v>
      </c>
      <c r="K975" s="583"/>
      <c r="L975" s="268" t="s">
        <v>2625</v>
      </c>
      <c r="M975" s="268" t="s">
        <v>2634</v>
      </c>
      <c r="N975" s="278">
        <f>IFERROR(INDEX('Data Lokasi'!S:S,MATCH('Input Real Tanam&amp;Petik Nanas'!C975,'Data Lokasi'!C:C,0)),"")</f>
        <v>43948</v>
      </c>
      <c r="O975" s="278"/>
      <c r="P975" s="283">
        <f>IFERROR(INDEX('Data Lokasi'!V:V,MATCH(C975,'Data Lokasi'!C:C,0)),"")</f>
        <v>0</v>
      </c>
      <c r="Q975" s="304">
        <f t="shared" si="31"/>
        <v>0</v>
      </c>
      <c r="R975" s="308"/>
    </row>
    <row r="976" spans="2:18" ht="15" hidden="1" thickTop="1">
      <c r="B976" s="269">
        <v>46236</v>
      </c>
      <c r="C976" s="268" t="s">
        <v>2691</v>
      </c>
      <c r="D976" s="274">
        <f>IFERROR(VLOOKUP(C976,'Data Lokasi'!C:D,2,0),"")</f>
        <v>5.37</v>
      </c>
      <c r="E976" s="274" t="s">
        <v>2642</v>
      </c>
      <c r="F976" s="274"/>
      <c r="G976" s="274"/>
      <c r="H976" s="274"/>
      <c r="I976" s="274">
        <v>0.14000000000000001</v>
      </c>
      <c r="J976" s="456">
        <f t="shared" si="30"/>
        <v>0.14000000000000001</v>
      </c>
      <c r="K976" s="583"/>
      <c r="L976" s="268" t="s">
        <v>2625</v>
      </c>
      <c r="M976" s="268" t="s">
        <v>2634</v>
      </c>
      <c r="N976" s="278">
        <f>IFERROR(INDEX('Data Lokasi'!S:S,MATCH('Input Real Tanam&amp;Petik Nanas'!C976,'Data Lokasi'!C:C,0)),"")</f>
        <v>46236</v>
      </c>
      <c r="O976" s="278"/>
      <c r="P976" s="283">
        <f>IFERROR(INDEX('Data Lokasi'!V:V,MATCH(C976,'Data Lokasi'!C:C,0)),"")</f>
        <v>5.37</v>
      </c>
      <c r="Q976" s="304">
        <f t="shared" si="31"/>
        <v>1</v>
      </c>
      <c r="R976" s="308"/>
    </row>
    <row r="977" spans="2:18" ht="15" hidden="1" thickTop="1">
      <c r="B977" s="269">
        <v>46237</v>
      </c>
      <c r="C977" s="268" t="s">
        <v>690</v>
      </c>
      <c r="D977" s="274">
        <f>IFERROR(VLOOKUP(C977,'Data Lokasi'!C:D,2,0),"")</f>
        <v>2.52</v>
      </c>
      <c r="E977" s="274" t="s">
        <v>2642</v>
      </c>
      <c r="F977" s="274"/>
      <c r="G977" s="274"/>
      <c r="H977" s="274"/>
      <c r="I977" s="274">
        <v>0.28999999999999998</v>
      </c>
      <c r="J977" s="456">
        <f t="shared" si="30"/>
        <v>0.28999999999999998</v>
      </c>
      <c r="K977" s="583"/>
      <c r="L977" s="268" t="s">
        <v>2625</v>
      </c>
      <c r="M977" s="268" t="s">
        <v>2631</v>
      </c>
      <c r="N977" s="278">
        <f>IFERROR(INDEX('Data Lokasi'!S:S,MATCH('Input Real Tanam&amp;Petik Nanas'!C977,'Data Lokasi'!C:C,0)),"")</f>
        <v>45141</v>
      </c>
      <c r="O977" s="278"/>
      <c r="P977" s="283">
        <f>IFERROR(INDEX('Data Lokasi'!V:V,MATCH(C977,'Data Lokasi'!C:C,0)),"")</f>
        <v>0</v>
      </c>
      <c r="Q977" s="304">
        <f t="shared" si="31"/>
        <v>0</v>
      </c>
      <c r="R977" s="308"/>
    </row>
    <row r="978" spans="2:18" ht="15" hidden="1" thickTop="1">
      <c r="B978" s="269">
        <v>46237</v>
      </c>
      <c r="C978" s="268" t="s">
        <v>708</v>
      </c>
      <c r="D978" s="274">
        <f>IFERROR(VLOOKUP(C978,'Data Lokasi'!C:D,2,0),"")</f>
        <v>7.54</v>
      </c>
      <c r="E978" s="274" t="s">
        <v>2642</v>
      </c>
      <c r="F978" s="274"/>
      <c r="G978" s="274"/>
      <c r="H978" s="274"/>
      <c r="I978" s="274">
        <v>1.07</v>
      </c>
      <c r="J978" s="456">
        <f t="shared" si="30"/>
        <v>1.07</v>
      </c>
      <c r="K978" s="583"/>
      <c r="L978" s="268" t="s">
        <v>2625</v>
      </c>
      <c r="M978" s="268" t="s">
        <v>2631</v>
      </c>
      <c r="N978" s="278">
        <f>IFERROR(INDEX('Data Lokasi'!S:S,MATCH('Input Real Tanam&amp;Petik Nanas'!C978,'Data Lokasi'!C:C,0)),"")</f>
        <v>45240</v>
      </c>
      <c r="O978" s="278"/>
      <c r="P978" s="283">
        <f>IFERROR(INDEX('Data Lokasi'!V:V,MATCH(C978,'Data Lokasi'!C:C,0)),"")</f>
        <v>0</v>
      </c>
      <c r="Q978" s="304">
        <f t="shared" si="31"/>
        <v>0</v>
      </c>
      <c r="R978" s="308"/>
    </row>
    <row r="979" spans="2:18" ht="15" hidden="1" thickTop="1">
      <c r="B979" s="269">
        <v>46237</v>
      </c>
      <c r="C979" s="268" t="s">
        <v>701</v>
      </c>
      <c r="D979" s="274">
        <f>IFERROR(VLOOKUP(C979,'Data Lokasi'!C:D,2,0),"")</f>
        <v>6.03</v>
      </c>
      <c r="E979" s="274" t="s">
        <v>2642</v>
      </c>
      <c r="F979" s="274"/>
      <c r="G979" s="274"/>
      <c r="H979" s="274"/>
      <c r="I979" s="274">
        <v>0.17</v>
      </c>
      <c r="J979" s="456">
        <f t="shared" si="30"/>
        <v>0.17</v>
      </c>
      <c r="K979" s="583"/>
      <c r="L979" s="268" t="s">
        <v>2625</v>
      </c>
      <c r="M979" s="268" t="s">
        <v>2631</v>
      </c>
      <c r="N979" s="278">
        <f>IFERROR(INDEX('Data Lokasi'!S:S,MATCH('Input Real Tanam&amp;Petik Nanas'!C979,'Data Lokasi'!C:C,0)),"")</f>
        <v>45185</v>
      </c>
      <c r="O979" s="278"/>
      <c r="P979" s="283">
        <f>IFERROR(INDEX('Data Lokasi'!V:V,MATCH(C979,'Data Lokasi'!C:C,0)),"")</f>
        <v>0</v>
      </c>
      <c r="Q979" s="304">
        <f t="shared" si="31"/>
        <v>0</v>
      </c>
      <c r="R979" s="308"/>
    </row>
    <row r="980" spans="2:18" ht="15" hidden="1" thickTop="1">
      <c r="B980" s="269">
        <v>46237</v>
      </c>
      <c r="C980" s="268" t="s">
        <v>695</v>
      </c>
      <c r="D980" s="274">
        <f>IFERROR(VLOOKUP(C980,'Data Lokasi'!C:D,2,0),"")</f>
        <v>5</v>
      </c>
      <c r="E980" s="274" t="s">
        <v>2642</v>
      </c>
      <c r="F980" s="274"/>
      <c r="G980" s="274"/>
      <c r="H980" s="274"/>
      <c r="I980" s="274">
        <v>0.19</v>
      </c>
      <c r="J980" s="456">
        <f t="shared" si="30"/>
        <v>0.19</v>
      </c>
      <c r="K980" s="583"/>
      <c r="L980" s="268" t="s">
        <v>2625</v>
      </c>
      <c r="M980" s="268" t="s">
        <v>2631</v>
      </c>
      <c r="N980" s="278">
        <f>IFERROR(INDEX('Data Lokasi'!S:S,MATCH('Input Real Tanam&amp;Petik Nanas'!C980,'Data Lokasi'!C:C,0)),"")</f>
        <v>45117</v>
      </c>
      <c r="O980" s="278"/>
      <c r="P980" s="283">
        <f>IFERROR(INDEX('Data Lokasi'!V:V,MATCH(C980,'Data Lokasi'!C:C,0)),"")</f>
        <v>0</v>
      </c>
      <c r="Q980" s="304">
        <f t="shared" si="31"/>
        <v>0</v>
      </c>
      <c r="R980" s="308"/>
    </row>
    <row r="981" spans="2:18" ht="15" hidden="1" thickTop="1">
      <c r="B981" s="269">
        <v>46237</v>
      </c>
      <c r="C981" s="268" t="s">
        <v>110</v>
      </c>
      <c r="D981" s="274">
        <f>IFERROR(VLOOKUP(C981,'Data Lokasi'!C:D,2,0),"")</f>
        <v>9</v>
      </c>
      <c r="E981" s="274" t="s">
        <v>2642</v>
      </c>
      <c r="F981" s="274"/>
      <c r="G981" s="274"/>
      <c r="H981" s="274"/>
      <c r="I981" s="274">
        <v>0.43</v>
      </c>
      <c r="J981" s="456">
        <f t="shared" si="30"/>
        <v>0.43</v>
      </c>
      <c r="K981" s="583"/>
      <c r="L981" s="268" t="s">
        <v>2625</v>
      </c>
      <c r="M981" s="268" t="s">
        <v>2631</v>
      </c>
      <c r="N981" s="278">
        <f>IFERROR(INDEX('Data Lokasi'!S:S,MATCH('Input Real Tanam&amp;Petik Nanas'!C981,'Data Lokasi'!C:C,0)),"")</f>
        <v>44193</v>
      </c>
      <c r="O981" s="278"/>
      <c r="P981" s="283">
        <f>IFERROR(INDEX('Data Lokasi'!V:V,MATCH(C981,'Data Lokasi'!C:C,0)),"")</f>
        <v>0</v>
      </c>
      <c r="Q981" s="304">
        <f t="shared" si="31"/>
        <v>0</v>
      </c>
      <c r="R981" s="308"/>
    </row>
    <row r="982" spans="2:18" ht="15" hidden="1" thickTop="1">
      <c r="B982" s="269">
        <v>46237</v>
      </c>
      <c r="C982" s="268" t="s">
        <v>244</v>
      </c>
      <c r="D982" s="274">
        <f>IFERROR(VLOOKUP(C982,'Data Lokasi'!C:D,2,0),"")</f>
        <v>11.05</v>
      </c>
      <c r="E982" s="274" t="s">
        <v>2642</v>
      </c>
      <c r="F982" s="274"/>
      <c r="G982" s="274"/>
      <c r="H982" s="274"/>
      <c r="I982" s="274">
        <v>0.09</v>
      </c>
      <c r="J982" s="456">
        <f t="shared" si="30"/>
        <v>0.09</v>
      </c>
      <c r="K982" s="583"/>
      <c r="L982" s="268" t="s">
        <v>2625</v>
      </c>
      <c r="M982" s="268" t="s">
        <v>2631</v>
      </c>
      <c r="N982" s="278">
        <f>IFERROR(INDEX('Data Lokasi'!S:S,MATCH('Input Real Tanam&amp;Petik Nanas'!C982,'Data Lokasi'!C:C,0)),"")</f>
        <v>44025</v>
      </c>
      <c r="O982" s="278"/>
      <c r="P982" s="283">
        <f>IFERROR(INDEX('Data Lokasi'!V:V,MATCH(C982,'Data Lokasi'!C:C,0)),"")</f>
        <v>0</v>
      </c>
      <c r="Q982" s="304">
        <f t="shared" si="31"/>
        <v>0</v>
      </c>
      <c r="R982" s="308"/>
    </row>
    <row r="983" spans="2:18" ht="15" hidden="1" thickTop="1">
      <c r="B983" s="269">
        <v>46237</v>
      </c>
      <c r="C983" s="268" t="s">
        <v>697</v>
      </c>
      <c r="D983" s="274">
        <f>IFERROR(VLOOKUP(C983,'Data Lokasi'!C:D,2,0),"")</f>
        <v>4.16</v>
      </c>
      <c r="E983" s="274" t="s">
        <v>2642</v>
      </c>
      <c r="F983" s="274"/>
      <c r="G983" s="274"/>
      <c r="H983" s="274"/>
      <c r="I983" s="274">
        <v>0.27</v>
      </c>
      <c r="J983" s="456">
        <f t="shared" si="30"/>
        <v>0.27</v>
      </c>
      <c r="K983" s="583"/>
      <c r="L983" s="268" t="s">
        <v>2625</v>
      </c>
      <c r="M983" s="268" t="s">
        <v>2631</v>
      </c>
      <c r="N983" s="278">
        <f>IFERROR(INDEX('Data Lokasi'!S:S,MATCH('Input Real Tanam&amp;Petik Nanas'!C983,'Data Lokasi'!C:C,0)),"")</f>
        <v>45159</v>
      </c>
      <c r="O983" s="278"/>
      <c r="P983" s="283">
        <f>IFERROR(INDEX('Data Lokasi'!V:V,MATCH(C983,'Data Lokasi'!C:C,0)),"")</f>
        <v>0</v>
      </c>
      <c r="Q983" s="304">
        <f t="shared" si="31"/>
        <v>0</v>
      </c>
      <c r="R983" s="308"/>
    </row>
    <row r="984" spans="2:18" ht="15" hidden="1" thickTop="1">
      <c r="B984" s="269">
        <v>46237</v>
      </c>
      <c r="C984" s="268" t="s">
        <v>212</v>
      </c>
      <c r="D984" s="274">
        <f>IFERROR(VLOOKUP(C984,'Data Lokasi'!C:D,2,0),"")</f>
        <v>8.39</v>
      </c>
      <c r="E984" s="274" t="s">
        <v>2642</v>
      </c>
      <c r="F984" s="274"/>
      <c r="G984" s="274"/>
      <c r="H984" s="274"/>
      <c r="I984" s="274">
        <v>0.01</v>
      </c>
      <c r="J984" s="456">
        <f t="shared" si="30"/>
        <v>0.01</v>
      </c>
      <c r="K984" s="583"/>
      <c r="L984" s="268" t="s">
        <v>2625</v>
      </c>
      <c r="M984" s="268" t="s">
        <v>2631</v>
      </c>
      <c r="N984" s="278">
        <f>IFERROR(INDEX('Data Lokasi'!S:S,MATCH('Input Real Tanam&amp;Petik Nanas'!C984,'Data Lokasi'!C:C,0)),"")</f>
        <v>43988</v>
      </c>
      <c r="O984" s="278"/>
      <c r="P984" s="283">
        <f>IFERROR(INDEX('Data Lokasi'!V:V,MATCH(C984,'Data Lokasi'!C:C,0)),"")</f>
        <v>0</v>
      </c>
      <c r="Q984" s="304">
        <f t="shared" si="31"/>
        <v>0</v>
      </c>
      <c r="R984" s="308"/>
    </row>
    <row r="985" spans="2:18" ht="15" hidden="1" thickTop="1">
      <c r="B985" s="269">
        <v>46237</v>
      </c>
      <c r="C985" s="268" t="s">
        <v>299</v>
      </c>
      <c r="D985" s="274">
        <f>IFERROR(VLOOKUP(C985,'Data Lokasi'!C:D,2,0),"")</f>
        <v>3.62</v>
      </c>
      <c r="E985" s="274" t="s">
        <v>2642</v>
      </c>
      <c r="F985" s="274"/>
      <c r="G985" s="274"/>
      <c r="H985" s="274">
        <f>0.3+0.4</f>
        <v>0.7</v>
      </c>
      <c r="I985" s="274"/>
      <c r="J985" s="456">
        <f t="shared" si="30"/>
        <v>0.7</v>
      </c>
      <c r="K985" s="583"/>
      <c r="L985" s="268" t="s">
        <v>719</v>
      </c>
      <c r="M985" s="268" t="s">
        <v>2634</v>
      </c>
      <c r="N985" s="278">
        <f>IFERROR(INDEX('Data Lokasi'!S:S,MATCH('Input Real Tanam&amp;Petik Nanas'!C985,'Data Lokasi'!C:C,0)),"")</f>
        <v>44144</v>
      </c>
      <c r="O985" s="278"/>
      <c r="P985" s="283">
        <f>IFERROR(INDEX('Data Lokasi'!V:V,MATCH(C985,'Data Lokasi'!C:C,0)),"")</f>
        <v>0</v>
      </c>
      <c r="Q985" s="304">
        <f t="shared" si="31"/>
        <v>0</v>
      </c>
      <c r="R985" s="308"/>
    </row>
    <row r="986" spans="2:18" ht="15" hidden="1" thickTop="1">
      <c r="B986" s="269">
        <v>46237</v>
      </c>
      <c r="C986" s="268" t="s">
        <v>294</v>
      </c>
      <c r="D986" s="274">
        <f>IFERROR(VLOOKUP(C986,'Data Lokasi'!C:D,2,0),"")</f>
        <v>6.93</v>
      </c>
      <c r="E986" s="274" t="s">
        <v>2642</v>
      </c>
      <c r="F986" s="274"/>
      <c r="G986" s="274"/>
      <c r="H986" s="274">
        <v>0.12</v>
      </c>
      <c r="I986" s="274"/>
      <c r="J986" s="456">
        <f t="shared" si="30"/>
        <v>0.12</v>
      </c>
      <c r="K986" s="583"/>
      <c r="L986" s="268" t="s">
        <v>719</v>
      </c>
      <c r="M986" s="268" t="s">
        <v>2634</v>
      </c>
      <c r="N986" s="278">
        <f>IFERROR(INDEX('Data Lokasi'!S:S,MATCH('Input Real Tanam&amp;Petik Nanas'!C986,'Data Lokasi'!C:C,0)),"")</f>
        <v>44139</v>
      </c>
      <c r="O986" s="278"/>
      <c r="P986" s="283">
        <f>IFERROR(INDEX('Data Lokasi'!V:V,MATCH(C986,'Data Lokasi'!C:C,0)),"")</f>
        <v>0</v>
      </c>
      <c r="Q986" s="304">
        <f t="shared" si="31"/>
        <v>0</v>
      </c>
      <c r="R986" s="308"/>
    </row>
    <row r="987" spans="2:18" ht="15" hidden="1" thickTop="1">
      <c r="B987" s="269">
        <v>46237</v>
      </c>
      <c r="C987" s="268" t="s">
        <v>1443</v>
      </c>
      <c r="D987" s="274">
        <f>IFERROR(VLOOKUP(C987,'Data Lokasi'!C:D,2,0),"")</f>
        <v>1.34</v>
      </c>
      <c r="E987" s="274" t="s">
        <v>2642</v>
      </c>
      <c r="F987" s="274"/>
      <c r="G987" s="274"/>
      <c r="H987" s="274"/>
      <c r="I987" s="274">
        <v>0.1</v>
      </c>
      <c r="J987" s="456">
        <f t="shared" si="30"/>
        <v>0.1</v>
      </c>
      <c r="K987" s="583"/>
      <c r="L987" s="268" t="s">
        <v>2625</v>
      </c>
      <c r="M987" s="268" t="s">
        <v>2634</v>
      </c>
      <c r="N987" s="278">
        <f>IFERROR(INDEX('Data Lokasi'!S:S,MATCH('Input Real Tanam&amp;Petik Nanas'!C987,'Data Lokasi'!C:C,0)),"")</f>
        <v>46222</v>
      </c>
      <c r="O987" s="278"/>
      <c r="P987" s="283">
        <f>IFERROR(INDEX('Data Lokasi'!V:V,MATCH(C987,'Data Lokasi'!C:C,0)),"")</f>
        <v>0</v>
      </c>
      <c r="Q987" s="304">
        <f t="shared" si="31"/>
        <v>0</v>
      </c>
      <c r="R987" s="308"/>
    </row>
    <row r="988" spans="2:18" ht="15" hidden="1" thickTop="1">
      <c r="B988" s="269">
        <v>46237</v>
      </c>
      <c r="C988" s="268" t="s">
        <v>311</v>
      </c>
      <c r="D988" s="274">
        <f>IFERROR(VLOOKUP(C988,'Data Lokasi'!C:D,2,0),"")</f>
        <v>5.15</v>
      </c>
      <c r="E988" s="274" t="s">
        <v>2642</v>
      </c>
      <c r="F988" s="274"/>
      <c r="G988" s="274"/>
      <c r="H988" s="274"/>
      <c r="I988" s="274">
        <v>0.75</v>
      </c>
      <c r="J988" s="456">
        <f t="shared" si="30"/>
        <v>0.75</v>
      </c>
      <c r="K988" s="583"/>
      <c r="L988" s="268" t="s">
        <v>2625</v>
      </c>
      <c r="M988" s="268" t="s">
        <v>2634</v>
      </c>
      <c r="N988" s="278">
        <f>IFERROR(INDEX('Data Lokasi'!S:S,MATCH('Input Real Tanam&amp;Petik Nanas'!C988,'Data Lokasi'!C:C,0)),"")</f>
        <v>44175</v>
      </c>
      <c r="O988" s="278"/>
      <c r="P988" s="283">
        <f>IFERROR(INDEX('Data Lokasi'!V:V,MATCH(C988,'Data Lokasi'!C:C,0)),"")</f>
        <v>0</v>
      </c>
      <c r="Q988" s="304">
        <f t="shared" si="31"/>
        <v>0</v>
      </c>
      <c r="R988" s="308"/>
    </row>
    <row r="989" spans="2:18" ht="15" hidden="1" thickTop="1">
      <c r="B989" s="269">
        <v>46237</v>
      </c>
      <c r="C989" s="268" t="s">
        <v>680</v>
      </c>
      <c r="D989" s="274">
        <f>IFERROR(VLOOKUP(C989,'Data Lokasi'!C:D,2,0),"")</f>
        <v>5</v>
      </c>
      <c r="E989" s="274" t="s">
        <v>2642</v>
      </c>
      <c r="F989" s="274"/>
      <c r="G989" s="274"/>
      <c r="H989" s="274"/>
      <c r="I989" s="274">
        <v>0.19</v>
      </c>
      <c r="J989" s="456">
        <f t="shared" si="30"/>
        <v>0.19</v>
      </c>
      <c r="K989" s="583"/>
      <c r="L989" s="268" t="s">
        <v>2625</v>
      </c>
      <c r="M989" s="268" t="s">
        <v>2634</v>
      </c>
      <c r="N989" s="278">
        <f>IFERROR(INDEX('Data Lokasi'!S:S,MATCH('Input Real Tanam&amp;Petik Nanas'!C989,'Data Lokasi'!C:C,0)),"")</f>
        <v>45093</v>
      </c>
      <c r="O989" s="278"/>
      <c r="P989" s="283">
        <f>IFERROR(INDEX('Data Lokasi'!V:V,MATCH(C989,'Data Lokasi'!C:C,0)),"")</f>
        <v>0</v>
      </c>
      <c r="Q989" s="304">
        <f t="shared" si="31"/>
        <v>0</v>
      </c>
      <c r="R989" s="308"/>
    </row>
    <row r="990" spans="2:18" ht="15" hidden="1" thickTop="1">
      <c r="B990" s="269">
        <v>46237</v>
      </c>
      <c r="C990" s="268" t="s">
        <v>196</v>
      </c>
      <c r="D990" s="274">
        <f>IFERROR(VLOOKUP(C990,'Data Lokasi'!C:D,2,0),"")</f>
        <v>11.7</v>
      </c>
      <c r="E990" s="274" t="s">
        <v>2642</v>
      </c>
      <c r="F990" s="274"/>
      <c r="G990" s="274"/>
      <c r="H990" s="274"/>
      <c r="I990" s="274">
        <v>0.21</v>
      </c>
      <c r="J990" s="456">
        <f t="shared" si="30"/>
        <v>0.21</v>
      </c>
      <c r="K990" s="583"/>
      <c r="L990" s="268" t="s">
        <v>2625</v>
      </c>
      <c r="M990" s="268" t="s">
        <v>2634</v>
      </c>
      <c r="N990" s="278">
        <f>IFERROR(INDEX('Data Lokasi'!S:S,MATCH('Input Real Tanam&amp;Petik Nanas'!C990,'Data Lokasi'!C:C,0)),"")</f>
        <v>43948</v>
      </c>
      <c r="O990" s="278"/>
      <c r="P990" s="283">
        <f>IFERROR(INDEX('Data Lokasi'!V:V,MATCH(C990,'Data Lokasi'!C:C,0)),"")</f>
        <v>0</v>
      </c>
      <c r="Q990" s="304">
        <f t="shared" si="31"/>
        <v>0</v>
      </c>
      <c r="R990" s="308"/>
    </row>
    <row r="991" spans="2:18" ht="15" hidden="1" thickTop="1">
      <c r="B991" s="269">
        <v>46237</v>
      </c>
      <c r="C991" s="268" t="s">
        <v>684</v>
      </c>
      <c r="D991" s="274">
        <f>IFERROR(VLOOKUP(C991,'Data Lokasi'!C:D,2,0),"")</f>
        <v>8.8699999999999992</v>
      </c>
      <c r="E991" s="274" t="s">
        <v>2642</v>
      </c>
      <c r="F991" s="274"/>
      <c r="G991" s="274"/>
      <c r="H991" s="274"/>
      <c r="I991" s="274">
        <v>0.02</v>
      </c>
      <c r="J991" s="456">
        <f t="shared" si="30"/>
        <v>0.02</v>
      </c>
      <c r="K991" s="583"/>
      <c r="L991" s="268" t="s">
        <v>2625</v>
      </c>
      <c r="M991" s="268" t="s">
        <v>2634</v>
      </c>
      <c r="N991" s="278">
        <f>IFERROR(INDEX('Data Lokasi'!S:S,MATCH('Input Real Tanam&amp;Petik Nanas'!C991,'Data Lokasi'!C:C,0)),"")</f>
        <v>45090</v>
      </c>
      <c r="O991" s="278"/>
      <c r="P991" s="283">
        <f>IFERROR(INDEX('Data Lokasi'!V:V,MATCH(C991,'Data Lokasi'!C:C,0)),"")</f>
        <v>0</v>
      </c>
      <c r="Q991" s="304">
        <f t="shared" si="31"/>
        <v>0</v>
      </c>
      <c r="R991" s="308"/>
    </row>
    <row r="992" spans="2:18" ht="15" hidden="1" thickTop="1">
      <c r="B992" s="269">
        <v>46237</v>
      </c>
      <c r="C992" s="268" t="s">
        <v>659</v>
      </c>
      <c r="D992" s="274">
        <f>IFERROR(VLOOKUP(C992,'Data Lokasi'!C:D,2,0),"")</f>
        <v>5.7</v>
      </c>
      <c r="E992" s="274" t="s">
        <v>2642</v>
      </c>
      <c r="F992" s="274"/>
      <c r="G992" s="274"/>
      <c r="H992" s="274"/>
      <c r="I992" s="274">
        <v>0.08</v>
      </c>
      <c r="J992" s="456">
        <f t="shared" si="30"/>
        <v>0.08</v>
      </c>
      <c r="K992" s="583"/>
      <c r="L992" s="268" t="s">
        <v>719</v>
      </c>
      <c r="M992" s="268" t="s">
        <v>2634</v>
      </c>
      <c r="N992" s="278">
        <f>IFERROR(INDEX('Data Lokasi'!S:S,MATCH('Input Real Tanam&amp;Petik Nanas'!C992,'Data Lokasi'!C:C,0)),"")</f>
        <v>45010</v>
      </c>
      <c r="O992" s="278"/>
      <c r="P992" s="283">
        <f>IFERROR(INDEX('Data Lokasi'!V:V,MATCH(C992,'Data Lokasi'!C:C,0)),"")</f>
        <v>0</v>
      </c>
      <c r="Q992" s="304">
        <f t="shared" si="31"/>
        <v>0</v>
      </c>
      <c r="R992" s="308"/>
    </row>
    <row r="993" spans="2:18" ht="15" hidden="1" thickTop="1">
      <c r="B993" s="269">
        <v>46237</v>
      </c>
      <c r="C993" s="268" t="s">
        <v>2691</v>
      </c>
      <c r="D993" s="274">
        <f>IFERROR(VLOOKUP(C993,'Data Lokasi'!C:D,2,0),"")</f>
        <v>5.37</v>
      </c>
      <c r="E993" s="274" t="s">
        <v>2642</v>
      </c>
      <c r="F993" s="274"/>
      <c r="G993" s="274"/>
      <c r="H993" s="274"/>
      <c r="I993" s="274">
        <v>0.33</v>
      </c>
      <c r="J993" s="456">
        <f t="shared" si="30"/>
        <v>0.33</v>
      </c>
      <c r="K993" s="583"/>
      <c r="L993" s="268" t="s">
        <v>2625</v>
      </c>
      <c r="M993" s="268" t="s">
        <v>2634</v>
      </c>
      <c r="N993" s="278">
        <f>IFERROR(INDEX('Data Lokasi'!S:S,MATCH('Input Real Tanam&amp;Petik Nanas'!C993,'Data Lokasi'!C:C,0)),"")</f>
        <v>46236</v>
      </c>
      <c r="O993" s="278"/>
      <c r="P993" s="283">
        <f>IFERROR(INDEX('Data Lokasi'!V:V,MATCH(C993,'Data Lokasi'!C:C,0)),"")</f>
        <v>5.37</v>
      </c>
      <c r="Q993" s="304">
        <f t="shared" si="31"/>
        <v>1</v>
      </c>
      <c r="R993" s="308"/>
    </row>
    <row r="994" spans="2:18" ht="15" hidden="1" thickTop="1">
      <c r="B994" s="269">
        <v>46237</v>
      </c>
      <c r="C994" s="268" t="s">
        <v>2647</v>
      </c>
      <c r="D994" s="274">
        <f>IFERROR(VLOOKUP(C994,'Data Lokasi'!C:D,2,0),"")</f>
        <v>6.12</v>
      </c>
      <c r="E994" s="274" t="s">
        <v>2642</v>
      </c>
      <c r="F994" s="274"/>
      <c r="G994" s="274"/>
      <c r="H994" s="274">
        <v>0.2</v>
      </c>
      <c r="I994" s="274"/>
      <c r="J994" s="456">
        <f>IF(SUM(F994:I994)=0,"",(SUM(F994:I994)))</f>
        <v>0.2</v>
      </c>
      <c r="K994" s="583"/>
      <c r="L994" s="268" t="s">
        <v>719</v>
      </c>
      <c r="M994" s="268" t="s">
        <v>2634</v>
      </c>
      <c r="N994" s="278">
        <f>IFERROR(INDEX('Data Lokasi'!S:S,MATCH('Input Real Tanam&amp;Petik Nanas'!C994,'Data Lokasi'!C:C,0)),"")</f>
        <v>46237</v>
      </c>
      <c r="O994" s="278"/>
      <c r="P994" s="283">
        <f>IFERROR(INDEX('Data Lokasi'!V:V,MATCH(C994,'Data Lokasi'!C:C,0)),"")</f>
        <v>6.12</v>
      </c>
      <c r="Q994" s="304">
        <f>IF(ISERROR(P994/D994),"",(P994/D994))</f>
        <v>1</v>
      </c>
      <c r="R994" s="308"/>
    </row>
    <row r="995" spans="2:18" ht="15" hidden="1" thickTop="1">
      <c r="B995" s="269">
        <v>46237</v>
      </c>
      <c r="C995" s="268" t="s">
        <v>441</v>
      </c>
      <c r="D995" s="274">
        <f>IFERROR(VLOOKUP(C995,'Data Lokasi'!C:D,2,0),"")</f>
        <v>11.2</v>
      </c>
      <c r="E995" s="274" t="s">
        <v>2643</v>
      </c>
      <c r="F995" s="274"/>
      <c r="G995" s="274">
        <f>0.02+0.08</f>
        <v>0.1</v>
      </c>
      <c r="H995" s="274">
        <f>0.19+0.18</f>
        <v>0.37</v>
      </c>
      <c r="I995" s="274"/>
      <c r="J995" s="456">
        <f t="shared" si="30"/>
        <v>0.47</v>
      </c>
      <c r="K995" s="583"/>
      <c r="L995" s="268" t="s">
        <v>719</v>
      </c>
      <c r="M995" s="268" t="s">
        <v>2631</v>
      </c>
      <c r="N995" s="278">
        <f>IFERROR(INDEX('Data Lokasi'!S:S,MATCH('Input Real Tanam&amp;Petik Nanas'!C995,'Data Lokasi'!C:C,0)),"")</f>
        <v>44429</v>
      </c>
      <c r="O995" s="278"/>
      <c r="P995" s="283">
        <f>IFERROR(INDEX('Data Lokasi'!V:V,MATCH(C995,'Data Lokasi'!C:C,0)),"")</f>
        <v>0</v>
      </c>
      <c r="Q995" s="304">
        <f t="shared" si="31"/>
        <v>0</v>
      </c>
      <c r="R995" s="308">
        <v>3</v>
      </c>
    </row>
    <row r="996" spans="2:18" ht="15" hidden="1" thickTop="1">
      <c r="B996" s="269">
        <v>46237</v>
      </c>
      <c r="C996" s="268" t="s">
        <v>2499</v>
      </c>
      <c r="D996" s="274">
        <f>IFERROR(VLOOKUP(C996,'Data Lokasi'!C:D,2,0),"")</f>
        <v>5.56</v>
      </c>
      <c r="E996" s="274" t="s">
        <v>2643</v>
      </c>
      <c r="F996" s="274"/>
      <c r="G996" s="274"/>
      <c r="H996" s="274"/>
      <c r="I996" s="274">
        <v>2.97</v>
      </c>
      <c r="J996" s="456">
        <f t="shared" si="30"/>
        <v>2.97</v>
      </c>
      <c r="K996" s="583"/>
      <c r="L996" s="268" t="s">
        <v>2625</v>
      </c>
      <c r="M996" s="268" t="s">
        <v>2631</v>
      </c>
      <c r="N996" s="278">
        <f>IFERROR(INDEX('Data Lokasi'!S:S,MATCH('Input Real Tanam&amp;Petik Nanas'!C996,'Data Lokasi'!C:C,0)),"")</f>
        <v>45714</v>
      </c>
      <c r="O996" s="278"/>
      <c r="P996" s="283">
        <f>IFERROR(INDEX('Data Lokasi'!V:V,MATCH(C996,'Data Lokasi'!C:C,0)),"")</f>
        <v>0</v>
      </c>
      <c r="Q996" s="304">
        <f t="shared" si="31"/>
        <v>0</v>
      </c>
      <c r="R996" s="308"/>
    </row>
    <row r="997" spans="2:18" ht="15" hidden="1" thickTop="1">
      <c r="B997" s="269">
        <v>46237</v>
      </c>
      <c r="C997" s="268" t="s">
        <v>409</v>
      </c>
      <c r="D997" s="274">
        <f>IFERROR(VLOOKUP(C997,'Data Lokasi'!C:D,2,0),"")</f>
        <v>8.83</v>
      </c>
      <c r="E997" s="274" t="s">
        <v>2643</v>
      </c>
      <c r="F997" s="274"/>
      <c r="G997" s="274">
        <f>0.01+0.04</f>
        <v>0.05</v>
      </c>
      <c r="H997" s="274">
        <v>7.0000000000000007E-2</v>
      </c>
      <c r="I997" s="274"/>
      <c r="J997" s="456">
        <f t="shared" si="30"/>
        <v>0.12000000000000001</v>
      </c>
      <c r="K997" s="583"/>
      <c r="L997" s="268" t="s">
        <v>719</v>
      </c>
      <c r="M997" s="268" t="s">
        <v>2634</v>
      </c>
      <c r="N997" s="278">
        <f>IFERROR(INDEX('Data Lokasi'!S:S,MATCH('Input Real Tanam&amp;Petik Nanas'!C997,'Data Lokasi'!C:C,0)),"")</f>
        <v>44365</v>
      </c>
      <c r="O997" s="278"/>
      <c r="P997" s="283">
        <f>IFERROR(INDEX('Data Lokasi'!V:V,MATCH(C997,'Data Lokasi'!C:C,0)),"")</f>
        <v>0</v>
      </c>
      <c r="Q997" s="304">
        <f t="shared" si="31"/>
        <v>0</v>
      </c>
      <c r="R997" s="308">
        <v>5</v>
      </c>
    </row>
    <row r="998" spans="2:18" ht="15" hidden="1" thickTop="1">
      <c r="B998" s="269">
        <v>46237</v>
      </c>
      <c r="C998" s="268" t="s">
        <v>709</v>
      </c>
      <c r="D998" s="274">
        <f>IFERROR(VLOOKUP(C998,'Data Lokasi'!C:D,2,0),"")</f>
        <v>6.87</v>
      </c>
      <c r="E998" s="274" t="s">
        <v>2643</v>
      </c>
      <c r="F998" s="274"/>
      <c r="G998" s="274"/>
      <c r="H998" s="274"/>
      <c r="I998" s="274">
        <v>0.41</v>
      </c>
      <c r="J998" s="456">
        <f t="shared" si="30"/>
        <v>0.41</v>
      </c>
      <c r="K998" s="583"/>
      <c r="L998" s="268" t="s">
        <v>2625</v>
      </c>
      <c r="M998" s="268" t="s">
        <v>2634</v>
      </c>
      <c r="N998" s="278">
        <f>IFERROR(INDEX('Data Lokasi'!S:S,MATCH('Input Real Tanam&amp;Petik Nanas'!C998,'Data Lokasi'!C:C,0)),"")</f>
        <v>0</v>
      </c>
      <c r="O998" s="278"/>
      <c r="P998" s="283">
        <f>IFERROR(INDEX('Data Lokasi'!V:V,MATCH(C998,'Data Lokasi'!C:C,0)),"")</f>
        <v>0</v>
      </c>
      <c r="Q998" s="304">
        <f t="shared" si="31"/>
        <v>0</v>
      </c>
      <c r="R998" s="308"/>
    </row>
    <row r="999" spans="2:18" ht="15" hidden="1" thickTop="1">
      <c r="B999" s="269">
        <v>46237</v>
      </c>
      <c r="C999" s="268" t="s">
        <v>534</v>
      </c>
      <c r="D999" s="274">
        <f>IFERROR(VLOOKUP(C999,'Data Lokasi'!C:D,2,0),"")</f>
        <v>6.6</v>
      </c>
      <c r="E999" s="274" t="s">
        <v>2643</v>
      </c>
      <c r="F999" s="274"/>
      <c r="G999" s="274">
        <v>0.02</v>
      </c>
      <c r="H999" s="274">
        <f>0.11+0.22</f>
        <v>0.33</v>
      </c>
      <c r="I999" s="274"/>
      <c r="J999" s="456">
        <f t="shared" si="30"/>
        <v>0.35000000000000003</v>
      </c>
      <c r="K999" s="583"/>
      <c r="L999" s="268" t="s">
        <v>719</v>
      </c>
      <c r="M999" s="268" t="s">
        <v>2631</v>
      </c>
      <c r="N999" s="278">
        <f>IFERROR(INDEX('Data Lokasi'!S:S,MATCH('Input Real Tanam&amp;Petik Nanas'!C999,'Data Lokasi'!C:C,0)),"")</f>
        <v>44639</v>
      </c>
      <c r="O999" s="278"/>
      <c r="P999" s="283">
        <f>IFERROR(INDEX('Data Lokasi'!V:V,MATCH(C999,'Data Lokasi'!C:C,0)),"")</f>
        <v>0</v>
      </c>
      <c r="Q999" s="304">
        <f t="shared" si="31"/>
        <v>0</v>
      </c>
      <c r="R999" s="308">
        <v>3</v>
      </c>
    </row>
    <row r="1000" spans="2:18" ht="15" hidden="1" thickTop="1">
      <c r="B1000" s="269">
        <v>46238</v>
      </c>
      <c r="C1000" s="268" t="s">
        <v>2691</v>
      </c>
      <c r="D1000" s="274">
        <f>IFERROR(VLOOKUP(C1000,'Data Lokasi'!C:D,2,0),"")</f>
        <v>5.37</v>
      </c>
      <c r="E1000" s="274" t="s">
        <v>2642</v>
      </c>
      <c r="F1000" s="274"/>
      <c r="G1000" s="274"/>
      <c r="H1000" s="274"/>
      <c r="I1000" s="274">
        <v>1.75</v>
      </c>
      <c r="J1000" s="456">
        <f t="shared" si="30"/>
        <v>1.75</v>
      </c>
      <c r="K1000" s="583"/>
      <c r="L1000" s="268" t="s">
        <v>2625</v>
      </c>
      <c r="M1000" s="268" t="s">
        <v>2631</v>
      </c>
      <c r="N1000" s="278">
        <f>IFERROR(INDEX('Data Lokasi'!S:S,MATCH('Input Real Tanam&amp;Petik Nanas'!C1000,'Data Lokasi'!C:C,0)),"")</f>
        <v>46236</v>
      </c>
      <c r="O1000" s="278"/>
      <c r="P1000" s="283">
        <f>IFERROR(INDEX('Data Lokasi'!V:V,MATCH(C1000,'Data Lokasi'!C:C,0)),"")</f>
        <v>5.37</v>
      </c>
      <c r="Q1000" s="304">
        <f t="shared" si="31"/>
        <v>1</v>
      </c>
      <c r="R1000" s="308"/>
    </row>
    <row r="1001" spans="2:18" ht="15" hidden="1" thickTop="1">
      <c r="B1001" s="269">
        <v>46238</v>
      </c>
      <c r="C1001" s="268" t="s">
        <v>708</v>
      </c>
      <c r="D1001" s="274">
        <f>IFERROR(VLOOKUP(C1001,'Data Lokasi'!C:D,2,0),"")</f>
        <v>7.54</v>
      </c>
      <c r="E1001" s="274" t="s">
        <v>2642</v>
      </c>
      <c r="F1001" s="274"/>
      <c r="G1001" s="274"/>
      <c r="H1001" s="274"/>
      <c r="I1001" s="274">
        <v>0.47</v>
      </c>
      <c r="J1001" s="456">
        <f t="shared" si="30"/>
        <v>0.47</v>
      </c>
      <c r="K1001" s="583"/>
      <c r="L1001" s="268" t="s">
        <v>2625</v>
      </c>
      <c r="M1001" s="268" t="s">
        <v>2631</v>
      </c>
      <c r="N1001" s="278">
        <f>IFERROR(INDEX('Data Lokasi'!S:S,MATCH('Input Real Tanam&amp;Petik Nanas'!C1001,'Data Lokasi'!C:C,0)),"")</f>
        <v>45240</v>
      </c>
      <c r="O1001" s="278"/>
      <c r="P1001" s="283">
        <f>IFERROR(INDEX('Data Lokasi'!V:V,MATCH(C1001,'Data Lokasi'!C:C,0)),"")</f>
        <v>0</v>
      </c>
      <c r="Q1001" s="304">
        <f t="shared" si="31"/>
        <v>0</v>
      </c>
      <c r="R1001" s="308"/>
    </row>
    <row r="1002" spans="2:18" ht="15" hidden="1" thickTop="1">
      <c r="B1002" s="269">
        <v>46238</v>
      </c>
      <c r="C1002" s="268" t="s">
        <v>636</v>
      </c>
      <c r="D1002" s="274">
        <f>IFERROR(VLOOKUP(C1002,'Data Lokasi'!C:D,2,0),"")</f>
        <v>6</v>
      </c>
      <c r="E1002" s="274" t="s">
        <v>2642</v>
      </c>
      <c r="F1002" s="274"/>
      <c r="G1002" s="274"/>
      <c r="H1002" s="274"/>
      <c r="I1002" s="274">
        <v>0.01</v>
      </c>
      <c r="J1002" s="456">
        <f t="shared" si="30"/>
        <v>0.01</v>
      </c>
      <c r="K1002" s="583"/>
      <c r="L1002" s="268" t="s">
        <v>2625</v>
      </c>
      <c r="M1002" s="268" t="s">
        <v>2631</v>
      </c>
      <c r="N1002" s="278">
        <f>IFERROR(INDEX('Data Lokasi'!S:S,MATCH('Input Real Tanam&amp;Petik Nanas'!C1002,'Data Lokasi'!C:C,0)),"")</f>
        <v>44915</v>
      </c>
      <c r="O1002" s="278"/>
      <c r="P1002" s="283">
        <f>IFERROR(INDEX('Data Lokasi'!V:V,MATCH(C1002,'Data Lokasi'!C:C,0)),"")</f>
        <v>0</v>
      </c>
      <c r="Q1002" s="304">
        <f t="shared" si="31"/>
        <v>0</v>
      </c>
      <c r="R1002" s="308"/>
    </row>
    <row r="1003" spans="2:18" ht="15" hidden="1" thickTop="1">
      <c r="B1003" s="269">
        <v>46238</v>
      </c>
      <c r="C1003" s="268" t="s">
        <v>2647</v>
      </c>
      <c r="D1003" s="274">
        <f>IFERROR(VLOOKUP(C1003,'Data Lokasi'!C:D,2,0),"")</f>
        <v>6.12</v>
      </c>
      <c r="E1003" s="274" t="s">
        <v>2642</v>
      </c>
      <c r="F1003" s="274"/>
      <c r="G1003" s="274"/>
      <c r="H1003" s="274">
        <f>0.5+0.81</f>
        <v>1.31</v>
      </c>
      <c r="I1003" s="274"/>
      <c r="J1003" s="456">
        <f t="shared" si="30"/>
        <v>1.31</v>
      </c>
      <c r="K1003" s="583"/>
      <c r="L1003" s="268" t="s">
        <v>719</v>
      </c>
      <c r="M1003" s="268" t="s">
        <v>2634</v>
      </c>
      <c r="N1003" s="278">
        <f>IFERROR(INDEX('Data Lokasi'!S:S,MATCH('Input Real Tanam&amp;Petik Nanas'!C1003,'Data Lokasi'!C:C,0)),"")</f>
        <v>46237</v>
      </c>
      <c r="O1003" s="278"/>
      <c r="P1003" s="283">
        <f>IFERROR(INDEX('Data Lokasi'!V:V,MATCH(C1003,'Data Lokasi'!C:C,0)),"")</f>
        <v>6.12</v>
      </c>
      <c r="Q1003" s="304">
        <f t="shared" si="31"/>
        <v>1</v>
      </c>
      <c r="R1003" s="308"/>
    </row>
    <row r="1004" spans="2:18" ht="15" hidden="1" thickTop="1">
      <c r="B1004" s="269">
        <v>46238</v>
      </c>
      <c r="C1004" s="268" t="s">
        <v>1443</v>
      </c>
      <c r="D1004" s="274">
        <f>IFERROR(VLOOKUP(C1004,'Data Lokasi'!C:D,2,0),"")</f>
        <v>1.34</v>
      </c>
      <c r="E1004" s="274" t="s">
        <v>2642</v>
      </c>
      <c r="F1004" s="274"/>
      <c r="G1004" s="274">
        <v>0.05</v>
      </c>
      <c r="H1004" s="274"/>
      <c r="I1004" s="274"/>
      <c r="J1004" s="456">
        <f t="shared" si="30"/>
        <v>0.05</v>
      </c>
      <c r="K1004" s="583"/>
      <c r="L1004" s="268" t="s">
        <v>719</v>
      </c>
      <c r="M1004" s="268" t="s">
        <v>2634</v>
      </c>
      <c r="N1004" s="278">
        <f>IFERROR(INDEX('Data Lokasi'!S:S,MATCH('Input Real Tanam&amp;Petik Nanas'!C1004,'Data Lokasi'!C:C,0)),"")</f>
        <v>46222</v>
      </c>
      <c r="O1004" s="278"/>
      <c r="P1004" s="283">
        <f>IFERROR(INDEX('Data Lokasi'!V:V,MATCH(C1004,'Data Lokasi'!C:C,0)),"")</f>
        <v>0</v>
      </c>
      <c r="Q1004" s="304">
        <f t="shared" si="31"/>
        <v>0</v>
      </c>
      <c r="R1004" s="308"/>
    </row>
    <row r="1005" spans="2:18" ht="15" hidden="1" thickTop="1">
      <c r="B1005" s="269">
        <v>46238</v>
      </c>
      <c r="C1005" s="268" t="s">
        <v>196</v>
      </c>
      <c r="D1005" s="274">
        <f>IFERROR(VLOOKUP(C1005,'Data Lokasi'!C:D,2,0),"")</f>
        <v>11.7</v>
      </c>
      <c r="E1005" s="274" t="s">
        <v>2642</v>
      </c>
      <c r="F1005" s="274"/>
      <c r="G1005" s="274"/>
      <c r="H1005" s="274"/>
      <c r="I1005" s="274">
        <v>0.27</v>
      </c>
      <c r="J1005" s="456">
        <f t="shared" si="30"/>
        <v>0.27</v>
      </c>
      <c r="K1005" s="583"/>
      <c r="L1005" s="268" t="s">
        <v>2625</v>
      </c>
      <c r="M1005" s="268" t="s">
        <v>2634</v>
      </c>
      <c r="N1005" s="278">
        <f>IFERROR(INDEX('Data Lokasi'!S:S,MATCH('Input Real Tanam&amp;Petik Nanas'!C1005,'Data Lokasi'!C:C,0)),"")</f>
        <v>43948</v>
      </c>
      <c r="O1005" s="278"/>
      <c r="P1005" s="283">
        <f>IFERROR(INDEX('Data Lokasi'!V:V,MATCH(C1005,'Data Lokasi'!C:C,0)),"")</f>
        <v>0</v>
      </c>
      <c r="Q1005" s="304">
        <f t="shared" si="31"/>
        <v>0</v>
      </c>
      <c r="R1005" s="308"/>
    </row>
    <row r="1006" spans="2:18" ht="15" hidden="1" thickTop="1">
      <c r="B1006" s="269">
        <v>46238</v>
      </c>
      <c r="C1006" s="268" t="s">
        <v>2691</v>
      </c>
      <c r="D1006" s="274">
        <f>IFERROR(VLOOKUP(C1006,'Data Lokasi'!C:D,2,0),"")</f>
        <v>5.37</v>
      </c>
      <c r="E1006" s="274" t="s">
        <v>2642</v>
      </c>
      <c r="F1006" s="274"/>
      <c r="G1006" s="274"/>
      <c r="H1006" s="274"/>
      <c r="I1006" s="274">
        <v>0.34</v>
      </c>
      <c r="J1006" s="456">
        <f t="shared" si="30"/>
        <v>0.34</v>
      </c>
      <c r="K1006" s="583"/>
      <c r="L1006" s="268" t="s">
        <v>2625</v>
      </c>
      <c r="M1006" s="268" t="s">
        <v>2634</v>
      </c>
      <c r="N1006" s="278">
        <f>IFERROR(INDEX('Data Lokasi'!S:S,MATCH('Input Real Tanam&amp;Petik Nanas'!C1006,'Data Lokasi'!C:C,0)),"")</f>
        <v>46236</v>
      </c>
      <c r="O1006" s="278"/>
      <c r="P1006" s="283">
        <f>IFERROR(INDEX('Data Lokasi'!V:V,MATCH(C1006,'Data Lokasi'!C:C,0)),"")</f>
        <v>5.37</v>
      </c>
      <c r="Q1006" s="304">
        <f t="shared" si="31"/>
        <v>1</v>
      </c>
      <c r="R1006" s="308"/>
    </row>
    <row r="1007" spans="2:18" ht="15" hidden="1" thickTop="1">
      <c r="B1007" s="269">
        <v>46238</v>
      </c>
      <c r="C1007" s="268" t="s">
        <v>2692</v>
      </c>
      <c r="D1007" s="274">
        <f>IFERROR(VLOOKUP(C1007,'Data Lokasi'!C:D,2,0),"")</f>
        <v>8.9600000000000009</v>
      </c>
      <c r="E1007" s="274" t="s">
        <v>2642</v>
      </c>
      <c r="F1007" s="274"/>
      <c r="G1007" s="274"/>
      <c r="H1007" s="274"/>
      <c r="I1007" s="274">
        <v>0.35</v>
      </c>
      <c r="J1007" s="456">
        <f t="shared" si="30"/>
        <v>0.35</v>
      </c>
      <c r="K1007" s="583"/>
      <c r="L1007" s="268" t="s">
        <v>2625</v>
      </c>
      <c r="M1007" s="268" t="s">
        <v>2634</v>
      </c>
      <c r="N1007" s="278">
        <f>IFERROR(INDEX('Data Lokasi'!S:S,MATCH('Input Real Tanam&amp;Petik Nanas'!C1007,'Data Lokasi'!C:C,0)),"")</f>
        <v>46238</v>
      </c>
      <c r="O1007" s="278"/>
      <c r="P1007" s="283">
        <f>IFERROR(INDEX('Data Lokasi'!V:V,MATCH(C1007,'Data Lokasi'!C:C,0)),"")</f>
        <v>8.9600000000000009</v>
      </c>
      <c r="Q1007" s="304">
        <f t="shared" si="31"/>
        <v>1</v>
      </c>
      <c r="R1007" s="308"/>
    </row>
    <row r="1008" spans="2:18" ht="15" hidden="1" thickTop="1">
      <c r="B1008" s="269">
        <v>46238</v>
      </c>
      <c r="C1008" s="268" t="s">
        <v>311</v>
      </c>
      <c r="D1008" s="274">
        <f>IFERROR(VLOOKUP(C1008,'Data Lokasi'!C:D,2,0),"")</f>
        <v>5.15</v>
      </c>
      <c r="E1008" s="274" t="s">
        <v>2642</v>
      </c>
      <c r="F1008" s="274"/>
      <c r="G1008" s="274"/>
      <c r="H1008" s="274"/>
      <c r="I1008" s="274">
        <v>0.25</v>
      </c>
      <c r="J1008" s="456">
        <f t="shared" si="30"/>
        <v>0.25</v>
      </c>
      <c r="K1008" s="583"/>
      <c r="L1008" s="268" t="s">
        <v>2625</v>
      </c>
      <c r="M1008" s="268" t="s">
        <v>2634</v>
      </c>
      <c r="N1008" s="278">
        <f>IFERROR(INDEX('Data Lokasi'!S:S,MATCH('Input Real Tanam&amp;Petik Nanas'!C1008,'Data Lokasi'!C:C,0)),"")</f>
        <v>44175</v>
      </c>
      <c r="O1008" s="278"/>
      <c r="P1008" s="283">
        <f>IFERROR(INDEX('Data Lokasi'!V:V,MATCH(C1008,'Data Lokasi'!C:C,0)),"")</f>
        <v>0</v>
      </c>
      <c r="Q1008" s="304">
        <f t="shared" si="31"/>
        <v>0</v>
      </c>
      <c r="R1008" s="308"/>
    </row>
    <row r="1009" spans="2:18" ht="15" hidden="1" thickTop="1">
      <c r="B1009" s="269">
        <v>46238</v>
      </c>
      <c r="C1009" s="268" t="s">
        <v>441</v>
      </c>
      <c r="D1009" s="274">
        <f>IFERROR(VLOOKUP(C1009,'Data Lokasi'!C:D,2,0),"")</f>
        <v>11.2</v>
      </c>
      <c r="E1009" s="274" t="s">
        <v>2643</v>
      </c>
      <c r="F1009" s="274"/>
      <c r="G1009" s="274">
        <f>0.003+0.03</f>
        <v>3.3000000000000002E-2</v>
      </c>
      <c r="H1009" s="274">
        <f>0.11+0.1</f>
        <v>0.21000000000000002</v>
      </c>
      <c r="I1009" s="274"/>
      <c r="J1009" s="456">
        <f t="shared" si="30"/>
        <v>0.24300000000000002</v>
      </c>
      <c r="K1009" s="583"/>
      <c r="L1009" s="268" t="s">
        <v>719</v>
      </c>
      <c r="M1009" s="268" t="s">
        <v>2631</v>
      </c>
      <c r="N1009" s="278">
        <f>IFERROR(INDEX('Data Lokasi'!S:S,MATCH('Input Real Tanam&amp;Petik Nanas'!C1009,'Data Lokasi'!C:C,0)),"")</f>
        <v>44429</v>
      </c>
      <c r="O1009" s="278"/>
      <c r="P1009" s="283">
        <f>IFERROR(INDEX('Data Lokasi'!V:V,MATCH(C1009,'Data Lokasi'!C:C,0)),"")</f>
        <v>0</v>
      </c>
      <c r="Q1009" s="304">
        <f t="shared" si="31"/>
        <v>0</v>
      </c>
      <c r="R1009" s="308">
        <v>3</v>
      </c>
    </row>
    <row r="1010" spans="2:18" ht="15" hidden="1" thickTop="1">
      <c r="B1010" s="269">
        <v>46238</v>
      </c>
      <c r="C1010" s="268" t="s">
        <v>492</v>
      </c>
      <c r="D1010" s="274">
        <f>IFERROR(VLOOKUP(C1010,'Data Lokasi'!C:D,2,0),"")</f>
        <v>9.2100000000000009</v>
      </c>
      <c r="E1010" s="274" t="s">
        <v>2643</v>
      </c>
      <c r="F1010" s="274"/>
      <c r="G1010" s="274">
        <v>0.01</v>
      </c>
      <c r="H1010" s="274">
        <f>0.03+0.04</f>
        <v>7.0000000000000007E-2</v>
      </c>
      <c r="I1010" s="274"/>
      <c r="J1010" s="456">
        <f t="shared" si="30"/>
        <v>0.08</v>
      </c>
      <c r="K1010" s="583"/>
      <c r="L1010" s="268" t="s">
        <v>719</v>
      </c>
      <c r="M1010" s="268" t="s">
        <v>2631</v>
      </c>
      <c r="N1010" s="278">
        <f>IFERROR(INDEX('Data Lokasi'!S:S,MATCH('Input Real Tanam&amp;Petik Nanas'!C1010,'Data Lokasi'!C:C,0)),"")</f>
        <v>44536</v>
      </c>
      <c r="O1010" s="278"/>
      <c r="P1010" s="283">
        <f>IFERROR(INDEX('Data Lokasi'!V:V,MATCH(C1010,'Data Lokasi'!C:C,0)),"")</f>
        <v>0</v>
      </c>
      <c r="Q1010" s="304">
        <f t="shared" si="31"/>
        <v>0</v>
      </c>
      <c r="R1010" s="308">
        <v>2</v>
      </c>
    </row>
    <row r="1011" spans="2:18" ht="15" hidden="1" thickTop="1">
      <c r="B1011" s="269">
        <v>46238</v>
      </c>
      <c r="C1011" s="268" t="s">
        <v>114</v>
      </c>
      <c r="D1011" s="274">
        <f>IFERROR(VLOOKUP(C1011,'Data Lokasi'!C:D,2,0),"")</f>
        <v>5.88</v>
      </c>
      <c r="E1011" s="274" t="s">
        <v>2643</v>
      </c>
      <c r="F1011" s="274">
        <v>0.01</v>
      </c>
      <c r="G1011" s="274">
        <v>0.03</v>
      </c>
      <c r="H1011" s="274">
        <v>0.02</v>
      </c>
      <c r="I1011" s="274"/>
      <c r="J1011" s="456">
        <f t="shared" si="30"/>
        <v>0.06</v>
      </c>
      <c r="K1011" s="583"/>
      <c r="L1011" s="268" t="s">
        <v>719</v>
      </c>
      <c r="M1011" s="268" t="s">
        <v>2631</v>
      </c>
      <c r="N1011" s="278">
        <f>IFERROR(INDEX('Data Lokasi'!S:S,MATCH('Input Real Tanam&amp;Petik Nanas'!C1011,'Data Lokasi'!C:C,0)),"")</f>
        <v>45259</v>
      </c>
      <c r="O1011" s="278"/>
      <c r="P1011" s="283">
        <f>IFERROR(INDEX('Data Lokasi'!V:V,MATCH(C1011,'Data Lokasi'!C:C,0)),"")</f>
        <v>0</v>
      </c>
      <c r="Q1011" s="304">
        <f t="shared" si="31"/>
        <v>0</v>
      </c>
      <c r="R1011" s="308"/>
    </row>
    <row r="1012" spans="2:18" ht="15" hidden="1" thickTop="1">
      <c r="B1012" s="269">
        <v>46238</v>
      </c>
      <c r="C1012" s="268" t="s">
        <v>495</v>
      </c>
      <c r="D1012" s="274">
        <f>IFERROR(VLOOKUP(C1012,'Data Lokasi'!C:D,2,0),"")</f>
        <v>4.78</v>
      </c>
      <c r="E1012" s="274" t="s">
        <v>2643</v>
      </c>
      <c r="F1012" s="274"/>
      <c r="G1012" s="274"/>
      <c r="H1012" s="274"/>
      <c r="I1012" s="274">
        <v>2.95</v>
      </c>
      <c r="J1012" s="456">
        <f t="shared" si="30"/>
        <v>2.95</v>
      </c>
      <c r="K1012" s="583"/>
      <c r="L1012" s="268" t="s">
        <v>2625</v>
      </c>
      <c r="M1012" s="268" t="s">
        <v>2631</v>
      </c>
      <c r="N1012" s="278">
        <f>IFERROR(INDEX('Data Lokasi'!S:S,MATCH('Input Real Tanam&amp;Petik Nanas'!C1012,'Data Lokasi'!C:C,0)),"")</f>
        <v>44564</v>
      </c>
      <c r="O1012" s="278"/>
      <c r="P1012" s="283">
        <f>IFERROR(INDEX('Data Lokasi'!V:V,MATCH(C1012,'Data Lokasi'!C:C,0)),"")</f>
        <v>0</v>
      </c>
      <c r="Q1012" s="304">
        <f t="shared" si="31"/>
        <v>0</v>
      </c>
      <c r="R1012" s="308"/>
    </row>
    <row r="1013" spans="2:18" ht="15" hidden="1" thickTop="1">
      <c r="B1013" s="269">
        <v>46238</v>
      </c>
      <c r="C1013" s="268" t="s">
        <v>354</v>
      </c>
      <c r="D1013" s="274">
        <f>IFERROR(VLOOKUP(C1013,'Data Lokasi'!C:D,2,0),"")</f>
        <v>12.94</v>
      </c>
      <c r="E1013" s="274" t="s">
        <v>2643</v>
      </c>
      <c r="F1013" s="274"/>
      <c r="G1013" s="274"/>
      <c r="H1013" s="274">
        <f>0.01+0.04</f>
        <v>0.05</v>
      </c>
      <c r="I1013" s="274">
        <f>0.09+0.27</f>
        <v>0.36</v>
      </c>
      <c r="J1013" s="456">
        <f t="shared" si="30"/>
        <v>0.41</v>
      </c>
      <c r="K1013" s="583"/>
      <c r="L1013" s="268" t="s">
        <v>719</v>
      </c>
      <c r="M1013" s="268" t="s">
        <v>2634</v>
      </c>
      <c r="N1013" s="278">
        <f>IFERROR(INDEX('Data Lokasi'!S:S,MATCH('Input Real Tanam&amp;Petik Nanas'!C1013,'Data Lokasi'!C:C,0)),"")</f>
        <v>44279</v>
      </c>
      <c r="O1013" s="278"/>
      <c r="P1013" s="283">
        <f>IFERROR(INDEX('Data Lokasi'!V:V,MATCH(C1013,'Data Lokasi'!C:C,0)),"")</f>
        <v>0</v>
      </c>
      <c r="Q1013" s="304">
        <f t="shared" si="31"/>
        <v>0</v>
      </c>
      <c r="R1013" s="308">
        <v>7</v>
      </c>
    </row>
    <row r="1014" spans="2:18" ht="15" hidden="1" thickTop="1">
      <c r="B1014" s="269">
        <v>46238</v>
      </c>
      <c r="C1014" s="268" t="s">
        <v>526</v>
      </c>
      <c r="D1014" s="274">
        <f>IFERROR(VLOOKUP(C1014,'Data Lokasi'!C:D,2,0),"")</f>
        <v>7.93</v>
      </c>
      <c r="E1014" s="274" t="s">
        <v>2643</v>
      </c>
      <c r="F1014" s="274"/>
      <c r="G1014" s="274"/>
      <c r="H1014" s="274"/>
      <c r="I1014" s="274">
        <v>1.61</v>
      </c>
      <c r="J1014" s="456">
        <f t="shared" si="30"/>
        <v>1.61</v>
      </c>
      <c r="K1014" s="583"/>
      <c r="L1014" s="268" t="s">
        <v>2625</v>
      </c>
      <c r="M1014" s="268" t="s">
        <v>2631</v>
      </c>
      <c r="N1014" s="278">
        <f>IFERROR(INDEX('Data Lokasi'!S:S,MATCH('Input Real Tanam&amp;Petik Nanas'!C1014,'Data Lokasi'!C:C,0)),"")</f>
        <v>44611</v>
      </c>
      <c r="O1014" s="278"/>
      <c r="P1014" s="283">
        <f>IFERROR(INDEX('Data Lokasi'!V:V,MATCH(C1014,'Data Lokasi'!C:C,0)),"")</f>
        <v>0</v>
      </c>
      <c r="Q1014" s="304">
        <f t="shared" si="31"/>
        <v>0</v>
      </c>
      <c r="R1014" s="308"/>
    </row>
    <row r="1015" spans="2:18" ht="15" hidden="1" thickTop="1">
      <c r="B1015" s="269">
        <v>46238</v>
      </c>
      <c r="C1015" s="268" t="s">
        <v>409</v>
      </c>
      <c r="D1015" s="274">
        <f>IFERROR(VLOOKUP(C1015,'Data Lokasi'!C:D,2,0),"")</f>
        <v>8.83</v>
      </c>
      <c r="E1015" s="274" t="s">
        <v>2643</v>
      </c>
      <c r="F1015" s="274"/>
      <c r="G1015" s="274">
        <v>0.04</v>
      </c>
      <c r="H1015" s="274">
        <f>0.12+0.2</f>
        <v>0.32</v>
      </c>
      <c r="I1015" s="274"/>
      <c r="J1015" s="456">
        <f t="shared" si="30"/>
        <v>0.36</v>
      </c>
      <c r="K1015" s="583"/>
      <c r="L1015" s="268" t="s">
        <v>719</v>
      </c>
      <c r="M1015" s="268" t="s">
        <v>2634</v>
      </c>
      <c r="N1015" s="278">
        <f>IFERROR(INDEX('Data Lokasi'!S:S,MATCH('Input Real Tanam&amp;Petik Nanas'!C1015,'Data Lokasi'!C:C,0)),"")</f>
        <v>44365</v>
      </c>
      <c r="O1015" s="278"/>
      <c r="P1015" s="283">
        <f>IFERROR(INDEX('Data Lokasi'!V:V,MATCH(C1015,'Data Lokasi'!C:C,0)),"")</f>
        <v>0</v>
      </c>
      <c r="Q1015" s="304">
        <f t="shared" si="31"/>
        <v>0</v>
      </c>
      <c r="R1015" s="308">
        <v>5</v>
      </c>
    </row>
    <row r="1016" spans="2:18" ht="15" hidden="1" thickTop="1">
      <c r="B1016" s="269">
        <v>46239</v>
      </c>
      <c r="C1016" s="268" t="s">
        <v>708</v>
      </c>
      <c r="D1016" s="274">
        <f>IFERROR(VLOOKUP(C1016,'Data Lokasi'!C:D,2,0),"")</f>
        <v>7.54</v>
      </c>
      <c r="E1016" s="274" t="s">
        <v>2642</v>
      </c>
      <c r="F1016" s="274"/>
      <c r="G1016" s="274"/>
      <c r="H1016" s="274"/>
      <c r="I1016" s="274">
        <v>0.62</v>
      </c>
      <c r="J1016" s="456">
        <f t="shared" si="30"/>
        <v>0.62</v>
      </c>
      <c r="K1016" s="583"/>
      <c r="L1016" s="268" t="s">
        <v>2625</v>
      </c>
      <c r="M1016" s="268" t="s">
        <v>2631</v>
      </c>
      <c r="N1016" s="278">
        <f>IFERROR(INDEX('Data Lokasi'!S:S,MATCH('Input Real Tanam&amp;Petik Nanas'!C1016,'Data Lokasi'!C:C,0)),"")</f>
        <v>45240</v>
      </c>
      <c r="O1016" s="278"/>
      <c r="P1016" s="283">
        <f>IFERROR(INDEX('Data Lokasi'!V:V,MATCH(C1016,'Data Lokasi'!C:C,0)),"")</f>
        <v>0</v>
      </c>
      <c r="Q1016" s="304">
        <f t="shared" si="31"/>
        <v>0</v>
      </c>
      <c r="R1016" s="308"/>
    </row>
    <row r="1017" spans="2:18" ht="15" hidden="1" thickTop="1">
      <c r="B1017" s="269">
        <v>46239</v>
      </c>
      <c r="C1017" s="268" t="s">
        <v>2692</v>
      </c>
      <c r="D1017" s="274">
        <f>IFERROR(VLOOKUP(C1017,'Data Lokasi'!C:D,2,0),"")</f>
        <v>8.9600000000000009</v>
      </c>
      <c r="E1017" s="274" t="s">
        <v>2642</v>
      </c>
      <c r="F1017" s="274"/>
      <c r="G1017" s="274"/>
      <c r="H1017" s="274"/>
      <c r="I1017" s="274">
        <v>0.19</v>
      </c>
      <c r="J1017" s="456">
        <f t="shared" si="30"/>
        <v>0.19</v>
      </c>
      <c r="K1017" s="583"/>
      <c r="L1017" s="268" t="s">
        <v>2625</v>
      </c>
      <c r="M1017" s="268" t="s">
        <v>2631</v>
      </c>
      <c r="N1017" s="278">
        <f>IFERROR(INDEX('Data Lokasi'!S:S,MATCH('Input Real Tanam&amp;Petik Nanas'!C1017,'Data Lokasi'!C:C,0)),"")</f>
        <v>46238</v>
      </c>
      <c r="O1017" s="278"/>
      <c r="P1017" s="283">
        <f>IFERROR(INDEX('Data Lokasi'!V:V,MATCH(C1017,'Data Lokasi'!C:C,0)),"")</f>
        <v>8.9600000000000009</v>
      </c>
      <c r="Q1017" s="304">
        <f t="shared" si="31"/>
        <v>1</v>
      </c>
      <c r="R1017" s="308"/>
    </row>
    <row r="1018" spans="2:18" ht="15" hidden="1" thickTop="1">
      <c r="B1018" s="269">
        <v>46239</v>
      </c>
      <c r="C1018" s="268" t="s">
        <v>710</v>
      </c>
      <c r="D1018" s="274">
        <f>IFERROR(VLOOKUP(C1018,'Data Lokasi'!C:D,2,0),"")</f>
        <v>8.3699999999999992</v>
      </c>
      <c r="E1018" s="274" t="s">
        <v>2642</v>
      </c>
      <c r="F1018" s="274"/>
      <c r="G1018" s="274"/>
      <c r="H1018" s="274"/>
      <c r="I1018" s="274">
        <v>0.82</v>
      </c>
      <c r="J1018" s="456">
        <f t="shared" si="30"/>
        <v>0.82</v>
      </c>
      <c r="K1018" s="583"/>
      <c r="L1018" s="268" t="s">
        <v>2625</v>
      </c>
      <c r="M1018" s="268" t="s">
        <v>2631</v>
      </c>
      <c r="N1018" s="278">
        <f>IFERROR(INDEX('Data Lokasi'!S:S,MATCH('Input Real Tanam&amp;Petik Nanas'!C1018,'Data Lokasi'!C:C,0)),"")</f>
        <v>45246</v>
      </c>
      <c r="O1018" s="278"/>
      <c r="P1018" s="283">
        <f>IFERROR(INDEX('Data Lokasi'!V:V,MATCH(C1018,'Data Lokasi'!C:C,0)),"")</f>
        <v>0</v>
      </c>
      <c r="Q1018" s="304">
        <f t="shared" si="31"/>
        <v>0</v>
      </c>
      <c r="R1018" s="308"/>
    </row>
    <row r="1019" spans="2:18" ht="15" hidden="1" thickTop="1">
      <c r="B1019" s="269">
        <v>46239</v>
      </c>
      <c r="C1019" s="268" t="s">
        <v>2691</v>
      </c>
      <c r="D1019" s="274">
        <f>IFERROR(VLOOKUP(C1019,'Data Lokasi'!C:D,2,0),"")</f>
        <v>5.37</v>
      </c>
      <c r="E1019" s="274" t="s">
        <v>2642</v>
      </c>
      <c r="F1019" s="274"/>
      <c r="G1019" s="274"/>
      <c r="H1019" s="274"/>
      <c r="I1019" s="274">
        <v>0.85</v>
      </c>
      <c r="J1019" s="456">
        <f t="shared" si="30"/>
        <v>0.85</v>
      </c>
      <c r="K1019" s="583"/>
      <c r="L1019" s="268" t="s">
        <v>2625</v>
      </c>
      <c r="M1019" s="268" t="s">
        <v>2631</v>
      </c>
      <c r="N1019" s="278">
        <f>IFERROR(INDEX('Data Lokasi'!S:S,MATCH('Input Real Tanam&amp;Petik Nanas'!C1019,'Data Lokasi'!C:C,0)),"")</f>
        <v>46236</v>
      </c>
      <c r="O1019" s="278"/>
      <c r="P1019" s="283">
        <f>IFERROR(INDEX('Data Lokasi'!V:V,MATCH(C1019,'Data Lokasi'!C:C,0)),"")</f>
        <v>5.37</v>
      </c>
      <c r="Q1019" s="304">
        <f t="shared" si="31"/>
        <v>1</v>
      </c>
      <c r="R1019" s="308"/>
    </row>
    <row r="1020" spans="2:18" ht="15" hidden="1" thickTop="1">
      <c r="B1020" s="269">
        <v>46239</v>
      </c>
      <c r="C1020" s="268" t="s">
        <v>196</v>
      </c>
      <c r="D1020" s="274">
        <f>IFERROR(VLOOKUP(C1020,'Data Lokasi'!C:D,2,0),"")</f>
        <v>11.7</v>
      </c>
      <c r="E1020" s="274" t="s">
        <v>2642</v>
      </c>
      <c r="F1020" s="274"/>
      <c r="G1020" s="274"/>
      <c r="H1020" s="274"/>
      <c r="I1020" s="274">
        <v>0.38</v>
      </c>
      <c r="J1020" s="456">
        <f t="shared" si="30"/>
        <v>0.38</v>
      </c>
      <c r="K1020" s="583"/>
      <c r="L1020" s="268" t="s">
        <v>2625</v>
      </c>
      <c r="M1020" s="268" t="s">
        <v>2634</v>
      </c>
      <c r="N1020" s="278">
        <f>IFERROR(INDEX('Data Lokasi'!S:S,MATCH('Input Real Tanam&amp;Petik Nanas'!C1020,'Data Lokasi'!C:C,0)),"")</f>
        <v>43948</v>
      </c>
      <c r="O1020" s="278"/>
      <c r="P1020" s="283">
        <f>IFERROR(INDEX('Data Lokasi'!V:V,MATCH(C1020,'Data Lokasi'!C:C,0)),"")</f>
        <v>0</v>
      </c>
      <c r="Q1020" s="304">
        <f t="shared" si="31"/>
        <v>0</v>
      </c>
      <c r="R1020" s="308"/>
    </row>
    <row r="1021" spans="2:18" ht="15" hidden="1" thickTop="1">
      <c r="B1021" s="269">
        <v>46239</v>
      </c>
      <c r="C1021" s="268" t="s">
        <v>2691</v>
      </c>
      <c r="D1021" s="274">
        <f>IFERROR(VLOOKUP(C1021,'Data Lokasi'!C:D,2,0),"")</f>
        <v>5.37</v>
      </c>
      <c r="E1021" s="274" t="s">
        <v>2642</v>
      </c>
      <c r="F1021" s="274"/>
      <c r="G1021" s="274"/>
      <c r="H1021" s="274"/>
      <c r="I1021" s="274">
        <v>0.39</v>
      </c>
      <c r="J1021" s="456">
        <f t="shared" si="30"/>
        <v>0.39</v>
      </c>
      <c r="K1021" s="583"/>
      <c r="L1021" s="268" t="s">
        <v>2625</v>
      </c>
      <c r="M1021" s="268" t="s">
        <v>2634</v>
      </c>
      <c r="N1021" s="278">
        <f>IFERROR(INDEX('Data Lokasi'!S:S,MATCH('Input Real Tanam&amp;Petik Nanas'!C1021,'Data Lokasi'!C:C,0)),"")</f>
        <v>46236</v>
      </c>
      <c r="O1021" s="278"/>
      <c r="P1021" s="283">
        <f>IFERROR(INDEX('Data Lokasi'!V:V,MATCH(C1021,'Data Lokasi'!C:C,0)),"")</f>
        <v>5.37</v>
      </c>
      <c r="Q1021" s="304">
        <f t="shared" si="31"/>
        <v>1</v>
      </c>
      <c r="R1021" s="308"/>
    </row>
    <row r="1022" spans="2:18" ht="15" hidden="1" thickTop="1">
      <c r="B1022" s="269">
        <v>46239</v>
      </c>
      <c r="C1022" s="268" t="s">
        <v>299</v>
      </c>
      <c r="D1022" s="274">
        <f>IFERROR(VLOOKUP(C1022,'Data Lokasi'!C:D,2,0),"")</f>
        <v>3.62</v>
      </c>
      <c r="E1022" s="274" t="s">
        <v>2642</v>
      </c>
      <c r="F1022" s="274"/>
      <c r="G1022" s="274"/>
      <c r="H1022" s="274">
        <v>0.19</v>
      </c>
      <c r="I1022" s="274"/>
      <c r="J1022" s="456">
        <f t="shared" si="30"/>
        <v>0.19</v>
      </c>
      <c r="K1022" s="583"/>
      <c r="L1022" s="268" t="s">
        <v>719</v>
      </c>
      <c r="M1022" s="268" t="s">
        <v>2634</v>
      </c>
      <c r="N1022" s="278">
        <f>IFERROR(INDEX('Data Lokasi'!S:S,MATCH('Input Real Tanam&amp;Petik Nanas'!C1022,'Data Lokasi'!C:C,0)),"")</f>
        <v>44144</v>
      </c>
      <c r="O1022" s="278"/>
      <c r="P1022" s="283">
        <f>IFERROR(INDEX('Data Lokasi'!V:V,MATCH(C1022,'Data Lokasi'!C:C,0)),"")</f>
        <v>0</v>
      </c>
      <c r="Q1022" s="304">
        <f t="shared" si="31"/>
        <v>0</v>
      </c>
      <c r="R1022" s="308"/>
    </row>
    <row r="1023" spans="2:18" ht="15" hidden="1" thickTop="1">
      <c r="B1023" s="269">
        <v>46239</v>
      </c>
      <c r="C1023" s="268" t="s">
        <v>2647</v>
      </c>
      <c r="D1023" s="274">
        <f>IFERROR(VLOOKUP(C1023,'Data Lokasi'!C:D,2,0),"")</f>
        <v>6.12</v>
      </c>
      <c r="E1023" s="274" t="s">
        <v>2642</v>
      </c>
      <c r="F1023" s="274"/>
      <c r="G1023" s="274"/>
      <c r="H1023" s="274">
        <f>0.4+0.55</f>
        <v>0.95000000000000007</v>
      </c>
      <c r="I1023" s="274"/>
      <c r="J1023" s="456">
        <f t="shared" si="30"/>
        <v>0.95000000000000007</v>
      </c>
      <c r="K1023" s="583"/>
      <c r="L1023" s="268" t="s">
        <v>719</v>
      </c>
      <c r="M1023" s="268" t="s">
        <v>2634</v>
      </c>
      <c r="N1023" s="278">
        <f>IFERROR(INDEX('Data Lokasi'!S:S,MATCH('Input Real Tanam&amp;Petik Nanas'!C1023,'Data Lokasi'!C:C,0)),"")</f>
        <v>46237</v>
      </c>
      <c r="O1023" s="278"/>
      <c r="P1023" s="283">
        <f>IFERROR(INDEX('Data Lokasi'!V:V,MATCH(C1023,'Data Lokasi'!C:C,0)),"")</f>
        <v>6.12</v>
      </c>
      <c r="Q1023" s="304">
        <f t="shared" si="31"/>
        <v>1</v>
      </c>
      <c r="R1023" s="308"/>
    </row>
    <row r="1024" spans="2:18" ht="15" hidden="1" thickTop="1">
      <c r="B1024" s="269">
        <v>46239</v>
      </c>
      <c r="C1024" s="268" t="s">
        <v>2692</v>
      </c>
      <c r="D1024" s="274">
        <f>IFERROR(VLOOKUP(C1024,'Data Lokasi'!C:D,2,0),"")</f>
        <v>8.9600000000000009</v>
      </c>
      <c r="E1024" s="274" t="s">
        <v>2642</v>
      </c>
      <c r="F1024" s="274"/>
      <c r="G1024" s="274"/>
      <c r="H1024" s="274"/>
      <c r="I1024" s="274">
        <v>0.32</v>
      </c>
      <c r="J1024" s="456">
        <f t="shared" si="30"/>
        <v>0.32</v>
      </c>
      <c r="K1024" s="583"/>
      <c r="L1024" s="268" t="s">
        <v>2625</v>
      </c>
      <c r="M1024" s="268" t="s">
        <v>2634</v>
      </c>
      <c r="N1024" s="278">
        <f>IFERROR(INDEX('Data Lokasi'!S:S,MATCH('Input Real Tanam&amp;Petik Nanas'!C1024,'Data Lokasi'!C:C,0)),"")</f>
        <v>46238</v>
      </c>
      <c r="O1024" s="278"/>
      <c r="P1024" s="283">
        <f>IFERROR(INDEX('Data Lokasi'!V:V,MATCH(C1024,'Data Lokasi'!C:C,0)),"")</f>
        <v>8.9600000000000009</v>
      </c>
      <c r="Q1024" s="304">
        <f t="shared" si="31"/>
        <v>1</v>
      </c>
      <c r="R1024" s="308"/>
    </row>
    <row r="1025" spans="2:18" ht="15" hidden="1" thickTop="1">
      <c r="B1025" s="269">
        <v>46239</v>
      </c>
      <c r="C1025" s="268" t="s">
        <v>311</v>
      </c>
      <c r="D1025" s="274">
        <f>IFERROR(VLOOKUP(C1025,'Data Lokasi'!C:D,2,0),"")</f>
        <v>5.15</v>
      </c>
      <c r="E1025" s="274" t="s">
        <v>2642</v>
      </c>
      <c r="F1025" s="274"/>
      <c r="G1025" s="274"/>
      <c r="H1025" s="274"/>
      <c r="I1025" s="274">
        <v>0.27</v>
      </c>
      <c r="J1025" s="456">
        <f t="shared" si="30"/>
        <v>0.27</v>
      </c>
      <c r="K1025" s="583"/>
      <c r="L1025" s="268" t="s">
        <v>2625</v>
      </c>
      <c r="M1025" s="268" t="s">
        <v>2634</v>
      </c>
      <c r="N1025" s="278">
        <f>IFERROR(INDEX('Data Lokasi'!S:S,MATCH('Input Real Tanam&amp;Petik Nanas'!C1025,'Data Lokasi'!C:C,0)),"")</f>
        <v>44175</v>
      </c>
      <c r="O1025" s="278"/>
      <c r="P1025" s="283">
        <f>IFERROR(INDEX('Data Lokasi'!V:V,MATCH(C1025,'Data Lokasi'!C:C,0)),"")</f>
        <v>0</v>
      </c>
      <c r="Q1025" s="304">
        <f t="shared" si="31"/>
        <v>0</v>
      </c>
      <c r="R1025" s="308"/>
    </row>
    <row r="1026" spans="2:18" ht="15" hidden="1" thickTop="1">
      <c r="B1026" s="269">
        <v>46239</v>
      </c>
      <c r="C1026" s="268" t="s">
        <v>1443</v>
      </c>
      <c r="D1026" s="274">
        <f>IFERROR(VLOOKUP(C1026,'Data Lokasi'!C:D,2,0),"")</f>
        <v>1.34</v>
      </c>
      <c r="E1026" s="274" t="s">
        <v>2642</v>
      </c>
      <c r="F1026" s="274"/>
      <c r="G1026" s="274">
        <v>0.1</v>
      </c>
      <c r="H1026" s="274"/>
      <c r="I1026" s="274"/>
      <c r="J1026" s="456">
        <f t="shared" si="30"/>
        <v>0.1</v>
      </c>
      <c r="K1026" s="583"/>
      <c r="L1026" s="268" t="s">
        <v>719</v>
      </c>
      <c r="M1026" s="268" t="s">
        <v>2634</v>
      </c>
      <c r="N1026" s="278">
        <f>IFERROR(INDEX('Data Lokasi'!S:S,MATCH('Input Real Tanam&amp;Petik Nanas'!C1026,'Data Lokasi'!C:C,0)),"")</f>
        <v>46222</v>
      </c>
      <c r="O1026" s="278"/>
      <c r="P1026" s="283">
        <f>IFERROR(INDEX('Data Lokasi'!V:V,MATCH(C1026,'Data Lokasi'!C:C,0)),"")</f>
        <v>0</v>
      </c>
      <c r="Q1026" s="304">
        <f t="shared" si="31"/>
        <v>0</v>
      </c>
      <c r="R1026" s="308"/>
    </row>
    <row r="1027" spans="2:18" ht="15" hidden="1" thickTop="1">
      <c r="B1027" s="269">
        <v>46239</v>
      </c>
      <c r="C1027" s="268" t="s">
        <v>354</v>
      </c>
      <c r="D1027" s="274">
        <f>IFERROR(VLOOKUP(C1027,'Data Lokasi'!C:D,2,0),"")</f>
        <v>12.94</v>
      </c>
      <c r="E1027" s="274" t="s">
        <v>2643</v>
      </c>
      <c r="F1027" s="274"/>
      <c r="G1027" s="274"/>
      <c r="H1027" s="274">
        <v>0.05</v>
      </c>
      <c r="I1027" s="274">
        <f>0.07+0.2</f>
        <v>0.27</v>
      </c>
      <c r="J1027" s="456">
        <f t="shared" si="30"/>
        <v>0.32</v>
      </c>
      <c r="K1027" s="583"/>
      <c r="L1027" s="268" t="s">
        <v>719</v>
      </c>
      <c r="M1027" s="268" t="s">
        <v>2634</v>
      </c>
      <c r="N1027" s="278">
        <f>IFERROR(INDEX('Data Lokasi'!S:S,MATCH('Input Real Tanam&amp;Petik Nanas'!C1027,'Data Lokasi'!C:C,0)),"")</f>
        <v>44279</v>
      </c>
      <c r="O1027" s="278"/>
      <c r="P1027" s="283">
        <f>IFERROR(INDEX('Data Lokasi'!V:V,MATCH(C1027,'Data Lokasi'!C:C,0)),"")</f>
        <v>0</v>
      </c>
      <c r="Q1027" s="304">
        <f t="shared" si="31"/>
        <v>0</v>
      </c>
      <c r="R1027" s="308">
        <v>7</v>
      </c>
    </row>
    <row r="1028" spans="2:18" ht="15" hidden="1" thickTop="1">
      <c r="B1028" s="269">
        <v>46239</v>
      </c>
      <c r="C1028" s="268" t="s">
        <v>526</v>
      </c>
      <c r="D1028" s="274">
        <f>IFERROR(VLOOKUP(C1028,'Data Lokasi'!C:D,2,0),"")</f>
        <v>7.93</v>
      </c>
      <c r="E1028" s="274" t="s">
        <v>2643</v>
      </c>
      <c r="F1028" s="274"/>
      <c r="G1028" s="274"/>
      <c r="H1028" s="274"/>
      <c r="I1028" s="274">
        <v>1.58</v>
      </c>
      <c r="J1028" s="456">
        <f t="shared" si="30"/>
        <v>1.58</v>
      </c>
      <c r="K1028" s="583"/>
      <c r="L1028" s="268" t="s">
        <v>2625</v>
      </c>
      <c r="M1028" s="268" t="s">
        <v>2631</v>
      </c>
      <c r="N1028" s="278">
        <f>IFERROR(INDEX('Data Lokasi'!S:S,MATCH('Input Real Tanam&amp;Petik Nanas'!C1028,'Data Lokasi'!C:C,0)),"")</f>
        <v>44611</v>
      </c>
      <c r="O1028" s="278"/>
      <c r="P1028" s="283">
        <f>IFERROR(INDEX('Data Lokasi'!V:V,MATCH(C1028,'Data Lokasi'!C:C,0)),"")</f>
        <v>0</v>
      </c>
      <c r="Q1028" s="304">
        <f t="shared" si="31"/>
        <v>0</v>
      </c>
      <c r="R1028" s="308"/>
    </row>
    <row r="1029" spans="2:18" ht="15" hidden="1" thickTop="1">
      <c r="B1029" s="269">
        <v>46239</v>
      </c>
      <c r="C1029" s="268" t="s">
        <v>409</v>
      </c>
      <c r="D1029" s="274">
        <f>IFERROR(VLOOKUP(C1029,'Data Lokasi'!C:D,2,0),"")</f>
        <v>8.83</v>
      </c>
      <c r="E1029" s="274" t="s">
        <v>2643</v>
      </c>
      <c r="F1029" s="274"/>
      <c r="G1029" s="274">
        <v>0.01</v>
      </c>
      <c r="H1029" s="274">
        <f>0.03+0.08</f>
        <v>0.11</v>
      </c>
      <c r="I1029" s="274"/>
      <c r="J1029" s="456">
        <f t="shared" si="30"/>
        <v>0.12</v>
      </c>
      <c r="K1029" s="583"/>
      <c r="L1029" s="268" t="s">
        <v>719</v>
      </c>
      <c r="M1029" s="268" t="s">
        <v>2634</v>
      </c>
      <c r="N1029" s="278">
        <f>IFERROR(INDEX('Data Lokasi'!S:S,MATCH('Input Real Tanam&amp;Petik Nanas'!C1029,'Data Lokasi'!C:C,0)),"")</f>
        <v>44365</v>
      </c>
      <c r="O1029" s="278"/>
      <c r="P1029" s="283">
        <f>IFERROR(INDEX('Data Lokasi'!V:V,MATCH(C1029,'Data Lokasi'!C:C,0)),"")</f>
        <v>0</v>
      </c>
      <c r="Q1029" s="304">
        <f t="shared" si="31"/>
        <v>0</v>
      </c>
      <c r="R1029" s="308">
        <v>5</v>
      </c>
    </row>
    <row r="1030" spans="2:18" ht="15" hidden="1" thickTop="1">
      <c r="B1030" s="269">
        <v>46239</v>
      </c>
      <c r="C1030" s="268" t="s">
        <v>441</v>
      </c>
      <c r="D1030" s="274">
        <f>IFERROR(VLOOKUP(C1030,'Data Lokasi'!C:D,2,0),"")</f>
        <v>11.2</v>
      </c>
      <c r="E1030" s="274" t="s">
        <v>2643</v>
      </c>
      <c r="F1030" s="274"/>
      <c r="G1030" s="274">
        <f>0.03+0.005</f>
        <v>3.4999999999999996E-2</v>
      </c>
      <c r="H1030" s="274">
        <v>0.03</v>
      </c>
      <c r="I1030" s="274"/>
      <c r="J1030" s="456">
        <f t="shared" si="30"/>
        <v>6.5000000000000002E-2</v>
      </c>
      <c r="K1030" s="583"/>
      <c r="L1030" s="268" t="s">
        <v>719</v>
      </c>
      <c r="M1030" s="268" t="s">
        <v>2631</v>
      </c>
      <c r="N1030" s="278">
        <f>IFERROR(INDEX('Data Lokasi'!S:S,MATCH('Input Real Tanam&amp;Petik Nanas'!C1030,'Data Lokasi'!C:C,0)),"")</f>
        <v>44429</v>
      </c>
      <c r="O1030" s="278"/>
      <c r="P1030" s="283">
        <f>IFERROR(INDEX('Data Lokasi'!V:V,MATCH(C1030,'Data Lokasi'!C:C,0)),"")</f>
        <v>0</v>
      </c>
      <c r="Q1030" s="304">
        <f t="shared" si="31"/>
        <v>0</v>
      </c>
      <c r="R1030" s="308">
        <v>3</v>
      </c>
    </row>
    <row r="1031" spans="2:18" ht="15" hidden="1" thickTop="1">
      <c r="B1031" s="269">
        <v>46239</v>
      </c>
      <c r="C1031" s="268" t="s">
        <v>492</v>
      </c>
      <c r="D1031" s="274">
        <f>IFERROR(VLOOKUP(C1031,'Data Lokasi'!C:D,2,0),"")</f>
        <v>9.2100000000000009</v>
      </c>
      <c r="E1031" s="274" t="s">
        <v>2643</v>
      </c>
      <c r="F1031" s="274"/>
      <c r="G1031" s="274">
        <v>0.01</v>
      </c>
      <c r="H1031" s="274">
        <f>0.07+0.06</f>
        <v>0.13</v>
      </c>
      <c r="I1031" s="274"/>
      <c r="J1031" s="456">
        <f t="shared" si="30"/>
        <v>0.14000000000000001</v>
      </c>
      <c r="K1031" s="583"/>
      <c r="L1031" s="268" t="s">
        <v>719</v>
      </c>
      <c r="M1031" s="268" t="s">
        <v>2631</v>
      </c>
      <c r="N1031" s="278">
        <f>IFERROR(INDEX('Data Lokasi'!S:S,MATCH('Input Real Tanam&amp;Petik Nanas'!C1031,'Data Lokasi'!C:C,0)),"")</f>
        <v>44536</v>
      </c>
      <c r="O1031" s="278"/>
      <c r="P1031" s="283">
        <f>IFERROR(INDEX('Data Lokasi'!V:V,MATCH(C1031,'Data Lokasi'!C:C,0)),"")</f>
        <v>0</v>
      </c>
      <c r="Q1031" s="304">
        <f t="shared" si="31"/>
        <v>0</v>
      </c>
      <c r="R1031" s="308">
        <v>2</v>
      </c>
    </row>
    <row r="1032" spans="2:18" ht="15" hidden="1" thickTop="1">
      <c r="B1032" s="269">
        <v>46239</v>
      </c>
      <c r="C1032" s="268" t="s">
        <v>544</v>
      </c>
      <c r="D1032" s="274">
        <f>IFERROR(VLOOKUP(C1032,'Data Lokasi'!C:D,2,0),"")</f>
        <v>11.71</v>
      </c>
      <c r="E1032" s="274" t="s">
        <v>2643</v>
      </c>
      <c r="F1032" s="274"/>
      <c r="G1032" s="274"/>
      <c r="H1032" s="274"/>
      <c r="I1032" s="274">
        <v>2.72</v>
      </c>
      <c r="J1032" s="456">
        <f t="shared" si="30"/>
        <v>2.72</v>
      </c>
      <c r="K1032" s="583"/>
      <c r="L1032" s="268" t="s">
        <v>2625</v>
      </c>
      <c r="M1032" s="268" t="s">
        <v>2631</v>
      </c>
      <c r="N1032" s="278">
        <f>IFERROR(INDEX('Data Lokasi'!S:S,MATCH('Input Real Tanam&amp;Petik Nanas'!C1032,'Data Lokasi'!C:C,0)),"")</f>
        <v>44651</v>
      </c>
      <c r="O1032" s="278"/>
      <c r="P1032" s="283">
        <f>IFERROR(INDEX('Data Lokasi'!V:V,MATCH(C1032,'Data Lokasi'!C:C,0)),"")</f>
        <v>0</v>
      </c>
      <c r="Q1032" s="304">
        <f t="shared" si="31"/>
        <v>0</v>
      </c>
      <c r="R1032" s="308">
        <v>1</v>
      </c>
    </row>
    <row r="1033" spans="2:18" ht="15" hidden="1" thickTop="1">
      <c r="B1033" s="269">
        <v>46240</v>
      </c>
      <c r="C1033" s="268" t="s">
        <v>196</v>
      </c>
      <c r="D1033" s="274">
        <f>IFERROR(VLOOKUP(C1033,'Data Lokasi'!C:D,2,0),"")</f>
        <v>11.7</v>
      </c>
      <c r="E1033" s="274" t="s">
        <v>2642</v>
      </c>
      <c r="F1033" s="274"/>
      <c r="G1033" s="274"/>
      <c r="H1033" s="274"/>
      <c r="I1033" s="274">
        <v>0.36</v>
      </c>
      <c r="J1033" s="456">
        <f t="shared" si="30"/>
        <v>0.36</v>
      </c>
      <c r="K1033" s="583"/>
      <c r="L1033" s="268" t="s">
        <v>2625</v>
      </c>
      <c r="M1033" s="268" t="s">
        <v>2634</v>
      </c>
      <c r="N1033" s="278">
        <f>IFERROR(INDEX('Data Lokasi'!S:S,MATCH('Input Real Tanam&amp;Petik Nanas'!C1033,'Data Lokasi'!C:C,0)),"")</f>
        <v>43948</v>
      </c>
      <c r="O1033" s="278"/>
      <c r="P1033" s="283">
        <f>IFERROR(INDEX('Data Lokasi'!V:V,MATCH(C1033,'Data Lokasi'!C:C,0)),"")</f>
        <v>0</v>
      </c>
      <c r="Q1033" s="304">
        <f t="shared" si="31"/>
        <v>0</v>
      </c>
      <c r="R1033" s="308"/>
    </row>
    <row r="1034" spans="2:18" ht="15" hidden="1" thickTop="1">
      <c r="B1034" s="269">
        <v>46240</v>
      </c>
      <c r="C1034" s="268" t="s">
        <v>2692</v>
      </c>
      <c r="D1034" s="274">
        <f>IFERROR(VLOOKUP(C1034,'Data Lokasi'!C:D,2,0),"")</f>
        <v>8.9600000000000009</v>
      </c>
      <c r="E1034" s="274" t="s">
        <v>2642</v>
      </c>
      <c r="F1034" s="274"/>
      <c r="G1034" s="274"/>
      <c r="H1034" s="274"/>
      <c r="I1034" s="274">
        <v>0.82</v>
      </c>
      <c r="J1034" s="456">
        <f t="shared" si="30"/>
        <v>0.82</v>
      </c>
      <c r="K1034" s="583"/>
      <c r="L1034" s="268" t="s">
        <v>2625</v>
      </c>
      <c r="M1034" s="268" t="s">
        <v>2634</v>
      </c>
      <c r="N1034" s="278">
        <f>IFERROR(INDEX('Data Lokasi'!S:S,MATCH('Input Real Tanam&amp;Petik Nanas'!C1034,'Data Lokasi'!C:C,0)),"")</f>
        <v>46238</v>
      </c>
      <c r="O1034" s="278"/>
      <c r="P1034" s="283">
        <f>IFERROR(INDEX('Data Lokasi'!V:V,MATCH(C1034,'Data Lokasi'!C:C,0)),"")</f>
        <v>8.9600000000000009</v>
      </c>
      <c r="Q1034" s="304">
        <f t="shared" si="31"/>
        <v>1</v>
      </c>
      <c r="R1034" s="308"/>
    </row>
    <row r="1035" spans="2:18" ht="15" hidden="1" thickTop="1">
      <c r="B1035" s="269">
        <v>46240</v>
      </c>
      <c r="C1035" s="268" t="s">
        <v>299</v>
      </c>
      <c r="D1035" s="274">
        <f>IFERROR(VLOOKUP(C1035,'Data Lokasi'!C:D,2,0),"")</f>
        <v>3.62</v>
      </c>
      <c r="E1035" s="274" t="s">
        <v>2642</v>
      </c>
      <c r="F1035" s="274"/>
      <c r="G1035" s="274"/>
      <c r="H1035" s="274">
        <f>0.34</f>
        <v>0.34</v>
      </c>
      <c r="I1035" s="274"/>
      <c r="J1035" s="456">
        <f t="shared" si="30"/>
        <v>0.34</v>
      </c>
      <c r="K1035" s="583"/>
      <c r="L1035" s="268" t="s">
        <v>719</v>
      </c>
      <c r="M1035" s="268" t="s">
        <v>2634</v>
      </c>
      <c r="N1035" s="278">
        <f>IFERROR(INDEX('Data Lokasi'!S:S,MATCH('Input Real Tanam&amp;Petik Nanas'!C1035,'Data Lokasi'!C:C,0)),"")</f>
        <v>44144</v>
      </c>
      <c r="O1035" s="278"/>
      <c r="P1035" s="283">
        <f>IFERROR(INDEX('Data Lokasi'!V:V,MATCH(C1035,'Data Lokasi'!C:C,0)),"")</f>
        <v>0</v>
      </c>
      <c r="Q1035" s="304">
        <f t="shared" si="31"/>
        <v>0</v>
      </c>
      <c r="R1035" s="308"/>
    </row>
    <row r="1036" spans="2:18" ht="15" hidden="1" thickTop="1">
      <c r="B1036" s="269">
        <v>46240</v>
      </c>
      <c r="C1036" s="268" t="s">
        <v>294</v>
      </c>
      <c r="D1036" s="274">
        <f>IFERROR(VLOOKUP(C1036,'Data Lokasi'!C:D,2,0),"")</f>
        <v>6.93</v>
      </c>
      <c r="E1036" s="274" t="s">
        <v>2642</v>
      </c>
      <c r="F1036" s="274"/>
      <c r="G1036" s="274"/>
      <c r="H1036" s="274">
        <f>0.4+0.6</f>
        <v>1</v>
      </c>
      <c r="I1036" s="274"/>
      <c r="J1036" s="456">
        <f t="shared" si="30"/>
        <v>1</v>
      </c>
      <c r="K1036" s="583"/>
      <c r="L1036" s="268" t="s">
        <v>719</v>
      </c>
      <c r="M1036" s="268" t="s">
        <v>2634</v>
      </c>
      <c r="N1036" s="278">
        <f>IFERROR(INDEX('Data Lokasi'!S:S,MATCH('Input Real Tanam&amp;Petik Nanas'!C1036,'Data Lokasi'!C:C,0)),"")</f>
        <v>44139</v>
      </c>
      <c r="O1036" s="278"/>
      <c r="P1036" s="283">
        <f>IFERROR(INDEX('Data Lokasi'!V:V,MATCH(C1036,'Data Lokasi'!C:C,0)),"")</f>
        <v>0</v>
      </c>
      <c r="Q1036" s="304">
        <f t="shared" si="31"/>
        <v>0</v>
      </c>
      <c r="R1036" s="308"/>
    </row>
    <row r="1037" spans="2:18" ht="15" hidden="1" thickTop="1">
      <c r="B1037" s="269">
        <v>46240</v>
      </c>
      <c r="C1037" s="268" t="s">
        <v>311</v>
      </c>
      <c r="D1037" s="274">
        <f>IFERROR(VLOOKUP(C1037,'Data Lokasi'!C:D,2,0),"")</f>
        <v>5.15</v>
      </c>
      <c r="E1037" s="274" t="s">
        <v>2642</v>
      </c>
      <c r="F1037" s="274"/>
      <c r="G1037" s="274"/>
      <c r="H1037" s="274"/>
      <c r="I1037" s="274">
        <v>0.04</v>
      </c>
      <c r="J1037" s="456">
        <f t="shared" si="30"/>
        <v>0.04</v>
      </c>
      <c r="K1037" s="583"/>
      <c r="L1037" s="268" t="s">
        <v>2625</v>
      </c>
      <c r="M1037" s="268" t="s">
        <v>2634</v>
      </c>
      <c r="N1037" s="278">
        <f>IFERROR(INDEX('Data Lokasi'!S:S,MATCH('Input Real Tanam&amp;Petik Nanas'!C1037,'Data Lokasi'!C:C,0)),"")</f>
        <v>44175</v>
      </c>
      <c r="O1037" s="278"/>
      <c r="P1037" s="283">
        <f>IFERROR(INDEX('Data Lokasi'!V:V,MATCH(C1037,'Data Lokasi'!C:C,0)),"")</f>
        <v>0</v>
      </c>
      <c r="Q1037" s="304">
        <f t="shared" si="31"/>
        <v>0</v>
      </c>
      <c r="R1037" s="308"/>
    </row>
    <row r="1038" spans="2:18" ht="15" hidden="1" thickTop="1">
      <c r="B1038" s="269">
        <v>46240</v>
      </c>
      <c r="C1038" s="268" t="s">
        <v>354</v>
      </c>
      <c r="D1038" s="274">
        <f>IFERROR(VLOOKUP(C1038,'Data Lokasi'!C:D,2,0),"")</f>
        <v>12.94</v>
      </c>
      <c r="E1038" s="274" t="s">
        <v>2643</v>
      </c>
      <c r="F1038" s="274"/>
      <c r="G1038" s="274"/>
      <c r="H1038" s="274">
        <f>0.01+0.06</f>
        <v>6.9999999999999993E-2</v>
      </c>
      <c r="I1038" s="274">
        <f>0.08+0.18</f>
        <v>0.26</v>
      </c>
      <c r="J1038" s="456">
        <f t="shared" si="30"/>
        <v>0.33</v>
      </c>
      <c r="K1038" s="583"/>
      <c r="L1038" s="268" t="s">
        <v>719</v>
      </c>
      <c r="M1038" s="268" t="s">
        <v>2634</v>
      </c>
      <c r="N1038" s="278">
        <f>IFERROR(INDEX('Data Lokasi'!S:S,MATCH('Input Real Tanam&amp;Petik Nanas'!C1038,'Data Lokasi'!C:C,0)),"")</f>
        <v>44279</v>
      </c>
      <c r="O1038" s="278"/>
      <c r="P1038" s="283">
        <f>IFERROR(INDEX('Data Lokasi'!V:V,MATCH(C1038,'Data Lokasi'!C:C,0)),"")</f>
        <v>0</v>
      </c>
      <c r="Q1038" s="304">
        <f t="shared" si="31"/>
        <v>0</v>
      </c>
      <c r="R1038" s="308">
        <v>7</v>
      </c>
    </row>
    <row r="1039" spans="2:18" ht="15" hidden="1" thickTop="1">
      <c r="B1039" s="269">
        <v>46240</v>
      </c>
      <c r="C1039" s="268" t="s">
        <v>526</v>
      </c>
      <c r="D1039" s="274">
        <f>IFERROR(VLOOKUP(C1039,'Data Lokasi'!C:D,2,0),"")</f>
        <v>7.93</v>
      </c>
      <c r="E1039" s="274" t="s">
        <v>2643</v>
      </c>
      <c r="F1039" s="274"/>
      <c r="G1039" s="274"/>
      <c r="H1039" s="274"/>
      <c r="I1039" s="274">
        <v>0.51</v>
      </c>
      <c r="J1039" s="456">
        <f t="shared" si="30"/>
        <v>0.51</v>
      </c>
      <c r="K1039" s="583"/>
      <c r="L1039" s="268" t="s">
        <v>2625</v>
      </c>
      <c r="M1039" s="268" t="s">
        <v>2631</v>
      </c>
      <c r="N1039" s="278">
        <f>IFERROR(INDEX('Data Lokasi'!S:S,MATCH('Input Real Tanam&amp;Petik Nanas'!C1039,'Data Lokasi'!C:C,0)),"")</f>
        <v>44611</v>
      </c>
      <c r="O1039" s="278"/>
      <c r="P1039" s="283">
        <f>IFERROR(INDEX('Data Lokasi'!V:V,MATCH(C1039,'Data Lokasi'!C:C,0)),"")</f>
        <v>0</v>
      </c>
      <c r="Q1039" s="304">
        <f t="shared" si="31"/>
        <v>0</v>
      </c>
      <c r="R1039" s="308"/>
    </row>
    <row r="1040" spans="2:18" ht="15" hidden="1" thickTop="1">
      <c r="B1040" s="269">
        <v>46240</v>
      </c>
      <c r="C1040" s="268" t="s">
        <v>2379</v>
      </c>
      <c r="D1040" s="274">
        <f>IFERROR(VLOOKUP(C1040,'Data Lokasi'!C:D,2,0),"")</f>
        <v>2</v>
      </c>
      <c r="E1040" s="274" t="s">
        <v>2643</v>
      </c>
      <c r="F1040" s="274"/>
      <c r="G1040" s="274"/>
      <c r="H1040" s="274"/>
      <c r="I1040" s="274">
        <v>1.1499999999999999</v>
      </c>
      <c r="J1040" s="456">
        <f t="shared" si="30"/>
        <v>1.1499999999999999</v>
      </c>
      <c r="K1040" s="583"/>
      <c r="L1040" s="268" t="s">
        <v>2625</v>
      </c>
      <c r="M1040" s="268" t="s">
        <v>2631</v>
      </c>
      <c r="N1040" s="278">
        <f>IFERROR(INDEX('Data Lokasi'!S:S,MATCH('Input Real Tanam&amp;Petik Nanas'!C1040,'Data Lokasi'!C:C,0)),"")</f>
        <v>45804</v>
      </c>
      <c r="O1040" s="278"/>
      <c r="P1040" s="283">
        <f>IFERROR(INDEX('Data Lokasi'!V:V,MATCH(C1040,'Data Lokasi'!C:C,0)),"")</f>
        <v>0</v>
      </c>
      <c r="Q1040" s="304">
        <f t="shared" si="31"/>
        <v>0</v>
      </c>
      <c r="R1040" s="308"/>
    </row>
    <row r="1041" spans="2:18" ht="15" hidden="1" thickTop="1">
      <c r="B1041" s="269">
        <v>46240</v>
      </c>
      <c r="C1041" s="268" t="s">
        <v>232</v>
      </c>
      <c r="D1041" s="274">
        <f>IFERROR(VLOOKUP(C1041,'Data Lokasi'!C:D,2,0),"")</f>
        <v>8.7799999999999994</v>
      </c>
      <c r="E1041" s="274" t="s">
        <v>2642</v>
      </c>
      <c r="F1041" s="274"/>
      <c r="G1041" s="274"/>
      <c r="H1041" s="274"/>
      <c r="I1041" s="274">
        <v>0.01</v>
      </c>
      <c r="J1041" s="456">
        <f t="shared" si="30"/>
        <v>0.01</v>
      </c>
      <c r="K1041" s="583"/>
      <c r="L1041" s="268" t="s">
        <v>2625</v>
      </c>
      <c r="M1041" s="268" t="s">
        <v>2631</v>
      </c>
      <c r="N1041" s="278">
        <f>IFERROR(INDEX('Data Lokasi'!S:S,MATCH('Input Real Tanam&amp;Petik Nanas'!C1041,'Data Lokasi'!C:C,0)),"")</f>
        <v>44022</v>
      </c>
      <c r="O1041" s="278"/>
      <c r="P1041" s="283">
        <f>IFERROR(INDEX('Data Lokasi'!V:V,MATCH(C1041,'Data Lokasi'!C:C,0)),"")</f>
        <v>0</v>
      </c>
      <c r="Q1041" s="304">
        <f t="shared" si="31"/>
        <v>0</v>
      </c>
      <c r="R1041" s="308"/>
    </row>
    <row r="1042" spans="2:18" ht="15" hidden="1" thickTop="1">
      <c r="B1042" s="269">
        <v>46240</v>
      </c>
      <c r="C1042" s="268" t="s">
        <v>2692</v>
      </c>
      <c r="D1042" s="274">
        <f>IFERROR(VLOOKUP(C1042,'Data Lokasi'!C:D,2,0),"")</f>
        <v>8.9600000000000009</v>
      </c>
      <c r="E1042" s="274" t="s">
        <v>2642</v>
      </c>
      <c r="F1042" s="274"/>
      <c r="G1042" s="274"/>
      <c r="H1042" s="274"/>
      <c r="I1042" s="274">
        <v>0.56999999999999995</v>
      </c>
      <c r="J1042" s="456">
        <f t="shared" si="30"/>
        <v>0.56999999999999995</v>
      </c>
      <c r="K1042" s="583"/>
      <c r="L1042" s="268" t="s">
        <v>2625</v>
      </c>
      <c r="M1042" s="268" t="s">
        <v>2631</v>
      </c>
      <c r="N1042" s="278">
        <f>IFERROR(INDEX('Data Lokasi'!S:S,MATCH('Input Real Tanam&amp;Petik Nanas'!C1042,'Data Lokasi'!C:C,0)),"")</f>
        <v>46238</v>
      </c>
      <c r="O1042" s="278"/>
      <c r="P1042" s="283">
        <f>IFERROR(INDEX('Data Lokasi'!V:V,MATCH(C1042,'Data Lokasi'!C:C,0)),"")</f>
        <v>8.9600000000000009</v>
      </c>
      <c r="Q1042" s="304">
        <f t="shared" si="31"/>
        <v>1</v>
      </c>
      <c r="R1042" s="308"/>
    </row>
    <row r="1043" spans="2:18" ht="15" hidden="1" thickTop="1">
      <c r="B1043" s="269">
        <v>46240</v>
      </c>
      <c r="C1043" s="268" t="s">
        <v>2691</v>
      </c>
      <c r="D1043" s="274">
        <f>IFERROR(VLOOKUP(C1043,'Data Lokasi'!C:D,2,0),"")</f>
        <v>5.37</v>
      </c>
      <c r="E1043" s="274" t="s">
        <v>2642</v>
      </c>
      <c r="F1043" s="274"/>
      <c r="G1043" s="274"/>
      <c r="H1043" s="274"/>
      <c r="I1043" s="274">
        <v>0.28999999999999998</v>
      </c>
      <c r="J1043" s="456">
        <f t="shared" si="30"/>
        <v>0.28999999999999998</v>
      </c>
      <c r="K1043" s="583"/>
      <c r="L1043" s="268" t="s">
        <v>2625</v>
      </c>
      <c r="M1043" s="268" t="s">
        <v>2631</v>
      </c>
      <c r="N1043" s="278">
        <f>IFERROR(INDEX('Data Lokasi'!S:S,MATCH('Input Real Tanam&amp;Petik Nanas'!C1043,'Data Lokasi'!C:C,0)),"")</f>
        <v>46236</v>
      </c>
      <c r="O1043" s="278"/>
      <c r="P1043" s="283">
        <f>IFERROR(INDEX('Data Lokasi'!V:V,MATCH(C1043,'Data Lokasi'!C:C,0)),"")</f>
        <v>5.37</v>
      </c>
      <c r="Q1043" s="304">
        <f t="shared" si="31"/>
        <v>1</v>
      </c>
      <c r="R1043" s="308"/>
    </row>
    <row r="1044" spans="2:18" ht="15" hidden="1" thickTop="1">
      <c r="B1044" s="269">
        <v>46240</v>
      </c>
      <c r="C1044" s="268" t="s">
        <v>708</v>
      </c>
      <c r="D1044" s="274">
        <f>IFERROR(VLOOKUP(C1044,'Data Lokasi'!C:D,2,0),"")</f>
        <v>7.54</v>
      </c>
      <c r="E1044" s="274" t="s">
        <v>2642</v>
      </c>
      <c r="F1044" s="274"/>
      <c r="G1044" s="274"/>
      <c r="H1044" s="274"/>
      <c r="I1044" s="274">
        <v>1.07</v>
      </c>
      <c r="J1044" s="456">
        <f t="shared" si="30"/>
        <v>1.07</v>
      </c>
      <c r="K1044" s="583"/>
      <c r="L1044" s="268" t="s">
        <v>2625</v>
      </c>
      <c r="M1044" s="268" t="s">
        <v>2631</v>
      </c>
      <c r="N1044" s="278">
        <f>IFERROR(INDEX('Data Lokasi'!S:S,MATCH('Input Real Tanam&amp;Petik Nanas'!C1044,'Data Lokasi'!C:C,0)),"")</f>
        <v>45240</v>
      </c>
      <c r="O1044" s="278"/>
      <c r="P1044" s="283">
        <f>IFERROR(INDEX('Data Lokasi'!V:V,MATCH(C1044,'Data Lokasi'!C:C,0)),"")</f>
        <v>0</v>
      </c>
      <c r="Q1044" s="304">
        <f t="shared" si="31"/>
        <v>0</v>
      </c>
      <c r="R1044" s="308"/>
    </row>
    <row r="1045" spans="2:18" ht="15" hidden="1" thickTop="1">
      <c r="B1045" s="269">
        <v>46240</v>
      </c>
      <c r="C1045" s="268" t="s">
        <v>244</v>
      </c>
      <c r="D1045" s="274">
        <f>IFERROR(VLOOKUP(C1045,'Data Lokasi'!C:D,2,0),"")</f>
        <v>11.05</v>
      </c>
      <c r="E1045" s="274" t="s">
        <v>2642</v>
      </c>
      <c r="F1045" s="274"/>
      <c r="G1045" s="274"/>
      <c r="H1045" s="274"/>
      <c r="I1045" s="274">
        <v>0.03</v>
      </c>
      <c r="J1045" s="456">
        <f t="shared" si="30"/>
        <v>0.03</v>
      </c>
      <c r="K1045" s="583"/>
      <c r="L1045" s="268" t="s">
        <v>2625</v>
      </c>
      <c r="M1045" s="268" t="s">
        <v>2631</v>
      </c>
      <c r="N1045" s="278">
        <f>IFERROR(INDEX('Data Lokasi'!S:S,MATCH('Input Real Tanam&amp;Petik Nanas'!C1045,'Data Lokasi'!C:C,0)),"")</f>
        <v>44025</v>
      </c>
      <c r="O1045" s="278"/>
      <c r="P1045" s="283">
        <f>IFERROR(INDEX('Data Lokasi'!V:V,MATCH(C1045,'Data Lokasi'!C:C,0)),"")</f>
        <v>0</v>
      </c>
      <c r="Q1045" s="304">
        <f t="shared" si="31"/>
        <v>0</v>
      </c>
      <c r="R1045" s="308"/>
    </row>
    <row r="1046" spans="2:18" ht="15" hidden="1" thickTop="1">
      <c r="B1046" s="269">
        <v>46240</v>
      </c>
      <c r="C1046" s="268" t="s">
        <v>690</v>
      </c>
      <c r="D1046" s="274">
        <f>IFERROR(VLOOKUP(C1046,'Data Lokasi'!C:D,2,0),"")</f>
        <v>2.52</v>
      </c>
      <c r="E1046" s="274" t="s">
        <v>2642</v>
      </c>
      <c r="F1046" s="274"/>
      <c r="G1046" s="274"/>
      <c r="H1046" s="274"/>
      <c r="I1046" s="274">
        <v>0.6</v>
      </c>
      <c r="J1046" s="456">
        <f t="shared" si="30"/>
        <v>0.6</v>
      </c>
      <c r="K1046" s="583"/>
      <c r="L1046" s="268" t="s">
        <v>2625</v>
      </c>
      <c r="M1046" s="268" t="s">
        <v>2631</v>
      </c>
      <c r="N1046" s="278">
        <f>IFERROR(INDEX('Data Lokasi'!S:S,MATCH('Input Real Tanam&amp;Petik Nanas'!C1046,'Data Lokasi'!C:C,0)),"")</f>
        <v>45141</v>
      </c>
      <c r="O1046" s="278"/>
      <c r="P1046" s="283">
        <f>IFERROR(INDEX('Data Lokasi'!V:V,MATCH(C1046,'Data Lokasi'!C:C,0)),"")</f>
        <v>0</v>
      </c>
      <c r="Q1046" s="304">
        <f t="shared" si="31"/>
        <v>0</v>
      </c>
      <c r="R1046" s="308"/>
    </row>
    <row r="1047" spans="2:18" ht="15" hidden="1" thickTop="1">
      <c r="B1047" s="269">
        <v>46240</v>
      </c>
      <c r="C1047" s="268" t="s">
        <v>492</v>
      </c>
      <c r="D1047" s="274">
        <f>IFERROR(VLOOKUP(C1047,'Data Lokasi'!C:D,2,0),"")</f>
        <v>9.2100000000000009</v>
      </c>
      <c r="E1047" s="274" t="s">
        <v>2643</v>
      </c>
      <c r="F1047" s="274"/>
      <c r="G1047" s="274">
        <f>0.06+0.09</f>
        <v>0.15</v>
      </c>
      <c r="H1047" s="274">
        <f>0.19+0.18</f>
        <v>0.37</v>
      </c>
      <c r="I1047" s="274"/>
      <c r="J1047" s="456">
        <f t="shared" si="30"/>
        <v>0.52</v>
      </c>
      <c r="K1047" s="583"/>
      <c r="L1047" s="268" t="s">
        <v>719</v>
      </c>
      <c r="M1047" s="268" t="s">
        <v>2631</v>
      </c>
      <c r="N1047" s="278">
        <f>IFERROR(INDEX('Data Lokasi'!S:S,MATCH('Input Real Tanam&amp;Petik Nanas'!C1047,'Data Lokasi'!C:C,0)),"")</f>
        <v>44536</v>
      </c>
      <c r="O1047" s="278"/>
      <c r="P1047" s="283">
        <f>IFERROR(INDEX('Data Lokasi'!V:V,MATCH(C1047,'Data Lokasi'!C:C,0)),"")</f>
        <v>0</v>
      </c>
      <c r="Q1047" s="304">
        <f t="shared" si="31"/>
        <v>0</v>
      </c>
      <c r="R1047" s="308">
        <v>2</v>
      </c>
    </row>
    <row r="1048" spans="2:18" ht="15" hidden="1" thickTop="1">
      <c r="B1048" s="269">
        <v>46240</v>
      </c>
      <c r="C1048" s="268" t="s">
        <v>544</v>
      </c>
      <c r="D1048" s="274">
        <f>IFERROR(VLOOKUP(C1048,'Data Lokasi'!C:D,2,0),"")</f>
        <v>11.71</v>
      </c>
      <c r="E1048" s="274" t="s">
        <v>2643</v>
      </c>
      <c r="F1048" s="274"/>
      <c r="G1048" s="274"/>
      <c r="H1048" s="274"/>
      <c r="I1048" s="274">
        <v>2.21</v>
      </c>
      <c r="J1048" s="456">
        <f t="shared" si="30"/>
        <v>2.21</v>
      </c>
      <c r="K1048" s="583"/>
      <c r="L1048" s="268" t="s">
        <v>2625</v>
      </c>
      <c r="M1048" s="268" t="s">
        <v>2631</v>
      </c>
      <c r="N1048" s="278">
        <f>IFERROR(INDEX('Data Lokasi'!S:S,MATCH('Input Real Tanam&amp;Petik Nanas'!C1048,'Data Lokasi'!C:C,0)),"")</f>
        <v>44651</v>
      </c>
      <c r="O1048" s="278"/>
      <c r="P1048" s="283">
        <f>IFERROR(INDEX('Data Lokasi'!V:V,MATCH(C1048,'Data Lokasi'!C:C,0)),"")</f>
        <v>0</v>
      </c>
      <c r="Q1048" s="304">
        <f t="shared" si="31"/>
        <v>0</v>
      </c>
      <c r="R1048" s="308"/>
    </row>
    <row r="1049" spans="2:18" ht="15" hidden="1" thickTop="1">
      <c r="B1049" s="269">
        <v>46241</v>
      </c>
      <c r="C1049" s="268" t="s">
        <v>680</v>
      </c>
      <c r="D1049" s="274">
        <f>IFERROR(VLOOKUP(C1049,'Data Lokasi'!C:D,2,0),"")</f>
        <v>5</v>
      </c>
      <c r="E1049" s="274" t="s">
        <v>2642</v>
      </c>
      <c r="F1049" s="274"/>
      <c r="G1049" s="274"/>
      <c r="H1049" s="274"/>
      <c r="I1049" s="274">
        <v>0.31</v>
      </c>
      <c r="J1049" s="456">
        <f t="shared" si="30"/>
        <v>0.31</v>
      </c>
      <c r="K1049" s="583"/>
      <c r="L1049" s="268" t="s">
        <v>2625</v>
      </c>
      <c r="M1049" s="268" t="s">
        <v>2634</v>
      </c>
      <c r="N1049" s="278">
        <f>IFERROR(INDEX('Data Lokasi'!S:S,MATCH('Input Real Tanam&amp;Petik Nanas'!C1049,'Data Lokasi'!C:C,0)),"")</f>
        <v>45093</v>
      </c>
      <c r="O1049" s="278"/>
      <c r="P1049" s="283">
        <f>IFERROR(INDEX('Data Lokasi'!V:V,MATCH(C1049,'Data Lokasi'!C:C,0)),"")</f>
        <v>0</v>
      </c>
      <c r="Q1049" s="304">
        <f t="shared" si="31"/>
        <v>0</v>
      </c>
      <c r="R1049" s="308"/>
    </row>
    <row r="1050" spans="2:18" ht="15" hidden="1" thickTop="1">
      <c r="B1050" s="269">
        <v>46241</v>
      </c>
      <c r="C1050" s="268" t="s">
        <v>659</v>
      </c>
      <c r="D1050" s="274">
        <f>IFERROR(VLOOKUP(C1050,'Data Lokasi'!C:D,2,0),"")</f>
        <v>5.7</v>
      </c>
      <c r="E1050" s="274" t="s">
        <v>2642</v>
      </c>
      <c r="F1050" s="274"/>
      <c r="G1050" s="274"/>
      <c r="H1050" s="274"/>
      <c r="I1050" s="274">
        <v>0.03</v>
      </c>
      <c r="J1050" s="456">
        <f t="shared" si="30"/>
        <v>0.03</v>
      </c>
      <c r="K1050" s="583"/>
      <c r="L1050" s="268" t="s">
        <v>2625</v>
      </c>
      <c r="M1050" s="268" t="s">
        <v>2634</v>
      </c>
      <c r="N1050" s="278">
        <f>IFERROR(INDEX('Data Lokasi'!S:S,MATCH('Input Real Tanam&amp;Petik Nanas'!C1050,'Data Lokasi'!C:C,0)),"")</f>
        <v>45010</v>
      </c>
      <c r="O1050" s="278"/>
      <c r="P1050" s="283">
        <f>IFERROR(INDEX('Data Lokasi'!V:V,MATCH(C1050,'Data Lokasi'!C:C,0)),"")</f>
        <v>0</v>
      </c>
      <c r="Q1050" s="304">
        <f t="shared" si="31"/>
        <v>0</v>
      </c>
      <c r="R1050" s="308"/>
    </row>
    <row r="1051" spans="2:18" ht="15" hidden="1" thickTop="1">
      <c r="B1051" s="269">
        <v>46241</v>
      </c>
      <c r="C1051" s="268" t="s">
        <v>2647</v>
      </c>
      <c r="D1051" s="274">
        <f>IFERROR(VLOOKUP(C1051,'Data Lokasi'!C:D,2,0),"")</f>
        <v>6.12</v>
      </c>
      <c r="E1051" s="274" t="s">
        <v>2642</v>
      </c>
      <c r="F1051" s="274"/>
      <c r="G1051" s="274">
        <v>0.12</v>
      </c>
      <c r="H1051" s="274">
        <v>0.2</v>
      </c>
      <c r="I1051" s="274"/>
      <c r="J1051" s="456">
        <f t="shared" si="30"/>
        <v>0.32</v>
      </c>
      <c r="K1051" s="583"/>
      <c r="L1051" s="268" t="s">
        <v>719</v>
      </c>
      <c r="M1051" s="268" t="s">
        <v>2634</v>
      </c>
      <c r="N1051" s="278">
        <f>IFERROR(INDEX('Data Lokasi'!S:S,MATCH('Input Real Tanam&amp;Petik Nanas'!C1051,'Data Lokasi'!C:C,0)),"")</f>
        <v>46237</v>
      </c>
      <c r="O1051" s="278"/>
      <c r="P1051" s="283">
        <f>IFERROR(INDEX('Data Lokasi'!V:V,MATCH(C1051,'Data Lokasi'!C:C,0)),"")</f>
        <v>6.12</v>
      </c>
      <c r="Q1051" s="304">
        <f t="shared" si="31"/>
        <v>1</v>
      </c>
      <c r="R1051" s="308"/>
    </row>
    <row r="1052" spans="2:18" ht="15" hidden="1" thickTop="1">
      <c r="B1052" s="269">
        <v>46241</v>
      </c>
      <c r="C1052" s="268" t="s">
        <v>294</v>
      </c>
      <c r="D1052" s="274">
        <f>IFERROR(VLOOKUP(C1052,'Data Lokasi'!C:D,2,0),"")</f>
        <v>6.93</v>
      </c>
      <c r="E1052" s="274" t="s">
        <v>2642</v>
      </c>
      <c r="F1052" s="274"/>
      <c r="G1052" s="274"/>
      <c r="H1052" s="274">
        <v>0.22</v>
      </c>
      <c r="I1052" s="274"/>
      <c r="J1052" s="456">
        <f t="shared" si="30"/>
        <v>0.22</v>
      </c>
      <c r="K1052" s="583"/>
      <c r="L1052" s="268" t="s">
        <v>719</v>
      </c>
      <c r="M1052" s="268" t="s">
        <v>2634</v>
      </c>
      <c r="N1052" s="278">
        <f>IFERROR(INDEX('Data Lokasi'!S:S,MATCH('Input Real Tanam&amp;Petik Nanas'!C1052,'Data Lokasi'!C:C,0)),"")</f>
        <v>44139</v>
      </c>
      <c r="O1052" s="278"/>
      <c r="P1052" s="283">
        <f>IFERROR(INDEX('Data Lokasi'!V:V,MATCH(C1052,'Data Lokasi'!C:C,0)),"")</f>
        <v>0</v>
      </c>
      <c r="Q1052" s="304">
        <f t="shared" si="31"/>
        <v>0</v>
      </c>
      <c r="R1052" s="308"/>
    </row>
    <row r="1053" spans="2:18" ht="15" hidden="1" thickTop="1">
      <c r="B1053" s="269">
        <v>46241</v>
      </c>
      <c r="C1053" s="268" t="s">
        <v>299</v>
      </c>
      <c r="D1053" s="274">
        <f>IFERROR(VLOOKUP(C1053,'Data Lokasi'!C:D,2,0),"")</f>
        <v>3.62</v>
      </c>
      <c r="E1053" s="274" t="s">
        <v>2642</v>
      </c>
      <c r="F1053" s="274"/>
      <c r="G1053" s="274"/>
      <c r="H1053" s="274">
        <v>0.63</v>
      </c>
      <c r="I1053" s="274"/>
      <c r="J1053" s="456">
        <f t="shared" si="30"/>
        <v>0.63</v>
      </c>
      <c r="K1053" s="583"/>
      <c r="L1053" s="268" t="s">
        <v>719</v>
      </c>
      <c r="M1053" s="268" t="s">
        <v>2634</v>
      </c>
      <c r="N1053" s="278">
        <f>IFERROR(INDEX('Data Lokasi'!S:S,MATCH('Input Real Tanam&amp;Petik Nanas'!C1053,'Data Lokasi'!C:C,0)),"")</f>
        <v>44144</v>
      </c>
      <c r="O1053" s="278"/>
      <c r="P1053" s="283">
        <f>IFERROR(INDEX('Data Lokasi'!V:V,MATCH(C1053,'Data Lokasi'!C:C,0)),"")</f>
        <v>0</v>
      </c>
      <c r="Q1053" s="304">
        <f t="shared" si="31"/>
        <v>0</v>
      </c>
      <c r="R1053" s="308"/>
    </row>
    <row r="1054" spans="2:18" ht="15" hidden="1" thickTop="1">
      <c r="B1054" s="269">
        <v>46241</v>
      </c>
      <c r="C1054" s="268" t="s">
        <v>2692</v>
      </c>
      <c r="D1054" s="274">
        <f>IFERROR(VLOOKUP(C1054,'Data Lokasi'!C:D,2,0),"")</f>
        <v>8.9600000000000009</v>
      </c>
      <c r="E1054" s="274" t="s">
        <v>2642</v>
      </c>
      <c r="F1054" s="274"/>
      <c r="G1054" s="274"/>
      <c r="H1054" s="274"/>
      <c r="I1054" s="274">
        <v>0.39</v>
      </c>
      <c r="J1054" s="456">
        <f t="shared" si="30"/>
        <v>0.39</v>
      </c>
      <c r="K1054" s="583"/>
      <c r="L1054" s="268" t="s">
        <v>2625</v>
      </c>
      <c r="M1054" s="268" t="s">
        <v>2634</v>
      </c>
      <c r="N1054" s="278">
        <f>IFERROR(INDEX('Data Lokasi'!S:S,MATCH('Input Real Tanam&amp;Petik Nanas'!C1054,'Data Lokasi'!C:C,0)),"")</f>
        <v>46238</v>
      </c>
      <c r="O1054" s="278"/>
      <c r="P1054" s="283">
        <f>IFERROR(INDEX('Data Lokasi'!V:V,MATCH(C1054,'Data Lokasi'!C:C,0)),"")</f>
        <v>8.9600000000000009</v>
      </c>
      <c r="Q1054" s="304">
        <f t="shared" si="31"/>
        <v>1</v>
      </c>
      <c r="R1054" s="308"/>
    </row>
    <row r="1055" spans="2:18" ht="15" hidden="1" thickTop="1">
      <c r="B1055" s="269">
        <v>46241</v>
      </c>
      <c r="C1055" s="268" t="s">
        <v>234</v>
      </c>
      <c r="D1055" s="274">
        <f>IFERROR(VLOOKUP(C1055,'Data Lokasi'!C:D,2,0),"")</f>
        <v>5.85</v>
      </c>
      <c r="E1055" s="274" t="s">
        <v>2642</v>
      </c>
      <c r="F1055" s="274"/>
      <c r="G1055" s="274"/>
      <c r="H1055" s="274"/>
      <c r="I1055" s="274">
        <v>0.4</v>
      </c>
      <c r="J1055" s="456">
        <f t="shared" si="30"/>
        <v>0.4</v>
      </c>
      <c r="K1055" s="583"/>
      <c r="L1055" s="268" t="s">
        <v>2625</v>
      </c>
      <c r="M1055" s="268" t="s">
        <v>2634</v>
      </c>
      <c r="N1055" s="278">
        <f>IFERROR(INDEX('Data Lokasi'!S:S,MATCH('Input Real Tanam&amp;Petik Nanas'!C1055,'Data Lokasi'!C:C,0)),"")</f>
        <v>44038</v>
      </c>
      <c r="O1055" s="278"/>
      <c r="P1055" s="283">
        <f>IFERROR(INDEX('Data Lokasi'!V:V,MATCH(C1055,'Data Lokasi'!C:C,0)),"")</f>
        <v>0</v>
      </c>
      <c r="Q1055" s="304">
        <f t="shared" si="31"/>
        <v>0</v>
      </c>
      <c r="R1055" s="308"/>
    </row>
    <row r="1056" spans="2:18" ht="15" hidden="1" thickTop="1">
      <c r="B1056" s="269">
        <v>46241</v>
      </c>
      <c r="C1056" s="268" t="s">
        <v>311</v>
      </c>
      <c r="D1056" s="274">
        <f>IFERROR(VLOOKUP(C1056,'Data Lokasi'!C:D,2,0),"")</f>
        <v>5.15</v>
      </c>
      <c r="E1056" s="274" t="s">
        <v>2642</v>
      </c>
      <c r="F1056" s="274"/>
      <c r="G1056" s="274"/>
      <c r="H1056" s="274"/>
      <c r="I1056" s="274">
        <v>0.21</v>
      </c>
      <c r="J1056" s="456">
        <f t="shared" si="30"/>
        <v>0.21</v>
      </c>
      <c r="K1056" s="583"/>
      <c r="L1056" s="268" t="s">
        <v>2625</v>
      </c>
      <c r="M1056" s="268" t="s">
        <v>2634</v>
      </c>
      <c r="N1056" s="278">
        <f>IFERROR(INDEX('Data Lokasi'!S:S,MATCH('Input Real Tanam&amp;Petik Nanas'!C1056,'Data Lokasi'!C:C,0)),"")</f>
        <v>44175</v>
      </c>
      <c r="O1056" s="278"/>
      <c r="P1056" s="283">
        <f>IFERROR(INDEX('Data Lokasi'!V:V,MATCH(C1056,'Data Lokasi'!C:C,0)),"")</f>
        <v>0</v>
      </c>
      <c r="Q1056" s="304">
        <f t="shared" si="31"/>
        <v>0</v>
      </c>
      <c r="R1056" s="308"/>
    </row>
    <row r="1057" spans="2:18" ht="15" hidden="1" thickTop="1">
      <c r="B1057" s="269">
        <v>46241</v>
      </c>
      <c r="C1057" s="268" t="s">
        <v>687</v>
      </c>
      <c r="D1057" s="274">
        <f>IFERROR(VLOOKUP(C1057,'Data Lokasi'!C:D,2,0),"")</f>
        <v>10.58</v>
      </c>
      <c r="E1057" s="274" t="s">
        <v>2642</v>
      </c>
      <c r="F1057" s="274"/>
      <c r="G1057" s="274"/>
      <c r="H1057" s="274"/>
      <c r="I1057" s="274">
        <v>0.04</v>
      </c>
      <c r="J1057" s="456">
        <f t="shared" si="30"/>
        <v>0.04</v>
      </c>
      <c r="K1057" s="583"/>
      <c r="L1057" s="268" t="s">
        <v>2625</v>
      </c>
      <c r="M1057" s="268" t="s">
        <v>2634</v>
      </c>
      <c r="N1057" s="278">
        <f>IFERROR(INDEX('Data Lokasi'!S:S,MATCH('Input Real Tanam&amp;Petik Nanas'!C1057,'Data Lokasi'!C:C,0)),"")</f>
        <v>45105</v>
      </c>
      <c r="O1057" s="278"/>
      <c r="P1057" s="283">
        <f>IFERROR(INDEX('Data Lokasi'!V:V,MATCH(C1057,'Data Lokasi'!C:C,0)),"")</f>
        <v>0</v>
      </c>
      <c r="Q1057" s="304">
        <f t="shared" si="31"/>
        <v>0</v>
      </c>
      <c r="R1057" s="308"/>
    </row>
    <row r="1058" spans="2:18" ht="15" hidden="1" thickTop="1">
      <c r="B1058" s="269">
        <v>46241</v>
      </c>
      <c r="C1058" s="268" t="s">
        <v>110</v>
      </c>
      <c r="D1058" s="274">
        <f>IFERROR(VLOOKUP(C1058,'Data Lokasi'!C:D,2,0),"")</f>
        <v>9</v>
      </c>
      <c r="E1058" s="274" t="s">
        <v>2642</v>
      </c>
      <c r="F1058" s="274"/>
      <c r="G1058" s="274"/>
      <c r="H1058" s="274"/>
      <c r="I1058" s="274">
        <v>0.38</v>
      </c>
      <c r="J1058" s="456">
        <f t="shared" si="30"/>
        <v>0.38</v>
      </c>
      <c r="K1058" s="583"/>
      <c r="L1058" s="268" t="s">
        <v>2625</v>
      </c>
      <c r="M1058" s="268" t="s">
        <v>2631</v>
      </c>
      <c r="N1058" s="278">
        <f>IFERROR(INDEX('Data Lokasi'!S:S,MATCH('Input Real Tanam&amp;Petik Nanas'!C1058,'Data Lokasi'!C:C,0)),"")</f>
        <v>44193</v>
      </c>
      <c r="O1058" s="278"/>
      <c r="P1058" s="283">
        <f>IFERROR(INDEX('Data Lokasi'!V:V,MATCH(C1058,'Data Lokasi'!C:C,0)),"")</f>
        <v>0</v>
      </c>
      <c r="Q1058" s="304">
        <f t="shared" si="31"/>
        <v>0</v>
      </c>
      <c r="R1058" s="308"/>
    </row>
    <row r="1059" spans="2:18" ht="15" hidden="1" thickTop="1">
      <c r="B1059" s="269">
        <v>46241</v>
      </c>
      <c r="C1059" s="268" t="s">
        <v>708</v>
      </c>
      <c r="D1059" s="274">
        <f>IFERROR(VLOOKUP(C1059,'Data Lokasi'!C:D,2,0),"")</f>
        <v>7.54</v>
      </c>
      <c r="E1059" s="274" t="s">
        <v>2642</v>
      </c>
      <c r="F1059" s="274"/>
      <c r="G1059" s="274"/>
      <c r="H1059" s="274"/>
      <c r="I1059" s="274">
        <v>0.66</v>
      </c>
      <c r="J1059" s="456">
        <f t="shared" si="30"/>
        <v>0.66</v>
      </c>
      <c r="K1059" s="583"/>
      <c r="L1059" s="268" t="s">
        <v>2625</v>
      </c>
      <c r="M1059" s="268" t="s">
        <v>2631</v>
      </c>
      <c r="N1059" s="278">
        <f>IFERROR(INDEX('Data Lokasi'!S:S,MATCH('Input Real Tanam&amp;Petik Nanas'!C1059,'Data Lokasi'!C:C,0)),"")</f>
        <v>45240</v>
      </c>
      <c r="O1059" s="278"/>
      <c r="P1059" s="283">
        <f>IFERROR(INDEX('Data Lokasi'!V:V,MATCH(C1059,'Data Lokasi'!C:C,0)),"")</f>
        <v>0</v>
      </c>
      <c r="Q1059" s="304">
        <f t="shared" si="31"/>
        <v>0</v>
      </c>
      <c r="R1059" s="308"/>
    </row>
    <row r="1060" spans="2:18" ht="15" hidden="1" thickTop="1">
      <c r="B1060" s="269">
        <v>46241</v>
      </c>
      <c r="C1060" s="268" t="s">
        <v>704</v>
      </c>
      <c r="D1060" s="274">
        <f>IFERROR(VLOOKUP(C1060,'Data Lokasi'!C:D,2,0),"")</f>
        <v>6.38</v>
      </c>
      <c r="E1060" s="274" t="s">
        <v>2642</v>
      </c>
      <c r="F1060" s="274"/>
      <c r="G1060" s="274"/>
      <c r="H1060" s="274"/>
      <c r="I1060" s="274">
        <v>1.46</v>
      </c>
      <c r="J1060" s="456">
        <f t="shared" si="30"/>
        <v>1.46</v>
      </c>
      <c r="K1060" s="583"/>
      <c r="L1060" s="268" t="s">
        <v>719</v>
      </c>
      <c r="M1060" s="268" t="s">
        <v>2631</v>
      </c>
      <c r="N1060" s="278">
        <f>IFERROR(INDEX('Data Lokasi'!S:S,MATCH('Input Real Tanam&amp;Petik Nanas'!C1060,'Data Lokasi'!C:C,0)),"")</f>
        <v>45199</v>
      </c>
      <c r="O1060" s="278"/>
      <c r="P1060" s="283">
        <f>IFERROR(INDEX('Data Lokasi'!V:V,MATCH(C1060,'Data Lokasi'!C:C,0)),"")</f>
        <v>0</v>
      </c>
      <c r="Q1060" s="304">
        <f t="shared" si="31"/>
        <v>0</v>
      </c>
      <c r="R1060" s="308"/>
    </row>
    <row r="1061" spans="2:18" ht="15" hidden="1" thickTop="1">
      <c r="B1061" s="269">
        <v>46241</v>
      </c>
      <c r="C1061" s="268" t="s">
        <v>508</v>
      </c>
      <c r="D1061" s="274">
        <f>IFERROR(VLOOKUP(C1061,'Data Lokasi'!C:D,2,0),"")</f>
        <v>7.75</v>
      </c>
      <c r="E1061" s="274" t="s">
        <v>2643</v>
      </c>
      <c r="F1061" s="274"/>
      <c r="G1061" s="274"/>
      <c r="H1061" s="274"/>
      <c r="I1061" s="274">
        <v>1.31</v>
      </c>
      <c r="J1061" s="456">
        <f t="shared" si="30"/>
        <v>1.31</v>
      </c>
      <c r="K1061" s="583"/>
      <c r="L1061" s="268" t="s">
        <v>2625</v>
      </c>
      <c r="M1061" s="268" t="s">
        <v>2634</v>
      </c>
      <c r="N1061" s="278">
        <f>IFERROR(INDEX('Data Lokasi'!S:S,MATCH('Input Real Tanam&amp;Petik Nanas'!C1061,'Data Lokasi'!C:C,0)),"")</f>
        <v>44595</v>
      </c>
      <c r="O1061" s="278"/>
      <c r="P1061" s="283">
        <f>IFERROR(INDEX('Data Lokasi'!V:V,MATCH(C1061,'Data Lokasi'!C:C,0)),"")</f>
        <v>0</v>
      </c>
      <c r="Q1061" s="304">
        <f t="shared" si="31"/>
        <v>0</v>
      </c>
      <c r="R1061" s="308"/>
    </row>
    <row r="1062" spans="2:18" ht="15" hidden="1" thickTop="1">
      <c r="B1062" s="269">
        <v>46241</v>
      </c>
      <c r="C1062" s="268" t="s">
        <v>354</v>
      </c>
      <c r="D1062" s="274">
        <f>IFERROR(VLOOKUP(C1062,'Data Lokasi'!C:D,2,0),"")</f>
        <v>12.94</v>
      </c>
      <c r="E1062" s="274" t="s">
        <v>2643</v>
      </c>
      <c r="F1062" s="274"/>
      <c r="G1062" s="274"/>
      <c r="H1062" s="274">
        <v>0.01</v>
      </c>
      <c r="I1062" s="274">
        <f>0.02+0.07</f>
        <v>9.0000000000000011E-2</v>
      </c>
      <c r="J1062" s="456">
        <f t="shared" si="30"/>
        <v>0.1</v>
      </c>
      <c r="K1062" s="583"/>
      <c r="L1062" s="268" t="s">
        <v>719</v>
      </c>
      <c r="M1062" s="268" t="s">
        <v>2634</v>
      </c>
      <c r="N1062" s="278">
        <f>IFERROR(INDEX('Data Lokasi'!S:S,MATCH('Input Real Tanam&amp;Petik Nanas'!C1062,'Data Lokasi'!C:C,0)),"")</f>
        <v>44279</v>
      </c>
      <c r="O1062" s="278"/>
      <c r="P1062" s="283">
        <f>IFERROR(INDEX('Data Lokasi'!V:V,MATCH(C1062,'Data Lokasi'!C:C,0)),"")</f>
        <v>0</v>
      </c>
      <c r="Q1062" s="304">
        <f t="shared" si="31"/>
        <v>0</v>
      </c>
      <c r="R1062" s="308">
        <v>7</v>
      </c>
    </row>
    <row r="1063" spans="2:18" ht="15" hidden="1" thickTop="1">
      <c r="B1063" s="269">
        <v>46241</v>
      </c>
      <c r="C1063" s="268" t="s">
        <v>114</v>
      </c>
      <c r="D1063" s="274">
        <f>IFERROR(VLOOKUP(C1063,'Data Lokasi'!C:D,2,0),"")</f>
        <v>5.88</v>
      </c>
      <c r="E1063" s="274" t="s">
        <v>2643</v>
      </c>
      <c r="F1063" s="274"/>
      <c r="G1063" s="274">
        <f>0.05+0.03</f>
        <v>0.08</v>
      </c>
      <c r="H1063" s="274"/>
      <c r="I1063" s="274"/>
      <c r="J1063" s="456">
        <f t="shared" si="30"/>
        <v>0.08</v>
      </c>
      <c r="K1063" s="583"/>
      <c r="L1063" s="268" t="s">
        <v>719</v>
      </c>
      <c r="M1063" s="268" t="s">
        <v>2631</v>
      </c>
      <c r="N1063" s="278">
        <f>IFERROR(INDEX('Data Lokasi'!S:S,MATCH('Input Real Tanam&amp;Petik Nanas'!C1063,'Data Lokasi'!C:C,0)),"")</f>
        <v>45259</v>
      </c>
      <c r="O1063" s="278"/>
      <c r="P1063" s="283">
        <f>IFERROR(INDEX('Data Lokasi'!V:V,MATCH(C1063,'Data Lokasi'!C:C,0)),"")</f>
        <v>0</v>
      </c>
      <c r="Q1063" s="304">
        <f t="shared" si="31"/>
        <v>0</v>
      </c>
      <c r="R1063" s="308">
        <v>1</v>
      </c>
    </row>
    <row r="1064" spans="2:18" ht="15" hidden="1" thickTop="1">
      <c r="B1064" s="269">
        <v>46241</v>
      </c>
      <c r="C1064" s="268" t="s">
        <v>492</v>
      </c>
      <c r="D1064" s="274">
        <f>IFERROR(VLOOKUP(C1064,'Data Lokasi'!C:D,2,0),"")</f>
        <v>9.2100000000000009</v>
      </c>
      <c r="E1064" s="274" t="s">
        <v>2643</v>
      </c>
      <c r="F1064" s="274"/>
      <c r="G1064" s="274">
        <v>0.04</v>
      </c>
      <c r="H1064" s="274">
        <v>0.09</v>
      </c>
      <c r="I1064" s="274"/>
      <c r="J1064" s="456">
        <f t="shared" si="30"/>
        <v>0.13</v>
      </c>
      <c r="K1064" s="583"/>
      <c r="L1064" s="268" t="s">
        <v>719</v>
      </c>
      <c r="M1064" s="268" t="s">
        <v>2631</v>
      </c>
      <c r="N1064" s="278">
        <f>IFERROR(INDEX('Data Lokasi'!S:S,MATCH('Input Real Tanam&amp;Petik Nanas'!C1064,'Data Lokasi'!C:C,0)),"")</f>
        <v>44536</v>
      </c>
      <c r="O1064" s="278"/>
      <c r="P1064" s="283">
        <f>IFERROR(INDEX('Data Lokasi'!V:V,MATCH(C1064,'Data Lokasi'!C:C,0)),"")</f>
        <v>0</v>
      </c>
      <c r="Q1064" s="304">
        <f t="shared" si="31"/>
        <v>0</v>
      </c>
      <c r="R1064" s="308">
        <v>2</v>
      </c>
    </row>
    <row r="1065" spans="2:18" ht="15" hidden="1" thickTop="1">
      <c r="B1065" s="269">
        <v>46241</v>
      </c>
      <c r="C1065" s="268" t="s">
        <v>544</v>
      </c>
      <c r="D1065" s="274">
        <f>IFERROR(VLOOKUP(C1065,'Data Lokasi'!C:D,2,0),"")</f>
        <v>11.71</v>
      </c>
      <c r="E1065" s="274" t="s">
        <v>2643</v>
      </c>
      <c r="F1065" s="274"/>
      <c r="G1065" s="274"/>
      <c r="H1065" s="274"/>
      <c r="I1065" s="274">
        <v>0.82</v>
      </c>
      <c r="J1065" s="456">
        <f t="shared" si="30"/>
        <v>0.82</v>
      </c>
      <c r="K1065" s="583"/>
      <c r="L1065" s="268" t="s">
        <v>2625</v>
      </c>
      <c r="M1065" s="268" t="s">
        <v>2631</v>
      </c>
      <c r="N1065" s="278">
        <f>IFERROR(INDEX('Data Lokasi'!S:S,MATCH('Input Real Tanam&amp;Petik Nanas'!C1065,'Data Lokasi'!C:C,0)),"")</f>
        <v>44651</v>
      </c>
      <c r="O1065" s="278"/>
      <c r="P1065" s="283">
        <f>IFERROR(INDEX('Data Lokasi'!V:V,MATCH(C1065,'Data Lokasi'!C:C,0)),"")</f>
        <v>0</v>
      </c>
      <c r="Q1065" s="304">
        <f t="shared" si="31"/>
        <v>0</v>
      </c>
      <c r="R1065" s="308"/>
    </row>
    <row r="1066" spans="2:18" ht="15" hidden="1" thickTop="1">
      <c r="B1066" s="269">
        <v>46241</v>
      </c>
      <c r="C1066" s="268" t="s">
        <v>154</v>
      </c>
      <c r="D1066" s="274">
        <f>IFERROR(VLOOKUP(C1066,'Data Lokasi'!C:D,2,0),"")</f>
        <v>3.3</v>
      </c>
      <c r="E1066" s="274" t="s">
        <v>2643</v>
      </c>
      <c r="F1066" s="274"/>
      <c r="G1066" s="274"/>
      <c r="H1066" s="274"/>
      <c r="I1066" s="274">
        <v>0.66</v>
      </c>
      <c r="J1066" s="456">
        <f t="shared" si="30"/>
        <v>0.66</v>
      </c>
      <c r="K1066" s="583"/>
      <c r="L1066" s="268" t="s">
        <v>2625</v>
      </c>
      <c r="M1066" s="268" t="s">
        <v>2631</v>
      </c>
      <c r="N1066" s="278">
        <f>IFERROR(INDEX('Data Lokasi'!S:S,MATCH('Input Real Tanam&amp;Petik Nanas'!C1066,'Data Lokasi'!C:C,0)),"")</f>
        <v>44209</v>
      </c>
      <c r="O1066" s="278"/>
      <c r="P1066" s="283">
        <f>IFERROR(INDEX('Data Lokasi'!V:V,MATCH(C1066,'Data Lokasi'!C:C,0)),"")</f>
        <v>0</v>
      </c>
      <c r="Q1066" s="304">
        <f t="shared" si="31"/>
        <v>0</v>
      </c>
      <c r="R1066" s="308"/>
    </row>
    <row r="1067" spans="2:18" ht="15" hidden="1" thickTop="1">
      <c r="B1067" s="269">
        <v>46242</v>
      </c>
      <c r="C1067" s="268" t="s">
        <v>2647</v>
      </c>
      <c r="D1067" s="274">
        <f>IFERROR(VLOOKUP(C1067,'Data Lokasi'!C:D,2,0),"")</f>
        <v>6.12</v>
      </c>
      <c r="E1067" s="274" t="s">
        <v>2642</v>
      </c>
      <c r="F1067" s="274"/>
      <c r="G1067" s="274"/>
      <c r="H1067" s="274">
        <f>0.44+0.3</f>
        <v>0.74</v>
      </c>
      <c r="I1067" s="274"/>
      <c r="J1067" s="456">
        <f t="shared" si="30"/>
        <v>0.74</v>
      </c>
      <c r="K1067" s="583"/>
      <c r="L1067" s="268" t="s">
        <v>719</v>
      </c>
      <c r="M1067" s="268" t="s">
        <v>2634</v>
      </c>
      <c r="N1067" s="278">
        <f>IFERROR(INDEX('Data Lokasi'!S:S,MATCH('Input Real Tanam&amp;Petik Nanas'!C1067,'Data Lokasi'!C:C,0)),"")</f>
        <v>46237</v>
      </c>
      <c r="O1067" s="278"/>
      <c r="P1067" s="283">
        <f>IFERROR(INDEX('Data Lokasi'!V:V,MATCH(C1067,'Data Lokasi'!C:C,0)),"")</f>
        <v>6.12</v>
      </c>
      <c r="Q1067" s="304">
        <f t="shared" si="31"/>
        <v>1</v>
      </c>
      <c r="R1067" s="308"/>
    </row>
    <row r="1068" spans="2:18" ht="15" hidden="1" thickTop="1">
      <c r="B1068" s="269">
        <v>46242</v>
      </c>
      <c r="C1068" s="268" t="s">
        <v>299</v>
      </c>
      <c r="D1068" s="274">
        <f>IFERROR(VLOOKUP(C1068,'Data Lokasi'!C:D,2,0),"")</f>
        <v>3.62</v>
      </c>
      <c r="E1068" s="274" t="s">
        <v>2642</v>
      </c>
      <c r="F1068" s="274"/>
      <c r="G1068" s="274"/>
      <c r="H1068" s="274">
        <v>0.08</v>
      </c>
      <c r="I1068" s="274"/>
      <c r="J1068" s="456">
        <f t="shared" si="30"/>
        <v>0.08</v>
      </c>
      <c r="K1068" s="583"/>
      <c r="L1068" s="268" t="s">
        <v>719</v>
      </c>
      <c r="M1068" s="268" t="s">
        <v>2634</v>
      </c>
      <c r="N1068" s="278">
        <f>IFERROR(INDEX('Data Lokasi'!S:S,MATCH('Input Real Tanam&amp;Petik Nanas'!C1068,'Data Lokasi'!C:C,0)),"")</f>
        <v>44144</v>
      </c>
      <c r="O1068" s="278"/>
      <c r="P1068" s="283">
        <f>IFERROR(INDEX('Data Lokasi'!V:V,MATCH(C1068,'Data Lokasi'!C:C,0)),"")</f>
        <v>0</v>
      </c>
      <c r="Q1068" s="304">
        <f t="shared" si="31"/>
        <v>0</v>
      </c>
      <c r="R1068" s="308"/>
    </row>
    <row r="1069" spans="2:18" ht="15" hidden="1" thickTop="1">
      <c r="B1069" s="269">
        <v>46242</v>
      </c>
      <c r="C1069" s="268" t="s">
        <v>294</v>
      </c>
      <c r="D1069" s="274">
        <f>IFERROR(VLOOKUP(C1069,'Data Lokasi'!C:D,2,0),"")</f>
        <v>6.93</v>
      </c>
      <c r="E1069" s="274" t="s">
        <v>2642</v>
      </c>
      <c r="F1069" s="274"/>
      <c r="G1069" s="274"/>
      <c r="H1069" s="274">
        <v>0.03</v>
      </c>
      <c r="I1069" s="274"/>
      <c r="J1069" s="456">
        <f t="shared" si="30"/>
        <v>0.03</v>
      </c>
      <c r="K1069" s="583"/>
      <c r="L1069" s="268" t="s">
        <v>719</v>
      </c>
      <c r="M1069" s="268" t="s">
        <v>2634</v>
      </c>
      <c r="N1069" s="278">
        <f>IFERROR(INDEX('Data Lokasi'!S:S,MATCH('Input Real Tanam&amp;Petik Nanas'!C1069,'Data Lokasi'!C:C,0)),"")</f>
        <v>44139</v>
      </c>
      <c r="O1069" s="278"/>
      <c r="P1069" s="283">
        <f>IFERROR(INDEX('Data Lokasi'!V:V,MATCH(C1069,'Data Lokasi'!C:C,0)),"")</f>
        <v>0</v>
      </c>
      <c r="Q1069" s="304">
        <f t="shared" si="31"/>
        <v>0</v>
      </c>
      <c r="R1069" s="308"/>
    </row>
    <row r="1070" spans="2:18" ht="15" hidden="1" thickTop="1">
      <c r="B1070" s="269">
        <v>46242</v>
      </c>
      <c r="C1070" s="268" t="s">
        <v>2692</v>
      </c>
      <c r="D1070" s="274">
        <f>IFERROR(VLOOKUP(C1070,'Data Lokasi'!C:D,2,0),"")</f>
        <v>8.9600000000000009</v>
      </c>
      <c r="E1070" s="274" t="s">
        <v>2642</v>
      </c>
      <c r="F1070" s="274"/>
      <c r="G1070" s="274"/>
      <c r="H1070" s="274"/>
      <c r="I1070" s="274">
        <v>0.12</v>
      </c>
      <c r="J1070" s="456">
        <f t="shared" si="30"/>
        <v>0.12</v>
      </c>
      <c r="K1070" s="583"/>
      <c r="L1070" s="268" t="s">
        <v>719</v>
      </c>
      <c r="M1070" s="268" t="s">
        <v>2634</v>
      </c>
      <c r="N1070" s="278">
        <f>IFERROR(INDEX('Data Lokasi'!S:S,MATCH('Input Real Tanam&amp;Petik Nanas'!C1070,'Data Lokasi'!C:C,0)),"")</f>
        <v>46238</v>
      </c>
      <c r="O1070" s="278"/>
      <c r="P1070" s="283">
        <f>IFERROR(INDEX('Data Lokasi'!V:V,MATCH(C1070,'Data Lokasi'!C:C,0)),"")</f>
        <v>8.9600000000000009</v>
      </c>
      <c r="Q1070" s="304">
        <f t="shared" si="31"/>
        <v>1</v>
      </c>
      <c r="R1070" s="308"/>
    </row>
    <row r="1071" spans="2:18" ht="15" hidden="1" thickTop="1">
      <c r="B1071" s="269">
        <v>46242</v>
      </c>
      <c r="C1071" s="268" t="s">
        <v>2692</v>
      </c>
      <c r="D1071" s="274">
        <f>IFERROR(VLOOKUP(C1071,'Data Lokasi'!C:D,2,0),"")</f>
        <v>8.9600000000000009</v>
      </c>
      <c r="E1071" s="274" t="s">
        <v>2642</v>
      </c>
      <c r="F1071" s="274"/>
      <c r="G1071" s="274"/>
      <c r="H1071" s="274"/>
      <c r="I1071" s="274">
        <v>0.2</v>
      </c>
      <c r="J1071" s="456">
        <f t="shared" si="30"/>
        <v>0.2</v>
      </c>
      <c r="K1071" s="583"/>
      <c r="L1071" s="268" t="s">
        <v>2625</v>
      </c>
      <c r="M1071" s="268" t="s">
        <v>2634</v>
      </c>
      <c r="N1071" s="278">
        <f>IFERROR(INDEX('Data Lokasi'!S:S,MATCH('Input Real Tanam&amp;Petik Nanas'!C1071,'Data Lokasi'!C:C,0)),"")</f>
        <v>46238</v>
      </c>
      <c r="O1071" s="278"/>
      <c r="P1071" s="283">
        <f>IFERROR(INDEX('Data Lokasi'!V:V,MATCH(C1071,'Data Lokasi'!C:C,0)),"")</f>
        <v>8.9600000000000009</v>
      </c>
      <c r="Q1071" s="304">
        <f t="shared" si="31"/>
        <v>1</v>
      </c>
      <c r="R1071" s="308"/>
    </row>
    <row r="1072" spans="2:18" ht="15" hidden="1" thickTop="1">
      <c r="B1072" s="269">
        <v>46242</v>
      </c>
      <c r="C1072" s="268" t="s">
        <v>329</v>
      </c>
      <c r="D1072" s="274">
        <f>IFERROR(VLOOKUP(C1072,'Data Lokasi'!C:D,2,0),"")</f>
        <v>6.68</v>
      </c>
      <c r="E1072" s="274" t="s">
        <v>2642</v>
      </c>
      <c r="F1072" s="274"/>
      <c r="G1072" s="274"/>
      <c r="H1072" s="274"/>
      <c r="I1072" s="274">
        <v>0.61</v>
      </c>
      <c r="J1072" s="456">
        <f t="shared" si="30"/>
        <v>0.61</v>
      </c>
      <c r="K1072" s="583"/>
      <c r="L1072" s="268" t="s">
        <v>2625</v>
      </c>
      <c r="M1072" s="268" t="s">
        <v>2634</v>
      </c>
      <c r="N1072" s="278">
        <f>IFERROR(INDEX('Data Lokasi'!S:S,MATCH('Input Real Tanam&amp;Petik Nanas'!C1072,'Data Lokasi'!C:C,0)),"")</f>
        <v>44218</v>
      </c>
      <c r="O1072" s="278"/>
      <c r="P1072" s="283">
        <f>IFERROR(INDEX('Data Lokasi'!V:V,MATCH(C1072,'Data Lokasi'!C:C,0)),"")</f>
        <v>0</v>
      </c>
      <c r="Q1072" s="304">
        <f t="shared" si="31"/>
        <v>0</v>
      </c>
      <c r="R1072" s="308"/>
    </row>
    <row r="1073" spans="2:18" ht="15" hidden="1" thickTop="1">
      <c r="B1073" s="269">
        <v>46242</v>
      </c>
      <c r="C1073" s="268" t="s">
        <v>196</v>
      </c>
      <c r="D1073" s="274">
        <f>IFERROR(VLOOKUP(C1073,'Data Lokasi'!C:D,2,0),"")</f>
        <v>11.7</v>
      </c>
      <c r="E1073" s="274" t="s">
        <v>2642</v>
      </c>
      <c r="F1073" s="274"/>
      <c r="G1073" s="274"/>
      <c r="H1073" s="274"/>
      <c r="I1073" s="274">
        <v>0.04</v>
      </c>
      <c r="J1073" s="456">
        <f t="shared" si="30"/>
        <v>0.04</v>
      </c>
      <c r="K1073" s="583"/>
      <c r="L1073" s="268" t="s">
        <v>2625</v>
      </c>
      <c r="M1073" s="268" t="s">
        <v>2634</v>
      </c>
      <c r="N1073" s="278">
        <f>IFERROR(INDEX('Data Lokasi'!S:S,MATCH('Input Real Tanam&amp;Petik Nanas'!C1073,'Data Lokasi'!C:C,0)),"")</f>
        <v>43948</v>
      </c>
      <c r="O1073" s="278"/>
      <c r="P1073" s="283">
        <f>IFERROR(INDEX('Data Lokasi'!V:V,MATCH(C1073,'Data Lokasi'!C:C,0)),"")</f>
        <v>0</v>
      </c>
      <c r="Q1073" s="304">
        <f t="shared" si="31"/>
        <v>0</v>
      </c>
      <c r="R1073" s="308"/>
    </row>
    <row r="1074" spans="2:18" ht="15" hidden="1" thickTop="1">
      <c r="B1074" s="269">
        <v>46242</v>
      </c>
      <c r="C1074" s="268" t="s">
        <v>657</v>
      </c>
      <c r="D1074" s="274">
        <f>IFERROR(VLOOKUP(C1074,'Data Lokasi'!C:D,2,0),"")</f>
        <v>7.73</v>
      </c>
      <c r="E1074" s="274" t="s">
        <v>2642</v>
      </c>
      <c r="F1074" s="274"/>
      <c r="G1074" s="274"/>
      <c r="H1074" s="274"/>
      <c r="I1074" s="274">
        <v>0.05</v>
      </c>
      <c r="J1074" s="456">
        <f t="shared" si="30"/>
        <v>0.05</v>
      </c>
      <c r="K1074" s="583"/>
      <c r="L1074" s="268" t="s">
        <v>2625</v>
      </c>
      <c r="M1074" s="268" t="s">
        <v>2634</v>
      </c>
      <c r="N1074" s="278">
        <f>IFERROR(INDEX('Data Lokasi'!S:S,MATCH('Input Real Tanam&amp;Petik Nanas'!C1074,'Data Lokasi'!C:C,0)),"")</f>
        <v>45003</v>
      </c>
      <c r="O1074" s="278"/>
      <c r="P1074" s="283">
        <f>IFERROR(INDEX('Data Lokasi'!V:V,MATCH(C1074,'Data Lokasi'!C:C,0)),"")</f>
        <v>0</v>
      </c>
      <c r="Q1074" s="304">
        <f t="shared" si="31"/>
        <v>0</v>
      </c>
      <c r="R1074" s="308"/>
    </row>
    <row r="1075" spans="2:18" ht="15" hidden="1" thickTop="1">
      <c r="B1075" s="269">
        <v>46242</v>
      </c>
      <c r="C1075" s="268" t="s">
        <v>234</v>
      </c>
      <c r="D1075" s="274">
        <f>IFERROR(VLOOKUP(C1075,'Data Lokasi'!C:D,2,0),"")</f>
        <v>5.85</v>
      </c>
      <c r="E1075" s="274" t="s">
        <v>2642</v>
      </c>
      <c r="F1075" s="274"/>
      <c r="G1075" s="274"/>
      <c r="H1075" s="274"/>
      <c r="I1075" s="274">
        <v>0.24</v>
      </c>
      <c r="J1075" s="456">
        <f t="shared" si="30"/>
        <v>0.24</v>
      </c>
      <c r="K1075" s="583"/>
      <c r="L1075" s="268" t="s">
        <v>2625</v>
      </c>
      <c r="M1075" s="268" t="s">
        <v>2634</v>
      </c>
      <c r="N1075" s="278">
        <f>IFERROR(INDEX('Data Lokasi'!S:S,MATCH('Input Real Tanam&amp;Petik Nanas'!C1075,'Data Lokasi'!C:C,0)),"")</f>
        <v>44038</v>
      </c>
      <c r="O1075" s="278"/>
      <c r="P1075" s="283">
        <f>IFERROR(INDEX('Data Lokasi'!V:V,MATCH(C1075,'Data Lokasi'!C:C,0)),"")</f>
        <v>0</v>
      </c>
      <c r="Q1075" s="304">
        <f t="shared" si="31"/>
        <v>0</v>
      </c>
      <c r="R1075" s="308"/>
    </row>
    <row r="1076" spans="2:18" ht="15" hidden="1" thickTop="1">
      <c r="B1076" s="269">
        <v>46242</v>
      </c>
      <c r="C1076" s="268" t="s">
        <v>706</v>
      </c>
      <c r="D1076" s="274">
        <f>IFERROR(VLOOKUP(C1076,'Data Lokasi'!C:D,2,0),"")</f>
        <v>5.44</v>
      </c>
      <c r="E1076" s="274" t="s">
        <v>2642</v>
      </c>
      <c r="F1076" s="274"/>
      <c r="G1076" s="274"/>
      <c r="H1076" s="274"/>
      <c r="I1076" s="274">
        <v>0.89</v>
      </c>
      <c r="J1076" s="456">
        <f t="shared" si="30"/>
        <v>0.89</v>
      </c>
      <c r="K1076" s="583"/>
      <c r="L1076" s="268" t="s">
        <v>2625</v>
      </c>
      <c r="M1076" s="268" t="s">
        <v>2631</v>
      </c>
      <c r="N1076" s="278">
        <f>IFERROR(INDEX('Data Lokasi'!S:S,MATCH('Input Real Tanam&amp;Petik Nanas'!C1076,'Data Lokasi'!C:C,0)),"")</f>
        <v>45205</v>
      </c>
      <c r="O1076" s="278"/>
      <c r="P1076" s="283">
        <f>IFERROR(INDEX('Data Lokasi'!V:V,MATCH(C1076,'Data Lokasi'!C:C,0)),"")</f>
        <v>0</v>
      </c>
      <c r="Q1076" s="304">
        <f t="shared" si="31"/>
        <v>0</v>
      </c>
      <c r="R1076" s="308"/>
    </row>
    <row r="1077" spans="2:18" ht="15" hidden="1" thickTop="1">
      <c r="B1077" s="269">
        <v>46242</v>
      </c>
      <c r="C1077" s="268" t="s">
        <v>620</v>
      </c>
      <c r="D1077" s="274">
        <f>IFERROR(VLOOKUP(C1077,'Data Lokasi'!C:D,2,0),"")</f>
        <v>5.59</v>
      </c>
      <c r="E1077" s="274" t="s">
        <v>2642</v>
      </c>
      <c r="F1077" s="274"/>
      <c r="G1077" s="274"/>
      <c r="H1077" s="274"/>
      <c r="I1077" s="274">
        <v>0.08</v>
      </c>
      <c r="J1077" s="456">
        <f t="shared" si="30"/>
        <v>0.08</v>
      </c>
      <c r="K1077" s="583"/>
      <c r="L1077" s="268" t="s">
        <v>2625</v>
      </c>
      <c r="M1077" s="268" t="s">
        <v>2631</v>
      </c>
      <c r="N1077" s="278">
        <f>IFERROR(INDEX('Data Lokasi'!S:S,MATCH('Input Real Tanam&amp;Petik Nanas'!C1077,'Data Lokasi'!C:C,0)),"")</f>
        <v>44859</v>
      </c>
      <c r="O1077" s="278"/>
      <c r="P1077" s="283">
        <f>IFERROR(INDEX('Data Lokasi'!V:V,MATCH(C1077,'Data Lokasi'!C:C,0)),"")</f>
        <v>0</v>
      </c>
      <c r="Q1077" s="304">
        <f t="shared" si="31"/>
        <v>0</v>
      </c>
      <c r="R1077" s="308"/>
    </row>
    <row r="1078" spans="2:18" ht="15" hidden="1" thickTop="1">
      <c r="B1078" s="269">
        <v>46242</v>
      </c>
      <c r="C1078" s="268" t="s">
        <v>704</v>
      </c>
      <c r="D1078" s="274">
        <f>IFERROR(VLOOKUP(C1078,'Data Lokasi'!C:D,2,0),"")</f>
        <v>6.38</v>
      </c>
      <c r="E1078" s="274" t="s">
        <v>2642</v>
      </c>
      <c r="F1078" s="274"/>
      <c r="G1078" s="274"/>
      <c r="H1078" s="274"/>
      <c r="I1078" s="274">
        <v>0.31</v>
      </c>
      <c r="J1078" s="456">
        <f t="shared" si="30"/>
        <v>0.31</v>
      </c>
      <c r="K1078" s="583"/>
      <c r="L1078" s="268" t="s">
        <v>2625</v>
      </c>
      <c r="M1078" s="268" t="s">
        <v>2631</v>
      </c>
      <c r="N1078" s="278">
        <f>IFERROR(INDEX('Data Lokasi'!S:S,MATCH('Input Real Tanam&amp;Petik Nanas'!C1078,'Data Lokasi'!C:C,0)),"")</f>
        <v>45199</v>
      </c>
      <c r="O1078" s="278"/>
      <c r="P1078" s="283">
        <f>IFERROR(INDEX('Data Lokasi'!V:V,MATCH(C1078,'Data Lokasi'!C:C,0)),"")</f>
        <v>0</v>
      </c>
      <c r="Q1078" s="304">
        <f t="shared" si="31"/>
        <v>0</v>
      </c>
      <c r="R1078" s="308"/>
    </row>
    <row r="1079" spans="2:18" ht="15" hidden="1" thickTop="1">
      <c r="B1079" s="269">
        <v>46242</v>
      </c>
      <c r="C1079" s="268" t="s">
        <v>710</v>
      </c>
      <c r="D1079" s="274">
        <f>IFERROR(VLOOKUP(C1079,'Data Lokasi'!C:D,2,0),"")</f>
        <v>8.3699999999999992</v>
      </c>
      <c r="E1079" s="274" t="s">
        <v>2642</v>
      </c>
      <c r="F1079" s="274"/>
      <c r="G1079" s="274"/>
      <c r="H1079" s="274"/>
      <c r="I1079" s="274">
        <v>0.84</v>
      </c>
      <c r="J1079" s="456">
        <f t="shared" si="30"/>
        <v>0.84</v>
      </c>
      <c r="K1079" s="583"/>
      <c r="L1079" s="268" t="s">
        <v>2625</v>
      </c>
      <c r="M1079" s="268" t="s">
        <v>2631</v>
      </c>
      <c r="N1079" s="278">
        <f>IFERROR(INDEX('Data Lokasi'!S:S,MATCH('Input Real Tanam&amp;Petik Nanas'!C1079,'Data Lokasi'!C:C,0)),"")</f>
        <v>45246</v>
      </c>
      <c r="O1079" s="278"/>
      <c r="P1079" s="283">
        <f>IFERROR(INDEX('Data Lokasi'!V:V,MATCH(C1079,'Data Lokasi'!C:C,0)),"")</f>
        <v>0</v>
      </c>
      <c r="Q1079" s="304">
        <f t="shared" si="31"/>
        <v>0</v>
      </c>
      <c r="R1079" s="308"/>
    </row>
    <row r="1080" spans="2:18" ht="15" hidden="1" thickTop="1">
      <c r="B1080" s="269">
        <v>46242</v>
      </c>
      <c r="C1080" s="268" t="s">
        <v>708</v>
      </c>
      <c r="D1080" s="274">
        <f>IFERROR(VLOOKUP(C1080,'Data Lokasi'!C:D,2,0),"")</f>
        <v>7.54</v>
      </c>
      <c r="E1080" s="274" t="s">
        <v>2642</v>
      </c>
      <c r="F1080" s="274"/>
      <c r="G1080" s="274"/>
      <c r="H1080" s="274"/>
      <c r="I1080" s="274">
        <v>0.09</v>
      </c>
      <c r="J1080" s="456">
        <f t="shared" si="30"/>
        <v>0.09</v>
      </c>
      <c r="K1080" s="583"/>
      <c r="L1080" s="268" t="s">
        <v>2625</v>
      </c>
      <c r="M1080" s="268" t="s">
        <v>2631</v>
      </c>
      <c r="N1080" s="278">
        <f>IFERROR(INDEX('Data Lokasi'!S:S,MATCH('Input Real Tanam&amp;Petik Nanas'!C1080,'Data Lokasi'!C:C,0)),"")</f>
        <v>45240</v>
      </c>
      <c r="O1080" s="278"/>
      <c r="P1080" s="283">
        <f>IFERROR(INDEX('Data Lokasi'!V:V,MATCH(C1080,'Data Lokasi'!C:C,0)),"")</f>
        <v>0</v>
      </c>
      <c r="Q1080" s="304">
        <f t="shared" si="31"/>
        <v>0</v>
      </c>
      <c r="R1080" s="308"/>
    </row>
    <row r="1081" spans="2:18" ht="15" hidden="1" thickTop="1">
      <c r="B1081" s="269">
        <v>46242</v>
      </c>
      <c r="C1081" s="268" t="s">
        <v>695</v>
      </c>
      <c r="D1081" s="274">
        <f>IFERROR(VLOOKUP(C1081,'Data Lokasi'!C:D,2,0),"")</f>
        <v>5</v>
      </c>
      <c r="E1081" s="274" t="s">
        <v>2642</v>
      </c>
      <c r="F1081" s="274"/>
      <c r="G1081" s="274"/>
      <c r="H1081" s="274"/>
      <c r="I1081" s="274">
        <v>0.35</v>
      </c>
      <c r="J1081" s="456">
        <f t="shared" si="30"/>
        <v>0.35</v>
      </c>
      <c r="K1081" s="583"/>
      <c r="L1081" s="268" t="s">
        <v>2625</v>
      </c>
      <c r="M1081" s="268" t="s">
        <v>2631</v>
      </c>
      <c r="N1081" s="278">
        <f>IFERROR(INDEX('Data Lokasi'!S:S,MATCH('Input Real Tanam&amp;Petik Nanas'!C1081,'Data Lokasi'!C:C,0)),"")</f>
        <v>45117</v>
      </c>
      <c r="O1081" s="278"/>
      <c r="P1081" s="283">
        <f>IFERROR(INDEX('Data Lokasi'!V:V,MATCH(C1081,'Data Lokasi'!C:C,0)),"")</f>
        <v>0</v>
      </c>
      <c r="Q1081" s="304">
        <f t="shared" si="31"/>
        <v>0</v>
      </c>
      <c r="R1081" s="308"/>
    </row>
    <row r="1082" spans="2:18" ht="15" hidden="1" thickTop="1">
      <c r="B1082" s="269">
        <v>46242</v>
      </c>
      <c r="C1082" s="268" t="s">
        <v>508</v>
      </c>
      <c r="D1082" s="274">
        <f>IFERROR(VLOOKUP(C1082,'Data Lokasi'!C:D,2,0),"")</f>
        <v>7.75</v>
      </c>
      <c r="E1082" s="274" t="s">
        <v>2643</v>
      </c>
      <c r="F1082" s="274"/>
      <c r="G1082" s="274"/>
      <c r="H1082" s="274"/>
      <c r="I1082" s="274">
        <v>1.1200000000000001</v>
      </c>
      <c r="J1082" s="456">
        <f t="shared" si="30"/>
        <v>1.1200000000000001</v>
      </c>
      <c r="K1082" s="583"/>
      <c r="L1082" s="268" t="s">
        <v>2625</v>
      </c>
      <c r="M1082" s="268" t="s">
        <v>2634</v>
      </c>
      <c r="N1082" s="278">
        <f>IFERROR(INDEX('Data Lokasi'!S:S,MATCH('Input Real Tanam&amp;Petik Nanas'!C1082,'Data Lokasi'!C:C,0)),"")</f>
        <v>44595</v>
      </c>
      <c r="O1082" s="278"/>
      <c r="P1082" s="283">
        <f>IFERROR(INDEX('Data Lokasi'!V:V,MATCH(C1082,'Data Lokasi'!C:C,0)),"")</f>
        <v>0</v>
      </c>
      <c r="Q1082" s="304">
        <f t="shared" si="31"/>
        <v>0</v>
      </c>
      <c r="R1082" s="308"/>
    </row>
    <row r="1083" spans="2:18" ht="15" hidden="1" thickTop="1">
      <c r="B1083" s="269">
        <v>46242</v>
      </c>
      <c r="C1083" s="268" t="s">
        <v>516</v>
      </c>
      <c r="D1083" s="274">
        <f>IFERROR(VLOOKUP(C1083,'Data Lokasi'!C:D,2,0),"")</f>
        <v>9.4</v>
      </c>
      <c r="E1083" s="274" t="s">
        <v>2643</v>
      </c>
      <c r="F1083" s="274"/>
      <c r="G1083" s="274"/>
      <c r="H1083" s="274"/>
      <c r="I1083" s="274">
        <v>2.92</v>
      </c>
      <c r="J1083" s="456">
        <f t="shared" si="30"/>
        <v>2.92</v>
      </c>
      <c r="K1083" s="583"/>
      <c r="L1083" s="268" t="s">
        <v>2625</v>
      </c>
      <c r="M1083" s="268" t="s">
        <v>2631</v>
      </c>
      <c r="N1083" s="278">
        <f>IFERROR(INDEX('Data Lokasi'!S:S,MATCH('Input Real Tanam&amp;Petik Nanas'!C1083,'Data Lokasi'!C:C,0)),"")</f>
        <v>44600</v>
      </c>
      <c r="O1083" s="278"/>
      <c r="P1083" s="283">
        <f>IFERROR(INDEX('Data Lokasi'!V:V,MATCH(C1083,'Data Lokasi'!C:C,0)),"")</f>
        <v>0</v>
      </c>
      <c r="Q1083" s="304">
        <f t="shared" si="31"/>
        <v>0</v>
      </c>
      <c r="R1083" s="308"/>
    </row>
    <row r="1084" spans="2:18" ht="15" hidden="1" thickTop="1">
      <c r="B1084" s="269">
        <v>46242</v>
      </c>
      <c r="C1084" s="268" t="s">
        <v>492</v>
      </c>
      <c r="D1084" s="274">
        <f>IFERROR(VLOOKUP(C1084,'Data Lokasi'!C:D,2,0),"")</f>
        <v>9.2100000000000009</v>
      </c>
      <c r="E1084" s="274" t="s">
        <v>2643</v>
      </c>
      <c r="F1084" s="274"/>
      <c r="G1084" s="274">
        <f>0.006+0.02</f>
        <v>2.6000000000000002E-2</v>
      </c>
      <c r="H1084" s="274">
        <f>0.09+0.09</f>
        <v>0.18</v>
      </c>
      <c r="I1084" s="274"/>
      <c r="J1084" s="456">
        <f t="shared" si="30"/>
        <v>0.20599999999999999</v>
      </c>
      <c r="K1084" s="583"/>
      <c r="L1084" s="268" t="s">
        <v>719</v>
      </c>
      <c r="M1084" s="268" t="s">
        <v>2631</v>
      </c>
      <c r="N1084" s="278">
        <f>IFERROR(INDEX('Data Lokasi'!S:S,MATCH('Input Real Tanam&amp;Petik Nanas'!C1084,'Data Lokasi'!C:C,0)),"")</f>
        <v>44536</v>
      </c>
      <c r="O1084" s="278"/>
      <c r="P1084" s="283">
        <f>IFERROR(INDEX('Data Lokasi'!V:V,MATCH(C1084,'Data Lokasi'!C:C,0)),"")</f>
        <v>0</v>
      </c>
      <c r="Q1084" s="304">
        <f t="shared" si="31"/>
        <v>0</v>
      </c>
      <c r="R1084" s="308">
        <v>2</v>
      </c>
    </row>
    <row r="1085" spans="2:18" ht="15" hidden="1" thickTop="1">
      <c r="B1085" s="269">
        <v>46242</v>
      </c>
      <c r="C1085" s="268" t="s">
        <v>544</v>
      </c>
      <c r="D1085" s="274">
        <f>IFERROR(VLOOKUP(C1085,'Data Lokasi'!C:D,2,0),"")</f>
        <v>11.71</v>
      </c>
      <c r="E1085" s="274" t="s">
        <v>2643</v>
      </c>
      <c r="F1085" s="274"/>
      <c r="G1085" s="274"/>
      <c r="H1085" s="274"/>
      <c r="I1085" s="274">
        <v>1.01</v>
      </c>
      <c r="J1085" s="456">
        <f t="shared" si="30"/>
        <v>1.01</v>
      </c>
      <c r="K1085" s="583"/>
      <c r="L1085" s="268" t="s">
        <v>2625</v>
      </c>
      <c r="M1085" s="268" t="s">
        <v>2631</v>
      </c>
      <c r="N1085" s="278">
        <f>IFERROR(INDEX('Data Lokasi'!S:S,MATCH('Input Real Tanam&amp;Petik Nanas'!C1085,'Data Lokasi'!C:C,0)),"")</f>
        <v>44651</v>
      </c>
      <c r="O1085" s="278"/>
      <c r="P1085" s="283">
        <f>IFERROR(INDEX('Data Lokasi'!V:V,MATCH(C1085,'Data Lokasi'!C:C,0)),"")</f>
        <v>0</v>
      </c>
      <c r="Q1085" s="304">
        <f t="shared" si="31"/>
        <v>0</v>
      </c>
      <c r="R1085" s="308"/>
    </row>
    <row r="1086" spans="2:18" ht="15" hidden="1" thickTop="1">
      <c r="B1086" s="269">
        <v>46242</v>
      </c>
      <c r="C1086" s="268" t="s">
        <v>157</v>
      </c>
      <c r="D1086" s="274">
        <f>IFERROR(VLOOKUP(C1086,'Data Lokasi'!C:D,2,0),"")</f>
        <v>7.15</v>
      </c>
      <c r="E1086" s="274" t="s">
        <v>2643</v>
      </c>
      <c r="F1086" s="274"/>
      <c r="G1086" s="274"/>
      <c r="H1086" s="274"/>
      <c r="I1086" s="274">
        <v>0.44</v>
      </c>
      <c r="J1086" s="456">
        <f t="shared" si="30"/>
        <v>0.44</v>
      </c>
      <c r="K1086" s="583"/>
      <c r="L1086" s="268" t="s">
        <v>2625</v>
      </c>
      <c r="M1086" s="268" t="s">
        <v>2631</v>
      </c>
      <c r="N1086" s="278">
        <f>IFERROR(INDEX('Data Lokasi'!S:S,MATCH('Input Real Tanam&amp;Petik Nanas'!C1086,'Data Lokasi'!C:C,0)),"")</f>
        <v>44104</v>
      </c>
      <c r="O1086" s="278"/>
      <c r="P1086" s="283">
        <f>IFERROR(INDEX('Data Lokasi'!V:V,MATCH(C1086,'Data Lokasi'!C:C,0)),"")</f>
        <v>0</v>
      </c>
      <c r="Q1086" s="304">
        <f t="shared" si="31"/>
        <v>0</v>
      </c>
      <c r="R1086" s="308"/>
    </row>
    <row r="1087" spans="2:18" ht="15" hidden="1" thickTop="1">
      <c r="B1087" s="269">
        <v>46243</v>
      </c>
      <c r="C1087" s="268" t="s">
        <v>2647</v>
      </c>
      <c r="D1087" s="274">
        <f>IFERROR(VLOOKUP(C1087,'Data Lokasi'!C:D,2,0),"")</f>
        <v>6.12</v>
      </c>
      <c r="E1087" s="274" t="s">
        <v>2642</v>
      </c>
      <c r="F1087" s="274"/>
      <c r="G1087" s="274">
        <v>0.04</v>
      </c>
      <c r="H1087" s="274">
        <v>0.43</v>
      </c>
      <c r="I1087" s="274"/>
      <c r="J1087" s="456">
        <f t="shared" si="30"/>
        <v>0.47</v>
      </c>
      <c r="K1087" s="583"/>
      <c r="L1087" s="268" t="s">
        <v>719</v>
      </c>
      <c r="M1087" s="268" t="s">
        <v>2634</v>
      </c>
      <c r="N1087" s="278">
        <f>IFERROR(INDEX('Data Lokasi'!S:S,MATCH('Input Real Tanam&amp;Petik Nanas'!C1087,'Data Lokasi'!C:C,0)),"")</f>
        <v>46237</v>
      </c>
      <c r="O1087" s="278"/>
      <c r="P1087" s="283">
        <f>IFERROR(INDEX('Data Lokasi'!V:V,MATCH(C1087,'Data Lokasi'!C:C,0)),"")</f>
        <v>6.12</v>
      </c>
      <c r="Q1087" s="304">
        <f t="shared" si="31"/>
        <v>1</v>
      </c>
      <c r="R1087" s="308"/>
    </row>
    <row r="1088" spans="2:18" ht="15" hidden="1" thickTop="1">
      <c r="B1088" s="269">
        <v>46243</v>
      </c>
      <c r="C1088" s="268" t="s">
        <v>2691</v>
      </c>
      <c r="D1088" s="274">
        <f>IFERROR(VLOOKUP(C1088,'Data Lokasi'!C:D,2,0),"")</f>
        <v>5.37</v>
      </c>
      <c r="E1088" s="274" t="s">
        <v>2642</v>
      </c>
      <c r="F1088" s="274"/>
      <c r="G1088" s="274"/>
      <c r="H1088" s="274"/>
      <c r="I1088" s="274">
        <v>0.05</v>
      </c>
      <c r="J1088" s="456">
        <f t="shared" si="30"/>
        <v>0.05</v>
      </c>
      <c r="K1088" s="583"/>
      <c r="L1088" s="268" t="s">
        <v>2625</v>
      </c>
      <c r="M1088" s="268" t="s">
        <v>2634</v>
      </c>
      <c r="N1088" s="278">
        <f>IFERROR(INDEX('Data Lokasi'!S:S,MATCH('Input Real Tanam&amp;Petik Nanas'!C1088,'Data Lokasi'!C:C,0)),"")</f>
        <v>46236</v>
      </c>
      <c r="O1088" s="278"/>
      <c r="P1088" s="283">
        <f>IFERROR(INDEX('Data Lokasi'!V:V,MATCH(C1088,'Data Lokasi'!C:C,0)),"")</f>
        <v>5.37</v>
      </c>
      <c r="Q1088" s="304">
        <f t="shared" si="31"/>
        <v>1</v>
      </c>
      <c r="R1088" s="308"/>
    </row>
    <row r="1089" spans="2:18" ht="15" hidden="1" thickTop="1">
      <c r="B1089" s="269">
        <v>46243</v>
      </c>
      <c r="C1089" s="268" t="s">
        <v>2692</v>
      </c>
      <c r="D1089" s="274">
        <f>IFERROR(VLOOKUP(C1089,'Data Lokasi'!C:D,2,0),"")</f>
        <v>8.9600000000000009</v>
      </c>
      <c r="E1089" s="274" t="s">
        <v>2642</v>
      </c>
      <c r="F1089" s="274"/>
      <c r="G1089" s="274"/>
      <c r="H1089" s="274"/>
      <c r="I1089" s="274">
        <v>0.63</v>
      </c>
      <c r="J1089" s="456">
        <f t="shared" si="30"/>
        <v>0.63</v>
      </c>
      <c r="K1089" s="583"/>
      <c r="L1089" s="268" t="s">
        <v>2625</v>
      </c>
      <c r="M1089" s="268" t="s">
        <v>2634</v>
      </c>
      <c r="N1089" s="278">
        <f>IFERROR(INDEX('Data Lokasi'!S:S,MATCH('Input Real Tanam&amp;Petik Nanas'!C1089,'Data Lokasi'!C:C,0)),"")</f>
        <v>46238</v>
      </c>
      <c r="O1089" s="278"/>
      <c r="P1089" s="283">
        <f>IFERROR(INDEX('Data Lokasi'!V:V,MATCH(C1089,'Data Lokasi'!C:C,0)),"")</f>
        <v>8.9600000000000009</v>
      </c>
      <c r="Q1089" s="304">
        <f t="shared" si="31"/>
        <v>1</v>
      </c>
      <c r="R1089" s="308"/>
    </row>
    <row r="1090" spans="2:18" ht="15" hidden="1" thickTop="1">
      <c r="B1090" s="269">
        <v>46243</v>
      </c>
      <c r="C1090" s="268" t="s">
        <v>2692</v>
      </c>
      <c r="D1090" s="274">
        <f>IFERROR(VLOOKUP(C1090,'Data Lokasi'!C:D,2,0),"")</f>
        <v>8.9600000000000009</v>
      </c>
      <c r="E1090" s="274" t="s">
        <v>2642</v>
      </c>
      <c r="F1090" s="274"/>
      <c r="G1090" s="274"/>
      <c r="H1090" s="274"/>
      <c r="I1090" s="274">
        <v>0.34</v>
      </c>
      <c r="J1090" s="456">
        <f t="shared" si="30"/>
        <v>0.34</v>
      </c>
      <c r="K1090" s="583"/>
      <c r="L1090" s="268" t="s">
        <v>719</v>
      </c>
      <c r="M1090" s="268" t="s">
        <v>2634</v>
      </c>
      <c r="N1090" s="278">
        <f>IFERROR(INDEX('Data Lokasi'!S:S,MATCH('Input Real Tanam&amp;Petik Nanas'!C1090,'Data Lokasi'!C:C,0)),"")</f>
        <v>46238</v>
      </c>
      <c r="O1090" s="278"/>
      <c r="P1090" s="283">
        <f>IFERROR(INDEX('Data Lokasi'!V:V,MATCH(C1090,'Data Lokasi'!C:C,0)),"")</f>
        <v>8.9600000000000009</v>
      </c>
      <c r="Q1090" s="304">
        <f t="shared" si="31"/>
        <v>1</v>
      </c>
      <c r="R1090" s="308"/>
    </row>
    <row r="1091" spans="2:18" ht="15" hidden="1" thickTop="1">
      <c r="B1091" s="269">
        <v>46243</v>
      </c>
      <c r="C1091" s="268" t="s">
        <v>110</v>
      </c>
      <c r="D1091" s="274">
        <f>IFERROR(VLOOKUP(C1091,'Data Lokasi'!C:D,2,0),"")</f>
        <v>9</v>
      </c>
      <c r="E1091" s="274" t="s">
        <v>2642</v>
      </c>
      <c r="F1091" s="274"/>
      <c r="G1091" s="274"/>
      <c r="H1091" s="274"/>
      <c r="I1091" s="274">
        <v>0.44</v>
      </c>
      <c r="J1091" s="456">
        <f t="shared" si="30"/>
        <v>0.44</v>
      </c>
      <c r="K1091" s="583"/>
      <c r="L1091" s="268" t="s">
        <v>2625</v>
      </c>
      <c r="M1091" s="268" t="s">
        <v>2631</v>
      </c>
      <c r="N1091" s="278">
        <f>IFERROR(INDEX('Data Lokasi'!S:S,MATCH('Input Real Tanam&amp;Petik Nanas'!C1091,'Data Lokasi'!C:C,0)),"")</f>
        <v>44193</v>
      </c>
      <c r="O1091" s="278"/>
      <c r="P1091" s="283">
        <f>IFERROR(INDEX('Data Lokasi'!V:V,MATCH(C1091,'Data Lokasi'!C:C,0)),"")</f>
        <v>0</v>
      </c>
      <c r="Q1091" s="304">
        <f t="shared" si="31"/>
        <v>0</v>
      </c>
      <c r="R1091" s="308"/>
    </row>
    <row r="1092" spans="2:18" ht="15" hidden="1" thickTop="1">
      <c r="B1092" s="269">
        <v>46243</v>
      </c>
      <c r="C1092" s="268" t="s">
        <v>704</v>
      </c>
      <c r="D1092" s="274">
        <f>IFERROR(VLOOKUP(C1092,'Data Lokasi'!C:D,2,0),"")</f>
        <v>6.38</v>
      </c>
      <c r="E1092" s="274" t="s">
        <v>2642</v>
      </c>
      <c r="F1092" s="274"/>
      <c r="G1092" s="274"/>
      <c r="H1092" s="274"/>
      <c r="I1092" s="274">
        <v>1.1100000000000001</v>
      </c>
      <c r="J1092" s="456">
        <f t="shared" si="30"/>
        <v>1.1100000000000001</v>
      </c>
      <c r="K1092" s="583"/>
      <c r="L1092" s="268" t="s">
        <v>2625</v>
      </c>
      <c r="M1092" s="268" t="s">
        <v>2631</v>
      </c>
      <c r="N1092" s="278">
        <f>IFERROR(INDEX('Data Lokasi'!S:S,MATCH('Input Real Tanam&amp;Petik Nanas'!C1092,'Data Lokasi'!C:C,0)),"")</f>
        <v>45199</v>
      </c>
      <c r="O1092" s="278"/>
      <c r="P1092" s="283">
        <f>IFERROR(INDEX('Data Lokasi'!V:V,MATCH(C1092,'Data Lokasi'!C:C,0)),"")</f>
        <v>0</v>
      </c>
      <c r="Q1092" s="304">
        <f t="shared" si="31"/>
        <v>0</v>
      </c>
      <c r="R1092" s="308"/>
    </row>
    <row r="1093" spans="2:18" ht="15" hidden="1" thickTop="1">
      <c r="B1093" s="269">
        <v>46243</v>
      </c>
      <c r="C1093" s="268" t="s">
        <v>710</v>
      </c>
      <c r="D1093" s="274">
        <f>IFERROR(VLOOKUP(C1093,'Data Lokasi'!C:D,2,0),"")</f>
        <v>8.3699999999999992</v>
      </c>
      <c r="E1093" s="274" t="s">
        <v>2642</v>
      </c>
      <c r="F1093" s="274"/>
      <c r="G1093" s="274"/>
      <c r="H1093" s="274"/>
      <c r="I1093" s="274">
        <v>0.93</v>
      </c>
      <c r="J1093" s="456">
        <f t="shared" si="30"/>
        <v>0.93</v>
      </c>
      <c r="K1093" s="583"/>
      <c r="L1093" s="268" t="s">
        <v>2625</v>
      </c>
      <c r="M1093" s="268" t="s">
        <v>2631</v>
      </c>
      <c r="N1093" s="278">
        <f>IFERROR(INDEX('Data Lokasi'!S:S,MATCH('Input Real Tanam&amp;Petik Nanas'!C1093,'Data Lokasi'!C:C,0)),"")</f>
        <v>45246</v>
      </c>
      <c r="O1093" s="278"/>
      <c r="P1093" s="283">
        <f>IFERROR(INDEX('Data Lokasi'!V:V,MATCH(C1093,'Data Lokasi'!C:C,0)),"")</f>
        <v>0</v>
      </c>
      <c r="Q1093" s="304">
        <f t="shared" si="31"/>
        <v>0</v>
      </c>
      <c r="R1093" s="308"/>
    </row>
    <row r="1094" spans="2:18" ht="15" hidden="1" thickTop="1">
      <c r="B1094" s="269">
        <v>46243</v>
      </c>
      <c r="C1094" s="268" t="s">
        <v>708</v>
      </c>
      <c r="D1094" s="274">
        <f>IFERROR(VLOOKUP(C1094,'Data Lokasi'!C:D,2,0),"")</f>
        <v>7.54</v>
      </c>
      <c r="E1094" s="274" t="s">
        <v>2642</v>
      </c>
      <c r="F1094" s="274"/>
      <c r="G1094" s="274"/>
      <c r="H1094" s="274"/>
      <c r="I1094" s="274">
        <v>0.28000000000000003</v>
      </c>
      <c r="J1094" s="456">
        <f t="shared" si="30"/>
        <v>0.28000000000000003</v>
      </c>
      <c r="K1094" s="583"/>
      <c r="L1094" s="268" t="s">
        <v>2625</v>
      </c>
      <c r="M1094" s="268" t="s">
        <v>2631</v>
      </c>
      <c r="N1094" s="278">
        <f>IFERROR(INDEX('Data Lokasi'!S:S,MATCH('Input Real Tanam&amp;Petik Nanas'!C1094,'Data Lokasi'!C:C,0)),"")</f>
        <v>45240</v>
      </c>
      <c r="O1094" s="278"/>
      <c r="P1094" s="283">
        <f>IFERROR(INDEX('Data Lokasi'!V:V,MATCH(C1094,'Data Lokasi'!C:C,0)),"")</f>
        <v>0</v>
      </c>
      <c r="Q1094" s="304">
        <f t="shared" si="31"/>
        <v>0</v>
      </c>
      <c r="R1094" s="308"/>
    </row>
    <row r="1095" spans="2:18" ht="15" hidden="1" thickTop="1">
      <c r="B1095" s="269">
        <v>46243</v>
      </c>
      <c r="C1095" s="268" t="s">
        <v>695</v>
      </c>
      <c r="D1095" s="274">
        <f>IFERROR(VLOOKUP(C1095,'Data Lokasi'!C:D,2,0),"")</f>
        <v>5</v>
      </c>
      <c r="E1095" s="274" t="s">
        <v>2642</v>
      </c>
      <c r="F1095" s="274"/>
      <c r="G1095" s="274"/>
      <c r="H1095" s="274"/>
      <c r="I1095" s="274">
        <v>0.23</v>
      </c>
      <c r="J1095" s="456">
        <f t="shared" si="30"/>
        <v>0.23</v>
      </c>
      <c r="K1095" s="583"/>
      <c r="L1095" s="268" t="s">
        <v>2625</v>
      </c>
      <c r="M1095" s="268" t="s">
        <v>2631</v>
      </c>
      <c r="N1095" s="278">
        <f>IFERROR(INDEX('Data Lokasi'!S:S,MATCH('Input Real Tanam&amp;Petik Nanas'!C1095,'Data Lokasi'!C:C,0)),"")</f>
        <v>45117</v>
      </c>
      <c r="O1095" s="278"/>
      <c r="P1095" s="283">
        <f>IFERROR(INDEX('Data Lokasi'!V:V,MATCH(C1095,'Data Lokasi'!C:C,0)),"")</f>
        <v>0</v>
      </c>
      <c r="Q1095" s="304">
        <f t="shared" si="31"/>
        <v>0</v>
      </c>
      <c r="R1095" s="308"/>
    </row>
    <row r="1096" spans="2:18" ht="15" hidden="1" thickTop="1">
      <c r="B1096" s="269">
        <v>46243</v>
      </c>
      <c r="C1096" s="268" t="s">
        <v>492</v>
      </c>
      <c r="D1096" s="274">
        <f>IFERROR(VLOOKUP(C1096,'Data Lokasi'!C:D,2,0),"")</f>
        <v>9.2100000000000009</v>
      </c>
      <c r="E1096" s="274" t="s">
        <v>2643</v>
      </c>
      <c r="F1096" s="274"/>
      <c r="G1096" s="274">
        <v>0.08</v>
      </c>
      <c r="H1096" s="274">
        <f>0.08+0.09</f>
        <v>0.16999999999999998</v>
      </c>
      <c r="I1096" s="274"/>
      <c r="J1096" s="456">
        <f t="shared" si="30"/>
        <v>0.25</v>
      </c>
      <c r="K1096" s="583"/>
      <c r="L1096" s="268" t="s">
        <v>719</v>
      </c>
      <c r="M1096" s="268" t="s">
        <v>2631</v>
      </c>
      <c r="N1096" s="278">
        <f>IFERROR(INDEX('Data Lokasi'!S:S,MATCH('Input Real Tanam&amp;Petik Nanas'!C1096,'Data Lokasi'!C:C,0)),"")</f>
        <v>44536</v>
      </c>
      <c r="O1096" s="278"/>
      <c r="P1096" s="283">
        <f>IFERROR(INDEX('Data Lokasi'!V:V,MATCH(C1096,'Data Lokasi'!C:C,0)),"")</f>
        <v>0</v>
      </c>
      <c r="Q1096" s="304">
        <f t="shared" si="31"/>
        <v>0</v>
      </c>
      <c r="R1096" s="308">
        <v>2</v>
      </c>
    </row>
    <row r="1097" spans="2:18" ht="15" hidden="1" thickTop="1">
      <c r="B1097" s="269">
        <v>46243</v>
      </c>
      <c r="C1097" s="268" t="s">
        <v>517</v>
      </c>
      <c r="D1097" s="274">
        <f>IFERROR(VLOOKUP(C1097,'Data Lokasi'!C:D,2,0),"")</f>
        <v>3.59</v>
      </c>
      <c r="E1097" s="274" t="s">
        <v>2643</v>
      </c>
      <c r="F1097" s="274"/>
      <c r="G1097" s="274">
        <v>0.03</v>
      </c>
      <c r="H1097" s="274">
        <f>0.04+0.12</f>
        <v>0.16</v>
      </c>
      <c r="I1097" s="274"/>
      <c r="J1097" s="456">
        <f t="shared" si="30"/>
        <v>0.19</v>
      </c>
      <c r="K1097" s="583"/>
      <c r="L1097" s="268" t="s">
        <v>719</v>
      </c>
      <c r="M1097" s="268" t="s">
        <v>2631</v>
      </c>
      <c r="N1097" s="278">
        <f>IFERROR(INDEX('Data Lokasi'!S:S,MATCH('Input Real Tanam&amp;Petik Nanas'!C1097,'Data Lokasi'!C:C,0)),"")</f>
        <v>44615</v>
      </c>
      <c r="O1097" s="278"/>
      <c r="P1097" s="283">
        <f>IFERROR(INDEX('Data Lokasi'!V:V,MATCH(C1097,'Data Lokasi'!C:C,0)),"")</f>
        <v>0</v>
      </c>
      <c r="Q1097" s="304">
        <f t="shared" si="31"/>
        <v>0</v>
      </c>
      <c r="R1097" s="308">
        <v>1</v>
      </c>
    </row>
    <row r="1098" spans="2:18" ht="15" hidden="1" thickTop="1">
      <c r="B1098" s="269">
        <v>46243</v>
      </c>
      <c r="C1098" s="268" t="s">
        <v>157</v>
      </c>
      <c r="D1098" s="274">
        <f>IFERROR(VLOOKUP(C1098,'Data Lokasi'!C:D,2,0),"")</f>
        <v>7.15</v>
      </c>
      <c r="E1098" s="274" t="s">
        <v>2643</v>
      </c>
      <c r="F1098" s="274"/>
      <c r="G1098" s="274"/>
      <c r="H1098" s="274"/>
      <c r="I1098" s="274">
        <v>0.69</v>
      </c>
      <c r="J1098" s="456">
        <f t="shared" si="30"/>
        <v>0.69</v>
      </c>
      <c r="K1098" s="583"/>
      <c r="L1098" s="268" t="s">
        <v>2625</v>
      </c>
      <c r="M1098" s="268" t="s">
        <v>2631</v>
      </c>
      <c r="N1098" s="278">
        <f>IFERROR(INDEX('Data Lokasi'!S:S,MATCH('Input Real Tanam&amp;Petik Nanas'!C1098,'Data Lokasi'!C:C,0)),"")</f>
        <v>44104</v>
      </c>
      <c r="O1098" s="278"/>
      <c r="P1098" s="283">
        <f>IFERROR(INDEX('Data Lokasi'!V:V,MATCH(C1098,'Data Lokasi'!C:C,0)),"")</f>
        <v>0</v>
      </c>
      <c r="Q1098" s="304">
        <f t="shared" si="31"/>
        <v>0</v>
      </c>
      <c r="R1098" s="308"/>
    </row>
    <row r="1099" spans="2:18" ht="15" hidden="1" thickTop="1">
      <c r="B1099" s="269">
        <v>46243</v>
      </c>
      <c r="C1099" s="268" t="s">
        <v>2536</v>
      </c>
      <c r="D1099" s="274">
        <f>IFERROR(VLOOKUP(C1099,'Data Lokasi'!C:D,2,0),"")</f>
        <v>8.68</v>
      </c>
      <c r="E1099" s="274" t="s">
        <v>2643</v>
      </c>
      <c r="F1099" s="274"/>
      <c r="G1099" s="274"/>
      <c r="H1099" s="274"/>
      <c r="I1099" s="274">
        <v>0.99</v>
      </c>
      <c r="J1099" s="456">
        <f t="shared" si="30"/>
        <v>0.99</v>
      </c>
      <c r="K1099" s="583"/>
      <c r="L1099" s="268" t="s">
        <v>2625</v>
      </c>
      <c r="M1099" s="268" t="s">
        <v>2631</v>
      </c>
      <c r="N1099" s="278">
        <f>IFERROR(INDEX('Data Lokasi'!S:S,MATCH('Input Real Tanam&amp;Petik Nanas'!C1099,'Data Lokasi'!C:C,0)),"")</f>
        <v>45356</v>
      </c>
      <c r="O1099" s="278"/>
      <c r="P1099" s="283">
        <f>IFERROR(INDEX('Data Lokasi'!V:V,MATCH(C1099,'Data Lokasi'!C:C,0)),"")</f>
        <v>0</v>
      </c>
      <c r="Q1099" s="304">
        <f t="shared" si="31"/>
        <v>0</v>
      </c>
      <c r="R1099" s="308"/>
    </row>
    <row r="1100" spans="2:18" ht="15" hidden="1" thickTop="1">
      <c r="B1100" s="269">
        <v>46243</v>
      </c>
      <c r="C1100" s="268" t="s">
        <v>508</v>
      </c>
      <c r="D1100" s="274">
        <f>IFERROR(VLOOKUP(C1100,'Data Lokasi'!C:D,2,0),"")</f>
        <v>7.75</v>
      </c>
      <c r="E1100" s="274" t="s">
        <v>2643</v>
      </c>
      <c r="F1100" s="274"/>
      <c r="G1100" s="274"/>
      <c r="H1100" s="274"/>
      <c r="I1100" s="274">
        <v>1.06</v>
      </c>
      <c r="J1100" s="456">
        <f t="shared" si="30"/>
        <v>1.06</v>
      </c>
      <c r="K1100" s="583"/>
      <c r="L1100" s="268" t="s">
        <v>2625</v>
      </c>
      <c r="M1100" s="268" t="s">
        <v>2634</v>
      </c>
      <c r="N1100" s="278">
        <f>IFERROR(INDEX('Data Lokasi'!S:S,MATCH('Input Real Tanam&amp;Petik Nanas'!C1100,'Data Lokasi'!C:C,0)),"")</f>
        <v>44595</v>
      </c>
      <c r="O1100" s="278"/>
      <c r="P1100" s="283">
        <f>IFERROR(INDEX('Data Lokasi'!V:V,MATCH(C1100,'Data Lokasi'!C:C,0)),"")</f>
        <v>0</v>
      </c>
      <c r="Q1100" s="304">
        <f t="shared" si="31"/>
        <v>0</v>
      </c>
      <c r="R1100" s="308"/>
    </row>
    <row r="1101" spans="2:18" ht="15" hidden="1" thickTop="1">
      <c r="B1101" s="269">
        <v>46243</v>
      </c>
      <c r="C1101" s="268" t="s">
        <v>564</v>
      </c>
      <c r="D1101" s="274">
        <f>IFERROR(VLOOKUP(C1101,'Data Lokasi'!C:D,2,0),"")</f>
        <v>7.22</v>
      </c>
      <c r="E1101" s="274" t="s">
        <v>2643</v>
      </c>
      <c r="F1101" s="274"/>
      <c r="G1101" s="274"/>
      <c r="H1101" s="274"/>
      <c r="I1101" s="274">
        <v>2.85</v>
      </c>
      <c r="J1101" s="456">
        <f t="shared" si="30"/>
        <v>2.85</v>
      </c>
      <c r="K1101" s="583"/>
      <c r="L1101" s="268" t="s">
        <v>2625</v>
      </c>
      <c r="M1101" s="268" t="s">
        <v>2631</v>
      </c>
      <c r="N1101" s="278">
        <f>IFERROR(INDEX('Data Lokasi'!S:S,MATCH('Input Real Tanam&amp;Petik Nanas'!C1101,'Data Lokasi'!C:C,0)),"")</f>
        <v>44667</v>
      </c>
      <c r="O1101" s="278"/>
      <c r="P1101" s="283">
        <f>IFERROR(INDEX('Data Lokasi'!V:V,MATCH(C1101,'Data Lokasi'!C:C,0)),"")</f>
        <v>0</v>
      </c>
      <c r="Q1101" s="304">
        <f t="shared" si="31"/>
        <v>0</v>
      </c>
      <c r="R1101" s="308"/>
    </row>
    <row r="1102" spans="2:18" ht="15" hidden="1" thickTop="1">
      <c r="B1102" s="269">
        <v>46244</v>
      </c>
      <c r="C1102" s="268" t="s">
        <v>704</v>
      </c>
      <c r="D1102" s="274">
        <f>IFERROR(VLOOKUP(C1102,'Data Lokasi'!C:D,2,0),"")</f>
        <v>6.38</v>
      </c>
      <c r="E1102" s="274" t="s">
        <v>2642</v>
      </c>
      <c r="F1102" s="274"/>
      <c r="G1102" s="274"/>
      <c r="H1102" s="274"/>
      <c r="I1102" s="274">
        <v>1.08</v>
      </c>
      <c r="J1102" s="456">
        <f t="shared" si="30"/>
        <v>1.08</v>
      </c>
      <c r="K1102" s="583"/>
      <c r="L1102" s="268" t="s">
        <v>2625</v>
      </c>
      <c r="M1102" s="268" t="s">
        <v>2631</v>
      </c>
      <c r="N1102" s="278">
        <f>IFERROR(INDEX('Data Lokasi'!S:S,MATCH('Input Real Tanam&amp;Petik Nanas'!C1102,'Data Lokasi'!C:C,0)),"")</f>
        <v>45199</v>
      </c>
      <c r="O1102" s="278"/>
      <c r="P1102" s="283">
        <f>IFERROR(INDEX('Data Lokasi'!V:V,MATCH(C1102,'Data Lokasi'!C:C,0)),"")</f>
        <v>0</v>
      </c>
      <c r="Q1102" s="304">
        <f t="shared" si="31"/>
        <v>0</v>
      </c>
      <c r="R1102" s="308"/>
    </row>
    <row r="1103" spans="2:18" ht="15" hidden="1" thickTop="1">
      <c r="B1103" s="269">
        <v>46244</v>
      </c>
      <c r="C1103" s="268" t="s">
        <v>710</v>
      </c>
      <c r="D1103" s="274">
        <f>IFERROR(VLOOKUP(C1103,'Data Lokasi'!C:D,2,0),"")</f>
        <v>8.3699999999999992</v>
      </c>
      <c r="E1103" s="274" t="s">
        <v>2642</v>
      </c>
      <c r="F1103" s="274"/>
      <c r="G1103" s="274"/>
      <c r="H1103" s="274"/>
      <c r="I1103" s="274">
        <v>1.07</v>
      </c>
      <c r="J1103" s="456">
        <f t="shared" si="30"/>
        <v>1.07</v>
      </c>
      <c r="K1103" s="583"/>
      <c r="L1103" s="268" t="s">
        <v>2625</v>
      </c>
      <c r="M1103" s="268" t="s">
        <v>2631</v>
      </c>
      <c r="N1103" s="278">
        <f>IFERROR(INDEX('Data Lokasi'!S:S,MATCH('Input Real Tanam&amp;Petik Nanas'!C1103,'Data Lokasi'!C:C,0)),"")</f>
        <v>45246</v>
      </c>
      <c r="O1103" s="278"/>
      <c r="P1103" s="283">
        <f>IFERROR(INDEX('Data Lokasi'!V:V,MATCH(C1103,'Data Lokasi'!C:C,0)),"")</f>
        <v>0</v>
      </c>
      <c r="Q1103" s="304">
        <f t="shared" si="31"/>
        <v>0</v>
      </c>
      <c r="R1103" s="308"/>
    </row>
    <row r="1104" spans="2:18" ht="15" hidden="1" thickTop="1">
      <c r="B1104" s="269">
        <v>46244</v>
      </c>
      <c r="C1104" s="268" t="s">
        <v>690</v>
      </c>
      <c r="D1104" s="274">
        <f>IFERROR(VLOOKUP(C1104,'Data Lokasi'!C:D,2,0),"")</f>
        <v>2.52</v>
      </c>
      <c r="E1104" s="274" t="s">
        <v>2642</v>
      </c>
      <c r="F1104" s="274"/>
      <c r="G1104" s="274"/>
      <c r="H1104" s="274"/>
      <c r="I1104" s="274">
        <v>0.16</v>
      </c>
      <c r="J1104" s="456">
        <f t="shared" si="30"/>
        <v>0.16</v>
      </c>
      <c r="K1104" s="583"/>
      <c r="L1104" s="268" t="s">
        <v>2625</v>
      </c>
      <c r="M1104" s="268" t="s">
        <v>2631</v>
      </c>
      <c r="N1104" s="278">
        <f>IFERROR(INDEX('Data Lokasi'!S:S,MATCH('Input Real Tanam&amp;Petik Nanas'!C1104,'Data Lokasi'!C:C,0)),"")</f>
        <v>45141</v>
      </c>
      <c r="O1104" s="278"/>
      <c r="P1104" s="283">
        <f>IFERROR(INDEX('Data Lokasi'!V:V,MATCH(C1104,'Data Lokasi'!C:C,0)),"")</f>
        <v>0</v>
      </c>
      <c r="Q1104" s="304">
        <f t="shared" si="31"/>
        <v>0</v>
      </c>
      <c r="R1104" s="308"/>
    </row>
    <row r="1105" spans="2:18" ht="15" hidden="1" thickTop="1">
      <c r="B1105" s="269">
        <v>46244</v>
      </c>
      <c r="C1105" s="268" t="s">
        <v>708</v>
      </c>
      <c r="D1105" s="274">
        <f>IFERROR(VLOOKUP(C1105,'Data Lokasi'!C:D,2,0),"")</f>
        <v>7.54</v>
      </c>
      <c r="E1105" s="274" t="s">
        <v>2642</v>
      </c>
      <c r="F1105" s="274"/>
      <c r="G1105" s="274"/>
      <c r="H1105" s="274"/>
      <c r="I1105" s="274">
        <v>7.0000000000000007E-2</v>
      </c>
      <c r="J1105" s="456">
        <f t="shared" si="30"/>
        <v>7.0000000000000007E-2</v>
      </c>
      <c r="K1105" s="583"/>
      <c r="L1105" s="268" t="s">
        <v>2625</v>
      </c>
      <c r="M1105" s="268" t="s">
        <v>2631</v>
      </c>
      <c r="N1105" s="278">
        <f>IFERROR(INDEX('Data Lokasi'!S:S,MATCH('Input Real Tanam&amp;Petik Nanas'!C1105,'Data Lokasi'!C:C,0)),"")</f>
        <v>45240</v>
      </c>
      <c r="O1105" s="278"/>
      <c r="P1105" s="283">
        <f>IFERROR(INDEX('Data Lokasi'!V:V,MATCH(C1105,'Data Lokasi'!C:C,0)),"")</f>
        <v>0</v>
      </c>
      <c r="Q1105" s="304">
        <f t="shared" si="31"/>
        <v>0</v>
      </c>
      <c r="R1105" s="308"/>
    </row>
    <row r="1106" spans="2:18" ht="15" hidden="1" thickTop="1">
      <c r="B1106" s="269">
        <v>46244</v>
      </c>
      <c r="C1106" s="268" t="s">
        <v>695</v>
      </c>
      <c r="D1106" s="274">
        <f>IFERROR(VLOOKUP(C1106,'Data Lokasi'!C:D,2,0),"")</f>
        <v>5</v>
      </c>
      <c r="E1106" s="274" t="s">
        <v>2642</v>
      </c>
      <c r="F1106" s="274"/>
      <c r="G1106" s="274"/>
      <c r="H1106" s="274"/>
      <c r="I1106" s="274">
        <v>0.09</v>
      </c>
      <c r="J1106" s="456">
        <f t="shared" si="30"/>
        <v>0.09</v>
      </c>
      <c r="K1106" s="583"/>
      <c r="L1106" s="268" t="s">
        <v>2625</v>
      </c>
      <c r="M1106" s="268" t="s">
        <v>2631</v>
      </c>
      <c r="N1106" s="278">
        <f>IFERROR(INDEX('Data Lokasi'!S:S,MATCH('Input Real Tanam&amp;Petik Nanas'!C1106,'Data Lokasi'!C:C,0)),"")</f>
        <v>45117</v>
      </c>
      <c r="O1106" s="278"/>
      <c r="P1106" s="283">
        <f>IFERROR(INDEX('Data Lokasi'!V:V,MATCH(C1106,'Data Lokasi'!C:C,0)),"")</f>
        <v>0</v>
      </c>
      <c r="Q1106" s="304">
        <f t="shared" si="31"/>
        <v>0</v>
      </c>
      <c r="R1106" s="308"/>
    </row>
    <row r="1107" spans="2:18" ht="15" hidden="1" thickTop="1">
      <c r="B1107" s="269">
        <v>46244</v>
      </c>
      <c r="C1107" s="268" t="s">
        <v>2647</v>
      </c>
      <c r="D1107" s="274">
        <f>IFERROR(VLOOKUP(C1107,'Data Lokasi'!C:D,2,0),"")</f>
        <v>6.12</v>
      </c>
      <c r="E1107" s="274" t="s">
        <v>2642</v>
      </c>
      <c r="F1107" s="274"/>
      <c r="G1107" s="274">
        <v>0.16</v>
      </c>
      <c r="H1107" s="274">
        <v>0.03</v>
      </c>
      <c r="I1107" s="274"/>
      <c r="J1107" s="456">
        <f t="shared" si="30"/>
        <v>0.19</v>
      </c>
      <c r="K1107" s="583"/>
      <c r="L1107" s="268" t="s">
        <v>719</v>
      </c>
      <c r="M1107" s="268" t="s">
        <v>2634</v>
      </c>
      <c r="N1107" s="278">
        <f>IFERROR(INDEX('Data Lokasi'!S:S,MATCH('Input Real Tanam&amp;Petik Nanas'!C1107,'Data Lokasi'!C:C,0)),"")</f>
        <v>46237</v>
      </c>
      <c r="O1107" s="278"/>
      <c r="P1107" s="283">
        <f>IFERROR(INDEX('Data Lokasi'!V:V,MATCH(C1107,'Data Lokasi'!C:C,0)),"")</f>
        <v>6.12</v>
      </c>
      <c r="Q1107" s="304">
        <f t="shared" si="31"/>
        <v>1</v>
      </c>
      <c r="R1107" s="308"/>
    </row>
    <row r="1108" spans="2:18" ht="15" hidden="1" thickTop="1">
      <c r="B1108" s="269">
        <v>46244</v>
      </c>
      <c r="C1108" s="268" t="s">
        <v>2691</v>
      </c>
      <c r="D1108" s="274">
        <f>IFERROR(VLOOKUP(C1108,'Data Lokasi'!C:D,2,0),"")</f>
        <v>5.37</v>
      </c>
      <c r="E1108" s="274" t="s">
        <v>2642</v>
      </c>
      <c r="F1108" s="274"/>
      <c r="G1108" s="274"/>
      <c r="H1108" s="274"/>
      <c r="I1108" s="274">
        <v>0.37</v>
      </c>
      <c r="J1108" s="456">
        <f t="shared" si="30"/>
        <v>0.37</v>
      </c>
      <c r="K1108" s="583"/>
      <c r="L1108" s="268" t="s">
        <v>2625</v>
      </c>
      <c r="M1108" s="268" t="s">
        <v>2634</v>
      </c>
      <c r="N1108" s="278">
        <f>IFERROR(INDEX('Data Lokasi'!S:S,MATCH('Input Real Tanam&amp;Petik Nanas'!C1108,'Data Lokasi'!C:C,0)),"")</f>
        <v>46236</v>
      </c>
      <c r="O1108" s="278"/>
      <c r="P1108" s="283">
        <f>IFERROR(INDEX('Data Lokasi'!V:V,MATCH(C1108,'Data Lokasi'!C:C,0)),"")</f>
        <v>5.37</v>
      </c>
      <c r="Q1108" s="304">
        <f t="shared" si="31"/>
        <v>1</v>
      </c>
      <c r="R1108" s="308"/>
    </row>
    <row r="1109" spans="2:18" ht="15" hidden="1" thickTop="1">
      <c r="B1109" s="269">
        <v>46244</v>
      </c>
      <c r="C1109" s="268" t="s">
        <v>234</v>
      </c>
      <c r="D1109" s="274">
        <f>IFERROR(VLOOKUP(C1109,'Data Lokasi'!C:D,2,0),"")</f>
        <v>5.85</v>
      </c>
      <c r="E1109" s="274" t="s">
        <v>2642</v>
      </c>
      <c r="F1109" s="274"/>
      <c r="G1109" s="274"/>
      <c r="H1109" s="274"/>
      <c r="I1109" s="274">
        <v>0.28000000000000003</v>
      </c>
      <c r="J1109" s="456">
        <f t="shared" si="30"/>
        <v>0.28000000000000003</v>
      </c>
      <c r="K1109" s="583"/>
      <c r="L1109" s="268" t="s">
        <v>2625</v>
      </c>
      <c r="M1109" s="268" t="s">
        <v>2634</v>
      </c>
      <c r="N1109" s="278">
        <f>IFERROR(INDEX('Data Lokasi'!S:S,MATCH('Input Real Tanam&amp;Petik Nanas'!C1109,'Data Lokasi'!C:C,0)),"")</f>
        <v>44038</v>
      </c>
      <c r="O1109" s="278"/>
      <c r="P1109" s="283">
        <f>IFERROR(INDEX('Data Lokasi'!V:V,MATCH(C1109,'Data Lokasi'!C:C,0)),"")</f>
        <v>0</v>
      </c>
      <c r="Q1109" s="304">
        <f t="shared" si="31"/>
        <v>0</v>
      </c>
      <c r="R1109" s="308"/>
    </row>
    <row r="1110" spans="2:18" ht="15" hidden="1" thickTop="1">
      <c r="B1110" s="269">
        <v>46244</v>
      </c>
      <c r="C1110" s="268" t="s">
        <v>2692</v>
      </c>
      <c r="D1110" s="274">
        <f>IFERROR(VLOOKUP(C1110,'Data Lokasi'!C:D,2,0),"")</f>
        <v>8.9600000000000009</v>
      </c>
      <c r="E1110" s="274" t="s">
        <v>2642</v>
      </c>
      <c r="F1110" s="274"/>
      <c r="G1110" s="274"/>
      <c r="H1110" s="274"/>
      <c r="I1110" s="274">
        <v>1.78</v>
      </c>
      <c r="J1110" s="456">
        <f t="shared" si="30"/>
        <v>1.78</v>
      </c>
      <c r="K1110" s="583"/>
      <c r="L1110" s="268" t="s">
        <v>719</v>
      </c>
      <c r="M1110" s="268" t="s">
        <v>2634</v>
      </c>
      <c r="N1110" s="278">
        <f>IFERROR(INDEX('Data Lokasi'!S:S,MATCH('Input Real Tanam&amp;Petik Nanas'!C1110,'Data Lokasi'!C:C,0)),"")</f>
        <v>46238</v>
      </c>
      <c r="O1110" s="278"/>
      <c r="P1110" s="283">
        <f>IFERROR(INDEX('Data Lokasi'!V:V,MATCH(C1110,'Data Lokasi'!C:C,0)),"")</f>
        <v>8.9600000000000009</v>
      </c>
      <c r="Q1110" s="304">
        <f t="shared" si="31"/>
        <v>1</v>
      </c>
      <c r="R1110" s="308"/>
    </row>
    <row r="1111" spans="2:18" ht="15" hidden="1" thickTop="1">
      <c r="B1111" s="269">
        <v>46244</v>
      </c>
      <c r="C1111" s="268" t="s">
        <v>492</v>
      </c>
      <c r="D1111" s="274">
        <f>IFERROR(VLOOKUP(C1111,'Data Lokasi'!C:D,2,0),"")</f>
        <v>9.2100000000000009</v>
      </c>
      <c r="E1111" s="274" t="s">
        <v>2643</v>
      </c>
      <c r="F1111" s="274"/>
      <c r="G1111" s="274">
        <f>0.004+0.02</f>
        <v>2.4E-2</v>
      </c>
      <c r="H1111" s="274">
        <f>0.03+0.03</f>
        <v>0.06</v>
      </c>
      <c r="I1111" s="274"/>
      <c r="J1111" s="456">
        <f t="shared" si="30"/>
        <v>8.3999999999999991E-2</v>
      </c>
      <c r="K1111" s="583"/>
      <c r="L1111" s="268" t="s">
        <v>719</v>
      </c>
      <c r="M1111" s="268" t="s">
        <v>2631</v>
      </c>
      <c r="N1111" s="278">
        <f>IFERROR(INDEX('Data Lokasi'!S:S,MATCH('Input Real Tanam&amp;Petik Nanas'!C1111,'Data Lokasi'!C:C,0)),"")</f>
        <v>44536</v>
      </c>
      <c r="O1111" s="278"/>
      <c r="P1111" s="283">
        <f>IFERROR(INDEX('Data Lokasi'!V:V,MATCH(C1111,'Data Lokasi'!C:C,0)),"")</f>
        <v>0</v>
      </c>
      <c r="Q1111" s="304">
        <f t="shared" si="31"/>
        <v>0</v>
      </c>
      <c r="R1111" s="308">
        <v>2</v>
      </c>
    </row>
    <row r="1112" spans="2:18" ht="15" hidden="1" thickTop="1">
      <c r="B1112" s="269">
        <v>46244</v>
      </c>
      <c r="C1112" s="268" t="s">
        <v>517</v>
      </c>
      <c r="D1112" s="274">
        <f>IFERROR(VLOOKUP(C1112,'Data Lokasi'!C:D,2,0),"")</f>
        <v>3.59</v>
      </c>
      <c r="E1112" s="274" t="s">
        <v>2643</v>
      </c>
      <c r="F1112" s="274"/>
      <c r="G1112" s="274">
        <f>0.02+0.003</f>
        <v>2.3E-2</v>
      </c>
      <c r="H1112" s="274">
        <f>0.02+0.02</f>
        <v>0.04</v>
      </c>
      <c r="I1112" s="274"/>
      <c r="J1112" s="456">
        <f t="shared" si="30"/>
        <v>6.3E-2</v>
      </c>
      <c r="K1112" s="583"/>
      <c r="L1112" s="268" t="s">
        <v>719</v>
      </c>
      <c r="M1112" s="268" t="s">
        <v>2631</v>
      </c>
      <c r="N1112" s="278">
        <f>IFERROR(INDEX('Data Lokasi'!S:S,MATCH('Input Real Tanam&amp;Petik Nanas'!C1112,'Data Lokasi'!C:C,0)),"")</f>
        <v>44615</v>
      </c>
      <c r="O1112" s="278"/>
      <c r="P1112" s="283">
        <f>IFERROR(INDEX('Data Lokasi'!V:V,MATCH(C1112,'Data Lokasi'!C:C,0)),"")</f>
        <v>0</v>
      </c>
      <c r="Q1112" s="304">
        <f t="shared" si="31"/>
        <v>0</v>
      </c>
      <c r="R1112" s="308">
        <v>1</v>
      </c>
    </row>
    <row r="1113" spans="2:18" ht="15" hidden="1" thickTop="1">
      <c r="B1113" s="269">
        <v>46244</v>
      </c>
      <c r="C1113" s="268" t="s">
        <v>157</v>
      </c>
      <c r="D1113" s="274">
        <f>IFERROR(VLOOKUP(C1113,'Data Lokasi'!C:D,2,0),"")</f>
        <v>7.15</v>
      </c>
      <c r="E1113" s="274" t="s">
        <v>2643</v>
      </c>
      <c r="F1113" s="274"/>
      <c r="G1113" s="274"/>
      <c r="H1113" s="274"/>
      <c r="I1113" s="274">
        <v>0.96</v>
      </c>
      <c r="J1113" s="456">
        <f t="shared" si="30"/>
        <v>0.96</v>
      </c>
      <c r="K1113" s="583"/>
      <c r="L1113" s="268" t="s">
        <v>2625</v>
      </c>
      <c r="M1113" s="268" t="s">
        <v>2631</v>
      </c>
      <c r="N1113" s="278">
        <f>IFERROR(INDEX('Data Lokasi'!S:S,MATCH('Input Real Tanam&amp;Petik Nanas'!C1113,'Data Lokasi'!C:C,0)),"")</f>
        <v>44104</v>
      </c>
      <c r="O1113" s="278"/>
      <c r="P1113" s="283">
        <f>IFERROR(INDEX('Data Lokasi'!V:V,MATCH(C1113,'Data Lokasi'!C:C,0)),"")</f>
        <v>0</v>
      </c>
      <c r="Q1113" s="304">
        <f t="shared" si="31"/>
        <v>0</v>
      </c>
      <c r="R1113" s="308"/>
    </row>
    <row r="1114" spans="2:18" ht="15" hidden="1" thickTop="1">
      <c r="B1114" s="269">
        <v>46244</v>
      </c>
      <c r="C1114" s="268" t="s">
        <v>2536</v>
      </c>
      <c r="D1114" s="274">
        <f>IFERROR(VLOOKUP(C1114,'Data Lokasi'!C:D,2,0),"")</f>
        <v>8.68</v>
      </c>
      <c r="E1114" s="274" t="s">
        <v>2643</v>
      </c>
      <c r="F1114" s="274"/>
      <c r="G1114" s="274"/>
      <c r="H1114" s="274"/>
      <c r="I1114" s="274">
        <v>1.41</v>
      </c>
      <c r="J1114" s="456">
        <f t="shared" si="30"/>
        <v>1.41</v>
      </c>
      <c r="K1114" s="583"/>
      <c r="L1114" s="268" t="s">
        <v>2625</v>
      </c>
      <c r="M1114" s="268" t="s">
        <v>2631</v>
      </c>
      <c r="N1114" s="278">
        <f>IFERROR(INDEX('Data Lokasi'!S:S,MATCH('Input Real Tanam&amp;Petik Nanas'!C1114,'Data Lokasi'!C:C,0)),"")</f>
        <v>45356</v>
      </c>
      <c r="O1114" s="278"/>
      <c r="P1114" s="283">
        <f>IFERROR(INDEX('Data Lokasi'!V:V,MATCH(C1114,'Data Lokasi'!C:C,0)),"")</f>
        <v>0</v>
      </c>
      <c r="Q1114" s="304">
        <f t="shared" si="31"/>
        <v>0</v>
      </c>
      <c r="R1114" s="308"/>
    </row>
    <row r="1115" spans="2:18" ht="15" hidden="1" thickTop="1">
      <c r="B1115" s="269">
        <v>46244</v>
      </c>
      <c r="C1115" s="268" t="s">
        <v>425</v>
      </c>
      <c r="D1115" s="274">
        <f>IFERROR(VLOOKUP(C1115,'Data Lokasi'!C:D,2,0),"")</f>
        <v>8.85</v>
      </c>
      <c r="E1115" s="274" t="s">
        <v>2643</v>
      </c>
      <c r="F1115" s="274"/>
      <c r="G1115" s="274">
        <f>0.006+0.004</f>
        <v>0.01</v>
      </c>
      <c r="H1115" s="274">
        <f>0.004+0.002</f>
        <v>6.0000000000000001E-3</v>
      </c>
      <c r="I1115" s="274"/>
      <c r="J1115" s="456">
        <f t="shared" si="30"/>
        <v>1.6E-2</v>
      </c>
      <c r="K1115" s="583"/>
      <c r="L1115" s="268" t="s">
        <v>719</v>
      </c>
      <c r="M1115" s="268" t="s">
        <v>2631</v>
      </c>
      <c r="N1115" s="278">
        <f>IFERROR(INDEX('Data Lokasi'!S:S,MATCH('Input Real Tanam&amp;Petik Nanas'!C1115,'Data Lokasi'!C:C,0)),"")</f>
        <v>44389</v>
      </c>
      <c r="O1115" s="278"/>
      <c r="P1115" s="283">
        <f>IFERROR(INDEX('Data Lokasi'!V:V,MATCH(C1115,'Data Lokasi'!C:C,0)),"")</f>
        <v>0</v>
      </c>
      <c r="Q1115" s="304">
        <f t="shared" si="31"/>
        <v>0</v>
      </c>
      <c r="R1115" s="308">
        <v>4</v>
      </c>
    </row>
    <row r="1116" spans="2:18" ht="15" hidden="1" thickTop="1">
      <c r="B1116" s="269">
        <v>46244</v>
      </c>
      <c r="C1116" s="268" t="s">
        <v>488</v>
      </c>
      <c r="D1116" s="274">
        <f>IFERROR(VLOOKUP(C1116,'Data Lokasi'!C:D,2,0),"")</f>
        <v>11.2</v>
      </c>
      <c r="E1116" s="274" t="s">
        <v>2643</v>
      </c>
      <c r="F1116" s="274"/>
      <c r="G1116" s="274">
        <v>0.01</v>
      </c>
      <c r="H1116" s="274">
        <f>0.15+0.3</f>
        <v>0.44999999999999996</v>
      </c>
      <c r="I1116" s="274"/>
      <c r="J1116" s="456">
        <f t="shared" si="30"/>
        <v>0.45999999999999996</v>
      </c>
      <c r="K1116" s="583"/>
      <c r="L1116" s="268" t="s">
        <v>719</v>
      </c>
      <c r="M1116" s="268" t="s">
        <v>2634</v>
      </c>
      <c r="N1116" s="278">
        <f>IFERROR(INDEX('Data Lokasi'!S:S,MATCH('Input Real Tanam&amp;Petik Nanas'!C1116,'Data Lokasi'!C:C,0)),"")</f>
        <v>44529</v>
      </c>
      <c r="O1116" s="278"/>
      <c r="P1116" s="283">
        <f>IFERROR(INDEX('Data Lokasi'!V:V,MATCH(C1116,'Data Lokasi'!C:C,0)),"")</f>
        <v>0</v>
      </c>
      <c r="Q1116" s="304">
        <f t="shared" si="31"/>
        <v>0</v>
      </c>
      <c r="R1116" s="308">
        <v>2</v>
      </c>
    </row>
    <row r="1117" spans="2:18" ht="15" hidden="1" thickTop="1">
      <c r="B1117" s="269">
        <v>46244</v>
      </c>
      <c r="C1117" s="268" t="s">
        <v>564</v>
      </c>
      <c r="D1117" s="274">
        <f>IFERROR(VLOOKUP(C1117,'Data Lokasi'!C:D,2,0),"")</f>
        <v>7.22</v>
      </c>
      <c r="E1117" s="274" t="s">
        <v>2643</v>
      </c>
      <c r="F1117" s="274"/>
      <c r="G1117" s="274"/>
      <c r="H1117" s="274"/>
      <c r="I1117" s="274">
        <v>0.85</v>
      </c>
      <c r="J1117" s="456">
        <f t="shared" si="30"/>
        <v>0.85</v>
      </c>
      <c r="K1117" s="583"/>
      <c r="L1117" s="268" t="s">
        <v>2625</v>
      </c>
      <c r="M1117" s="268" t="s">
        <v>2631</v>
      </c>
      <c r="N1117" s="278">
        <f>IFERROR(INDEX('Data Lokasi'!S:S,MATCH('Input Real Tanam&amp;Petik Nanas'!C1117,'Data Lokasi'!C:C,0)),"")</f>
        <v>44667</v>
      </c>
      <c r="O1117" s="278"/>
      <c r="P1117" s="283">
        <f>IFERROR(INDEX('Data Lokasi'!V:V,MATCH(C1117,'Data Lokasi'!C:C,0)),"")</f>
        <v>0</v>
      </c>
      <c r="Q1117" s="304">
        <f t="shared" si="31"/>
        <v>0</v>
      </c>
      <c r="R1117" s="308"/>
    </row>
    <row r="1118" spans="2:18" ht="15" hidden="1" thickTop="1">
      <c r="B1118" s="269">
        <v>46244</v>
      </c>
      <c r="C1118" s="268" t="s">
        <v>140</v>
      </c>
      <c r="D1118" s="274">
        <f>IFERROR(VLOOKUP(C1118,'Data Lokasi'!C:D,2,0),"")</f>
        <v>4.53</v>
      </c>
      <c r="E1118" s="274" t="s">
        <v>2643</v>
      </c>
      <c r="F1118" s="274"/>
      <c r="G1118" s="274"/>
      <c r="H1118" s="274"/>
      <c r="I1118" s="274">
        <v>1.63</v>
      </c>
      <c r="J1118" s="456">
        <f t="shared" si="30"/>
        <v>1.63</v>
      </c>
      <c r="K1118" s="583"/>
      <c r="L1118" s="268" t="s">
        <v>2625</v>
      </c>
      <c r="M1118" s="268" t="s">
        <v>2631</v>
      </c>
      <c r="N1118" s="278">
        <f>IFERROR(INDEX('Data Lokasi'!S:S,MATCH('Input Real Tanam&amp;Petik Nanas'!C1118,'Data Lokasi'!C:C,0)),"")</f>
        <v>0</v>
      </c>
      <c r="O1118" s="278"/>
      <c r="P1118" s="283">
        <f>IFERROR(INDEX('Data Lokasi'!V:V,MATCH(C1118,'Data Lokasi'!C:C,0)),"")</f>
        <v>0</v>
      </c>
      <c r="Q1118" s="304">
        <f t="shared" si="31"/>
        <v>0</v>
      </c>
      <c r="R1118" s="308"/>
    </row>
    <row r="1119" spans="2:18" ht="15" hidden="1" thickTop="1">
      <c r="B1119" s="269">
        <v>46245</v>
      </c>
      <c r="C1119" s="268" t="s">
        <v>488</v>
      </c>
      <c r="D1119" s="274">
        <f>IFERROR(VLOOKUP(C1119,'Data Lokasi'!C:D,2,0),"")</f>
        <v>11.2</v>
      </c>
      <c r="E1119" s="274" t="s">
        <v>2643</v>
      </c>
      <c r="F1119" s="274"/>
      <c r="G1119" s="274">
        <v>0.03</v>
      </c>
      <c r="H1119" s="274">
        <f>0.19+0.37</f>
        <v>0.56000000000000005</v>
      </c>
      <c r="I1119" s="274"/>
      <c r="J1119" s="456">
        <f t="shared" si="30"/>
        <v>0.59000000000000008</v>
      </c>
      <c r="K1119" s="583"/>
      <c r="L1119" s="268" t="s">
        <v>719</v>
      </c>
      <c r="M1119" s="268" t="s">
        <v>2634</v>
      </c>
      <c r="N1119" s="278">
        <f>IFERROR(INDEX('Data Lokasi'!S:S,MATCH('Input Real Tanam&amp;Petik Nanas'!C1119,'Data Lokasi'!C:C,0)),"")</f>
        <v>44529</v>
      </c>
      <c r="O1119" s="278"/>
      <c r="P1119" s="283">
        <f>IFERROR(INDEX('Data Lokasi'!V:V,MATCH(C1119,'Data Lokasi'!C:C,0)),"")</f>
        <v>0</v>
      </c>
      <c r="Q1119" s="304">
        <f t="shared" si="31"/>
        <v>0</v>
      </c>
      <c r="R1119" s="308">
        <v>2</v>
      </c>
    </row>
    <row r="1120" spans="2:18" ht="15" hidden="1" thickTop="1">
      <c r="B1120" s="269">
        <v>46245</v>
      </c>
      <c r="C1120" s="268" t="s">
        <v>337</v>
      </c>
      <c r="D1120" s="274">
        <f>IFERROR(VLOOKUP(C1120,'Data Lokasi'!C:D,2,0),"")</f>
        <v>9.17</v>
      </c>
      <c r="E1120" s="274" t="s">
        <v>2643</v>
      </c>
      <c r="F1120" s="274"/>
      <c r="G1120" s="274"/>
      <c r="H1120" s="274">
        <f>0.01+0.03</f>
        <v>0.04</v>
      </c>
      <c r="I1120" s="274">
        <f>0.12+0.21</f>
        <v>0.32999999999999996</v>
      </c>
      <c r="J1120" s="456">
        <f t="shared" si="30"/>
        <v>0.36999999999999994</v>
      </c>
      <c r="K1120" s="583"/>
      <c r="L1120" s="268" t="s">
        <v>719</v>
      </c>
      <c r="M1120" s="268" t="s">
        <v>2631</v>
      </c>
      <c r="N1120" s="278">
        <f>IFERROR(INDEX('Data Lokasi'!S:S,MATCH('Input Real Tanam&amp;Petik Nanas'!C1120,'Data Lokasi'!C:C,0)),"")</f>
        <v>44250</v>
      </c>
      <c r="O1120" s="278"/>
      <c r="P1120" s="283">
        <f>IFERROR(INDEX('Data Lokasi'!V:V,MATCH(C1120,'Data Lokasi'!C:C,0)),"")</f>
        <v>0</v>
      </c>
      <c r="Q1120" s="304">
        <f t="shared" si="31"/>
        <v>0</v>
      </c>
      <c r="R1120" s="308">
        <v>6</v>
      </c>
    </row>
    <row r="1121" spans="2:18" ht="15" hidden="1" thickTop="1">
      <c r="B1121" s="269">
        <v>46245</v>
      </c>
      <c r="C1121" s="268" t="s">
        <v>133</v>
      </c>
      <c r="D1121" s="274">
        <f>IFERROR(VLOOKUP(C1121,'Data Lokasi'!C:D,2,0),"")</f>
        <v>7.38</v>
      </c>
      <c r="E1121" s="274" t="s">
        <v>2643</v>
      </c>
      <c r="F1121" s="274"/>
      <c r="G1121" s="274"/>
      <c r="H1121" s="274"/>
      <c r="I1121" s="274">
        <v>0.46</v>
      </c>
      <c r="J1121" s="456">
        <f t="shared" si="30"/>
        <v>0.46</v>
      </c>
      <c r="K1121" s="583"/>
      <c r="L1121" s="268" t="s">
        <v>2625</v>
      </c>
      <c r="M1121" s="268" t="s">
        <v>2631</v>
      </c>
      <c r="N1121" s="278">
        <f>IFERROR(INDEX('Data Lokasi'!S:S,MATCH('Input Real Tanam&amp;Petik Nanas'!C1121,'Data Lokasi'!C:C,0)),"")</f>
        <v>45295</v>
      </c>
      <c r="O1121" s="278"/>
      <c r="P1121" s="283">
        <f>IFERROR(INDEX('Data Lokasi'!V:V,MATCH(C1121,'Data Lokasi'!C:C,0)),"")</f>
        <v>0</v>
      </c>
      <c r="Q1121" s="304">
        <f t="shared" si="31"/>
        <v>0</v>
      </c>
      <c r="R1121" s="308"/>
    </row>
    <row r="1122" spans="2:18" ht="15" hidden="1" thickTop="1">
      <c r="B1122" s="269">
        <v>46245</v>
      </c>
      <c r="C1122" s="268" t="s">
        <v>492</v>
      </c>
      <c r="D1122" s="274">
        <f>IFERROR(VLOOKUP(C1122,'Data Lokasi'!C:D,2,0),"")</f>
        <v>9.2100000000000009</v>
      </c>
      <c r="E1122" s="274" t="s">
        <v>2643</v>
      </c>
      <c r="F1122" s="274"/>
      <c r="G1122" s="274">
        <f>0.004+0.06</f>
        <v>6.4000000000000001E-2</v>
      </c>
      <c r="H1122" s="274">
        <f>0.04+0.002</f>
        <v>4.2000000000000003E-2</v>
      </c>
      <c r="I1122" s="274"/>
      <c r="J1122" s="456">
        <f t="shared" si="30"/>
        <v>0.10600000000000001</v>
      </c>
      <c r="K1122" s="583"/>
      <c r="L1122" s="268" t="s">
        <v>719</v>
      </c>
      <c r="M1122" s="268" t="s">
        <v>2631</v>
      </c>
      <c r="N1122" s="278">
        <f>IFERROR(INDEX('Data Lokasi'!S:S,MATCH('Input Real Tanam&amp;Petik Nanas'!C1122,'Data Lokasi'!C:C,0)),"")</f>
        <v>44536</v>
      </c>
      <c r="O1122" s="278"/>
      <c r="P1122" s="283">
        <f>IFERROR(INDEX('Data Lokasi'!V:V,MATCH(C1122,'Data Lokasi'!C:C,0)),"")</f>
        <v>0</v>
      </c>
      <c r="Q1122" s="304">
        <f t="shared" si="31"/>
        <v>0</v>
      </c>
      <c r="R1122" s="308">
        <v>2</v>
      </c>
    </row>
    <row r="1123" spans="2:18" ht="15" hidden="1" thickTop="1">
      <c r="B1123" s="269">
        <v>46245</v>
      </c>
      <c r="C1123" s="268" t="s">
        <v>133</v>
      </c>
      <c r="D1123" s="274">
        <f>IFERROR(VLOOKUP(C1123,'Data Lokasi'!C:D,2,0),"")</f>
        <v>7.38</v>
      </c>
      <c r="E1123" s="274" t="s">
        <v>2643</v>
      </c>
      <c r="F1123" s="274"/>
      <c r="G1123" s="274"/>
      <c r="H1123" s="274"/>
      <c r="I1123" s="274">
        <v>0.87</v>
      </c>
      <c r="J1123" s="456">
        <f t="shared" si="30"/>
        <v>0.87</v>
      </c>
      <c r="K1123" s="583"/>
      <c r="L1123" s="268" t="s">
        <v>2625</v>
      </c>
      <c r="M1123" s="268" t="s">
        <v>2631</v>
      </c>
      <c r="N1123" s="278">
        <f>IFERROR(INDEX('Data Lokasi'!S:S,MATCH('Input Real Tanam&amp;Petik Nanas'!C1123,'Data Lokasi'!C:C,0)),"")</f>
        <v>45295</v>
      </c>
      <c r="O1123" s="278"/>
      <c r="P1123" s="283">
        <f>IFERROR(INDEX('Data Lokasi'!V:V,MATCH(C1123,'Data Lokasi'!C:C,0)),"")</f>
        <v>0</v>
      </c>
      <c r="Q1123" s="304">
        <f t="shared" si="31"/>
        <v>0</v>
      </c>
      <c r="R1123" s="308"/>
    </row>
    <row r="1124" spans="2:18" ht="15" hidden="1" thickTop="1">
      <c r="B1124" s="269">
        <v>46245</v>
      </c>
      <c r="C1124" s="268" t="s">
        <v>2536</v>
      </c>
      <c r="D1124" s="274">
        <f>IFERROR(VLOOKUP(C1124,'Data Lokasi'!C:D,2,0),"")</f>
        <v>8.68</v>
      </c>
      <c r="E1124" s="274" t="s">
        <v>2643</v>
      </c>
      <c r="F1124" s="274"/>
      <c r="G1124" s="274"/>
      <c r="H1124" s="274"/>
      <c r="I1124" s="274">
        <v>0.87</v>
      </c>
      <c r="J1124" s="456">
        <f t="shared" si="30"/>
        <v>0.87</v>
      </c>
      <c r="K1124" s="583"/>
      <c r="L1124" s="268" t="s">
        <v>2625</v>
      </c>
      <c r="M1124" s="268" t="s">
        <v>2631</v>
      </c>
      <c r="N1124" s="278">
        <f>IFERROR(INDEX('Data Lokasi'!S:S,MATCH('Input Real Tanam&amp;Petik Nanas'!C1124,'Data Lokasi'!C:C,0)),"")</f>
        <v>45356</v>
      </c>
      <c r="O1124" s="278"/>
      <c r="P1124" s="283">
        <f>IFERROR(INDEX('Data Lokasi'!V:V,MATCH(C1124,'Data Lokasi'!C:C,0)),"")</f>
        <v>0</v>
      </c>
      <c r="Q1124" s="304">
        <f t="shared" si="31"/>
        <v>0</v>
      </c>
      <c r="R1124" s="308"/>
    </row>
    <row r="1125" spans="2:18" ht="15" hidden="1" thickTop="1">
      <c r="B1125" s="269">
        <v>46245</v>
      </c>
      <c r="C1125" s="268" t="s">
        <v>270</v>
      </c>
      <c r="D1125" s="274">
        <f>IFERROR(VLOOKUP(C1125,'Data Lokasi'!C:D,2,0),"")</f>
        <v>6.13</v>
      </c>
      <c r="E1125" s="274" t="s">
        <v>2642</v>
      </c>
      <c r="F1125" s="274"/>
      <c r="G1125" s="274"/>
      <c r="H1125" s="274"/>
      <c r="I1125" s="274">
        <v>0.41</v>
      </c>
      <c r="J1125" s="456">
        <f t="shared" si="30"/>
        <v>0.41</v>
      </c>
      <c r="K1125" s="583"/>
      <c r="L1125" s="268" t="s">
        <v>2625</v>
      </c>
      <c r="M1125" s="268" t="s">
        <v>2631</v>
      </c>
      <c r="N1125" s="278">
        <f>IFERROR(INDEX('Data Lokasi'!S:S,MATCH('Input Real Tanam&amp;Petik Nanas'!C1125,'Data Lokasi'!C:C,0)),"")</f>
        <v>44086</v>
      </c>
      <c r="O1125" s="278"/>
      <c r="P1125" s="283">
        <f>IFERROR(INDEX('Data Lokasi'!V:V,MATCH(C1125,'Data Lokasi'!C:C,0)),"")</f>
        <v>0</v>
      </c>
      <c r="Q1125" s="304">
        <f t="shared" si="31"/>
        <v>0</v>
      </c>
      <c r="R1125" s="308"/>
    </row>
    <row r="1126" spans="2:18" ht="15" hidden="1" thickTop="1">
      <c r="B1126" s="269">
        <v>46245</v>
      </c>
      <c r="C1126" s="268" t="s">
        <v>110</v>
      </c>
      <c r="D1126" s="274">
        <f>IFERROR(VLOOKUP(C1126,'Data Lokasi'!C:D,2,0),"")</f>
        <v>9</v>
      </c>
      <c r="E1126" s="274" t="s">
        <v>2642</v>
      </c>
      <c r="F1126" s="274"/>
      <c r="G1126" s="274"/>
      <c r="H1126" s="274"/>
      <c r="I1126" s="274">
        <v>0.26</v>
      </c>
      <c r="J1126" s="456">
        <f t="shared" si="30"/>
        <v>0.26</v>
      </c>
      <c r="K1126" s="583"/>
      <c r="L1126" s="268" t="s">
        <v>2625</v>
      </c>
      <c r="M1126" s="268" t="s">
        <v>2631</v>
      </c>
      <c r="N1126" s="278">
        <f>IFERROR(INDEX('Data Lokasi'!S:S,MATCH('Input Real Tanam&amp;Petik Nanas'!C1126,'Data Lokasi'!C:C,0)),"")</f>
        <v>44193</v>
      </c>
      <c r="O1126" s="278"/>
      <c r="P1126" s="283">
        <f>IFERROR(INDEX('Data Lokasi'!V:V,MATCH(C1126,'Data Lokasi'!C:C,0)),"")</f>
        <v>0</v>
      </c>
      <c r="Q1126" s="304">
        <f t="shared" si="31"/>
        <v>0</v>
      </c>
      <c r="R1126" s="308"/>
    </row>
    <row r="1127" spans="2:18" ht="15" hidden="1" thickTop="1">
      <c r="B1127" s="269">
        <v>46245</v>
      </c>
      <c r="C1127" s="268" t="s">
        <v>705</v>
      </c>
      <c r="D1127" s="274">
        <f>IFERROR(VLOOKUP(C1127,'Data Lokasi'!C:D,2,0),"")</f>
        <v>7.67</v>
      </c>
      <c r="E1127" s="274" t="s">
        <v>2642</v>
      </c>
      <c r="F1127" s="274"/>
      <c r="G1127" s="274"/>
      <c r="H1127" s="274"/>
      <c r="I1127" s="274">
        <v>0.16</v>
      </c>
      <c r="J1127" s="456">
        <f t="shared" si="30"/>
        <v>0.16</v>
      </c>
      <c r="K1127" s="583"/>
      <c r="L1127" s="268" t="s">
        <v>2625</v>
      </c>
      <c r="M1127" s="268" t="s">
        <v>2631</v>
      </c>
      <c r="N1127" s="278">
        <f>IFERROR(INDEX('Data Lokasi'!S:S,MATCH('Input Real Tanam&amp;Petik Nanas'!C1127,'Data Lokasi'!C:C,0)),"")</f>
        <v>45202</v>
      </c>
      <c r="O1127" s="278"/>
      <c r="P1127" s="283">
        <f>IFERROR(INDEX('Data Lokasi'!V:V,MATCH(C1127,'Data Lokasi'!C:C,0)),"")</f>
        <v>0</v>
      </c>
      <c r="Q1127" s="304">
        <f t="shared" si="31"/>
        <v>0</v>
      </c>
      <c r="R1127" s="308"/>
    </row>
    <row r="1128" spans="2:18" ht="15" hidden="1" thickTop="1">
      <c r="B1128" s="269">
        <v>46245</v>
      </c>
      <c r="C1128" s="268" t="s">
        <v>704</v>
      </c>
      <c r="D1128" s="274">
        <f>IFERROR(VLOOKUP(C1128,'Data Lokasi'!C:D,2,0),"")</f>
        <v>6.38</v>
      </c>
      <c r="E1128" s="274" t="s">
        <v>2642</v>
      </c>
      <c r="F1128" s="274"/>
      <c r="G1128" s="274"/>
      <c r="H1128" s="274"/>
      <c r="I1128" s="274">
        <v>0.12</v>
      </c>
      <c r="J1128" s="456">
        <f t="shared" si="30"/>
        <v>0.12</v>
      </c>
      <c r="K1128" s="583"/>
      <c r="L1128" s="268" t="s">
        <v>2625</v>
      </c>
      <c r="M1128" s="268" t="s">
        <v>2631</v>
      </c>
      <c r="N1128" s="278">
        <f>IFERROR(INDEX('Data Lokasi'!S:S,MATCH('Input Real Tanam&amp;Petik Nanas'!C1128,'Data Lokasi'!C:C,0)),"")</f>
        <v>45199</v>
      </c>
      <c r="O1128" s="278"/>
      <c r="P1128" s="283">
        <f>IFERROR(INDEX('Data Lokasi'!V:V,MATCH(C1128,'Data Lokasi'!C:C,0)),"")</f>
        <v>0</v>
      </c>
      <c r="Q1128" s="304">
        <f t="shared" si="31"/>
        <v>0</v>
      </c>
      <c r="R1128" s="308"/>
    </row>
    <row r="1129" spans="2:18" ht="15" hidden="1" thickTop="1">
      <c r="B1129" s="269">
        <v>46245</v>
      </c>
      <c r="C1129" s="268" t="s">
        <v>710</v>
      </c>
      <c r="D1129" s="274">
        <f>IFERROR(VLOOKUP(C1129,'Data Lokasi'!C:D,2,0),"")</f>
        <v>8.3699999999999992</v>
      </c>
      <c r="E1129" s="274" t="s">
        <v>2642</v>
      </c>
      <c r="F1129" s="274"/>
      <c r="G1129" s="274"/>
      <c r="H1129" s="274"/>
      <c r="I1129" s="274">
        <v>0.94</v>
      </c>
      <c r="J1129" s="456">
        <f t="shared" si="30"/>
        <v>0.94</v>
      </c>
      <c r="K1129" s="583"/>
      <c r="L1129" s="268" t="s">
        <v>2625</v>
      </c>
      <c r="M1129" s="268" t="s">
        <v>2631</v>
      </c>
      <c r="N1129" s="278">
        <f>IFERROR(INDEX('Data Lokasi'!S:S,MATCH('Input Real Tanam&amp;Petik Nanas'!C1129,'Data Lokasi'!C:C,0)),"")</f>
        <v>45246</v>
      </c>
      <c r="O1129" s="278"/>
      <c r="P1129" s="283">
        <f>IFERROR(INDEX('Data Lokasi'!V:V,MATCH(C1129,'Data Lokasi'!C:C,0)),"")</f>
        <v>0</v>
      </c>
      <c r="Q1129" s="304">
        <f t="shared" si="31"/>
        <v>0</v>
      </c>
      <c r="R1129" s="308"/>
    </row>
    <row r="1130" spans="2:18" ht="15" hidden="1" thickTop="1">
      <c r="B1130" s="269">
        <v>46245</v>
      </c>
      <c r="C1130" s="268" t="s">
        <v>126</v>
      </c>
      <c r="D1130" s="274">
        <f>IFERROR(VLOOKUP(C1130,'Data Lokasi'!C:D,2,0),"")</f>
        <v>6.39</v>
      </c>
      <c r="E1130" s="274" t="s">
        <v>2642</v>
      </c>
      <c r="F1130" s="274"/>
      <c r="G1130" s="274"/>
      <c r="H1130" s="274"/>
      <c r="I1130" s="274">
        <v>0.15</v>
      </c>
      <c r="J1130" s="456">
        <f t="shared" si="30"/>
        <v>0.15</v>
      </c>
      <c r="K1130" s="583"/>
      <c r="L1130" s="268" t="s">
        <v>2625</v>
      </c>
      <c r="M1130" s="268" t="s">
        <v>2631</v>
      </c>
      <c r="N1130" s="278">
        <f>IFERROR(INDEX('Data Lokasi'!S:S,MATCH('Input Real Tanam&amp;Petik Nanas'!C1130,'Data Lokasi'!C:C,0)),"")</f>
        <v>44207</v>
      </c>
      <c r="O1130" s="278"/>
      <c r="P1130" s="283">
        <f>IFERROR(INDEX('Data Lokasi'!V:V,MATCH(C1130,'Data Lokasi'!C:C,0)),"")</f>
        <v>0</v>
      </c>
      <c r="Q1130" s="304">
        <f t="shared" si="31"/>
        <v>0</v>
      </c>
      <c r="R1130" s="308"/>
    </row>
    <row r="1131" spans="2:18" ht="15" hidden="1" thickTop="1">
      <c r="B1131" s="269">
        <v>46245</v>
      </c>
      <c r="C1131" s="268" t="s">
        <v>695</v>
      </c>
      <c r="D1131" s="274">
        <f>IFERROR(VLOOKUP(C1131,'Data Lokasi'!C:D,2,0),"")</f>
        <v>5</v>
      </c>
      <c r="E1131" s="274" t="s">
        <v>2642</v>
      </c>
      <c r="F1131" s="274"/>
      <c r="G1131" s="274"/>
      <c r="H1131" s="274"/>
      <c r="I1131" s="274">
        <v>0.16</v>
      </c>
      <c r="J1131" s="456">
        <f t="shared" si="30"/>
        <v>0.16</v>
      </c>
      <c r="K1131" s="583"/>
      <c r="L1131" s="268" t="s">
        <v>2625</v>
      </c>
      <c r="M1131" s="268" t="s">
        <v>2631</v>
      </c>
      <c r="N1131" s="278">
        <f>IFERROR(INDEX('Data Lokasi'!S:S,MATCH('Input Real Tanam&amp;Petik Nanas'!C1131,'Data Lokasi'!C:C,0)),"")</f>
        <v>45117</v>
      </c>
      <c r="O1131" s="278"/>
      <c r="P1131" s="283">
        <f>IFERROR(INDEX('Data Lokasi'!V:V,MATCH(C1131,'Data Lokasi'!C:C,0)),"")</f>
        <v>0</v>
      </c>
      <c r="Q1131" s="304">
        <f t="shared" si="31"/>
        <v>0</v>
      </c>
      <c r="R1131" s="308"/>
    </row>
    <row r="1132" spans="2:18" ht="15" hidden="1" thickTop="1">
      <c r="B1132" s="269">
        <v>46245</v>
      </c>
      <c r="C1132" s="268" t="s">
        <v>692</v>
      </c>
      <c r="D1132" s="274">
        <f>IFERROR(VLOOKUP(C1132,'Data Lokasi'!C:D,2,0),"")</f>
        <v>3.93</v>
      </c>
      <c r="E1132" s="274" t="s">
        <v>2642</v>
      </c>
      <c r="F1132" s="274"/>
      <c r="G1132" s="274"/>
      <c r="H1132" s="274"/>
      <c r="I1132" s="274">
        <v>0.37</v>
      </c>
      <c r="J1132" s="456">
        <f t="shared" si="30"/>
        <v>0.37</v>
      </c>
      <c r="K1132" s="583"/>
      <c r="L1132" s="268" t="s">
        <v>2625</v>
      </c>
      <c r="M1132" s="268" t="s">
        <v>2631</v>
      </c>
      <c r="N1132" s="278">
        <f>IFERROR(INDEX('Data Lokasi'!S:S,MATCH('Input Real Tanam&amp;Petik Nanas'!C1132,'Data Lokasi'!C:C,0)),"")</f>
        <v>45111</v>
      </c>
      <c r="O1132" s="278"/>
      <c r="P1132" s="283">
        <f>IFERROR(INDEX('Data Lokasi'!V:V,MATCH(C1132,'Data Lokasi'!C:C,0)),"")</f>
        <v>0</v>
      </c>
      <c r="Q1132" s="304">
        <f t="shared" si="31"/>
        <v>0</v>
      </c>
      <c r="R1132" s="308"/>
    </row>
    <row r="1133" spans="2:18" ht="15" hidden="1" thickTop="1">
      <c r="B1133" s="269">
        <v>46245</v>
      </c>
      <c r="C1133" s="268" t="s">
        <v>2647</v>
      </c>
      <c r="D1133" s="274">
        <f>IFERROR(VLOOKUP(C1133,'Data Lokasi'!C:D,2,0),"")</f>
        <v>6.12</v>
      </c>
      <c r="E1133" s="274" t="s">
        <v>2642</v>
      </c>
      <c r="F1133" s="274"/>
      <c r="G1133" s="274">
        <v>0.02</v>
      </c>
      <c r="H1133" s="274"/>
      <c r="I1133" s="274"/>
      <c r="J1133" s="456">
        <f t="shared" si="30"/>
        <v>0.02</v>
      </c>
      <c r="K1133" s="583"/>
      <c r="L1133" s="268" t="s">
        <v>719</v>
      </c>
      <c r="M1133" s="268" t="s">
        <v>2634</v>
      </c>
      <c r="N1133" s="278">
        <f>IFERROR(INDEX('Data Lokasi'!S:S,MATCH('Input Real Tanam&amp;Petik Nanas'!C1133,'Data Lokasi'!C:C,0)),"")</f>
        <v>46237</v>
      </c>
      <c r="O1133" s="278"/>
      <c r="P1133" s="283">
        <f>IFERROR(INDEX('Data Lokasi'!V:V,MATCH(C1133,'Data Lokasi'!C:C,0)),"")</f>
        <v>6.12</v>
      </c>
      <c r="Q1133" s="304">
        <f t="shared" si="31"/>
        <v>1</v>
      </c>
      <c r="R1133" s="308"/>
    </row>
    <row r="1134" spans="2:18" ht="15" hidden="1" thickTop="1">
      <c r="B1134" s="269">
        <v>46245</v>
      </c>
      <c r="C1134" s="268" t="s">
        <v>234</v>
      </c>
      <c r="D1134" s="274">
        <f>IFERROR(VLOOKUP(C1134,'Data Lokasi'!C:D,2,0),"")</f>
        <v>5.85</v>
      </c>
      <c r="E1134" s="274" t="s">
        <v>2642</v>
      </c>
      <c r="F1134" s="274"/>
      <c r="G1134" s="274"/>
      <c r="H1134" s="274"/>
      <c r="I1134" s="274">
        <v>0.05</v>
      </c>
      <c r="J1134" s="456">
        <f t="shared" si="30"/>
        <v>0.05</v>
      </c>
      <c r="K1134" s="583"/>
      <c r="L1134" s="268" t="s">
        <v>2625</v>
      </c>
      <c r="M1134" s="268" t="s">
        <v>2634</v>
      </c>
      <c r="N1134" s="278">
        <f>IFERROR(INDEX('Data Lokasi'!S:S,MATCH('Input Real Tanam&amp;Petik Nanas'!C1134,'Data Lokasi'!C:C,0)),"")</f>
        <v>44038</v>
      </c>
      <c r="O1134" s="278"/>
      <c r="P1134" s="283">
        <f>IFERROR(INDEX('Data Lokasi'!V:V,MATCH(C1134,'Data Lokasi'!C:C,0)),"")</f>
        <v>0</v>
      </c>
      <c r="Q1134" s="304">
        <f t="shared" si="31"/>
        <v>0</v>
      </c>
      <c r="R1134" s="308"/>
    </row>
    <row r="1135" spans="2:18" ht="15" hidden="1" thickTop="1">
      <c r="B1135" s="269">
        <v>46245</v>
      </c>
      <c r="C1135" s="268" t="s">
        <v>2692</v>
      </c>
      <c r="D1135" s="274">
        <f>IFERROR(VLOOKUP(C1135,'Data Lokasi'!C:D,2,0),"")</f>
        <v>8.9600000000000009</v>
      </c>
      <c r="E1135" s="274" t="s">
        <v>2642</v>
      </c>
      <c r="F1135" s="274"/>
      <c r="G1135" s="274"/>
      <c r="H1135" s="274"/>
      <c r="I1135" s="274">
        <v>0.76</v>
      </c>
      <c r="J1135" s="456">
        <f t="shared" si="30"/>
        <v>0.76</v>
      </c>
      <c r="K1135" s="583"/>
      <c r="L1135" s="268" t="s">
        <v>719</v>
      </c>
      <c r="M1135" s="268" t="s">
        <v>2634</v>
      </c>
      <c r="N1135" s="278">
        <f>IFERROR(INDEX('Data Lokasi'!S:S,MATCH('Input Real Tanam&amp;Petik Nanas'!C1135,'Data Lokasi'!C:C,0)),"")</f>
        <v>46238</v>
      </c>
      <c r="O1135" s="278"/>
      <c r="P1135" s="283">
        <f>IFERROR(INDEX('Data Lokasi'!V:V,MATCH(C1135,'Data Lokasi'!C:C,0)),"")</f>
        <v>8.9600000000000009</v>
      </c>
      <c r="Q1135" s="304">
        <f t="shared" si="31"/>
        <v>1</v>
      </c>
      <c r="R1135" s="308"/>
    </row>
    <row r="1136" spans="2:18" ht="15" hidden="1" thickTop="1">
      <c r="B1136" s="269">
        <v>46245</v>
      </c>
      <c r="C1136" s="268" t="s">
        <v>2692</v>
      </c>
      <c r="D1136" s="274">
        <f>IFERROR(VLOOKUP(C1136,'Data Lokasi'!C:D,2,0),"")</f>
        <v>8.9600000000000009</v>
      </c>
      <c r="E1136" s="274" t="s">
        <v>2642</v>
      </c>
      <c r="F1136" s="274"/>
      <c r="G1136" s="274"/>
      <c r="H1136" s="274"/>
      <c r="I1136" s="274">
        <v>0.25</v>
      </c>
      <c r="J1136" s="456">
        <f t="shared" si="30"/>
        <v>0.25</v>
      </c>
      <c r="K1136" s="583"/>
      <c r="L1136" s="268" t="s">
        <v>2625</v>
      </c>
      <c r="M1136" s="268" t="s">
        <v>2634</v>
      </c>
      <c r="N1136" s="278">
        <f>IFERROR(INDEX('Data Lokasi'!S:S,MATCH('Input Real Tanam&amp;Petik Nanas'!C1136,'Data Lokasi'!C:C,0)),"")</f>
        <v>46238</v>
      </c>
      <c r="O1136" s="278"/>
      <c r="P1136" s="283">
        <f>IFERROR(INDEX('Data Lokasi'!V:V,MATCH(C1136,'Data Lokasi'!C:C,0)),"")</f>
        <v>8.9600000000000009</v>
      </c>
      <c r="Q1136" s="304">
        <f t="shared" si="31"/>
        <v>1</v>
      </c>
      <c r="R1136" s="308"/>
    </row>
    <row r="1137" spans="2:18" ht="15" hidden="1" thickTop="1">
      <c r="B1137" s="269">
        <v>46245</v>
      </c>
      <c r="C1137" s="268" t="s">
        <v>692</v>
      </c>
      <c r="D1137" s="274">
        <f>IFERROR(VLOOKUP(C1137,'Data Lokasi'!C:D,2,0),"")</f>
        <v>3.93</v>
      </c>
      <c r="E1137" s="274" t="s">
        <v>2642</v>
      </c>
      <c r="F1137" s="274"/>
      <c r="G1137" s="274"/>
      <c r="H1137" s="274"/>
      <c r="I1137" s="274">
        <v>0.57999999999999996</v>
      </c>
      <c r="J1137" s="456">
        <f t="shared" si="30"/>
        <v>0.57999999999999996</v>
      </c>
      <c r="K1137" s="583"/>
      <c r="L1137" s="268" t="s">
        <v>2625</v>
      </c>
      <c r="M1137" s="268" t="s">
        <v>2634</v>
      </c>
      <c r="N1137" s="278">
        <f>IFERROR(INDEX('Data Lokasi'!S:S,MATCH('Input Real Tanam&amp;Petik Nanas'!C1137,'Data Lokasi'!C:C,0)),"")</f>
        <v>45111</v>
      </c>
      <c r="O1137" s="278"/>
      <c r="P1137" s="283">
        <f>IFERROR(INDEX('Data Lokasi'!V:V,MATCH(C1137,'Data Lokasi'!C:C,0)),"")</f>
        <v>0</v>
      </c>
      <c r="Q1137" s="304">
        <f t="shared" si="31"/>
        <v>0</v>
      </c>
      <c r="R1137" s="308"/>
    </row>
    <row r="1138" spans="2:18" ht="15" hidden="1" thickTop="1">
      <c r="B1138" s="269">
        <v>46245</v>
      </c>
      <c r="C1138" s="268" t="s">
        <v>196</v>
      </c>
      <c r="D1138" s="274">
        <f>IFERROR(VLOOKUP(C1138,'Data Lokasi'!C:D,2,0),"")</f>
        <v>11.7</v>
      </c>
      <c r="E1138" s="274" t="s">
        <v>2642</v>
      </c>
      <c r="F1138" s="274"/>
      <c r="G1138" s="274"/>
      <c r="H1138" s="274"/>
      <c r="I1138" s="274">
        <v>0.08</v>
      </c>
      <c r="J1138" s="456">
        <f t="shared" si="30"/>
        <v>0.08</v>
      </c>
      <c r="K1138" s="583"/>
      <c r="L1138" s="268" t="s">
        <v>2625</v>
      </c>
      <c r="M1138" s="268" t="s">
        <v>2634</v>
      </c>
      <c r="N1138" s="278">
        <f>IFERROR(INDEX('Data Lokasi'!S:S,MATCH('Input Real Tanam&amp;Petik Nanas'!C1138,'Data Lokasi'!C:C,0)),"")</f>
        <v>43948</v>
      </c>
      <c r="O1138" s="278"/>
      <c r="P1138" s="283">
        <f>IFERROR(INDEX('Data Lokasi'!V:V,MATCH(C1138,'Data Lokasi'!C:C,0)),"")</f>
        <v>0</v>
      </c>
      <c r="Q1138" s="304">
        <f t="shared" si="31"/>
        <v>0</v>
      </c>
      <c r="R1138" s="308"/>
    </row>
    <row r="1139" spans="2:18" ht="15" hidden="1" thickTop="1">
      <c r="B1139" s="269">
        <v>46245</v>
      </c>
      <c r="C1139" s="268" t="s">
        <v>270</v>
      </c>
      <c r="D1139" s="274">
        <f>IFERROR(VLOOKUP(C1139,'Data Lokasi'!C:D,2,0),"")</f>
        <v>6.13</v>
      </c>
      <c r="E1139" s="274" t="s">
        <v>2642</v>
      </c>
      <c r="F1139" s="274"/>
      <c r="G1139" s="274"/>
      <c r="H1139" s="274"/>
      <c r="I1139" s="274">
        <v>0.44</v>
      </c>
      <c r="J1139" s="456">
        <f t="shared" si="30"/>
        <v>0.44</v>
      </c>
      <c r="K1139" s="583"/>
      <c r="L1139" s="268" t="s">
        <v>2625</v>
      </c>
      <c r="M1139" s="268" t="s">
        <v>2634</v>
      </c>
      <c r="N1139" s="278">
        <f>IFERROR(INDEX('Data Lokasi'!S:S,MATCH('Input Real Tanam&amp;Petik Nanas'!C1139,'Data Lokasi'!C:C,0)),"")</f>
        <v>44086</v>
      </c>
      <c r="O1139" s="278"/>
      <c r="P1139" s="283">
        <f>IFERROR(INDEX('Data Lokasi'!V:V,MATCH(C1139,'Data Lokasi'!C:C,0)),"")</f>
        <v>0</v>
      </c>
      <c r="Q1139" s="304">
        <f t="shared" si="31"/>
        <v>0</v>
      </c>
      <c r="R1139" s="308"/>
    </row>
    <row r="1140" spans="2:18" ht="15" hidden="1" thickTop="1">
      <c r="B1140" s="269">
        <v>46245</v>
      </c>
      <c r="C1140" s="268" t="s">
        <v>680</v>
      </c>
      <c r="D1140" s="274">
        <f>IFERROR(VLOOKUP(C1140,'Data Lokasi'!C:D,2,0),"")</f>
        <v>5</v>
      </c>
      <c r="E1140" s="274" t="s">
        <v>2642</v>
      </c>
      <c r="F1140" s="274"/>
      <c r="G1140" s="274"/>
      <c r="H1140" s="274"/>
      <c r="I1140" s="274">
        <v>0.3</v>
      </c>
      <c r="J1140" s="456">
        <f t="shared" si="30"/>
        <v>0.3</v>
      </c>
      <c r="K1140" s="583"/>
      <c r="L1140" s="268" t="s">
        <v>2625</v>
      </c>
      <c r="M1140" s="268" t="s">
        <v>2634</v>
      </c>
      <c r="N1140" s="278">
        <f>IFERROR(INDEX('Data Lokasi'!S:S,MATCH('Input Real Tanam&amp;Petik Nanas'!C1140,'Data Lokasi'!C:C,0)),"")</f>
        <v>45093</v>
      </c>
      <c r="O1140" s="278"/>
      <c r="P1140" s="283">
        <f>IFERROR(INDEX('Data Lokasi'!V:V,MATCH(C1140,'Data Lokasi'!C:C,0)),"")</f>
        <v>0</v>
      </c>
      <c r="Q1140" s="304">
        <f t="shared" si="31"/>
        <v>0</v>
      </c>
      <c r="R1140" s="308"/>
    </row>
    <row r="1141" spans="2:18" ht="15" hidden="1" thickTop="1">
      <c r="B1141" s="269">
        <v>46245</v>
      </c>
      <c r="C1141" s="268" t="s">
        <v>329</v>
      </c>
      <c r="D1141" s="274">
        <f>IFERROR(VLOOKUP(C1141,'Data Lokasi'!C:D,2,0),"")</f>
        <v>6.68</v>
      </c>
      <c r="E1141" s="274" t="s">
        <v>2642</v>
      </c>
      <c r="F1141" s="274"/>
      <c r="G1141" s="274"/>
      <c r="H1141" s="274"/>
      <c r="I1141" s="274">
        <v>0.06</v>
      </c>
      <c r="J1141" s="456">
        <f t="shared" si="30"/>
        <v>0.06</v>
      </c>
      <c r="K1141" s="583"/>
      <c r="L1141" s="268" t="s">
        <v>2625</v>
      </c>
      <c r="M1141" s="268" t="s">
        <v>2634</v>
      </c>
      <c r="N1141" s="278">
        <f>IFERROR(INDEX('Data Lokasi'!S:S,MATCH('Input Real Tanam&amp;Petik Nanas'!C1141,'Data Lokasi'!C:C,0)),"")</f>
        <v>44218</v>
      </c>
      <c r="O1141" s="278"/>
      <c r="P1141" s="283">
        <f>IFERROR(INDEX('Data Lokasi'!V:V,MATCH(C1141,'Data Lokasi'!C:C,0)),"")</f>
        <v>0</v>
      </c>
      <c r="Q1141" s="304">
        <f t="shared" si="31"/>
        <v>0</v>
      </c>
      <c r="R1141" s="308"/>
    </row>
    <row r="1142" spans="2:18" ht="15" hidden="1" thickTop="1">
      <c r="B1142" s="269">
        <v>46246</v>
      </c>
      <c r="C1142" s="268" t="s">
        <v>294</v>
      </c>
      <c r="D1142" s="274">
        <f>IFERROR(VLOOKUP(C1142,'Data Lokasi'!C:D,2,0),"")</f>
        <v>6.93</v>
      </c>
      <c r="E1142" s="274" t="s">
        <v>2642</v>
      </c>
      <c r="F1142" s="274"/>
      <c r="G1142" s="274"/>
      <c r="H1142" s="274">
        <v>0.04</v>
      </c>
      <c r="I1142" s="274"/>
      <c r="J1142" s="456">
        <f t="shared" si="30"/>
        <v>0.04</v>
      </c>
      <c r="K1142" s="583"/>
      <c r="L1142" s="268" t="s">
        <v>719</v>
      </c>
      <c r="M1142" s="268" t="s">
        <v>2634</v>
      </c>
      <c r="N1142" s="278">
        <f>IFERROR(INDEX('Data Lokasi'!S:S,MATCH('Input Real Tanam&amp;Petik Nanas'!C1142,'Data Lokasi'!C:C,0)),"")</f>
        <v>44139</v>
      </c>
      <c r="O1142" s="278"/>
      <c r="P1142" s="283">
        <f>IFERROR(INDEX('Data Lokasi'!V:V,MATCH(C1142,'Data Lokasi'!C:C,0)),"")</f>
        <v>0</v>
      </c>
      <c r="Q1142" s="304">
        <f t="shared" si="31"/>
        <v>0</v>
      </c>
      <c r="R1142" s="308"/>
    </row>
    <row r="1143" spans="2:18" ht="15" hidden="1" thickTop="1">
      <c r="B1143" s="269">
        <v>46246</v>
      </c>
      <c r="C1143" s="268" t="s">
        <v>234</v>
      </c>
      <c r="D1143" s="274">
        <f>IFERROR(VLOOKUP(C1143,'Data Lokasi'!C:D,2,0),"")</f>
        <v>5.85</v>
      </c>
      <c r="E1143" s="274" t="s">
        <v>2642</v>
      </c>
      <c r="F1143" s="274"/>
      <c r="G1143" s="274"/>
      <c r="H1143" s="274"/>
      <c r="I1143" s="274">
        <v>0.21</v>
      </c>
      <c r="J1143" s="456">
        <f t="shared" si="30"/>
        <v>0.21</v>
      </c>
      <c r="K1143" s="583"/>
      <c r="L1143" s="268" t="s">
        <v>2625</v>
      </c>
      <c r="M1143" s="268" t="s">
        <v>2634</v>
      </c>
      <c r="N1143" s="278">
        <f>IFERROR(INDEX('Data Lokasi'!S:S,MATCH('Input Real Tanam&amp;Petik Nanas'!C1143,'Data Lokasi'!C:C,0)),"")</f>
        <v>44038</v>
      </c>
      <c r="O1143" s="278"/>
      <c r="P1143" s="283">
        <f>IFERROR(INDEX('Data Lokasi'!V:V,MATCH(C1143,'Data Lokasi'!C:C,0)),"")</f>
        <v>0</v>
      </c>
      <c r="Q1143" s="304">
        <f t="shared" si="31"/>
        <v>0</v>
      </c>
      <c r="R1143" s="308"/>
    </row>
    <row r="1144" spans="2:18" ht="15" hidden="1" thickTop="1">
      <c r="B1144" s="269">
        <v>46246</v>
      </c>
      <c r="C1144" s="268" t="s">
        <v>2692</v>
      </c>
      <c r="D1144" s="274">
        <f>IFERROR(VLOOKUP(C1144,'Data Lokasi'!C:D,2,0),"")</f>
        <v>8.9600000000000009</v>
      </c>
      <c r="E1144" s="274" t="s">
        <v>2642</v>
      </c>
      <c r="F1144" s="274"/>
      <c r="G1144" s="274"/>
      <c r="H1144" s="274"/>
      <c r="I1144" s="274">
        <v>0.28000000000000003</v>
      </c>
      <c r="J1144" s="456">
        <f t="shared" si="30"/>
        <v>0.28000000000000003</v>
      </c>
      <c r="K1144" s="583"/>
      <c r="L1144" s="268" t="s">
        <v>2625</v>
      </c>
      <c r="M1144" s="268" t="s">
        <v>2634</v>
      </c>
      <c r="N1144" s="278">
        <f>IFERROR(INDEX('Data Lokasi'!S:S,MATCH('Input Real Tanam&amp;Petik Nanas'!C1144,'Data Lokasi'!C:C,0)),"")</f>
        <v>46238</v>
      </c>
      <c r="O1144" s="278"/>
      <c r="P1144" s="283">
        <f>IFERROR(INDEX('Data Lokasi'!V:V,MATCH(C1144,'Data Lokasi'!C:C,0)),"")</f>
        <v>8.9600000000000009</v>
      </c>
      <c r="Q1144" s="304">
        <f t="shared" si="31"/>
        <v>1</v>
      </c>
      <c r="R1144" s="308"/>
    </row>
    <row r="1145" spans="2:18" ht="15" hidden="1" thickTop="1">
      <c r="B1145" s="269">
        <v>46246</v>
      </c>
      <c r="C1145" s="268" t="s">
        <v>692</v>
      </c>
      <c r="D1145" s="274">
        <f>IFERROR(VLOOKUP(C1145,'Data Lokasi'!C:D,2,0),"")</f>
        <v>3.93</v>
      </c>
      <c r="E1145" s="274" t="s">
        <v>2642</v>
      </c>
      <c r="F1145" s="274"/>
      <c r="G1145" s="274"/>
      <c r="H1145" s="274"/>
      <c r="I1145" s="274">
        <v>1.26</v>
      </c>
      <c r="J1145" s="456">
        <f t="shared" si="30"/>
        <v>1.26</v>
      </c>
      <c r="K1145" s="583"/>
      <c r="L1145" s="268" t="s">
        <v>2625</v>
      </c>
      <c r="M1145" s="268" t="s">
        <v>2634</v>
      </c>
      <c r="N1145" s="278">
        <f>IFERROR(INDEX('Data Lokasi'!S:S,MATCH('Input Real Tanam&amp;Petik Nanas'!C1145,'Data Lokasi'!C:C,0)),"")</f>
        <v>45111</v>
      </c>
      <c r="O1145" s="278"/>
      <c r="P1145" s="283">
        <f>IFERROR(INDEX('Data Lokasi'!V:V,MATCH(C1145,'Data Lokasi'!C:C,0)),"")</f>
        <v>0</v>
      </c>
      <c r="Q1145" s="304">
        <f t="shared" si="31"/>
        <v>0</v>
      </c>
      <c r="R1145" s="308"/>
    </row>
    <row r="1146" spans="2:18" ht="15" hidden="1" thickTop="1">
      <c r="B1146" s="269">
        <v>46246</v>
      </c>
      <c r="C1146" s="268" t="s">
        <v>677</v>
      </c>
      <c r="D1146" s="274">
        <f>IFERROR(VLOOKUP(C1146,'Data Lokasi'!C:D,2,0),"")</f>
        <v>8.2100000000000009</v>
      </c>
      <c r="E1146" s="274" t="s">
        <v>2642</v>
      </c>
      <c r="F1146" s="274"/>
      <c r="G1146" s="274"/>
      <c r="H1146" s="274"/>
      <c r="I1146" s="274">
        <v>0.06</v>
      </c>
      <c r="J1146" s="456">
        <f t="shared" si="30"/>
        <v>0.06</v>
      </c>
      <c r="K1146" s="583"/>
      <c r="L1146" s="268" t="s">
        <v>2625</v>
      </c>
      <c r="M1146" s="268" t="s">
        <v>2634</v>
      </c>
      <c r="N1146" s="278">
        <f>IFERROR(INDEX('Data Lokasi'!S:S,MATCH('Input Real Tanam&amp;Petik Nanas'!C1146,'Data Lokasi'!C:C,0)),"")</f>
        <v>45071</v>
      </c>
      <c r="O1146" s="278"/>
      <c r="P1146" s="283">
        <f>IFERROR(INDEX('Data Lokasi'!V:V,MATCH(C1146,'Data Lokasi'!C:C,0)),"")</f>
        <v>0</v>
      </c>
      <c r="Q1146" s="304">
        <f t="shared" si="31"/>
        <v>0</v>
      </c>
      <c r="R1146" s="308"/>
    </row>
    <row r="1147" spans="2:18" ht="15" hidden="1" thickTop="1">
      <c r="B1147" s="269">
        <v>46246</v>
      </c>
      <c r="C1147" s="268" t="s">
        <v>126</v>
      </c>
      <c r="D1147" s="274">
        <f>IFERROR(VLOOKUP(C1147,'Data Lokasi'!C:D,2,0),"")</f>
        <v>6.39</v>
      </c>
      <c r="E1147" s="274" t="s">
        <v>2642</v>
      </c>
      <c r="F1147" s="274"/>
      <c r="G1147" s="274"/>
      <c r="H1147" s="274"/>
      <c r="I1147" s="274">
        <v>0.45</v>
      </c>
      <c r="J1147" s="456">
        <f t="shared" si="30"/>
        <v>0.45</v>
      </c>
      <c r="K1147" s="583"/>
      <c r="L1147" s="268" t="s">
        <v>2625</v>
      </c>
      <c r="M1147" s="268" t="s">
        <v>2634</v>
      </c>
      <c r="N1147" s="278">
        <f>IFERROR(INDEX('Data Lokasi'!S:S,MATCH('Input Real Tanam&amp;Petik Nanas'!C1147,'Data Lokasi'!C:C,0)),"")</f>
        <v>44207</v>
      </c>
      <c r="O1147" s="278"/>
      <c r="P1147" s="283">
        <f>IFERROR(INDEX('Data Lokasi'!V:V,MATCH(C1147,'Data Lokasi'!C:C,0)),"")</f>
        <v>0</v>
      </c>
      <c r="Q1147" s="304">
        <f t="shared" si="31"/>
        <v>0</v>
      </c>
      <c r="R1147" s="308"/>
    </row>
    <row r="1148" spans="2:18" ht="15" hidden="1" thickTop="1">
      <c r="B1148" s="269">
        <v>46246</v>
      </c>
      <c r="C1148" s="268" t="s">
        <v>684</v>
      </c>
      <c r="D1148" s="274">
        <f>IFERROR(VLOOKUP(C1148,'Data Lokasi'!C:D,2,0),"")</f>
        <v>8.8699999999999992</v>
      </c>
      <c r="E1148" s="274" t="s">
        <v>2642</v>
      </c>
      <c r="F1148" s="274"/>
      <c r="G1148" s="274"/>
      <c r="H1148" s="274"/>
      <c r="I1148" s="274">
        <v>0.04</v>
      </c>
      <c r="J1148" s="456">
        <f t="shared" si="30"/>
        <v>0.04</v>
      </c>
      <c r="K1148" s="583"/>
      <c r="L1148" s="268" t="s">
        <v>2625</v>
      </c>
      <c r="M1148" s="268" t="s">
        <v>2634</v>
      </c>
      <c r="N1148" s="278">
        <f>IFERROR(INDEX('Data Lokasi'!S:S,MATCH('Input Real Tanam&amp;Petik Nanas'!C1148,'Data Lokasi'!C:C,0)),"")</f>
        <v>45090</v>
      </c>
      <c r="O1148" s="278"/>
      <c r="P1148" s="283">
        <f>IFERROR(INDEX('Data Lokasi'!V:V,MATCH(C1148,'Data Lokasi'!C:C,0)),"")</f>
        <v>0</v>
      </c>
      <c r="Q1148" s="304">
        <f t="shared" si="31"/>
        <v>0</v>
      </c>
      <c r="R1148" s="308"/>
    </row>
    <row r="1149" spans="2:18" ht="15" hidden="1" thickTop="1">
      <c r="B1149" s="269">
        <v>46246</v>
      </c>
      <c r="C1149" s="268" t="s">
        <v>329</v>
      </c>
      <c r="D1149" s="274">
        <f>IFERROR(VLOOKUP(C1149,'Data Lokasi'!C:D,2,0),"")</f>
        <v>6.68</v>
      </c>
      <c r="E1149" s="274" t="s">
        <v>2642</v>
      </c>
      <c r="F1149" s="274"/>
      <c r="G1149" s="274"/>
      <c r="H1149" s="274"/>
      <c r="I1149" s="274">
        <v>0.09</v>
      </c>
      <c r="J1149" s="456">
        <f t="shared" si="30"/>
        <v>0.09</v>
      </c>
      <c r="K1149" s="583"/>
      <c r="L1149" s="268" t="s">
        <v>2625</v>
      </c>
      <c r="M1149" s="268" t="s">
        <v>2634</v>
      </c>
      <c r="N1149" s="278">
        <f>IFERROR(INDEX('Data Lokasi'!S:S,MATCH('Input Real Tanam&amp;Petik Nanas'!C1149,'Data Lokasi'!C:C,0)),"")</f>
        <v>44218</v>
      </c>
      <c r="O1149" s="278"/>
      <c r="P1149" s="283">
        <f>IFERROR(INDEX('Data Lokasi'!V:V,MATCH(C1149,'Data Lokasi'!C:C,0)),"")</f>
        <v>0</v>
      </c>
      <c r="Q1149" s="304">
        <f t="shared" si="31"/>
        <v>0</v>
      </c>
      <c r="R1149" s="308"/>
    </row>
    <row r="1150" spans="2:18" ht="15" hidden="1" thickTop="1">
      <c r="B1150" s="269">
        <v>46246</v>
      </c>
      <c r="C1150" s="268" t="s">
        <v>108</v>
      </c>
      <c r="D1150" s="274">
        <f>IFERROR(VLOOKUP(C1150,'Data Lokasi'!C:D,2,0),"")</f>
        <v>10.45</v>
      </c>
      <c r="E1150" s="274" t="s">
        <v>2642</v>
      </c>
      <c r="F1150" s="274"/>
      <c r="G1150" s="274"/>
      <c r="H1150" s="274"/>
      <c r="I1150" s="274">
        <v>0.5</v>
      </c>
      <c r="J1150" s="456">
        <f t="shared" si="30"/>
        <v>0.5</v>
      </c>
      <c r="K1150" s="583"/>
      <c r="L1150" s="268" t="s">
        <v>2625</v>
      </c>
      <c r="M1150" s="268" t="s">
        <v>2631</v>
      </c>
      <c r="N1150" s="278">
        <f>IFERROR(INDEX('Data Lokasi'!S:S,MATCH('Input Real Tanam&amp;Petik Nanas'!C1150,'Data Lokasi'!C:C,0)),"")</f>
        <v>44176</v>
      </c>
      <c r="O1150" s="278"/>
      <c r="P1150" s="283">
        <f>IFERROR(INDEX('Data Lokasi'!V:V,MATCH(C1150,'Data Lokasi'!C:C,0)),"")</f>
        <v>0</v>
      </c>
      <c r="Q1150" s="304">
        <f t="shared" si="31"/>
        <v>0</v>
      </c>
      <c r="R1150" s="308"/>
    </row>
    <row r="1151" spans="2:18" ht="15" hidden="1" thickTop="1">
      <c r="B1151" s="269">
        <v>46246</v>
      </c>
      <c r="C1151" s="268" t="s">
        <v>695</v>
      </c>
      <c r="D1151" s="274">
        <f>IFERROR(VLOOKUP(C1151,'Data Lokasi'!C:D,2,0),"")</f>
        <v>5</v>
      </c>
      <c r="E1151" s="274" t="s">
        <v>2642</v>
      </c>
      <c r="F1151" s="274"/>
      <c r="G1151" s="274"/>
      <c r="H1151" s="274"/>
      <c r="I1151" s="274">
        <v>0.12</v>
      </c>
      <c r="J1151" s="456">
        <f t="shared" si="30"/>
        <v>0.12</v>
      </c>
      <c r="K1151" s="583"/>
      <c r="L1151" s="268" t="s">
        <v>2625</v>
      </c>
      <c r="M1151" s="268" t="s">
        <v>2631</v>
      </c>
      <c r="N1151" s="278">
        <f>IFERROR(INDEX('Data Lokasi'!S:S,MATCH('Input Real Tanam&amp;Petik Nanas'!C1151,'Data Lokasi'!C:C,0)),"")</f>
        <v>45117</v>
      </c>
      <c r="O1151" s="278"/>
      <c r="P1151" s="283">
        <f>IFERROR(INDEX('Data Lokasi'!V:V,MATCH(C1151,'Data Lokasi'!C:C,0)),"")</f>
        <v>0</v>
      </c>
      <c r="Q1151" s="304">
        <f t="shared" si="31"/>
        <v>0</v>
      </c>
      <c r="R1151" s="308"/>
    </row>
    <row r="1152" spans="2:18" ht="15" hidden="1" thickTop="1">
      <c r="B1152" s="269">
        <v>46246</v>
      </c>
      <c r="C1152" s="268" t="s">
        <v>270</v>
      </c>
      <c r="D1152" s="274">
        <f>IFERROR(VLOOKUP(C1152,'Data Lokasi'!C:D,2,0),"")</f>
        <v>6.13</v>
      </c>
      <c r="E1152" s="274" t="s">
        <v>2642</v>
      </c>
      <c r="F1152" s="274"/>
      <c r="G1152" s="274"/>
      <c r="H1152" s="274"/>
      <c r="I1152" s="274">
        <v>0.92</v>
      </c>
      <c r="J1152" s="456">
        <f t="shared" si="30"/>
        <v>0.92</v>
      </c>
      <c r="K1152" s="583"/>
      <c r="L1152" s="268" t="s">
        <v>2625</v>
      </c>
      <c r="M1152" s="268" t="s">
        <v>2631</v>
      </c>
      <c r="N1152" s="278">
        <f>IFERROR(INDEX('Data Lokasi'!S:S,MATCH('Input Real Tanam&amp;Petik Nanas'!C1152,'Data Lokasi'!C:C,0)),"")</f>
        <v>44086</v>
      </c>
      <c r="O1152" s="278"/>
      <c r="P1152" s="283">
        <f>IFERROR(INDEX('Data Lokasi'!V:V,MATCH(C1152,'Data Lokasi'!C:C,0)),"")</f>
        <v>0</v>
      </c>
      <c r="Q1152" s="304">
        <f t="shared" si="31"/>
        <v>0</v>
      </c>
      <c r="R1152" s="308"/>
    </row>
    <row r="1153" spans="2:18" ht="15" hidden="1" thickTop="1">
      <c r="B1153" s="269">
        <v>46246</v>
      </c>
      <c r="C1153" s="268" t="s">
        <v>704</v>
      </c>
      <c r="D1153" s="274">
        <f>IFERROR(VLOOKUP(C1153,'Data Lokasi'!C:D,2,0),"")</f>
        <v>6.38</v>
      </c>
      <c r="E1153" s="274" t="s">
        <v>2642</v>
      </c>
      <c r="F1153" s="274"/>
      <c r="G1153" s="274"/>
      <c r="H1153" s="274"/>
      <c r="I1153" s="274">
        <v>0.03</v>
      </c>
      <c r="J1153" s="456">
        <f t="shared" si="30"/>
        <v>0.03</v>
      </c>
      <c r="K1153" s="583"/>
      <c r="L1153" s="268" t="s">
        <v>2625</v>
      </c>
      <c r="M1153" s="268" t="s">
        <v>2631</v>
      </c>
      <c r="N1153" s="278">
        <f>IFERROR(INDEX('Data Lokasi'!S:S,MATCH('Input Real Tanam&amp;Petik Nanas'!C1153,'Data Lokasi'!C:C,0)),"")</f>
        <v>45199</v>
      </c>
      <c r="O1153" s="278"/>
      <c r="P1153" s="283">
        <f>IFERROR(INDEX('Data Lokasi'!V:V,MATCH(C1153,'Data Lokasi'!C:C,0)),"")</f>
        <v>0</v>
      </c>
      <c r="Q1153" s="304">
        <f t="shared" si="31"/>
        <v>0</v>
      </c>
      <c r="R1153" s="308"/>
    </row>
    <row r="1154" spans="2:18" ht="15" hidden="1" thickTop="1">
      <c r="B1154" s="269">
        <v>46246</v>
      </c>
      <c r="C1154" s="268" t="s">
        <v>710</v>
      </c>
      <c r="D1154" s="274">
        <f>IFERROR(VLOOKUP(C1154,'Data Lokasi'!C:D,2,0),"")</f>
        <v>8.3699999999999992</v>
      </c>
      <c r="E1154" s="274" t="s">
        <v>2642</v>
      </c>
      <c r="F1154" s="274"/>
      <c r="G1154" s="274"/>
      <c r="H1154" s="274"/>
      <c r="I1154" s="274">
        <v>0.74</v>
      </c>
      <c r="J1154" s="456">
        <f t="shared" si="30"/>
        <v>0.74</v>
      </c>
      <c r="K1154" s="583"/>
      <c r="L1154" s="268" t="s">
        <v>2625</v>
      </c>
      <c r="M1154" s="268" t="s">
        <v>2631</v>
      </c>
      <c r="N1154" s="278">
        <f>IFERROR(INDEX('Data Lokasi'!S:S,MATCH('Input Real Tanam&amp;Petik Nanas'!C1154,'Data Lokasi'!C:C,0)),"")</f>
        <v>45246</v>
      </c>
      <c r="O1154" s="278"/>
      <c r="P1154" s="283">
        <f>IFERROR(INDEX('Data Lokasi'!V:V,MATCH(C1154,'Data Lokasi'!C:C,0)),"")</f>
        <v>0</v>
      </c>
      <c r="Q1154" s="304">
        <f t="shared" si="31"/>
        <v>0</v>
      </c>
      <c r="R1154" s="308"/>
    </row>
    <row r="1155" spans="2:18" ht="15" hidden="1" thickTop="1">
      <c r="B1155" s="269">
        <v>46246</v>
      </c>
      <c r="C1155" s="268" t="s">
        <v>2691</v>
      </c>
      <c r="D1155" s="274">
        <f>IFERROR(VLOOKUP(C1155,'Data Lokasi'!C:D,2,0),"")</f>
        <v>5.37</v>
      </c>
      <c r="E1155" s="274" t="s">
        <v>2642</v>
      </c>
      <c r="F1155" s="274"/>
      <c r="G1155" s="274"/>
      <c r="H1155" s="274"/>
      <c r="I1155" s="274">
        <v>0.04</v>
      </c>
      <c r="J1155" s="456">
        <f t="shared" si="30"/>
        <v>0.04</v>
      </c>
      <c r="K1155" s="583"/>
      <c r="L1155" s="268" t="s">
        <v>2625</v>
      </c>
      <c r="M1155" s="268" t="s">
        <v>2631</v>
      </c>
      <c r="N1155" s="278">
        <f>IFERROR(INDEX('Data Lokasi'!S:S,MATCH('Input Real Tanam&amp;Petik Nanas'!C1155,'Data Lokasi'!C:C,0)),"")</f>
        <v>46236</v>
      </c>
      <c r="O1155" s="278"/>
      <c r="P1155" s="283">
        <f>IFERROR(INDEX('Data Lokasi'!V:V,MATCH(C1155,'Data Lokasi'!C:C,0)),"")</f>
        <v>5.37</v>
      </c>
      <c r="Q1155" s="304">
        <f t="shared" si="31"/>
        <v>1</v>
      </c>
      <c r="R1155" s="308"/>
    </row>
    <row r="1156" spans="2:18" ht="15" hidden="1" thickTop="1">
      <c r="B1156" s="269">
        <v>46246</v>
      </c>
      <c r="C1156" s="268" t="s">
        <v>126</v>
      </c>
      <c r="D1156" s="274">
        <f>IFERROR(VLOOKUP(C1156,'Data Lokasi'!C:D,2,0),"")</f>
        <v>6.39</v>
      </c>
      <c r="E1156" s="274" t="s">
        <v>2642</v>
      </c>
      <c r="F1156" s="274"/>
      <c r="G1156" s="274"/>
      <c r="H1156" s="274"/>
      <c r="I1156" s="274">
        <v>0.26</v>
      </c>
      <c r="J1156" s="456">
        <f t="shared" si="30"/>
        <v>0.26</v>
      </c>
      <c r="K1156" s="583"/>
      <c r="L1156" s="268" t="s">
        <v>2625</v>
      </c>
      <c r="M1156" s="268" t="s">
        <v>2631</v>
      </c>
      <c r="N1156" s="278">
        <f>IFERROR(INDEX('Data Lokasi'!S:S,MATCH('Input Real Tanam&amp;Petik Nanas'!C1156,'Data Lokasi'!C:C,0)),"")</f>
        <v>44207</v>
      </c>
      <c r="O1156" s="278"/>
      <c r="P1156" s="283">
        <f>IFERROR(INDEX('Data Lokasi'!V:V,MATCH(C1156,'Data Lokasi'!C:C,0)),"")</f>
        <v>0</v>
      </c>
      <c r="Q1156" s="304">
        <f t="shared" si="31"/>
        <v>0</v>
      </c>
      <c r="R1156" s="308"/>
    </row>
    <row r="1157" spans="2:18" ht="15" hidden="1" thickTop="1">
      <c r="B1157" s="269">
        <v>46246</v>
      </c>
      <c r="C1157" s="268" t="s">
        <v>110</v>
      </c>
      <c r="D1157" s="274">
        <f>IFERROR(VLOOKUP(C1157,'Data Lokasi'!C:D,2,0),"")</f>
        <v>9</v>
      </c>
      <c r="E1157" s="274" t="s">
        <v>2642</v>
      </c>
      <c r="F1157" s="274"/>
      <c r="G1157" s="274"/>
      <c r="H1157" s="274"/>
      <c r="I1157" s="274">
        <v>0.2</v>
      </c>
      <c r="J1157" s="456">
        <f t="shared" si="30"/>
        <v>0.2</v>
      </c>
      <c r="K1157" s="583"/>
      <c r="L1157" s="268" t="s">
        <v>2625</v>
      </c>
      <c r="M1157" s="268" t="s">
        <v>2631</v>
      </c>
      <c r="N1157" s="278">
        <f>IFERROR(INDEX('Data Lokasi'!S:S,MATCH('Input Real Tanam&amp;Petik Nanas'!C1157,'Data Lokasi'!C:C,0)),"")</f>
        <v>44193</v>
      </c>
      <c r="O1157" s="278"/>
      <c r="P1157" s="283">
        <f>IFERROR(INDEX('Data Lokasi'!V:V,MATCH(C1157,'Data Lokasi'!C:C,0)),"")</f>
        <v>0</v>
      </c>
      <c r="Q1157" s="304">
        <f t="shared" si="31"/>
        <v>0</v>
      </c>
      <c r="R1157" s="308"/>
    </row>
    <row r="1158" spans="2:18" ht="15" hidden="1" thickTop="1">
      <c r="B1158" s="269">
        <v>46246</v>
      </c>
      <c r="C1158" s="268" t="s">
        <v>692</v>
      </c>
      <c r="D1158" s="274">
        <f>IFERROR(VLOOKUP(C1158,'Data Lokasi'!C:D,2,0),"")</f>
        <v>3.93</v>
      </c>
      <c r="E1158" s="274" t="s">
        <v>2642</v>
      </c>
      <c r="F1158" s="274"/>
      <c r="G1158" s="274"/>
      <c r="H1158" s="274"/>
      <c r="I1158" s="274">
        <v>0.04</v>
      </c>
      <c r="J1158" s="456">
        <f t="shared" si="30"/>
        <v>0.04</v>
      </c>
      <c r="K1158" s="583"/>
      <c r="L1158" s="268" t="s">
        <v>2625</v>
      </c>
      <c r="M1158" s="268" t="s">
        <v>2631</v>
      </c>
      <c r="N1158" s="278">
        <f>IFERROR(INDEX('Data Lokasi'!S:S,MATCH('Input Real Tanam&amp;Petik Nanas'!C1158,'Data Lokasi'!C:C,0)),"")</f>
        <v>45111</v>
      </c>
      <c r="O1158" s="278"/>
      <c r="P1158" s="283">
        <f>IFERROR(INDEX('Data Lokasi'!V:V,MATCH(C1158,'Data Lokasi'!C:C,0)),"")</f>
        <v>0</v>
      </c>
      <c r="Q1158" s="304">
        <f t="shared" si="31"/>
        <v>0</v>
      </c>
      <c r="R1158" s="308"/>
    </row>
    <row r="1159" spans="2:18" ht="15" hidden="1" thickTop="1">
      <c r="B1159" s="269">
        <v>46246</v>
      </c>
      <c r="C1159" s="268" t="s">
        <v>311</v>
      </c>
      <c r="D1159" s="274">
        <f>IFERROR(VLOOKUP(C1159,'Data Lokasi'!C:D,2,0),"")</f>
        <v>5.15</v>
      </c>
      <c r="E1159" s="274" t="s">
        <v>2642</v>
      </c>
      <c r="F1159" s="274"/>
      <c r="G1159" s="274"/>
      <c r="H1159" s="274"/>
      <c r="I1159" s="274">
        <v>0.1</v>
      </c>
      <c r="J1159" s="456">
        <f t="shared" si="30"/>
        <v>0.1</v>
      </c>
      <c r="K1159" s="583"/>
      <c r="L1159" s="268" t="s">
        <v>2625</v>
      </c>
      <c r="M1159" s="268" t="s">
        <v>2634</v>
      </c>
      <c r="N1159" s="278">
        <f>IFERROR(INDEX('Data Lokasi'!S:S,MATCH('Input Real Tanam&amp;Petik Nanas'!C1159,'Data Lokasi'!C:C,0)),"")</f>
        <v>44175</v>
      </c>
      <c r="O1159" s="278"/>
      <c r="P1159" s="283">
        <f>IFERROR(INDEX('Data Lokasi'!V:V,MATCH(C1159,'Data Lokasi'!C:C,0)),"")</f>
        <v>0</v>
      </c>
      <c r="Q1159" s="304">
        <f t="shared" si="31"/>
        <v>0</v>
      </c>
      <c r="R1159" s="308"/>
    </row>
    <row r="1160" spans="2:18" ht="15" hidden="1" thickTop="1">
      <c r="B1160" s="269">
        <v>46246</v>
      </c>
      <c r="C1160" s="268" t="s">
        <v>318</v>
      </c>
      <c r="D1160" s="274">
        <f>IFERROR(VLOOKUP(C1160,'Data Lokasi'!C:D,2,0),"")</f>
        <v>11.17</v>
      </c>
      <c r="E1160" s="274" t="s">
        <v>2643</v>
      </c>
      <c r="F1160" s="274"/>
      <c r="G1160" s="274"/>
      <c r="H1160" s="274"/>
      <c r="I1160" s="274">
        <v>1.81</v>
      </c>
      <c r="J1160" s="456">
        <f t="shared" si="30"/>
        <v>1.81</v>
      </c>
      <c r="K1160" s="583"/>
      <c r="L1160" s="268" t="s">
        <v>2625</v>
      </c>
      <c r="M1160" s="268" t="s">
        <v>2631</v>
      </c>
      <c r="N1160" s="278">
        <f>IFERROR(INDEX('Data Lokasi'!S:S,MATCH('Input Real Tanam&amp;Petik Nanas'!C1160,'Data Lokasi'!C:C,0)),"")</f>
        <v>44216</v>
      </c>
      <c r="O1160" s="278"/>
      <c r="P1160" s="283">
        <f>IFERROR(INDEX('Data Lokasi'!V:V,MATCH(C1160,'Data Lokasi'!C:C,0)),"")</f>
        <v>0</v>
      </c>
      <c r="Q1160" s="304">
        <f t="shared" si="31"/>
        <v>0</v>
      </c>
      <c r="R1160" s="308"/>
    </row>
    <row r="1161" spans="2:18" ht="15" hidden="1" thickTop="1">
      <c r="B1161" s="269">
        <v>46246</v>
      </c>
      <c r="C1161" s="268" t="s">
        <v>337</v>
      </c>
      <c r="D1161" s="274">
        <f>IFERROR(VLOOKUP(C1161,'Data Lokasi'!C:D,2,0),"")</f>
        <v>9.17</v>
      </c>
      <c r="E1161" s="274" t="s">
        <v>2643</v>
      </c>
      <c r="F1161" s="274"/>
      <c r="G1161" s="274"/>
      <c r="H1161" s="274">
        <v>0.01</v>
      </c>
      <c r="I1161" s="274">
        <f>0.05+0.06</f>
        <v>0.11</v>
      </c>
      <c r="J1161" s="456">
        <f t="shared" si="30"/>
        <v>0.12</v>
      </c>
      <c r="K1161" s="583"/>
      <c r="L1161" s="268" t="s">
        <v>719</v>
      </c>
      <c r="M1161" s="268" t="s">
        <v>2631</v>
      </c>
      <c r="N1161" s="278">
        <f>IFERROR(INDEX('Data Lokasi'!S:S,MATCH('Input Real Tanam&amp;Petik Nanas'!C1161,'Data Lokasi'!C:C,0)),"")</f>
        <v>44250</v>
      </c>
      <c r="O1161" s="278"/>
      <c r="P1161" s="283">
        <f>IFERROR(INDEX('Data Lokasi'!V:V,MATCH(C1161,'Data Lokasi'!C:C,0)),"")</f>
        <v>0</v>
      </c>
      <c r="Q1161" s="304">
        <f t="shared" si="31"/>
        <v>0</v>
      </c>
      <c r="R1161" s="308">
        <v>6</v>
      </c>
    </row>
    <row r="1162" spans="2:18" ht="15" hidden="1" thickTop="1">
      <c r="B1162" s="269">
        <v>46246</v>
      </c>
      <c r="C1162" s="268" t="s">
        <v>478</v>
      </c>
      <c r="D1162" s="274">
        <f>IFERROR(VLOOKUP(C1162,'Data Lokasi'!C:D,2,0),"")</f>
        <v>6.8</v>
      </c>
      <c r="E1162" s="274" t="s">
        <v>2643</v>
      </c>
      <c r="F1162" s="274"/>
      <c r="G1162" s="274">
        <v>0.03</v>
      </c>
      <c r="H1162" s="274">
        <f>0.13+0.25</f>
        <v>0.38</v>
      </c>
      <c r="I1162" s="274"/>
      <c r="J1162" s="456">
        <f t="shared" si="30"/>
        <v>0.41000000000000003</v>
      </c>
      <c r="K1162" s="583"/>
      <c r="L1162" s="268" t="s">
        <v>719</v>
      </c>
      <c r="M1162" s="268" t="s">
        <v>2634</v>
      </c>
      <c r="N1162" s="278">
        <f>IFERROR(INDEX('Data Lokasi'!S:S,MATCH('Input Real Tanam&amp;Petik Nanas'!C1162,'Data Lokasi'!C:C,0)),"")</f>
        <v>44517</v>
      </c>
      <c r="O1162" s="278"/>
      <c r="P1162" s="283">
        <f>IFERROR(INDEX('Data Lokasi'!V:V,MATCH(C1162,'Data Lokasi'!C:C,0)),"")</f>
        <v>0</v>
      </c>
      <c r="Q1162" s="304">
        <f t="shared" si="31"/>
        <v>0</v>
      </c>
      <c r="R1162" s="308">
        <v>2</v>
      </c>
    </row>
    <row r="1163" spans="2:18" ht="15" hidden="1" thickTop="1">
      <c r="B1163" s="269">
        <v>46246</v>
      </c>
      <c r="C1163" s="268" t="s">
        <v>488</v>
      </c>
      <c r="D1163" s="274">
        <f>IFERROR(VLOOKUP(C1163,'Data Lokasi'!C:D,2,0),"")</f>
        <v>11.2</v>
      </c>
      <c r="E1163" s="274" t="s">
        <v>2643</v>
      </c>
      <c r="F1163" s="274"/>
      <c r="G1163" s="274">
        <v>0.01</v>
      </c>
      <c r="H1163" s="274">
        <f>0.09+0.14</f>
        <v>0.23</v>
      </c>
      <c r="I1163" s="274"/>
      <c r="J1163" s="456">
        <f t="shared" si="30"/>
        <v>0.24000000000000002</v>
      </c>
      <c r="K1163" s="583"/>
      <c r="L1163" s="268" t="s">
        <v>719</v>
      </c>
      <c r="M1163" s="268" t="s">
        <v>2634</v>
      </c>
      <c r="N1163" s="278">
        <f>IFERROR(INDEX('Data Lokasi'!S:S,MATCH('Input Real Tanam&amp;Petik Nanas'!C1163,'Data Lokasi'!C:C,0)),"")</f>
        <v>44529</v>
      </c>
      <c r="O1163" s="278"/>
      <c r="P1163" s="283">
        <f>IFERROR(INDEX('Data Lokasi'!V:V,MATCH(C1163,'Data Lokasi'!C:C,0)),"")</f>
        <v>0</v>
      </c>
      <c r="Q1163" s="304">
        <f t="shared" si="31"/>
        <v>0</v>
      </c>
      <c r="R1163" s="308">
        <v>2</v>
      </c>
    </row>
    <row r="1164" spans="2:18" ht="15" hidden="1" thickTop="1">
      <c r="B1164" s="269">
        <v>46247</v>
      </c>
      <c r="C1164" s="268" t="s">
        <v>289</v>
      </c>
      <c r="D1164" s="274">
        <f>IFERROR(VLOOKUP(C1164,'Data Lokasi'!C:D,2,0),"")</f>
        <v>2.87</v>
      </c>
      <c r="E1164" s="274" t="s">
        <v>2642</v>
      </c>
      <c r="F1164" s="274"/>
      <c r="G1164" s="274"/>
      <c r="H1164" s="274"/>
      <c r="I1164" s="274">
        <v>0.2</v>
      </c>
      <c r="J1164" s="456">
        <f t="shared" si="30"/>
        <v>0.2</v>
      </c>
      <c r="K1164" s="583"/>
      <c r="L1164" s="268" t="s">
        <v>2625</v>
      </c>
      <c r="M1164" s="268" t="s">
        <v>2631</v>
      </c>
      <c r="N1164" s="278">
        <f>IFERROR(INDEX('Data Lokasi'!S:S,MATCH('Input Real Tanam&amp;Petik Nanas'!C1164,'Data Lokasi'!C:C,0)),"")</f>
        <v>44121</v>
      </c>
      <c r="O1164" s="278"/>
      <c r="P1164" s="283">
        <f>IFERROR(INDEX('Data Lokasi'!V:V,MATCH(C1164,'Data Lokasi'!C:C,0)),"")</f>
        <v>0</v>
      </c>
      <c r="Q1164" s="304">
        <f t="shared" si="31"/>
        <v>0</v>
      </c>
      <c r="R1164" s="308"/>
    </row>
    <row r="1165" spans="2:18" ht="15" hidden="1" thickTop="1">
      <c r="B1165" s="269">
        <v>46247</v>
      </c>
      <c r="C1165" s="268" t="s">
        <v>108</v>
      </c>
      <c r="D1165" s="274">
        <f>IFERROR(VLOOKUP(C1165,'Data Lokasi'!C:D,2,0),"")</f>
        <v>10.45</v>
      </c>
      <c r="E1165" s="274" t="s">
        <v>2642</v>
      </c>
      <c r="F1165" s="274"/>
      <c r="G1165" s="274"/>
      <c r="H1165" s="274"/>
      <c r="I1165" s="274">
        <v>0.47</v>
      </c>
      <c r="J1165" s="456">
        <f t="shared" si="30"/>
        <v>0.47</v>
      </c>
      <c r="K1165" s="583"/>
      <c r="L1165" s="268" t="s">
        <v>2625</v>
      </c>
      <c r="M1165" s="268" t="s">
        <v>2631</v>
      </c>
      <c r="N1165" s="278">
        <f>IFERROR(INDEX('Data Lokasi'!S:S,MATCH('Input Real Tanam&amp;Petik Nanas'!C1165,'Data Lokasi'!C:C,0)),"")</f>
        <v>44176</v>
      </c>
      <c r="O1165" s="278"/>
      <c r="P1165" s="283">
        <f>IFERROR(INDEX('Data Lokasi'!V:V,MATCH(C1165,'Data Lokasi'!C:C,0)),"")</f>
        <v>0</v>
      </c>
      <c r="Q1165" s="304">
        <f t="shared" si="31"/>
        <v>0</v>
      </c>
      <c r="R1165" s="308"/>
    </row>
    <row r="1166" spans="2:18" ht="15" hidden="1" thickTop="1">
      <c r="B1166" s="269">
        <v>46247</v>
      </c>
      <c r="C1166" s="268" t="s">
        <v>270</v>
      </c>
      <c r="D1166" s="274">
        <f>IFERROR(VLOOKUP(C1166,'Data Lokasi'!C:D,2,0),"")</f>
        <v>6.13</v>
      </c>
      <c r="E1166" s="274" t="s">
        <v>2642</v>
      </c>
      <c r="F1166" s="274"/>
      <c r="G1166" s="274"/>
      <c r="H1166" s="274"/>
      <c r="I1166" s="274">
        <v>0.75</v>
      </c>
      <c r="J1166" s="456">
        <f t="shared" si="30"/>
        <v>0.75</v>
      </c>
      <c r="K1166" s="583"/>
      <c r="L1166" s="268" t="s">
        <v>2625</v>
      </c>
      <c r="M1166" s="268" t="s">
        <v>2631</v>
      </c>
      <c r="N1166" s="278">
        <f>IFERROR(INDEX('Data Lokasi'!S:S,MATCH('Input Real Tanam&amp;Petik Nanas'!C1166,'Data Lokasi'!C:C,0)),"")</f>
        <v>44086</v>
      </c>
      <c r="O1166" s="278"/>
      <c r="P1166" s="283">
        <f>IFERROR(INDEX('Data Lokasi'!V:V,MATCH(C1166,'Data Lokasi'!C:C,0)),"")</f>
        <v>0</v>
      </c>
      <c r="Q1166" s="304">
        <f t="shared" si="31"/>
        <v>0</v>
      </c>
      <c r="R1166" s="308"/>
    </row>
    <row r="1167" spans="2:18" ht="15" hidden="1" thickTop="1">
      <c r="B1167" s="269">
        <v>46247</v>
      </c>
      <c r="C1167" s="268" t="s">
        <v>704</v>
      </c>
      <c r="D1167" s="274">
        <f>IFERROR(VLOOKUP(C1167,'Data Lokasi'!C:D,2,0),"")</f>
        <v>6.38</v>
      </c>
      <c r="E1167" s="274" t="s">
        <v>2642</v>
      </c>
      <c r="F1167" s="274"/>
      <c r="G1167" s="274"/>
      <c r="H1167" s="274"/>
      <c r="I1167" s="274">
        <v>0.3</v>
      </c>
      <c r="J1167" s="456">
        <f t="shared" si="30"/>
        <v>0.3</v>
      </c>
      <c r="K1167" s="583"/>
      <c r="L1167" s="268" t="s">
        <v>2625</v>
      </c>
      <c r="M1167" s="268" t="s">
        <v>2631</v>
      </c>
      <c r="N1167" s="278">
        <f>IFERROR(INDEX('Data Lokasi'!S:S,MATCH('Input Real Tanam&amp;Petik Nanas'!C1167,'Data Lokasi'!C:C,0)),"")</f>
        <v>45199</v>
      </c>
      <c r="O1167" s="278"/>
      <c r="P1167" s="283">
        <f>IFERROR(INDEX('Data Lokasi'!V:V,MATCH(C1167,'Data Lokasi'!C:C,0)),"")</f>
        <v>0</v>
      </c>
      <c r="Q1167" s="304">
        <f t="shared" si="31"/>
        <v>0</v>
      </c>
      <c r="R1167" s="308"/>
    </row>
    <row r="1168" spans="2:18" ht="15" hidden="1" thickTop="1">
      <c r="B1168" s="269">
        <v>46247</v>
      </c>
      <c r="C1168" s="268" t="s">
        <v>710</v>
      </c>
      <c r="D1168" s="274">
        <f>IFERROR(VLOOKUP(C1168,'Data Lokasi'!C:D,2,0),"")</f>
        <v>8.3699999999999992</v>
      </c>
      <c r="E1168" s="274" t="s">
        <v>2642</v>
      </c>
      <c r="F1168" s="274"/>
      <c r="G1168" s="274"/>
      <c r="H1168" s="274"/>
      <c r="I1168" s="274">
        <v>0.76</v>
      </c>
      <c r="J1168" s="456">
        <f t="shared" si="30"/>
        <v>0.76</v>
      </c>
      <c r="K1168" s="583"/>
      <c r="L1168" s="268" t="s">
        <v>2625</v>
      </c>
      <c r="M1168" s="268" t="s">
        <v>2631</v>
      </c>
      <c r="N1168" s="278">
        <f>IFERROR(INDEX('Data Lokasi'!S:S,MATCH('Input Real Tanam&amp;Petik Nanas'!C1168,'Data Lokasi'!C:C,0)),"")</f>
        <v>45246</v>
      </c>
      <c r="O1168" s="278"/>
      <c r="P1168" s="283">
        <f>IFERROR(INDEX('Data Lokasi'!V:V,MATCH(C1168,'Data Lokasi'!C:C,0)),"")</f>
        <v>0</v>
      </c>
      <c r="Q1168" s="304">
        <f t="shared" si="31"/>
        <v>0</v>
      </c>
      <c r="R1168" s="308"/>
    </row>
    <row r="1169" spans="2:18" ht="15" hidden="1" thickTop="1">
      <c r="B1169" s="269">
        <v>46247</v>
      </c>
      <c r="C1169" s="268" t="s">
        <v>708</v>
      </c>
      <c r="D1169" s="274">
        <f>IFERROR(VLOOKUP(C1169,'Data Lokasi'!C:D,2,0),"")</f>
        <v>7.54</v>
      </c>
      <c r="E1169" s="274" t="s">
        <v>2642</v>
      </c>
      <c r="F1169" s="274"/>
      <c r="G1169" s="274"/>
      <c r="H1169" s="274"/>
      <c r="I1169" s="274">
        <v>0.26</v>
      </c>
      <c r="J1169" s="456">
        <f t="shared" si="30"/>
        <v>0.26</v>
      </c>
      <c r="K1169" s="583"/>
      <c r="L1169" s="268" t="s">
        <v>2625</v>
      </c>
      <c r="M1169" s="268" t="s">
        <v>2631</v>
      </c>
      <c r="N1169" s="278">
        <f>IFERROR(INDEX('Data Lokasi'!S:S,MATCH('Input Real Tanam&amp;Petik Nanas'!C1169,'Data Lokasi'!C:C,0)),"")</f>
        <v>45240</v>
      </c>
      <c r="O1169" s="278"/>
      <c r="P1169" s="283">
        <f>IFERROR(INDEX('Data Lokasi'!V:V,MATCH(C1169,'Data Lokasi'!C:C,0)),"")</f>
        <v>0</v>
      </c>
      <c r="Q1169" s="304">
        <f t="shared" si="31"/>
        <v>0</v>
      </c>
      <c r="R1169" s="308"/>
    </row>
    <row r="1170" spans="2:18" ht="15" hidden="1" thickTop="1">
      <c r="B1170" s="269">
        <v>46247</v>
      </c>
      <c r="C1170" s="268" t="s">
        <v>705</v>
      </c>
      <c r="D1170" s="274">
        <f>IFERROR(VLOOKUP(C1170,'Data Lokasi'!C:D,2,0),"")</f>
        <v>7.67</v>
      </c>
      <c r="E1170" s="274" t="s">
        <v>2642</v>
      </c>
      <c r="F1170" s="274"/>
      <c r="G1170" s="274"/>
      <c r="H1170" s="274"/>
      <c r="I1170" s="274">
        <v>0.1</v>
      </c>
      <c r="J1170" s="456">
        <f t="shared" ref="J1170:J1207" si="32">IF(SUM(F1170:I1170)=0,"",(SUM(F1170:I1170)))</f>
        <v>0.1</v>
      </c>
      <c r="K1170" s="583"/>
      <c r="L1170" s="268" t="s">
        <v>2625</v>
      </c>
      <c r="M1170" s="268" t="s">
        <v>2631</v>
      </c>
      <c r="N1170" s="278">
        <f>IFERROR(INDEX('Data Lokasi'!S:S,MATCH('Input Real Tanam&amp;Petik Nanas'!C1170,'Data Lokasi'!C:C,0)),"")</f>
        <v>45202</v>
      </c>
      <c r="O1170" s="278"/>
      <c r="P1170" s="283">
        <f>IFERROR(INDEX('Data Lokasi'!V:V,MATCH(C1170,'Data Lokasi'!C:C,0)),"")</f>
        <v>0</v>
      </c>
      <c r="Q1170" s="304">
        <f t="shared" ref="Q1170:Q1207" si="33">IF(ISERROR(P1170/D1170),"",(P1170/D1170))</f>
        <v>0</v>
      </c>
      <c r="R1170" s="308"/>
    </row>
    <row r="1171" spans="2:18" ht="15" hidden="1" thickTop="1">
      <c r="B1171" s="269">
        <v>46247</v>
      </c>
      <c r="C1171" s="268" t="s">
        <v>692</v>
      </c>
      <c r="D1171" s="274">
        <f>IFERROR(VLOOKUP(C1171,'Data Lokasi'!C:D,2,0),"")</f>
        <v>3.93</v>
      </c>
      <c r="E1171" s="274" t="s">
        <v>2642</v>
      </c>
      <c r="F1171" s="274"/>
      <c r="G1171" s="274"/>
      <c r="H1171" s="274"/>
      <c r="I1171" s="274">
        <v>0.96</v>
      </c>
      <c r="J1171" s="456">
        <f t="shared" si="32"/>
        <v>0.96</v>
      </c>
      <c r="K1171" s="583"/>
      <c r="L1171" s="268" t="s">
        <v>2625</v>
      </c>
      <c r="M1171" s="268" t="s">
        <v>2634</v>
      </c>
      <c r="N1171" s="278">
        <f>IFERROR(INDEX('Data Lokasi'!S:S,MATCH('Input Real Tanam&amp;Petik Nanas'!C1171,'Data Lokasi'!C:C,0)),"")</f>
        <v>45111</v>
      </c>
      <c r="O1171" s="278"/>
      <c r="P1171" s="283">
        <f>IFERROR(INDEX('Data Lokasi'!V:V,MATCH(C1171,'Data Lokasi'!C:C,0)),"")</f>
        <v>0</v>
      </c>
      <c r="Q1171" s="304">
        <f t="shared" si="33"/>
        <v>0</v>
      </c>
      <c r="R1171" s="308"/>
    </row>
    <row r="1172" spans="2:18" ht="15" hidden="1" thickTop="1">
      <c r="B1172" s="269">
        <v>46247</v>
      </c>
      <c r="C1172" s="268" t="s">
        <v>659</v>
      </c>
      <c r="D1172" s="274">
        <f>IFERROR(VLOOKUP(C1172,'Data Lokasi'!C:D,2,0),"")</f>
        <v>5.7</v>
      </c>
      <c r="E1172" s="274" t="s">
        <v>2642</v>
      </c>
      <c r="F1172" s="274"/>
      <c r="G1172" s="274"/>
      <c r="H1172" s="274"/>
      <c r="I1172" s="274">
        <v>0.01</v>
      </c>
      <c r="J1172" s="456">
        <f t="shared" si="32"/>
        <v>0.01</v>
      </c>
      <c r="K1172" s="583"/>
      <c r="L1172" s="268" t="s">
        <v>2625</v>
      </c>
      <c r="M1172" s="268" t="s">
        <v>2634</v>
      </c>
      <c r="N1172" s="278">
        <f>IFERROR(INDEX('Data Lokasi'!S:S,MATCH('Input Real Tanam&amp;Petik Nanas'!C1172,'Data Lokasi'!C:C,0)),"")</f>
        <v>45010</v>
      </c>
      <c r="O1172" s="278"/>
      <c r="P1172" s="283">
        <f>IFERROR(INDEX('Data Lokasi'!V:V,MATCH(C1172,'Data Lokasi'!C:C,0)),"")</f>
        <v>0</v>
      </c>
      <c r="Q1172" s="304">
        <f t="shared" si="33"/>
        <v>0</v>
      </c>
      <c r="R1172" s="308"/>
    </row>
    <row r="1173" spans="2:18" ht="15" hidden="1" thickTop="1">
      <c r="B1173" s="269">
        <v>46247</v>
      </c>
      <c r="C1173" s="268" t="s">
        <v>329</v>
      </c>
      <c r="D1173" s="274">
        <f>IFERROR(VLOOKUP(C1173,'Data Lokasi'!C:D,2,0),"")</f>
        <v>6.68</v>
      </c>
      <c r="E1173" s="274" t="s">
        <v>2642</v>
      </c>
      <c r="F1173" s="274"/>
      <c r="G1173" s="274"/>
      <c r="H1173" s="274"/>
      <c r="I1173" s="274">
        <v>0.15</v>
      </c>
      <c r="J1173" s="456">
        <f t="shared" si="32"/>
        <v>0.15</v>
      </c>
      <c r="K1173" s="583"/>
      <c r="L1173" s="268" t="s">
        <v>2625</v>
      </c>
      <c r="M1173" s="268" t="s">
        <v>2634</v>
      </c>
      <c r="N1173" s="278">
        <f>IFERROR(INDEX('Data Lokasi'!S:S,MATCH('Input Real Tanam&amp;Petik Nanas'!C1173,'Data Lokasi'!C:C,0)),"")</f>
        <v>44218</v>
      </c>
      <c r="O1173" s="278"/>
      <c r="P1173" s="283">
        <f>IFERROR(INDEX('Data Lokasi'!V:V,MATCH(C1173,'Data Lokasi'!C:C,0)),"")</f>
        <v>0</v>
      </c>
      <c r="Q1173" s="304">
        <f t="shared" si="33"/>
        <v>0</v>
      </c>
      <c r="R1173" s="308"/>
    </row>
    <row r="1174" spans="2:18" ht="15" hidden="1" thickTop="1">
      <c r="B1174" s="269">
        <v>46247</v>
      </c>
      <c r="C1174" s="268" t="s">
        <v>234</v>
      </c>
      <c r="D1174" s="274">
        <f>IFERROR(VLOOKUP(C1174,'Data Lokasi'!C:D,2,0),"")</f>
        <v>5.85</v>
      </c>
      <c r="E1174" s="274" t="s">
        <v>2642</v>
      </c>
      <c r="F1174" s="274"/>
      <c r="G1174" s="274"/>
      <c r="H1174" s="274"/>
      <c r="I1174" s="274">
        <v>0.12</v>
      </c>
      <c r="J1174" s="456">
        <f t="shared" si="32"/>
        <v>0.12</v>
      </c>
      <c r="K1174" s="583"/>
      <c r="L1174" s="268" t="s">
        <v>2625</v>
      </c>
      <c r="M1174" s="268" t="s">
        <v>2634</v>
      </c>
      <c r="N1174" s="278">
        <f>IFERROR(INDEX('Data Lokasi'!S:S,MATCH('Input Real Tanam&amp;Petik Nanas'!C1174,'Data Lokasi'!C:C,0)),"")</f>
        <v>44038</v>
      </c>
      <c r="O1174" s="278"/>
      <c r="P1174" s="283">
        <f>IFERROR(INDEX('Data Lokasi'!V:V,MATCH(C1174,'Data Lokasi'!C:C,0)),"")</f>
        <v>0</v>
      </c>
      <c r="Q1174" s="304">
        <f t="shared" si="33"/>
        <v>0</v>
      </c>
      <c r="R1174" s="308"/>
    </row>
    <row r="1175" spans="2:18" ht="15" hidden="1" thickTop="1">
      <c r="B1175" s="269">
        <v>46247</v>
      </c>
      <c r="C1175" s="268" t="s">
        <v>126</v>
      </c>
      <c r="D1175" s="274">
        <f>IFERROR(VLOOKUP(C1175,'Data Lokasi'!C:D,2,0),"")</f>
        <v>6.39</v>
      </c>
      <c r="E1175" s="274" t="s">
        <v>2642</v>
      </c>
      <c r="F1175" s="274"/>
      <c r="G1175" s="274"/>
      <c r="H1175" s="274"/>
      <c r="I1175" s="274">
        <v>0.34</v>
      </c>
      <c r="J1175" s="456">
        <f t="shared" si="32"/>
        <v>0.34</v>
      </c>
      <c r="K1175" s="583"/>
      <c r="L1175" s="268" t="s">
        <v>2625</v>
      </c>
      <c r="M1175" s="268" t="s">
        <v>2634</v>
      </c>
      <c r="N1175" s="278">
        <f>IFERROR(INDEX('Data Lokasi'!S:S,MATCH('Input Real Tanam&amp;Petik Nanas'!C1175,'Data Lokasi'!C:C,0)),"")</f>
        <v>44207</v>
      </c>
      <c r="O1175" s="278"/>
      <c r="P1175" s="283">
        <f>IFERROR(INDEX('Data Lokasi'!V:V,MATCH(C1175,'Data Lokasi'!C:C,0)),"")</f>
        <v>0</v>
      </c>
      <c r="Q1175" s="304">
        <f t="shared" si="33"/>
        <v>0</v>
      </c>
      <c r="R1175" s="308"/>
    </row>
    <row r="1176" spans="2:18" ht="15" hidden="1" thickTop="1">
      <c r="B1176" s="269">
        <v>46247</v>
      </c>
      <c r="C1176" s="268" t="s">
        <v>677</v>
      </c>
      <c r="D1176" s="274">
        <f>IFERROR(VLOOKUP(C1176,'Data Lokasi'!C:D,2,0),"")</f>
        <v>8.2100000000000009</v>
      </c>
      <c r="E1176" s="274" t="s">
        <v>2642</v>
      </c>
      <c r="F1176" s="274"/>
      <c r="G1176" s="274"/>
      <c r="H1176" s="274"/>
      <c r="I1176" s="274">
        <v>0.18</v>
      </c>
      <c r="J1176" s="456">
        <f t="shared" si="32"/>
        <v>0.18</v>
      </c>
      <c r="K1176" s="583"/>
      <c r="L1176" s="268" t="s">
        <v>2625</v>
      </c>
      <c r="M1176" s="268" t="s">
        <v>2634</v>
      </c>
      <c r="N1176" s="278">
        <f>IFERROR(INDEX('Data Lokasi'!S:S,MATCH('Input Real Tanam&amp;Petik Nanas'!C1176,'Data Lokasi'!C:C,0)),"")</f>
        <v>45071</v>
      </c>
      <c r="O1176" s="278"/>
      <c r="P1176" s="283">
        <f>IFERROR(INDEX('Data Lokasi'!V:V,MATCH(C1176,'Data Lokasi'!C:C,0)),"")</f>
        <v>0</v>
      </c>
      <c r="Q1176" s="304">
        <f t="shared" si="33"/>
        <v>0</v>
      </c>
      <c r="R1176" s="308"/>
    </row>
    <row r="1177" spans="2:18" ht="15" hidden="1" thickTop="1">
      <c r="B1177" s="269">
        <v>46247</v>
      </c>
      <c r="C1177" s="268" t="s">
        <v>2647</v>
      </c>
      <c r="D1177" s="274">
        <f>IFERROR(VLOOKUP(C1177,'Data Lokasi'!C:D,2,0),"")</f>
        <v>6.12</v>
      </c>
      <c r="E1177" s="274" t="s">
        <v>2642</v>
      </c>
      <c r="F1177" s="274"/>
      <c r="G1177" s="274">
        <v>0.11</v>
      </c>
      <c r="H1177" s="274"/>
      <c r="I1177" s="274"/>
      <c r="J1177" s="456">
        <f t="shared" si="32"/>
        <v>0.11</v>
      </c>
      <c r="K1177" s="583"/>
      <c r="L1177" s="268" t="s">
        <v>719</v>
      </c>
      <c r="M1177" s="268" t="s">
        <v>2634</v>
      </c>
      <c r="N1177" s="278">
        <f>IFERROR(INDEX('Data Lokasi'!S:S,MATCH('Input Real Tanam&amp;Petik Nanas'!C1177,'Data Lokasi'!C:C,0)),"")</f>
        <v>46237</v>
      </c>
      <c r="O1177" s="278"/>
      <c r="P1177" s="283">
        <f>IFERROR(INDEX('Data Lokasi'!V:V,MATCH(C1177,'Data Lokasi'!C:C,0)),"")</f>
        <v>6.12</v>
      </c>
      <c r="Q1177" s="304">
        <f t="shared" si="33"/>
        <v>1</v>
      </c>
      <c r="R1177" s="308"/>
    </row>
    <row r="1178" spans="2:18" ht="15" hidden="1" thickTop="1">
      <c r="B1178" s="269">
        <v>46247</v>
      </c>
      <c r="C1178" s="268" t="s">
        <v>2692</v>
      </c>
      <c r="D1178" s="274">
        <f>IFERROR(VLOOKUP(C1178,'Data Lokasi'!C:D,2,0),"")</f>
        <v>8.9600000000000009</v>
      </c>
      <c r="E1178" s="274" t="s">
        <v>2642</v>
      </c>
      <c r="F1178" s="274"/>
      <c r="G1178" s="274"/>
      <c r="H1178" s="274"/>
      <c r="I1178" s="274">
        <v>0.34</v>
      </c>
      <c r="J1178" s="456">
        <f t="shared" si="32"/>
        <v>0.34</v>
      </c>
      <c r="K1178" s="583"/>
      <c r="L1178" s="268" t="s">
        <v>2625</v>
      </c>
      <c r="M1178" s="268" t="s">
        <v>2634</v>
      </c>
      <c r="N1178" s="278">
        <f>IFERROR(INDEX('Data Lokasi'!S:S,MATCH('Input Real Tanam&amp;Petik Nanas'!C1178,'Data Lokasi'!C:C,0)),"")</f>
        <v>46238</v>
      </c>
      <c r="O1178" s="278"/>
      <c r="P1178" s="283">
        <f>IFERROR(INDEX('Data Lokasi'!V:V,MATCH(C1178,'Data Lokasi'!C:C,0)),"")</f>
        <v>8.9600000000000009</v>
      </c>
      <c r="Q1178" s="304">
        <f t="shared" si="33"/>
        <v>1</v>
      </c>
      <c r="R1178" s="308"/>
    </row>
    <row r="1179" spans="2:18" ht="15" hidden="1" thickTop="1">
      <c r="B1179" s="269">
        <v>46247</v>
      </c>
      <c r="C1179" s="268" t="s">
        <v>488</v>
      </c>
      <c r="D1179" s="274">
        <f>IFERROR(VLOOKUP(C1179,'Data Lokasi'!C:D,2,0),"")</f>
        <v>11.2</v>
      </c>
      <c r="E1179" s="274" t="s">
        <v>2643</v>
      </c>
      <c r="F1179" s="274"/>
      <c r="G1179" s="274"/>
      <c r="H1179" s="274">
        <f>0.02+0.06</f>
        <v>0.08</v>
      </c>
      <c r="I1179" s="274"/>
      <c r="J1179" s="456">
        <f t="shared" si="32"/>
        <v>0.08</v>
      </c>
      <c r="K1179" s="583"/>
      <c r="L1179" s="268" t="s">
        <v>719</v>
      </c>
      <c r="M1179" s="268" t="s">
        <v>2634</v>
      </c>
      <c r="N1179" s="278">
        <f>IFERROR(INDEX('Data Lokasi'!S:S,MATCH('Input Real Tanam&amp;Petik Nanas'!C1179,'Data Lokasi'!C:C,0)),"")</f>
        <v>44529</v>
      </c>
      <c r="O1179" s="278"/>
      <c r="P1179" s="283">
        <f>IFERROR(INDEX('Data Lokasi'!V:V,MATCH(C1179,'Data Lokasi'!C:C,0)),"")</f>
        <v>0</v>
      </c>
      <c r="Q1179" s="304">
        <f t="shared" si="33"/>
        <v>0</v>
      </c>
      <c r="R1179" s="308">
        <v>2</v>
      </c>
    </row>
    <row r="1180" spans="2:18" ht="15" hidden="1" thickTop="1">
      <c r="B1180" s="269">
        <v>46247</v>
      </c>
      <c r="C1180" s="268" t="s">
        <v>478</v>
      </c>
      <c r="D1180" s="274">
        <f>IFERROR(VLOOKUP(C1180,'Data Lokasi'!C:D,2,0),"")</f>
        <v>6.8</v>
      </c>
      <c r="E1180" s="274" t="s">
        <v>2643</v>
      </c>
      <c r="F1180" s="274"/>
      <c r="G1180" s="274">
        <v>0.01</v>
      </c>
      <c r="H1180" s="274">
        <f>0.08+0.21</f>
        <v>0.28999999999999998</v>
      </c>
      <c r="I1180" s="274"/>
      <c r="J1180" s="456">
        <f t="shared" si="32"/>
        <v>0.3</v>
      </c>
      <c r="K1180" s="583"/>
      <c r="L1180" s="268" t="s">
        <v>719</v>
      </c>
      <c r="M1180" s="268" t="s">
        <v>2634</v>
      </c>
      <c r="N1180" s="278">
        <f>IFERROR(INDEX('Data Lokasi'!S:S,MATCH('Input Real Tanam&amp;Petik Nanas'!C1180,'Data Lokasi'!C:C,0)),"")</f>
        <v>44517</v>
      </c>
      <c r="O1180" s="278"/>
      <c r="P1180" s="283">
        <f>IFERROR(INDEX('Data Lokasi'!V:V,MATCH(C1180,'Data Lokasi'!C:C,0)),"")</f>
        <v>0</v>
      </c>
      <c r="Q1180" s="304">
        <f t="shared" si="33"/>
        <v>0</v>
      </c>
      <c r="R1180" s="308">
        <v>2</v>
      </c>
    </row>
    <row r="1181" spans="2:18" ht="15" hidden="1" thickTop="1">
      <c r="B1181" s="269">
        <v>46247</v>
      </c>
      <c r="C1181" s="268" t="s">
        <v>381</v>
      </c>
      <c r="D1181" s="274">
        <f>IFERROR(VLOOKUP(C1181,'Data Lokasi'!C:D,2,0),"")</f>
        <v>8.18</v>
      </c>
      <c r="E1181" s="274" t="s">
        <v>2643</v>
      </c>
      <c r="F1181" s="274"/>
      <c r="G1181" s="274">
        <f>0.06+0.06</f>
        <v>0.12</v>
      </c>
      <c r="H1181" s="274">
        <f>0.03+0.02</f>
        <v>0.05</v>
      </c>
      <c r="I1181" s="274"/>
      <c r="J1181" s="456">
        <f t="shared" si="32"/>
        <v>0.16999999999999998</v>
      </c>
      <c r="K1181" s="583"/>
      <c r="L1181" s="268" t="s">
        <v>719</v>
      </c>
      <c r="M1181" s="268" t="s">
        <v>2634</v>
      </c>
      <c r="N1181" s="278">
        <f>IFERROR(INDEX('Data Lokasi'!S:S,MATCH('Input Real Tanam&amp;Petik Nanas'!C1181,'Data Lokasi'!C:C,0)),"")</f>
        <v>44335</v>
      </c>
      <c r="O1181" s="278"/>
      <c r="P1181" s="283">
        <f>IFERROR(INDEX('Data Lokasi'!V:V,MATCH(C1181,'Data Lokasi'!C:C,0)),"")</f>
        <v>0</v>
      </c>
      <c r="Q1181" s="304">
        <f t="shared" si="33"/>
        <v>0</v>
      </c>
      <c r="R1181" s="308">
        <v>6</v>
      </c>
    </row>
    <row r="1182" spans="2:18" ht="15" hidden="1" thickTop="1">
      <c r="B1182" s="269">
        <v>46247</v>
      </c>
      <c r="C1182" s="268" t="s">
        <v>318</v>
      </c>
      <c r="D1182" s="274">
        <f>IFERROR(VLOOKUP(C1182,'Data Lokasi'!C:D,2,0),"")</f>
        <v>11.17</v>
      </c>
      <c r="E1182" s="274" t="s">
        <v>2643</v>
      </c>
      <c r="F1182" s="274"/>
      <c r="G1182" s="274"/>
      <c r="H1182" s="274"/>
      <c r="I1182" s="274">
        <v>0.65</v>
      </c>
      <c r="J1182" s="456">
        <f t="shared" si="32"/>
        <v>0.65</v>
      </c>
      <c r="K1182" s="583"/>
      <c r="L1182" s="268" t="s">
        <v>2625</v>
      </c>
      <c r="M1182" s="268" t="s">
        <v>2631</v>
      </c>
      <c r="N1182" s="278">
        <f>IFERROR(INDEX('Data Lokasi'!S:S,MATCH('Input Real Tanam&amp;Petik Nanas'!C1182,'Data Lokasi'!C:C,0)),"")</f>
        <v>44216</v>
      </c>
      <c r="O1182" s="278"/>
      <c r="P1182" s="283">
        <f>IFERROR(INDEX('Data Lokasi'!V:V,MATCH(C1182,'Data Lokasi'!C:C,0)),"")</f>
        <v>0</v>
      </c>
      <c r="Q1182" s="304">
        <f t="shared" si="33"/>
        <v>0</v>
      </c>
      <c r="R1182" s="308"/>
    </row>
    <row r="1183" spans="2:18" ht="15" hidden="1" thickTop="1">
      <c r="B1183" s="269">
        <v>46247</v>
      </c>
      <c r="C1183" s="268" t="s">
        <v>342</v>
      </c>
      <c r="D1183" s="274">
        <f>IFERROR(VLOOKUP(C1183,'Data Lokasi'!C:D,2,0),"")</f>
        <v>5.24</v>
      </c>
      <c r="E1183" s="274" t="s">
        <v>2643</v>
      </c>
      <c r="F1183" s="274"/>
      <c r="G1183" s="274"/>
      <c r="H1183" s="274"/>
      <c r="I1183" s="274">
        <v>1.1000000000000001</v>
      </c>
      <c r="J1183" s="456">
        <f t="shared" si="32"/>
        <v>1.1000000000000001</v>
      </c>
      <c r="K1183" s="583"/>
      <c r="L1183" s="268" t="s">
        <v>2625</v>
      </c>
      <c r="M1183" s="268" t="s">
        <v>2631</v>
      </c>
      <c r="N1183" s="278">
        <f>IFERROR(INDEX('Data Lokasi'!S:S,MATCH('Input Real Tanam&amp;Petik Nanas'!C1183,'Data Lokasi'!C:C,0)),"")</f>
        <v>0</v>
      </c>
      <c r="O1183" s="278"/>
      <c r="P1183" s="283">
        <f>IFERROR(INDEX('Data Lokasi'!V:V,MATCH(C1183,'Data Lokasi'!C:C,0)),"")</f>
        <v>0</v>
      </c>
      <c r="Q1183" s="304">
        <f t="shared" si="33"/>
        <v>0</v>
      </c>
      <c r="R1183" s="308"/>
    </row>
    <row r="1184" spans="2:18" ht="15" hidden="1" thickTop="1">
      <c r="B1184" s="269">
        <v>46248</v>
      </c>
      <c r="C1184" s="268" t="s">
        <v>108</v>
      </c>
      <c r="D1184" s="274">
        <f>IFERROR(VLOOKUP(C1184,'Data Lokasi'!C:D,2,0),"")</f>
        <v>10.45</v>
      </c>
      <c r="E1184" s="274" t="s">
        <v>2642</v>
      </c>
      <c r="F1184" s="274"/>
      <c r="G1184" s="274"/>
      <c r="H1184" s="274"/>
      <c r="I1184" s="274">
        <v>0.34</v>
      </c>
      <c r="J1184" s="456">
        <f t="shared" si="32"/>
        <v>0.34</v>
      </c>
      <c r="K1184" s="583"/>
      <c r="L1184" s="268" t="s">
        <v>2625</v>
      </c>
      <c r="M1184" s="268" t="s">
        <v>2631</v>
      </c>
      <c r="N1184" s="278">
        <f>IFERROR(INDEX('Data Lokasi'!S:S,MATCH('Input Real Tanam&amp;Petik Nanas'!C1184,'Data Lokasi'!C:C,0)),"")</f>
        <v>44176</v>
      </c>
      <c r="O1184" s="278"/>
      <c r="P1184" s="283">
        <f>IFERROR(INDEX('Data Lokasi'!V:V,MATCH(C1184,'Data Lokasi'!C:C,0)),"")</f>
        <v>0</v>
      </c>
      <c r="Q1184" s="304">
        <f t="shared" si="33"/>
        <v>0</v>
      </c>
      <c r="R1184" s="308"/>
    </row>
    <row r="1185" spans="2:18" ht="15" hidden="1" thickTop="1">
      <c r="B1185" s="269">
        <v>46248</v>
      </c>
      <c r="C1185" s="268" t="s">
        <v>705</v>
      </c>
      <c r="D1185" s="274">
        <f>IFERROR(VLOOKUP(C1185,'Data Lokasi'!C:D,2,0),"")</f>
        <v>7.67</v>
      </c>
      <c r="E1185" s="274" t="s">
        <v>2642</v>
      </c>
      <c r="F1185" s="274"/>
      <c r="G1185" s="274"/>
      <c r="H1185" s="274"/>
      <c r="I1185" s="274">
        <v>0.11</v>
      </c>
      <c r="J1185" s="456">
        <f t="shared" si="32"/>
        <v>0.11</v>
      </c>
      <c r="K1185" s="583"/>
      <c r="L1185" s="268" t="s">
        <v>2625</v>
      </c>
      <c r="M1185" s="268" t="s">
        <v>2631</v>
      </c>
      <c r="N1185" s="278">
        <f>IFERROR(INDEX('Data Lokasi'!S:S,MATCH('Input Real Tanam&amp;Petik Nanas'!C1185,'Data Lokasi'!C:C,0)),"")</f>
        <v>45202</v>
      </c>
      <c r="O1185" s="278"/>
      <c r="P1185" s="283">
        <f>IFERROR(INDEX('Data Lokasi'!V:V,MATCH(C1185,'Data Lokasi'!C:C,0)),"")</f>
        <v>0</v>
      </c>
      <c r="Q1185" s="304">
        <f t="shared" si="33"/>
        <v>0</v>
      </c>
      <c r="R1185" s="308"/>
    </row>
    <row r="1186" spans="2:18" ht="15" hidden="1" thickTop="1">
      <c r="B1186" s="269">
        <v>46248</v>
      </c>
      <c r="C1186" s="268" t="s">
        <v>710</v>
      </c>
      <c r="D1186" s="274">
        <f>IFERROR(VLOOKUP(C1186,'Data Lokasi'!C:D,2,0),"")</f>
        <v>8.3699999999999992</v>
      </c>
      <c r="E1186" s="274" t="s">
        <v>2642</v>
      </c>
      <c r="F1186" s="274"/>
      <c r="G1186" s="274"/>
      <c r="H1186" s="274"/>
      <c r="I1186" s="274">
        <v>7.0000000000000007E-2</v>
      </c>
      <c r="J1186" s="456">
        <f t="shared" si="32"/>
        <v>7.0000000000000007E-2</v>
      </c>
      <c r="K1186" s="583"/>
      <c r="L1186" s="268" t="s">
        <v>2625</v>
      </c>
      <c r="M1186" s="268" t="s">
        <v>2631</v>
      </c>
      <c r="N1186" s="278">
        <f>IFERROR(INDEX('Data Lokasi'!S:S,MATCH('Input Real Tanam&amp;Petik Nanas'!C1186,'Data Lokasi'!C:C,0)),"")</f>
        <v>45246</v>
      </c>
      <c r="O1186" s="278"/>
      <c r="P1186" s="283">
        <f>IFERROR(INDEX('Data Lokasi'!V:V,MATCH(C1186,'Data Lokasi'!C:C,0)),"")</f>
        <v>0</v>
      </c>
      <c r="Q1186" s="304">
        <f t="shared" si="33"/>
        <v>0</v>
      </c>
      <c r="R1186" s="308"/>
    </row>
    <row r="1187" spans="2:18" ht="15" hidden="1" thickTop="1">
      <c r="B1187" s="269">
        <v>46248</v>
      </c>
      <c r="C1187" s="268" t="s">
        <v>704</v>
      </c>
      <c r="D1187" s="274">
        <f>IFERROR(VLOOKUP(C1187,'Data Lokasi'!C:D,2,0),"")</f>
        <v>6.38</v>
      </c>
      <c r="E1187" s="274" t="s">
        <v>2642</v>
      </c>
      <c r="F1187" s="274"/>
      <c r="G1187" s="274"/>
      <c r="H1187" s="274"/>
      <c r="I1187" s="274">
        <v>0.87</v>
      </c>
      <c r="J1187" s="456">
        <f t="shared" si="32"/>
        <v>0.87</v>
      </c>
      <c r="K1187" s="583"/>
      <c r="L1187" s="268" t="s">
        <v>2625</v>
      </c>
      <c r="M1187" s="268" t="s">
        <v>2631</v>
      </c>
      <c r="N1187" s="278">
        <f>IFERROR(INDEX('Data Lokasi'!S:S,MATCH('Input Real Tanam&amp;Petik Nanas'!C1187,'Data Lokasi'!C:C,0)),"")</f>
        <v>45199</v>
      </c>
      <c r="O1187" s="278"/>
      <c r="P1187" s="283">
        <f>IFERROR(INDEX('Data Lokasi'!V:V,MATCH(C1187,'Data Lokasi'!C:C,0)),"")</f>
        <v>0</v>
      </c>
      <c r="Q1187" s="304">
        <f t="shared" si="33"/>
        <v>0</v>
      </c>
      <c r="R1187" s="308"/>
    </row>
    <row r="1188" spans="2:18" ht="15" hidden="1" thickTop="1">
      <c r="B1188" s="269">
        <v>46248</v>
      </c>
      <c r="C1188" s="268" t="s">
        <v>270</v>
      </c>
      <c r="D1188" s="274">
        <f>IFERROR(VLOOKUP(C1188,'Data Lokasi'!C:D,2,0),"")</f>
        <v>6.13</v>
      </c>
      <c r="E1188" s="274" t="s">
        <v>2642</v>
      </c>
      <c r="F1188" s="274"/>
      <c r="G1188" s="274"/>
      <c r="H1188" s="274"/>
      <c r="I1188" s="274">
        <v>0.69</v>
      </c>
      <c r="J1188" s="456">
        <f t="shared" si="32"/>
        <v>0.69</v>
      </c>
      <c r="K1188" s="583"/>
      <c r="L1188" s="268" t="s">
        <v>2625</v>
      </c>
      <c r="M1188" s="268" t="s">
        <v>2631</v>
      </c>
      <c r="N1188" s="278">
        <f>IFERROR(INDEX('Data Lokasi'!S:S,MATCH('Input Real Tanam&amp;Petik Nanas'!C1188,'Data Lokasi'!C:C,0)),"")</f>
        <v>44086</v>
      </c>
      <c r="O1188" s="278"/>
      <c r="P1188" s="283">
        <f>IFERROR(INDEX('Data Lokasi'!V:V,MATCH(C1188,'Data Lokasi'!C:C,0)),"")</f>
        <v>0</v>
      </c>
      <c r="Q1188" s="304">
        <f t="shared" si="33"/>
        <v>0</v>
      </c>
      <c r="R1188" s="308"/>
    </row>
    <row r="1189" spans="2:18" ht="15" hidden="1" thickTop="1">
      <c r="B1189" s="269">
        <v>46248</v>
      </c>
      <c r="C1189" s="268" t="s">
        <v>289</v>
      </c>
      <c r="D1189" s="274">
        <f>IFERROR(VLOOKUP(C1189,'Data Lokasi'!C:D,2,0),"")</f>
        <v>2.87</v>
      </c>
      <c r="E1189" s="274" t="s">
        <v>2642</v>
      </c>
      <c r="F1189" s="274"/>
      <c r="G1189" s="274"/>
      <c r="H1189" s="274"/>
      <c r="I1189" s="274">
        <v>0.3</v>
      </c>
      <c r="J1189" s="456">
        <f t="shared" si="32"/>
        <v>0.3</v>
      </c>
      <c r="K1189" s="583"/>
      <c r="L1189" s="268" t="s">
        <v>2625</v>
      </c>
      <c r="M1189" s="268" t="s">
        <v>2631</v>
      </c>
      <c r="N1189" s="278">
        <f>IFERROR(INDEX('Data Lokasi'!S:S,MATCH('Input Real Tanam&amp;Petik Nanas'!C1189,'Data Lokasi'!C:C,0)),"")</f>
        <v>44121</v>
      </c>
      <c r="O1189" s="278"/>
      <c r="P1189" s="283">
        <f>IFERROR(INDEX('Data Lokasi'!V:V,MATCH(C1189,'Data Lokasi'!C:C,0)),"")</f>
        <v>0</v>
      </c>
      <c r="Q1189" s="304">
        <f t="shared" si="33"/>
        <v>0</v>
      </c>
      <c r="R1189" s="308"/>
    </row>
    <row r="1190" spans="2:18" ht="15" hidden="1" thickTop="1">
      <c r="B1190" s="269">
        <v>46248</v>
      </c>
      <c r="C1190" s="268" t="s">
        <v>2646</v>
      </c>
      <c r="D1190" s="274">
        <f>IFERROR(VLOOKUP(C1190,'Data Lokasi'!C:D,2,0),"")</f>
        <v>8.41</v>
      </c>
      <c r="E1190" s="274" t="s">
        <v>2642</v>
      </c>
      <c r="F1190" s="274"/>
      <c r="G1190" s="274"/>
      <c r="H1190" s="274">
        <v>0.78</v>
      </c>
      <c r="I1190" s="274"/>
      <c r="J1190" s="456">
        <f t="shared" si="32"/>
        <v>0.78</v>
      </c>
      <c r="K1190" s="583"/>
      <c r="L1190" s="268" t="s">
        <v>719</v>
      </c>
      <c r="M1190" s="268" t="s">
        <v>2634</v>
      </c>
      <c r="N1190" s="278">
        <f>IFERROR(INDEX('Data Lokasi'!S:S,MATCH('Input Real Tanam&amp;Petik Nanas'!C1190,'Data Lokasi'!C:C,0)),"")</f>
        <v>46248</v>
      </c>
      <c r="O1190" s="278"/>
      <c r="P1190" s="283">
        <f>IFERROR(INDEX('Data Lokasi'!V:V,MATCH(C1190,'Data Lokasi'!C:C,0)),"")</f>
        <v>8.41</v>
      </c>
      <c r="Q1190" s="304">
        <f t="shared" si="33"/>
        <v>1</v>
      </c>
      <c r="R1190" s="308"/>
    </row>
    <row r="1191" spans="2:18" ht="15" hidden="1" thickTop="1">
      <c r="B1191" s="269">
        <v>46248</v>
      </c>
      <c r="C1191" s="268" t="s">
        <v>684</v>
      </c>
      <c r="D1191" s="274">
        <f>IFERROR(VLOOKUP(C1191,'Data Lokasi'!C:D,2,0),"")</f>
        <v>8.8699999999999992</v>
      </c>
      <c r="E1191" s="274" t="s">
        <v>2642</v>
      </c>
      <c r="F1191" s="274"/>
      <c r="G1191" s="274"/>
      <c r="H1191" s="274"/>
      <c r="I1191" s="274">
        <v>7.0000000000000007E-2</v>
      </c>
      <c r="J1191" s="456">
        <f t="shared" si="32"/>
        <v>7.0000000000000007E-2</v>
      </c>
      <c r="K1191" s="583"/>
      <c r="L1191" s="268" t="s">
        <v>2625</v>
      </c>
      <c r="M1191" s="268" t="s">
        <v>2634</v>
      </c>
      <c r="N1191" s="278">
        <f>IFERROR(INDEX('Data Lokasi'!S:S,MATCH('Input Real Tanam&amp;Petik Nanas'!C1191,'Data Lokasi'!C:C,0)),"")</f>
        <v>45090</v>
      </c>
      <c r="O1191" s="278"/>
      <c r="P1191" s="283">
        <f>IFERROR(INDEX('Data Lokasi'!V:V,MATCH(C1191,'Data Lokasi'!C:C,0)),"")</f>
        <v>0</v>
      </c>
      <c r="Q1191" s="304">
        <f t="shared" si="33"/>
        <v>0</v>
      </c>
      <c r="R1191" s="308"/>
    </row>
    <row r="1192" spans="2:18" ht="15" hidden="1" thickTop="1">
      <c r="B1192" s="269">
        <v>46248</v>
      </c>
      <c r="C1192" s="268" t="s">
        <v>2691</v>
      </c>
      <c r="D1192" s="274">
        <f>IFERROR(VLOOKUP(C1192,'Data Lokasi'!C:D,2,0),"")</f>
        <v>5.37</v>
      </c>
      <c r="E1192" s="274" t="s">
        <v>2642</v>
      </c>
      <c r="F1192" s="274"/>
      <c r="G1192" s="274"/>
      <c r="H1192" s="274"/>
      <c r="I1192" s="274">
        <v>0.56999999999999995</v>
      </c>
      <c r="J1192" s="456">
        <f t="shared" si="32"/>
        <v>0.56999999999999995</v>
      </c>
      <c r="K1192" s="583"/>
      <c r="L1192" s="268" t="s">
        <v>2625</v>
      </c>
      <c r="M1192" s="268" t="s">
        <v>2634</v>
      </c>
      <c r="N1192" s="278">
        <f>IFERROR(INDEX('Data Lokasi'!S:S,MATCH('Input Real Tanam&amp;Petik Nanas'!C1192,'Data Lokasi'!C:C,0)),"")</f>
        <v>46236</v>
      </c>
      <c r="O1192" s="278"/>
      <c r="P1192" s="283">
        <f>IFERROR(INDEX('Data Lokasi'!V:V,MATCH(C1192,'Data Lokasi'!C:C,0)),"")</f>
        <v>5.37</v>
      </c>
      <c r="Q1192" s="304">
        <f t="shared" si="33"/>
        <v>1</v>
      </c>
      <c r="R1192" s="308"/>
    </row>
    <row r="1193" spans="2:18" ht="15" hidden="1" thickTop="1">
      <c r="B1193" s="269">
        <v>46248</v>
      </c>
      <c r="C1193" s="268" t="s">
        <v>2692</v>
      </c>
      <c r="D1193" s="274">
        <f>IFERROR(VLOOKUP(C1193,'Data Lokasi'!C:D,2,0),"")</f>
        <v>8.9600000000000009</v>
      </c>
      <c r="E1193" s="274" t="s">
        <v>2642</v>
      </c>
      <c r="F1193" s="274"/>
      <c r="G1193" s="274"/>
      <c r="H1193" s="274"/>
      <c r="I1193" s="274">
        <v>0.23</v>
      </c>
      <c r="J1193" s="456">
        <f t="shared" si="32"/>
        <v>0.23</v>
      </c>
      <c r="K1193" s="583"/>
      <c r="L1193" s="268" t="s">
        <v>2625</v>
      </c>
      <c r="M1193" s="268" t="s">
        <v>2634</v>
      </c>
      <c r="N1193" s="278">
        <f>IFERROR(INDEX('Data Lokasi'!S:S,MATCH('Input Real Tanam&amp;Petik Nanas'!C1193,'Data Lokasi'!C:C,0)),"")</f>
        <v>46238</v>
      </c>
      <c r="O1193" s="278"/>
      <c r="P1193" s="283">
        <f>IFERROR(INDEX('Data Lokasi'!V:V,MATCH(C1193,'Data Lokasi'!C:C,0)),"")</f>
        <v>8.9600000000000009</v>
      </c>
      <c r="Q1193" s="304">
        <f t="shared" si="33"/>
        <v>1</v>
      </c>
      <c r="R1193" s="308"/>
    </row>
    <row r="1194" spans="2:18" ht="15" hidden="1" thickTop="1">
      <c r="B1194" s="269">
        <v>46248</v>
      </c>
      <c r="C1194" s="268" t="s">
        <v>294</v>
      </c>
      <c r="D1194" s="274">
        <f>IFERROR(VLOOKUP(C1194,'Data Lokasi'!C:D,2,0),"")</f>
        <v>6.93</v>
      </c>
      <c r="E1194" s="274" t="s">
        <v>2642</v>
      </c>
      <c r="F1194" s="274"/>
      <c r="G1194" s="274"/>
      <c r="H1194" s="274">
        <v>0.05</v>
      </c>
      <c r="I1194" s="274"/>
      <c r="J1194" s="456">
        <f t="shared" si="32"/>
        <v>0.05</v>
      </c>
      <c r="K1194" s="583"/>
      <c r="L1194" s="268" t="s">
        <v>719</v>
      </c>
      <c r="M1194" s="268" t="s">
        <v>2634</v>
      </c>
      <c r="N1194" s="278">
        <f>IFERROR(INDEX('Data Lokasi'!S:S,MATCH('Input Real Tanam&amp;Petik Nanas'!C1194,'Data Lokasi'!C:C,0)),"")</f>
        <v>44139</v>
      </c>
      <c r="O1194" s="278"/>
      <c r="P1194" s="283">
        <f>IFERROR(INDEX('Data Lokasi'!V:V,MATCH(C1194,'Data Lokasi'!C:C,0)),"")</f>
        <v>0</v>
      </c>
      <c r="Q1194" s="304">
        <f t="shared" si="33"/>
        <v>0</v>
      </c>
      <c r="R1194" s="308"/>
    </row>
    <row r="1195" spans="2:18" ht="15" hidden="1" thickTop="1">
      <c r="B1195" s="269">
        <v>46248</v>
      </c>
      <c r="C1195" s="268" t="s">
        <v>344</v>
      </c>
      <c r="D1195" s="274">
        <f>IFERROR(VLOOKUP(C1195,'Data Lokasi'!C:D,2,0),"")</f>
        <v>7.27</v>
      </c>
      <c r="E1195" s="274" t="s">
        <v>2643</v>
      </c>
      <c r="F1195" s="274"/>
      <c r="G1195" s="274"/>
      <c r="H1195" s="274"/>
      <c r="I1195" s="274">
        <v>2.56</v>
      </c>
      <c r="J1195" s="456">
        <f t="shared" si="32"/>
        <v>2.56</v>
      </c>
      <c r="K1195" s="583"/>
      <c r="L1195" s="268" t="s">
        <v>2625</v>
      </c>
      <c r="M1195" s="268" t="s">
        <v>2631</v>
      </c>
      <c r="N1195" s="278">
        <f>IFERROR(INDEX('Data Lokasi'!S:S,MATCH('Input Real Tanam&amp;Petik Nanas'!C1195,'Data Lokasi'!C:C,0)),"")</f>
        <v>0</v>
      </c>
      <c r="O1195" s="278"/>
      <c r="P1195" s="283">
        <f>IFERROR(INDEX('Data Lokasi'!V:V,MATCH(C1195,'Data Lokasi'!C:C,0)),"")</f>
        <v>0</v>
      </c>
      <c r="Q1195" s="304">
        <f t="shared" si="33"/>
        <v>0</v>
      </c>
      <c r="R1195" s="308"/>
    </row>
    <row r="1196" spans="2:18" ht="15" hidden="1" thickTop="1">
      <c r="B1196" s="269">
        <v>46248</v>
      </c>
      <c r="C1196" s="268" t="s">
        <v>381</v>
      </c>
      <c r="D1196" s="274">
        <f>IFERROR(VLOOKUP(C1196,'Data Lokasi'!C:D,2,0),"")</f>
        <v>8.18</v>
      </c>
      <c r="E1196" s="274" t="s">
        <v>2643</v>
      </c>
      <c r="F1196" s="274"/>
      <c r="G1196" s="274">
        <f>0.07+0.09</f>
        <v>0.16</v>
      </c>
      <c r="H1196" s="274">
        <f>0.04+0.04</f>
        <v>0.08</v>
      </c>
      <c r="I1196" s="274"/>
      <c r="J1196" s="456">
        <f t="shared" si="32"/>
        <v>0.24</v>
      </c>
      <c r="K1196" s="583"/>
      <c r="L1196" s="268" t="s">
        <v>719</v>
      </c>
      <c r="M1196" s="268" t="s">
        <v>2634</v>
      </c>
      <c r="N1196" s="278">
        <f>IFERROR(INDEX('Data Lokasi'!S:S,MATCH('Input Real Tanam&amp;Petik Nanas'!C1196,'Data Lokasi'!C:C,0)),"")</f>
        <v>44335</v>
      </c>
      <c r="O1196" s="278"/>
      <c r="P1196" s="283">
        <f>IFERROR(INDEX('Data Lokasi'!V:V,MATCH(C1196,'Data Lokasi'!C:C,0)),"")</f>
        <v>0</v>
      </c>
      <c r="Q1196" s="304">
        <f t="shared" si="33"/>
        <v>0</v>
      </c>
      <c r="R1196" s="308">
        <v>6</v>
      </c>
    </row>
    <row r="1197" spans="2:18" ht="15" hidden="1" thickTop="1">
      <c r="B1197" s="269">
        <v>46248</v>
      </c>
      <c r="C1197" s="268" t="s">
        <v>478</v>
      </c>
      <c r="D1197" s="274">
        <f>IFERROR(VLOOKUP(C1197,'Data Lokasi'!C:D,2,0),"")</f>
        <v>6.8</v>
      </c>
      <c r="E1197" s="274" t="s">
        <v>2643</v>
      </c>
      <c r="F1197" s="274">
        <v>0.01</v>
      </c>
      <c r="G1197" s="274">
        <f>0.02+0.04</f>
        <v>0.06</v>
      </c>
      <c r="H1197" s="274"/>
      <c r="I1197" s="274"/>
      <c r="J1197" s="456">
        <f t="shared" si="32"/>
        <v>6.9999999999999993E-2</v>
      </c>
      <c r="K1197" s="583"/>
      <c r="L1197" s="268" t="s">
        <v>719</v>
      </c>
      <c r="M1197" s="268" t="s">
        <v>2634</v>
      </c>
      <c r="N1197" s="278">
        <f>IFERROR(INDEX('Data Lokasi'!S:S,MATCH('Input Real Tanam&amp;Petik Nanas'!C1197,'Data Lokasi'!C:C,0)),"")</f>
        <v>44517</v>
      </c>
      <c r="O1197" s="278"/>
      <c r="P1197" s="283">
        <f>IFERROR(INDEX('Data Lokasi'!V:V,MATCH(C1197,'Data Lokasi'!C:C,0)),"")</f>
        <v>0</v>
      </c>
      <c r="Q1197" s="304">
        <f t="shared" si="33"/>
        <v>0</v>
      </c>
      <c r="R1197" s="308">
        <v>2</v>
      </c>
    </row>
    <row r="1198" spans="2:18" ht="15" hidden="1" thickTop="1">
      <c r="B1198" s="269">
        <v>46248</v>
      </c>
      <c r="C1198" s="268" t="s">
        <v>153</v>
      </c>
      <c r="D1198" s="274">
        <f>IFERROR(VLOOKUP(C1198,'Data Lokasi'!C:D,2,0),"")</f>
        <v>4.12</v>
      </c>
      <c r="E1198" s="274" t="s">
        <v>2643</v>
      </c>
      <c r="F1198" s="274"/>
      <c r="G1198" s="274"/>
      <c r="H1198" s="274"/>
      <c r="I1198" s="274">
        <v>1.28</v>
      </c>
      <c r="J1198" s="456">
        <f t="shared" si="32"/>
        <v>1.28</v>
      </c>
      <c r="K1198" s="583"/>
      <c r="L1198" s="268" t="s">
        <v>2625</v>
      </c>
      <c r="M1198" s="268" t="s">
        <v>2634</v>
      </c>
      <c r="N1198" s="278">
        <f>IFERROR(INDEX('Data Lokasi'!S:S,MATCH('Input Real Tanam&amp;Petik Nanas'!C1198,'Data Lokasi'!C:C,0)),"")</f>
        <v>0</v>
      </c>
      <c r="O1198" s="278"/>
      <c r="P1198" s="283">
        <f>IFERROR(INDEX('Data Lokasi'!V:V,MATCH(C1198,'Data Lokasi'!C:C,0)),"")</f>
        <v>0</v>
      </c>
      <c r="Q1198" s="304">
        <f t="shared" si="33"/>
        <v>0</v>
      </c>
      <c r="R1198" s="308"/>
    </row>
    <row r="1199" spans="2:18" ht="15" hidden="1" thickTop="1">
      <c r="B1199" s="269">
        <v>46249</v>
      </c>
      <c r="C1199" s="268" t="s">
        <v>684</v>
      </c>
      <c r="D1199" s="274">
        <f>IFERROR(VLOOKUP(C1199,'Data Lokasi'!C:D,2,0),"")</f>
        <v>8.8699999999999992</v>
      </c>
      <c r="E1199" s="274" t="s">
        <v>2642</v>
      </c>
      <c r="F1199" s="274"/>
      <c r="G1199" s="274"/>
      <c r="H1199" s="274"/>
      <c r="I1199" s="274">
        <v>0.23</v>
      </c>
      <c r="J1199" s="456">
        <f t="shared" si="32"/>
        <v>0.23</v>
      </c>
      <c r="K1199" s="583"/>
      <c r="L1199" s="268" t="s">
        <v>2625</v>
      </c>
      <c r="M1199" s="268" t="s">
        <v>2634</v>
      </c>
      <c r="N1199" s="278">
        <f>IFERROR(INDEX('Data Lokasi'!S:S,MATCH('Input Real Tanam&amp;Petik Nanas'!C1199,'Data Lokasi'!C:C,0)),"")</f>
        <v>45090</v>
      </c>
      <c r="O1199" s="278"/>
      <c r="P1199" s="283">
        <f>IFERROR(INDEX('Data Lokasi'!V:V,MATCH(C1199,'Data Lokasi'!C:C,0)),"")</f>
        <v>0</v>
      </c>
      <c r="Q1199" s="304">
        <f t="shared" si="33"/>
        <v>0</v>
      </c>
      <c r="R1199" s="308"/>
    </row>
    <row r="1200" spans="2:18" ht="15" hidden="1" thickTop="1">
      <c r="B1200" s="269">
        <v>46249</v>
      </c>
      <c r="C1200" s="268" t="s">
        <v>311</v>
      </c>
      <c r="D1200" s="274">
        <f>IFERROR(VLOOKUP(C1200,'Data Lokasi'!C:D,2,0),"")</f>
        <v>5.15</v>
      </c>
      <c r="E1200" s="274" t="s">
        <v>2642</v>
      </c>
      <c r="F1200" s="274"/>
      <c r="G1200" s="274"/>
      <c r="H1200" s="274"/>
      <c r="I1200" s="274">
        <v>0.73</v>
      </c>
      <c r="J1200" s="456">
        <f t="shared" si="32"/>
        <v>0.73</v>
      </c>
      <c r="K1200" s="583"/>
      <c r="L1200" s="268" t="s">
        <v>2625</v>
      </c>
      <c r="M1200" s="268" t="s">
        <v>2634</v>
      </c>
      <c r="N1200" s="278">
        <f>IFERROR(INDEX('Data Lokasi'!S:S,MATCH('Input Real Tanam&amp;Petik Nanas'!C1200,'Data Lokasi'!C:C,0)),"")</f>
        <v>44175</v>
      </c>
      <c r="O1200" s="278"/>
      <c r="P1200" s="283">
        <f>IFERROR(INDEX('Data Lokasi'!V:V,MATCH(C1200,'Data Lokasi'!C:C,0)),"")</f>
        <v>0</v>
      </c>
      <c r="Q1200" s="304">
        <f t="shared" si="33"/>
        <v>0</v>
      </c>
      <c r="R1200" s="308"/>
    </row>
    <row r="1201" spans="2:18" ht="15" hidden="1" thickTop="1">
      <c r="B1201" s="269">
        <v>46249</v>
      </c>
      <c r="C1201" s="268" t="s">
        <v>2646</v>
      </c>
      <c r="D1201" s="274">
        <f>IFERROR(VLOOKUP(C1201,'Data Lokasi'!C:D,2,0),"")</f>
        <v>8.41</v>
      </c>
      <c r="E1201" s="274" t="s">
        <v>2642</v>
      </c>
      <c r="F1201" s="274"/>
      <c r="G1201" s="274"/>
      <c r="H1201" s="274">
        <v>0.63</v>
      </c>
      <c r="I1201" s="274"/>
      <c r="J1201" s="456">
        <f t="shared" si="32"/>
        <v>0.63</v>
      </c>
      <c r="K1201" s="583"/>
      <c r="L1201" s="268" t="s">
        <v>719</v>
      </c>
      <c r="M1201" s="268" t="s">
        <v>2634</v>
      </c>
      <c r="N1201" s="278">
        <f>IFERROR(INDEX('Data Lokasi'!S:S,MATCH('Input Real Tanam&amp;Petik Nanas'!C1201,'Data Lokasi'!C:C,0)),"")</f>
        <v>46248</v>
      </c>
      <c r="O1201" s="278"/>
      <c r="P1201" s="283">
        <f>IFERROR(INDEX('Data Lokasi'!V:V,MATCH(C1201,'Data Lokasi'!C:C,0)),"")</f>
        <v>8.41</v>
      </c>
      <c r="Q1201" s="304">
        <f t="shared" si="33"/>
        <v>1</v>
      </c>
      <c r="R1201" s="308"/>
    </row>
    <row r="1202" spans="2:18" ht="15" hidden="1" thickTop="1">
      <c r="B1202" s="269">
        <v>46249</v>
      </c>
      <c r="C1202" s="268" t="s">
        <v>2647</v>
      </c>
      <c r="D1202" s="274">
        <f>IFERROR(VLOOKUP(C1202,'Data Lokasi'!C:D,2,0),"")</f>
        <v>6.12</v>
      </c>
      <c r="E1202" s="274" t="s">
        <v>2642</v>
      </c>
      <c r="F1202" s="274"/>
      <c r="G1202" s="274"/>
      <c r="H1202" s="274">
        <v>0.02</v>
      </c>
      <c r="I1202" s="274"/>
      <c r="J1202" s="456">
        <f t="shared" si="32"/>
        <v>0.02</v>
      </c>
      <c r="K1202" s="583"/>
      <c r="L1202" s="268" t="s">
        <v>719</v>
      </c>
      <c r="M1202" s="268" t="s">
        <v>2634</v>
      </c>
      <c r="N1202" s="278">
        <f>IFERROR(INDEX('Data Lokasi'!S:S,MATCH('Input Real Tanam&amp;Petik Nanas'!C1202,'Data Lokasi'!C:C,0)),"")</f>
        <v>46237</v>
      </c>
      <c r="O1202" s="278"/>
      <c r="P1202" s="283">
        <f>IFERROR(INDEX('Data Lokasi'!V:V,MATCH(C1202,'Data Lokasi'!C:C,0)),"")</f>
        <v>6.12</v>
      </c>
      <c r="Q1202" s="304">
        <f t="shared" si="33"/>
        <v>1</v>
      </c>
      <c r="R1202" s="308"/>
    </row>
    <row r="1203" spans="2:18" ht="15" hidden="1" thickTop="1">
      <c r="B1203" s="269">
        <v>46249</v>
      </c>
      <c r="C1203" s="268" t="s">
        <v>234</v>
      </c>
      <c r="D1203" s="274">
        <f>IFERROR(VLOOKUP(C1203,'Data Lokasi'!C:D,2,0),"")</f>
        <v>5.85</v>
      </c>
      <c r="E1203" s="274" t="s">
        <v>2642</v>
      </c>
      <c r="F1203" s="274"/>
      <c r="G1203" s="274"/>
      <c r="H1203" s="274"/>
      <c r="I1203" s="274">
        <v>0.04</v>
      </c>
      <c r="J1203" s="456">
        <f t="shared" si="32"/>
        <v>0.04</v>
      </c>
      <c r="K1203" s="583"/>
      <c r="L1203" s="268" t="s">
        <v>2625</v>
      </c>
      <c r="M1203" s="268" t="s">
        <v>2634</v>
      </c>
      <c r="N1203" s="278">
        <f>IFERROR(INDEX('Data Lokasi'!S:S,MATCH('Input Real Tanam&amp;Petik Nanas'!C1203,'Data Lokasi'!C:C,0)),"")</f>
        <v>44038</v>
      </c>
      <c r="O1203" s="278"/>
      <c r="P1203" s="283">
        <f>IFERROR(INDEX('Data Lokasi'!V:V,MATCH(C1203,'Data Lokasi'!C:C,0)),"")</f>
        <v>0</v>
      </c>
      <c r="Q1203" s="304">
        <f t="shared" si="33"/>
        <v>0</v>
      </c>
      <c r="R1203" s="308"/>
    </row>
    <row r="1204" spans="2:18" ht="15" hidden="1" thickTop="1">
      <c r="B1204" s="269">
        <v>46249</v>
      </c>
      <c r="C1204" s="268" t="s">
        <v>2692</v>
      </c>
      <c r="D1204" s="274">
        <f>IFERROR(VLOOKUP(C1204,'Data Lokasi'!C:D,2,0),"")</f>
        <v>8.9600000000000009</v>
      </c>
      <c r="E1204" s="274" t="s">
        <v>2642</v>
      </c>
      <c r="F1204" s="274"/>
      <c r="G1204" s="274"/>
      <c r="H1204" s="274"/>
      <c r="I1204" s="274">
        <v>0.03</v>
      </c>
      <c r="J1204" s="456">
        <f t="shared" si="32"/>
        <v>0.03</v>
      </c>
      <c r="K1204" s="583"/>
      <c r="L1204" s="268" t="s">
        <v>2625</v>
      </c>
      <c r="M1204" s="268" t="s">
        <v>2634</v>
      </c>
      <c r="N1204" s="278">
        <f>IFERROR(INDEX('Data Lokasi'!S:S,MATCH('Input Real Tanam&amp;Petik Nanas'!C1204,'Data Lokasi'!C:C,0)),"")</f>
        <v>46238</v>
      </c>
      <c r="O1204" s="278"/>
      <c r="P1204" s="283">
        <f>IFERROR(INDEX('Data Lokasi'!V:V,MATCH(C1204,'Data Lokasi'!C:C,0)),"")</f>
        <v>8.9600000000000009</v>
      </c>
      <c r="Q1204" s="304">
        <f t="shared" si="33"/>
        <v>1</v>
      </c>
      <c r="R1204" s="308"/>
    </row>
    <row r="1205" spans="2:18" ht="15" hidden="1" thickTop="1">
      <c r="B1205" s="269">
        <v>46249</v>
      </c>
      <c r="C1205" s="268" t="s">
        <v>108</v>
      </c>
      <c r="D1205" s="274">
        <f>IFERROR(VLOOKUP(C1205,'Data Lokasi'!C:D,2,0),"")</f>
        <v>10.45</v>
      </c>
      <c r="E1205" s="274" t="s">
        <v>2642</v>
      </c>
      <c r="F1205" s="274"/>
      <c r="G1205" s="274"/>
      <c r="H1205" s="274"/>
      <c r="I1205" s="274">
        <v>0.92</v>
      </c>
      <c r="J1205" s="456">
        <f t="shared" si="32"/>
        <v>0.92</v>
      </c>
      <c r="K1205" s="583"/>
      <c r="L1205" s="268" t="s">
        <v>2625</v>
      </c>
      <c r="M1205" s="268" t="s">
        <v>2631</v>
      </c>
      <c r="N1205" s="278">
        <f>IFERROR(INDEX('Data Lokasi'!S:S,MATCH('Input Real Tanam&amp;Petik Nanas'!C1205,'Data Lokasi'!C:C,0)),"")</f>
        <v>44176</v>
      </c>
      <c r="O1205" s="278"/>
      <c r="P1205" s="283">
        <f>IFERROR(INDEX('Data Lokasi'!V:V,MATCH(C1205,'Data Lokasi'!C:C,0)),"")</f>
        <v>0</v>
      </c>
      <c r="Q1205" s="304">
        <f t="shared" si="33"/>
        <v>0</v>
      </c>
      <c r="R1205" s="308"/>
    </row>
    <row r="1206" spans="2:18" ht="15" hidden="1" thickTop="1">
      <c r="B1206" s="269">
        <v>46249</v>
      </c>
      <c r="C1206" s="268" t="s">
        <v>289</v>
      </c>
      <c r="D1206" s="274">
        <f>IFERROR(VLOOKUP(C1206,'Data Lokasi'!C:D,2,0),"")</f>
        <v>2.87</v>
      </c>
      <c r="E1206" s="274" t="s">
        <v>2642</v>
      </c>
      <c r="F1206" s="274"/>
      <c r="G1206" s="274"/>
      <c r="H1206" s="274"/>
      <c r="I1206" s="274">
        <v>0.36</v>
      </c>
      <c r="J1206" s="456">
        <f t="shared" si="32"/>
        <v>0.36</v>
      </c>
      <c r="K1206" s="583"/>
      <c r="L1206" s="268" t="s">
        <v>2625</v>
      </c>
      <c r="M1206" s="268" t="s">
        <v>2631</v>
      </c>
      <c r="N1206" s="278">
        <f>IFERROR(INDEX('Data Lokasi'!S:S,MATCH('Input Real Tanam&amp;Petik Nanas'!C1206,'Data Lokasi'!C:C,0)),"")</f>
        <v>44121</v>
      </c>
      <c r="O1206" s="278"/>
      <c r="P1206" s="283">
        <f>IFERROR(INDEX('Data Lokasi'!V:V,MATCH(C1206,'Data Lokasi'!C:C,0)),"")</f>
        <v>0</v>
      </c>
      <c r="Q1206" s="304">
        <f t="shared" si="33"/>
        <v>0</v>
      </c>
      <c r="R1206" s="308"/>
    </row>
    <row r="1207" spans="2:18" ht="15" hidden="1" thickTop="1">
      <c r="B1207" s="269">
        <v>46249</v>
      </c>
      <c r="C1207" s="268" t="s">
        <v>705</v>
      </c>
      <c r="D1207" s="274">
        <f>IFERROR(VLOOKUP(C1207,'Data Lokasi'!C:D,2,0),"")</f>
        <v>7.67</v>
      </c>
      <c r="E1207" s="274" t="s">
        <v>2642</v>
      </c>
      <c r="F1207" s="274"/>
      <c r="G1207" s="274"/>
      <c r="H1207" s="274"/>
      <c r="I1207" s="274">
        <v>0.21</v>
      </c>
      <c r="J1207" s="456">
        <f t="shared" si="32"/>
        <v>0.21</v>
      </c>
      <c r="K1207" s="583"/>
      <c r="L1207" s="268" t="s">
        <v>2625</v>
      </c>
      <c r="M1207" s="268" t="s">
        <v>2631</v>
      </c>
      <c r="N1207" s="278">
        <f>IFERROR(INDEX('Data Lokasi'!S:S,MATCH('Input Real Tanam&amp;Petik Nanas'!C1207,'Data Lokasi'!C:C,0)),"")</f>
        <v>45202</v>
      </c>
      <c r="O1207" s="278"/>
      <c r="P1207" s="283">
        <f>IFERROR(INDEX('Data Lokasi'!V:V,MATCH(C1207,'Data Lokasi'!C:C,0)),"")</f>
        <v>0</v>
      </c>
      <c r="Q1207" s="304">
        <f t="shared" si="33"/>
        <v>0</v>
      </c>
      <c r="R1207" s="308"/>
    </row>
    <row r="1208" spans="2:18" ht="15" hidden="1" thickTop="1">
      <c r="B1208" s="269">
        <v>46249</v>
      </c>
      <c r="C1208" s="268" t="s">
        <v>270</v>
      </c>
      <c r="D1208" s="274">
        <f>IFERROR(VLOOKUP(C1208,'Data Lokasi'!C:D,2,0),"")</f>
        <v>6.13</v>
      </c>
      <c r="E1208" s="274" t="s">
        <v>2642</v>
      </c>
      <c r="F1208" s="274"/>
      <c r="G1208" s="274"/>
      <c r="H1208" s="274"/>
      <c r="I1208" s="274">
        <v>1</v>
      </c>
      <c r="J1208" s="456">
        <f t="shared" ref="J1208:J1255" si="34">IF(SUM(F1208:I1208)=0,"",(SUM(F1208:I1208)))</f>
        <v>1</v>
      </c>
      <c r="K1208" s="583"/>
      <c r="L1208" s="268" t="s">
        <v>2625</v>
      </c>
      <c r="M1208" s="268" t="s">
        <v>2631</v>
      </c>
      <c r="N1208" s="278">
        <f>IFERROR(INDEX('Data Lokasi'!S:S,MATCH('Input Real Tanam&amp;Petik Nanas'!C1208,'Data Lokasi'!C:C,0)),"")</f>
        <v>44086</v>
      </c>
      <c r="O1208" s="278"/>
      <c r="P1208" s="283">
        <f>IFERROR(INDEX('Data Lokasi'!V:V,MATCH(C1208,'Data Lokasi'!C:C,0)),"")</f>
        <v>0</v>
      </c>
      <c r="Q1208" s="304">
        <f t="shared" ref="Q1208:Q1255" si="35">IF(ISERROR(P1208/D1208),"",(P1208/D1208))</f>
        <v>0</v>
      </c>
      <c r="R1208" s="308"/>
    </row>
    <row r="1209" spans="2:18" ht="15" hidden="1" thickTop="1">
      <c r="B1209" s="269">
        <v>46249</v>
      </c>
      <c r="C1209" s="268" t="s">
        <v>704</v>
      </c>
      <c r="D1209" s="274">
        <f>IFERROR(VLOOKUP(C1209,'Data Lokasi'!C:D,2,0),"")</f>
        <v>6.38</v>
      </c>
      <c r="E1209" s="274" t="s">
        <v>2642</v>
      </c>
      <c r="F1209" s="274"/>
      <c r="G1209" s="274"/>
      <c r="H1209" s="274"/>
      <c r="I1209" s="274">
        <v>0.16</v>
      </c>
      <c r="J1209" s="456">
        <f t="shared" si="34"/>
        <v>0.16</v>
      </c>
      <c r="K1209" s="583"/>
      <c r="L1209" s="268" t="s">
        <v>2625</v>
      </c>
      <c r="M1209" s="268" t="s">
        <v>2631</v>
      </c>
      <c r="N1209" s="278">
        <f>IFERROR(INDEX('Data Lokasi'!S:S,MATCH('Input Real Tanam&amp;Petik Nanas'!C1209,'Data Lokasi'!C:C,0)),"")</f>
        <v>45199</v>
      </c>
      <c r="O1209" s="278"/>
      <c r="P1209" s="283">
        <f>IFERROR(INDEX('Data Lokasi'!V:V,MATCH(C1209,'Data Lokasi'!C:C,0)),"")</f>
        <v>0</v>
      </c>
      <c r="Q1209" s="304">
        <f t="shared" si="35"/>
        <v>0</v>
      </c>
      <c r="R1209" s="308"/>
    </row>
    <row r="1210" spans="2:18" ht="15" hidden="1" thickTop="1">
      <c r="B1210" s="269">
        <v>46249</v>
      </c>
      <c r="C1210" s="268" t="s">
        <v>395</v>
      </c>
      <c r="D1210" s="274">
        <f>IFERROR(VLOOKUP(C1210,'Data Lokasi'!C:D,2,0),"")</f>
        <v>6.32</v>
      </c>
      <c r="E1210" s="274" t="s">
        <v>2643</v>
      </c>
      <c r="F1210" s="274"/>
      <c r="G1210" s="274"/>
      <c r="H1210" s="274">
        <f>0.06+0.25</f>
        <v>0.31</v>
      </c>
      <c r="I1210" s="274"/>
      <c r="J1210" s="456">
        <f t="shared" si="34"/>
        <v>0.31</v>
      </c>
      <c r="K1210" s="583"/>
      <c r="L1210" s="268" t="s">
        <v>719</v>
      </c>
      <c r="M1210" s="268" t="s">
        <v>2634</v>
      </c>
      <c r="N1210" s="278">
        <f>IFERROR(INDEX('Data Lokasi'!S:S,MATCH('Input Real Tanam&amp;Petik Nanas'!C1210,'Data Lokasi'!C:C,0)),"")</f>
        <v>44369</v>
      </c>
      <c r="O1210" s="278"/>
      <c r="P1210" s="283">
        <f>IFERROR(INDEX('Data Lokasi'!V:V,MATCH(C1210,'Data Lokasi'!C:C,0)),"")</f>
        <v>0</v>
      </c>
      <c r="Q1210" s="304">
        <f t="shared" si="35"/>
        <v>0</v>
      </c>
      <c r="R1210" s="308">
        <v>6</v>
      </c>
    </row>
    <row r="1211" spans="2:18" ht="15" hidden="1" thickTop="1">
      <c r="B1211" s="269">
        <v>46249</v>
      </c>
      <c r="C1211" s="268" t="s">
        <v>465</v>
      </c>
      <c r="D1211" s="274">
        <f>IFERROR(VLOOKUP(C1211,'Data Lokasi'!C:D,2,0),"")</f>
        <v>11.63</v>
      </c>
      <c r="E1211" s="274" t="s">
        <v>2643</v>
      </c>
      <c r="F1211" s="274"/>
      <c r="G1211" s="274">
        <f>0.02+0.06</f>
        <v>0.08</v>
      </c>
      <c r="H1211" s="274">
        <f>0.21+0.26</f>
        <v>0.47</v>
      </c>
      <c r="I1211" s="274"/>
      <c r="J1211" s="456">
        <f t="shared" si="34"/>
        <v>0.54999999999999993</v>
      </c>
      <c r="K1211" s="583"/>
      <c r="L1211" s="268" t="s">
        <v>719</v>
      </c>
      <c r="M1211" s="268" t="s">
        <v>2631</v>
      </c>
      <c r="N1211" s="278">
        <f>IFERROR(INDEX('Data Lokasi'!S:S,MATCH('Input Real Tanam&amp;Petik Nanas'!C1211,'Data Lokasi'!C:C,0)),"")</f>
        <v>44477</v>
      </c>
      <c r="O1211" s="278"/>
      <c r="P1211" s="283">
        <f>IFERROR(INDEX('Data Lokasi'!V:V,MATCH(C1211,'Data Lokasi'!C:C,0)),"")</f>
        <v>0</v>
      </c>
      <c r="Q1211" s="304">
        <f t="shared" si="35"/>
        <v>0</v>
      </c>
      <c r="R1211" s="308">
        <v>3</v>
      </c>
    </row>
    <row r="1212" spans="2:18" ht="15" hidden="1" thickTop="1">
      <c r="B1212" s="269">
        <v>46249</v>
      </c>
      <c r="C1212" s="268" t="s">
        <v>477</v>
      </c>
      <c r="D1212" s="274">
        <f>IFERROR(VLOOKUP(C1212,'Data Lokasi'!C:D,2,0),"")</f>
        <v>6.05</v>
      </c>
      <c r="E1212" s="274" t="s">
        <v>2643</v>
      </c>
      <c r="F1212" s="274"/>
      <c r="G1212" s="274"/>
      <c r="H1212" s="274">
        <f>0.09+0.2</f>
        <v>0.29000000000000004</v>
      </c>
      <c r="I1212" s="274"/>
      <c r="J1212" s="456">
        <f t="shared" si="34"/>
        <v>0.29000000000000004</v>
      </c>
      <c r="K1212" s="583"/>
      <c r="L1212" s="268" t="s">
        <v>719</v>
      </c>
      <c r="M1212" s="268" t="s">
        <v>2634</v>
      </c>
      <c r="N1212" s="278">
        <f>IFERROR(INDEX('Data Lokasi'!S:S,MATCH('Input Real Tanam&amp;Petik Nanas'!C1212,'Data Lokasi'!C:C,0)),"")</f>
        <v>44508</v>
      </c>
      <c r="O1212" s="278"/>
      <c r="P1212" s="283">
        <f>IFERROR(INDEX('Data Lokasi'!V:V,MATCH(C1212,'Data Lokasi'!C:C,0)),"")</f>
        <v>0</v>
      </c>
      <c r="Q1212" s="304">
        <f t="shared" si="35"/>
        <v>0</v>
      </c>
      <c r="R1212" s="308">
        <v>1</v>
      </c>
    </row>
    <row r="1213" spans="2:18" ht="15" hidden="1" thickTop="1">
      <c r="B1213" s="269">
        <v>46249</v>
      </c>
      <c r="C1213" s="268" t="s">
        <v>147</v>
      </c>
      <c r="D1213" s="274">
        <f>IFERROR(VLOOKUP(C1213,'Data Lokasi'!C:D,2,0),"")</f>
        <v>9.1300000000000008</v>
      </c>
      <c r="E1213" s="274" t="s">
        <v>2643</v>
      </c>
      <c r="F1213" s="274"/>
      <c r="G1213" s="274"/>
      <c r="H1213" s="274"/>
      <c r="I1213" s="274">
        <v>1.32</v>
      </c>
      <c r="J1213" s="456">
        <f t="shared" si="34"/>
        <v>1.32</v>
      </c>
      <c r="K1213" s="583"/>
      <c r="L1213" s="268" t="s">
        <v>2625</v>
      </c>
      <c r="M1213" s="268" t="s">
        <v>2634</v>
      </c>
      <c r="N1213" s="278">
        <f>IFERROR(INDEX('Data Lokasi'!S:S,MATCH('Input Real Tanam&amp;Petik Nanas'!C1213,'Data Lokasi'!C:C,0)),"")</f>
        <v>44130</v>
      </c>
      <c r="O1213" s="278"/>
      <c r="P1213" s="283">
        <f>IFERROR(INDEX('Data Lokasi'!V:V,MATCH(C1213,'Data Lokasi'!C:C,0)),"")</f>
        <v>0</v>
      </c>
      <c r="Q1213" s="304">
        <f t="shared" si="35"/>
        <v>0</v>
      </c>
      <c r="R1213" s="308"/>
    </row>
    <row r="1214" spans="2:18" ht="15" hidden="1" thickTop="1">
      <c r="B1214" s="269">
        <v>46249</v>
      </c>
      <c r="C1214" s="268" t="s">
        <v>162</v>
      </c>
      <c r="D1214" s="274">
        <f>IFERROR(VLOOKUP(C1214,'Data Lokasi'!C:D,2,0),"")</f>
        <v>10.46</v>
      </c>
      <c r="E1214" s="274" t="s">
        <v>2643</v>
      </c>
      <c r="F1214" s="274"/>
      <c r="G1214" s="274"/>
      <c r="H1214" s="274"/>
      <c r="I1214" s="274">
        <v>2.4</v>
      </c>
      <c r="J1214" s="456">
        <f t="shared" si="34"/>
        <v>2.4</v>
      </c>
      <c r="K1214" s="583"/>
      <c r="L1214" s="268" t="s">
        <v>2625</v>
      </c>
      <c r="M1214" s="268" t="s">
        <v>2631</v>
      </c>
      <c r="N1214" s="278">
        <f>IFERROR(INDEX('Data Lokasi'!S:S,MATCH('Input Real Tanam&amp;Petik Nanas'!C1214,'Data Lokasi'!C:C,0)),"")</f>
        <v>45350</v>
      </c>
      <c r="O1214" s="278"/>
      <c r="P1214" s="283">
        <f>IFERROR(INDEX('Data Lokasi'!V:V,MATCH(C1214,'Data Lokasi'!C:C,0)),"")</f>
        <v>0</v>
      </c>
      <c r="Q1214" s="304">
        <f t="shared" si="35"/>
        <v>0</v>
      </c>
      <c r="R1214" s="308"/>
    </row>
    <row r="1215" spans="2:18" ht="15" hidden="1" thickTop="1">
      <c r="B1215" s="269">
        <v>46250</v>
      </c>
      <c r="C1215" s="268" t="s">
        <v>684</v>
      </c>
      <c r="D1215" s="274">
        <f>IFERROR(VLOOKUP(C1215,'Data Lokasi'!C:D,2,0),"")</f>
        <v>8.8699999999999992</v>
      </c>
      <c r="E1215" s="274" t="s">
        <v>2642</v>
      </c>
      <c r="F1215" s="274"/>
      <c r="G1215" s="274"/>
      <c r="H1215" s="274"/>
      <c r="I1215" s="274">
        <v>0.16</v>
      </c>
      <c r="J1215" s="456">
        <f t="shared" si="34"/>
        <v>0.16</v>
      </c>
      <c r="K1215" s="583"/>
      <c r="L1215" s="268" t="s">
        <v>2625</v>
      </c>
      <c r="M1215" s="268" t="s">
        <v>2634</v>
      </c>
      <c r="N1215" s="278">
        <f>IFERROR(INDEX('Data Lokasi'!S:S,MATCH('Input Real Tanam&amp;Petik Nanas'!C1215,'Data Lokasi'!C:C,0)),"")</f>
        <v>45090</v>
      </c>
      <c r="O1215" s="278"/>
      <c r="P1215" s="283">
        <f>IFERROR(INDEX('Data Lokasi'!V:V,MATCH(C1215,'Data Lokasi'!C:C,0)),"")</f>
        <v>0</v>
      </c>
      <c r="Q1215" s="304">
        <f t="shared" si="35"/>
        <v>0</v>
      </c>
      <c r="R1215" s="308"/>
    </row>
    <row r="1216" spans="2:18" ht="15" hidden="1" thickTop="1">
      <c r="B1216" s="269">
        <v>46250</v>
      </c>
      <c r="C1216" s="268" t="s">
        <v>233</v>
      </c>
      <c r="D1216" s="274">
        <f>IFERROR(VLOOKUP(C1216,'Data Lokasi'!C:D,2,0),"")</f>
        <v>10.3</v>
      </c>
      <c r="E1216" s="274" t="s">
        <v>2642</v>
      </c>
      <c r="F1216" s="274"/>
      <c r="G1216" s="274"/>
      <c r="H1216" s="274"/>
      <c r="I1216" s="274">
        <v>0.5</v>
      </c>
      <c r="J1216" s="456">
        <f t="shared" si="34"/>
        <v>0.5</v>
      </c>
      <c r="K1216" s="583"/>
      <c r="L1216" s="268" t="s">
        <v>2625</v>
      </c>
      <c r="M1216" s="268" t="s">
        <v>2634</v>
      </c>
      <c r="N1216" s="278">
        <f>IFERROR(INDEX('Data Lokasi'!S:S,MATCH('Input Real Tanam&amp;Petik Nanas'!C1216,'Data Lokasi'!C:C,0)),"")</f>
        <v>44024</v>
      </c>
      <c r="O1216" s="278"/>
      <c r="P1216" s="283">
        <f>IFERROR(INDEX('Data Lokasi'!V:V,MATCH(C1216,'Data Lokasi'!C:C,0)),"")</f>
        <v>0</v>
      </c>
      <c r="Q1216" s="304">
        <f t="shared" si="35"/>
        <v>0</v>
      </c>
      <c r="R1216" s="308"/>
    </row>
    <row r="1217" spans="2:18" ht="15" hidden="1" thickTop="1">
      <c r="B1217" s="269">
        <v>46250</v>
      </c>
      <c r="C1217" s="268" t="s">
        <v>2646</v>
      </c>
      <c r="D1217" s="274">
        <f>IFERROR(VLOOKUP(C1217,'Data Lokasi'!C:D,2,0),"")</f>
        <v>8.41</v>
      </c>
      <c r="E1217" s="274" t="s">
        <v>2642</v>
      </c>
      <c r="F1217" s="274"/>
      <c r="G1217" s="274"/>
      <c r="H1217" s="274">
        <v>0.39</v>
      </c>
      <c r="I1217" s="274"/>
      <c r="J1217" s="456">
        <f t="shared" si="34"/>
        <v>0.39</v>
      </c>
      <c r="K1217" s="583"/>
      <c r="L1217" s="268" t="s">
        <v>719</v>
      </c>
      <c r="M1217" s="268" t="s">
        <v>2634</v>
      </c>
      <c r="N1217" s="278">
        <f>IFERROR(INDEX('Data Lokasi'!S:S,MATCH('Input Real Tanam&amp;Petik Nanas'!C1217,'Data Lokasi'!C:C,0)),"")</f>
        <v>46248</v>
      </c>
      <c r="O1217" s="278"/>
      <c r="P1217" s="283">
        <f>IFERROR(INDEX('Data Lokasi'!V:V,MATCH(C1217,'Data Lokasi'!C:C,0)),"")</f>
        <v>8.41</v>
      </c>
      <c r="Q1217" s="304">
        <f t="shared" si="35"/>
        <v>1</v>
      </c>
      <c r="R1217" s="308"/>
    </row>
    <row r="1218" spans="2:18" ht="15" hidden="1" thickTop="1">
      <c r="B1218" s="269">
        <v>46250</v>
      </c>
      <c r="C1218" s="268" t="s">
        <v>692</v>
      </c>
      <c r="D1218" s="274">
        <f>IFERROR(VLOOKUP(C1218,'Data Lokasi'!C:D,2,0),"")</f>
        <v>3.93</v>
      </c>
      <c r="E1218" s="274" t="s">
        <v>2642</v>
      </c>
      <c r="F1218" s="274"/>
      <c r="G1218" s="274"/>
      <c r="H1218" s="274"/>
      <c r="I1218" s="274">
        <v>0.03</v>
      </c>
      <c r="J1218" s="456">
        <f t="shared" si="34"/>
        <v>0.03</v>
      </c>
      <c r="K1218" s="583"/>
      <c r="L1218" s="268" t="s">
        <v>719</v>
      </c>
      <c r="M1218" s="268" t="s">
        <v>2634</v>
      </c>
      <c r="N1218" s="278">
        <f>IFERROR(INDEX('Data Lokasi'!S:S,MATCH('Input Real Tanam&amp;Petik Nanas'!C1218,'Data Lokasi'!C:C,0)),"")</f>
        <v>45111</v>
      </c>
      <c r="O1218" s="278"/>
      <c r="P1218" s="283">
        <f>IFERROR(INDEX('Data Lokasi'!V:V,MATCH(C1218,'Data Lokasi'!C:C,0)),"")</f>
        <v>0</v>
      </c>
      <c r="Q1218" s="304">
        <f t="shared" si="35"/>
        <v>0</v>
      </c>
      <c r="R1218" s="308"/>
    </row>
    <row r="1219" spans="2:18" ht="15" hidden="1" thickTop="1">
      <c r="B1219" s="269">
        <v>46250</v>
      </c>
      <c r="C1219" s="268" t="s">
        <v>2692</v>
      </c>
      <c r="D1219" s="274">
        <f>IFERROR(VLOOKUP(C1219,'Data Lokasi'!C:D,2,0),"")</f>
        <v>8.9600000000000009</v>
      </c>
      <c r="E1219" s="274" t="s">
        <v>2642</v>
      </c>
      <c r="F1219" s="274"/>
      <c r="G1219" s="274"/>
      <c r="H1219" s="274"/>
      <c r="I1219" s="274">
        <v>0.18</v>
      </c>
      <c r="J1219" s="456">
        <f t="shared" si="34"/>
        <v>0.18</v>
      </c>
      <c r="K1219" s="583"/>
      <c r="L1219" s="268" t="s">
        <v>2625</v>
      </c>
      <c r="M1219" s="268" t="s">
        <v>2634</v>
      </c>
      <c r="N1219" s="278">
        <f>IFERROR(INDEX('Data Lokasi'!S:S,MATCH('Input Real Tanam&amp;Petik Nanas'!C1219,'Data Lokasi'!C:C,0)),"")</f>
        <v>46238</v>
      </c>
      <c r="O1219" s="278"/>
      <c r="P1219" s="283">
        <f>IFERROR(INDEX('Data Lokasi'!V:V,MATCH(C1219,'Data Lokasi'!C:C,0)),"")</f>
        <v>8.9600000000000009</v>
      </c>
      <c r="Q1219" s="304">
        <f t="shared" si="35"/>
        <v>1</v>
      </c>
      <c r="R1219" s="308"/>
    </row>
    <row r="1220" spans="2:18" ht="15" hidden="1" thickTop="1">
      <c r="B1220" s="269">
        <v>46250</v>
      </c>
      <c r="C1220" s="268" t="s">
        <v>677</v>
      </c>
      <c r="D1220" s="274">
        <f>IFERROR(VLOOKUP(C1220,'Data Lokasi'!C:D,2,0),"")</f>
        <v>8.2100000000000009</v>
      </c>
      <c r="E1220" s="274" t="s">
        <v>2642</v>
      </c>
      <c r="F1220" s="274"/>
      <c r="G1220" s="274"/>
      <c r="H1220" s="274"/>
      <c r="I1220" s="274">
        <v>0.23</v>
      </c>
      <c r="J1220" s="456">
        <f t="shared" si="34"/>
        <v>0.23</v>
      </c>
      <c r="K1220" s="583"/>
      <c r="L1220" s="268" t="s">
        <v>2625</v>
      </c>
      <c r="M1220" s="268" t="s">
        <v>2634</v>
      </c>
      <c r="N1220" s="278">
        <f>IFERROR(INDEX('Data Lokasi'!S:S,MATCH('Input Real Tanam&amp;Petik Nanas'!C1220,'Data Lokasi'!C:C,0)),"")</f>
        <v>45071</v>
      </c>
      <c r="O1220" s="278"/>
      <c r="P1220" s="283">
        <f>IFERROR(INDEX('Data Lokasi'!V:V,MATCH(C1220,'Data Lokasi'!C:C,0)),"")</f>
        <v>0</v>
      </c>
      <c r="Q1220" s="304">
        <f t="shared" si="35"/>
        <v>0</v>
      </c>
      <c r="R1220" s="308"/>
    </row>
    <row r="1221" spans="2:18" ht="15" hidden="1" thickTop="1">
      <c r="B1221" s="269">
        <v>46250</v>
      </c>
      <c r="C1221" s="268" t="s">
        <v>108</v>
      </c>
      <c r="D1221" s="274">
        <f>IFERROR(VLOOKUP(C1221,'Data Lokasi'!C:D,2,0),"")</f>
        <v>10.45</v>
      </c>
      <c r="E1221" s="274" t="s">
        <v>2642</v>
      </c>
      <c r="F1221" s="274"/>
      <c r="G1221" s="274"/>
      <c r="H1221" s="274"/>
      <c r="I1221" s="274">
        <v>0.95</v>
      </c>
      <c r="J1221" s="456">
        <f t="shared" si="34"/>
        <v>0.95</v>
      </c>
      <c r="K1221" s="583"/>
      <c r="L1221" s="268" t="s">
        <v>2625</v>
      </c>
      <c r="M1221" s="268" t="s">
        <v>2631</v>
      </c>
      <c r="N1221" s="278">
        <f>IFERROR(INDEX('Data Lokasi'!S:S,MATCH('Input Real Tanam&amp;Petik Nanas'!C1221,'Data Lokasi'!C:C,0)),"")</f>
        <v>44176</v>
      </c>
      <c r="O1221" s="278"/>
      <c r="P1221" s="283">
        <f>IFERROR(INDEX('Data Lokasi'!V:V,MATCH(C1221,'Data Lokasi'!C:C,0)),"")</f>
        <v>0</v>
      </c>
      <c r="Q1221" s="304">
        <f t="shared" si="35"/>
        <v>0</v>
      </c>
      <c r="R1221" s="308"/>
    </row>
    <row r="1222" spans="2:18" ht="15" hidden="1" thickTop="1">
      <c r="B1222" s="269">
        <v>46250</v>
      </c>
      <c r="C1222" s="268" t="s">
        <v>289</v>
      </c>
      <c r="D1222" s="274">
        <f>IFERROR(VLOOKUP(C1222,'Data Lokasi'!C:D,2,0),"")</f>
        <v>2.87</v>
      </c>
      <c r="E1222" s="274" t="s">
        <v>2642</v>
      </c>
      <c r="F1222" s="274"/>
      <c r="G1222" s="274"/>
      <c r="H1222" s="274"/>
      <c r="I1222" s="274">
        <v>0.25</v>
      </c>
      <c r="J1222" s="456">
        <f t="shared" si="34"/>
        <v>0.25</v>
      </c>
      <c r="K1222" s="583"/>
      <c r="L1222" s="268" t="s">
        <v>2625</v>
      </c>
      <c r="M1222" s="268" t="s">
        <v>2631</v>
      </c>
      <c r="N1222" s="278">
        <f>IFERROR(INDEX('Data Lokasi'!S:S,MATCH('Input Real Tanam&amp;Petik Nanas'!C1222,'Data Lokasi'!C:C,0)),"")</f>
        <v>44121</v>
      </c>
      <c r="O1222" s="278"/>
      <c r="P1222" s="283">
        <f>IFERROR(INDEX('Data Lokasi'!V:V,MATCH(C1222,'Data Lokasi'!C:C,0)),"")</f>
        <v>0</v>
      </c>
      <c r="Q1222" s="304">
        <f t="shared" si="35"/>
        <v>0</v>
      </c>
      <c r="R1222" s="308"/>
    </row>
    <row r="1223" spans="2:18" ht="15" hidden="1" thickTop="1">
      <c r="B1223" s="269">
        <v>46250</v>
      </c>
      <c r="C1223" s="268" t="s">
        <v>704</v>
      </c>
      <c r="D1223" s="274">
        <f>IFERROR(VLOOKUP(C1223,'Data Lokasi'!C:D,2,0),"")</f>
        <v>6.38</v>
      </c>
      <c r="E1223" s="274" t="s">
        <v>2642</v>
      </c>
      <c r="F1223" s="274"/>
      <c r="G1223" s="274"/>
      <c r="H1223" s="274"/>
      <c r="I1223" s="274">
        <v>0.18</v>
      </c>
      <c r="J1223" s="456">
        <f t="shared" si="34"/>
        <v>0.18</v>
      </c>
      <c r="K1223" s="583"/>
      <c r="L1223" s="268" t="s">
        <v>2625</v>
      </c>
      <c r="M1223" s="268" t="s">
        <v>2631</v>
      </c>
      <c r="N1223" s="278">
        <f>IFERROR(INDEX('Data Lokasi'!S:S,MATCH('Input Real Tanam&amp;Petik Nanas'!C1223,'Data Lokasi'!C:C,0)),"")</f>
        <v>45199</v>
      </c>
      <c r="O1223" s="278"/>
      <c r="P1223" s="283">
        <f>IFERROR(INDEX('Data Lokasi'!V:V,MATCH(C1223,'Data Lokasi'!C:C,0)),"")</f>
        <v>0</v>
      </c>
      <c r="Q1223" s="304">
        <f t="shared" si="35"/>
        <v>0</v>
      </c>
      <c r="R1223" s="308"/>
    </row>
    <row r="1224" spans="2:18" ht="15" hidden="1" thickTop="1">
      <c r="B1224" s="269">
        <v>46250</v>
      </c>
      <c r="C1224" s="268" t="s">
        <v>270</v>
      </c>
      <c r="D1224" s="274">
        <f>IFERROR(VLOOKUP(C1224,'Data Lokasi'!C:D,2,0),"")</f>
        <v>6.13</v>
      </c>
      <c r="E1224" s="274" t="s">
        <v>2642</v>
      </c>
      <c r="F1224" s="274"/>
      <c r="G1224" s="274"/>
      <c r="H1224" s="274"/>
      <c r="I1224" s="274">
        <v>0.7</v>
      </c>
      <c r="J1224" s="456">
        <f t="shared" si="34"/>
        <v>0.7</v>
      </c>
      <c r="K1224" s="583"/>
      <c r="L1224" s="268" t="s">
        <v>2625</v>
      </c>
      <c r="M1224" s="268" t="s">
        <v>2631</v>
      </c>
      <c r="N1224" s="278">
        <f>IFERROR(INDEX('Data Lokasi'!S:S,MATCH('Input Real Tanam&amp;Petik Nanas'!C1224,'Data Lokasi'!C:C,0)),"")</f>
        <v>44086</v>
      </c>
      <c r="O1224" s="278"/>
      <c r="P1224" s="283">
        <f>IFERROR(INDEX('Data Lokasi'!V:V,MATCH(C1224,'Data Lokasi'!C:C,0)),"")</f>
        <v>0</v>
      </c>
      <c r="Q1224" s="304">
        <f t="shared" si="35"/>
        <v>0</v>
      </c>
      <c r="R1224" s="308"/>
    </row>
    <row r="1225" spans="2:18" ht="15" hidden="1" thickTop="1">
      <c r="B1225" s="269">
        <v>46250</v>
      </c>
      <c r="C1225" s="268" t="s">
        <v>465</v>
      </c>
      <c r="D1225" s="274">
        <f>IFERROR(VLOOKUP(C1225,'Data Lokasi'!C:D,2,0),"")</f>
        <v>11.63</v>
      </c>
      <c r="E1225" s="274" t="s">
        <v>2643</v>
      </c>
      <c r="F1225" s="274">
        <v>2E-3</v>
      </c>
      <c r="G1225" s="274">
        <f>0.01+0.06</f>
        <v>6.9999999999999993E-2</v>
      </c>
      <c r="H1225" s="274">
        <f>0.17+0.26</f>
        <v>0.43000000000000005</v>
      </c>
      <c r="I1225" s="274"/>
      <c r="J1225" s="456">
        <f t="shared" si="34"/>
        <v>0.502</v>
      </c>
      <c r="K1225" s="583"/>
      <c r="L1225" s="268" t="s">
        <v>719</v>
      </c>
      <c r="M1225" s="268" t="s">
        <v>2631</v>
      </c>
      <c r="N1225" s="278">
        <f>IFERROR(INDEX('Data Lokasi'!S:S,MATCH('Input Real Tanam&amp;Petik Nanas'!C1225,'Data Lokasi'!C:C,0)),"")</f>
        <v>44477</v>
      </c>
      <c r="O1225" s="278"/>
      <c r="P1225" s="283">
        <f>IFERROR(INDEX('Data Lokasi'!V:V,MATCH(C1225,'Data Lokasi'!C:C,0)),"")</f>
        <v>0</v>
      </c>
      <c r="Q1225" s="304">
        <f t="shared" si="35"/>
        <v>0</v>
      </c>
      <c r="R1225" s="308">
        <v>3</v>
      </c>
    </row>
    <row r="1226" spans="2:18" ht="15" hidden="1" thickTop="1">
      <c r="B1226" s="269">
        <v>46250</v>
      </c>
      <c r="C1226" s="268" t="s">
        <v>162</v>
      </c>
      <c r="D1226" s="274">
        <f>IFERROR(VLOOKUP(C1226,'Data Lokasi'!C:D,2,0),"")</f>
        <v>10.46</v>
      </c>
      <c r="E1226" s="274" t="s">
        <v>2643</v>
      </c>
      <c r="F1226" s="274"/>
      <c r="G1226" s="274"/>
      <c r="H1226" s="274"/>
      <c r="I1226" s="274">
        <v>1.77</v>
      </c>
      <c r="J1226" s="456">
        <f t="shared" si="34"/>
        <v>1.77</v>
      </c>
      <c r="K1226" s="583"/>
      <c r="L1226" s="268" t="s">
        <v>2625</v>
      </c>
      <c r="M1226" s="268" t="s">
        <v>2631</v>
      </c>
      <c r="N1226" s="278">
        <f>IFERROR(INDEX('Data Lokasi'!S:S,MATCH('Input Real Tanam&amp;Petik Nanas'!C1226,'Data Lokasi'!C:C,0)),"")</f>
        <v>45350</v>
      </c>
      <c r="O1226" s="278"/>
      <c r="P1226" s="283">
        <f>IFERROR(INDEX('Data Lokasi'!V:V,MATCH(C1226,'Data Lokasi'!C:C,0)),"")</f>
        <v>0</v>
      </c>
      <c r="Q1226" s="304">
        <f t="shared" si="35"/>
        <v>0</v>
      </c>
      <c r="R1226" s="308"/>
    </row>
    <row r="1227" spans="2:18" ht="15" hidden="1" thickTop="1">
      <c r="B1227" s="269">
        <v>46250</v>
      </c>
      <c r="C1227" s="268" t="s">
        <v>477</v>
      </c>
      <c r="D1227" s="274">
        <f>IFERROR(VLOOKUP(C1227,'Data Lokasi'!C:D,2,0),"")</f>
        <v>6.05</v>
      </c>
      <c r="E1227" s="274" t="s">
        <v>2643</v>
      </c>
      <c r="F1227" s="274"/>
      <c r="G1227" s="274"/>
      <c r="H1227" s="274">
        <f>0.04+0.1</f>
        <v>0.14000000000000001</v>
      </c>
      <c r="I1227" s="274"/>
      <c r="J1227" s="456">
        <f t="shared" si="34"/>
        <v>0.14000000000000001</v>
      </c>
      <c r="K1227" s="583"/>
      <c r="L1227" s="268" t="s">
        <v>719</v>
      </c>
      <c r="M1227" s="268" t="s">
        <v>2634</v>
      </c>
      <c r="N1227" s="278">
        <f>IFERROR(INDEX('Data Lokasi'!S:S,MATCH('Input Real Tanam&amp;Petik Nanas'!C1227,'Data Lokasi'!C:C,0)),"")</f>
        <v>44508</v>
      </c>
      <c r="O1227" s="278"/>
      <c r="P1227" s="283">
        <f>IFERROR(INDEX('Data Lokasi'!V:V,MATCH(C1227,'Data Lokasi'!C:C,0)),"")</f>
        <v>0</v>
      </c>
      <c r="Q1227" s="304">
        <f t="shared" si="35"/>
        <v>0</v>
      </c>
      <c r="R1227" s="308">
        <v>1</v>
      </c>
    </row>
    <row r="1228" spans="2:18" ht="15" hidden="1" thickTop="1">
      <c r="B1228" s="269">
        <v>46250</v>
      </c>
      <c r="C1228" s="268" t="s">
        <v>147</v>
      </c>
      <c r="D1228" s="274">
        <f>IFERROR(VLOOKUP(C1228,'Data Lokasi'!C:D,2,0),"")</f>
        <v>9.1300000000000008</v>
      </c>
      <c r="E1228" s="274" t="s">
        <v>2643</v>
      </c>
      <c r="F1228" s="274"/>
      <c r="G1228" s="274"/>
      <c r="H1228" s="274"/>
      <c r="I1228" s="274">
        <v>0.6</v>
      </c>
      <c r="J1228" s="456">
        <f t="shared" si="34"/>
        <v>0.6</v>
      </c>
      <c r="K1228" s="583"/>
      <c r="L1228" s="268" t="s">
        <v>2625</v>
      </c>
      <c r="M1228" s="268" t="s">
        <v>2634</v>
      </c>
      <c r="N1228" s="278">
        <f>IFERROR(INDEX('Data Lokasi'!S:S,MATCH('Input Real Tanam&amp;Petik Nanas'!C1228,'Data Lokasi'!C:C,0)),"")</f>
        <v>44130</v>
      </c>
      <c r="O1228" s="278"/>
      <c r="P1228" s="283">
        <f>IFERROR(INDEX('Data Lokasi'!V:V,MATCH(C1228,'Data Lokasi'!C:C,0)),"")</f>
        <v>0</v>
      </c>
      <c r="Q1228" s="304">
        <f t="shared" si="35"/>
        <v>0</v>
      </c>
      <c r="R1228" s="308"/>
    </row>
    <row r="1229" spans="2:18" ht="15" hidden="1" thickTop="1">
      <c r="B1229" s="269">
        <v>46252</v>
      </c>
      <c r="C1229" s="268" t="s">
        <v>233</v>
      </c>
      <c r="D1229" s="274">
        <f>IFERROR(VLOOKUP(C1229,'Data Lokasi'!C:D,2,0),"")</f>
        <v>10.3</v>
      </c>
      <c r="E1229" s="274" t="s">
        <v>2642</v>
      </c>
      <c r="F1229" s="274"/>
      <c r="G1229" s="274"/>
      <c r="H1229" s="274"/>
      <c r="I1229" s="274">
        <v>0.47</v>
      </c>
      <c r="J1229" s="456">
        <f t="shared" si="34"/>
        <v>0.47</v>
      </c>
      <c r="K1229" s="583"/>
      <c r="L1229" s="268" t="s">
        <v>2625</v>
      </c>
      <c r="M1229" s="268" t="s">
        <v>2634</v>
      </c>
      <c r="N1229" s="278">
        <f>IFERROR(INDEX('Data Lokasi'!S:S,MATCH('Input Real Tanam&amp;Petik Nanas'!C1229,'Data Lokasi'!C:C,0)),"")</f>
        <v>44024</v>
      </c>
      <c r="O1229" s="278"/>
      <c r="P1229" s="283">
        <f>IFERROR(INDEX('Data Lokasi'!V:V,MATCH(C1229,'Data Lokasi'!C:C,0)),"")</f>
        <v>0</v>
      </c>
      <c r="Q1229" s="304">
        <f t="shared" si="35"/>
        <v>0</v>
      </c>
      <c r="R1229" s="308"/>
    </row>
    <row r="1230" spans="2:18" ht="15" hidden="1" thickTop="1">
      <c r="B1230" s="269">
        <v>46252</v>
      </c>
      <c r="C1230" s="268" t="s">
        <v>2692</v>
      </c>
      <c r="D1230" s="274">
        <f>IFERROR(VLOOKUP(C1230,'Data Lokasi'!C:D,2,0),"")</f>
        <v>8.9600000000000009</v>
      </c>
      <c r="E1230" s="274" t="s">
        <v>2642</v>
      </c>
      <c r="F1230" s="274"/>
      <c r="G1230" s="274"/>
      <c r="H1230" s="274"/>
      <c r="I1230" s="274">
        <v>0.05</v>
      </c>
      <c r="J1230" s="456">
        <f t="shared" si="34"/>
        <v>0.05</v>
      </c>
      <c r="K1230" s="583"/>
      <c r="L1230" s="268" t="s">
        <v>2625</v>
      </c>
      <c r="M1230" s="268" t="s">
        <v>2634</v>
      </c>
      <c r="N1230" s="278">
        <f>IFERROR(INDEX('Data Lokasi'!S:S,MATCH('Input Real Tanam&amp;Petik Nanas'!C1230,'Data Lokasi'!C:C,0)),"")</f>
        <v>46238</v>
      </c>
      <c r="O1230" s="278"/>
      <c r="P1230" s="283">
        <f>IFERROR(INDEX('Data Lokasi'!V:V,MATCH(C1230,'Data Lokasi'!C:C,0)),"")</f>
        <v>8.9600000000000009</v>
      </c>
      <c r="Q1230" s="304">
        <f t="shared" si="35"/>
        <v>1</v>
      </c>
      <c r="R1230" s="308"/>
    </row>
    <row r="1231" spans="2:18" ht="15" hidden="1" thickTop="1">
      <c r="B1231" s="269">
        <v>46252</v>
      </c>
      <c r="C1231" s="268" t="s">
        <v>2647</v>
      </c>
      <c r="D1231" s="274">
        <f>IFERROR(VLOOKUP(C1231,'Data Lokasi'!C:D,2,0),"")</f>
        <v>6.12</v>
      </c>
      <c r="E1231" s="274" t="s">
        <v>2642</v>
      </c>
      <c r="F1231" s="274"/>
      <c r="G1231" s="274"/>
      <c r="H1231" s="274">
        <v>0.56000000000000005</v>
      </c>
      <c r="I1231" s="274"/>
      <c r="J1231" s="456">
        <f t="shared" si="34"/>
        <v>0.56000000000000005</v>
      </c>
      <c r="K1231" s="583"/>
      <c r="L1231" s="268" t="s">
        <v>719</v>
      </c>
      <c r="M1231" s="268" t="s">
        <v>2634</v>
      </c>
      <c r="N1231" s="278">
        <f>IFERROR(INDEX('Data Lokasi'!S:S,MATCH('Input Real Tanam&amp;Petik Nanas'!C1231,'Data Lokasi'!C:C,0)),"")</f>
        <v>46237</v>
      </c>
      <c r="O1231" s="278"/>
      <c r="P1231" s="283">
        <f>IFERROR(INDEX('Data Lokasi'!V:V,MATCH(C1231,'Data Lokasi'!C:C,0)),"")</f>
        <v>6.12</v>
      </c>
      <c r="Q1231" s="304">
        <f t="shared" si="35"/>
        <v>1</v>
      </c>
      <c r="R1231" s="308"/>
    </row>
    <row r="1232" spans="2:18" ht="15" hidden="1" thickTop="1">
      <c r="B1232" s="269">
        <v>46252</v>
      </c>
      <c r="C1232" s="268" t="s">
        <v>234</v>
      </c>
      <c r="D1232" s="274">
        <f>IFERROR(VLOOKUP(C1232,'Data Lokasi'!C:D,2,0),"")</f>
        <v>5.85</v>
      </c>
      <c r="E1232" s="274" t="s">
        <v>2642</v>
      </c>
      <c r="F1232" s="274"/>
      <c r="G1232" s="274"/>
      <c r="H1232" s="274"/>
      <c r="I1232" s="274">
        <v>0.04</v>
      </c>
      <c r="J1232" s="456">
        <f t="shared" si="34"/>
        <v>0.04</v>
      </c>
      <c r="K1232" s="583"/>
      <c r="L1232" s="268" t="s">
        <v>2625</v>
      </c>
      <c r="M1232" s="268" t="s">
        <v>2634</v>
      </c>
      <c r="N1232" s="278">
        <f>IFERROR(INDEX('Data Lokasi'!S:S,MATCH('Input Real Tanam&amp;Petik Nanas'!C1232,'Data Lokasi'!C:C,0)),"")</f>
        <v>44038</v>
      </c>
      <c r="O1232" s="278"/>
      <c r="P1232" s="283">
        <f>IFERROR(INDEX('Data Lokasi'!V:V,MATCH(C1232,'Data Lokasi'!C:C,0)),"")</f>
        <v>0</v>
      </c>
      <c r="Q1232" s="304">
        <f t="shared" si="35"/>
        <v>0</v>
      </c>
      <c r="R1232" s="308"/>
    </row>
    <row r="1233" spans="2:18" ht="15" hidden="1" thickTop="1">
      <c r="B1233" s="269">
        <v>46252</v>
      </c>
      <c r="C1233" s="268" t="s">
        <v>684</v>
      </c>
      <c r="D1233" s="274">
        <f>IFERROR(VLOOKUP(C1233,'Data Lokasi'!C:D,2,0),"")</f>
        <v>8.8699999999999992</v>
      </c>
      <c r="E1233" s="274" t="s">
        <v>2642</v>
      </c>
      <c r="F1233" s="274"/>
      <c r="G1233" s="274"/>
      <c r="H1233" s="274"/>
      <c r="I1233" s="274">
        <v>0.34</v>
      </c>
      <c r="J1233" s="456">
        <f t="shared" si="34"/>
        <v>0.34</v>
      </c>
      <c r="K1233" s="583"/>
      <c r="L1233" s="268" t="s">
        <v>2625</v>
      </c>
      <c r="M1233" s="268" t="s">
        <v>2634</v>
      </c>
      <c r="N1233" s="278">
        <f>IFERROR(INDEX('Data Lokasi'!S:S,MATCH('Input Real Tanam&amp;Petik Nanas'!C1233,'Data Lokasi'!C:C,0)),"")</f>
        <v>45090</v>
      </c>
      <c r="O1233" s="278"/>
      <c r="P1233" s="283">
        <f>IFERROR(INDEX('Data Lokasi'!V:V,MATCH(C1233,'Data Lokasi'!C:C,0)),"")</f>
        <v>0</v>
      </c>
      <c r="Q1233" s="304">
        <f t="shared" si="35"/>
        <v>0</v>
      </c>
      <c r="R1233" s="308"/>
    </row>
    <row r="1234" spans="2:18" ht="15" hidden="1" thickTop="1">
      <c r="B1234" s="269">
        <v>46252</v>
      </c>
      <c r="C1234" s="268" t="s">
        <v>329</v>
      </c>
      <c r="D1234" s="274">
        <f>IFERROR(VLOOKUP(C1234,'Data Lokasi'!C:D,2,0),"")</f>
        <v>6.68</v>
      </c>
      <c r="E1234" s="274" t="s">
        <v>2642</v>
      </c>
      <c r="F1234" s="274"/>
      <c r="G1234" s="274"/>
      <c r="H1234" s="274"/>
      <c r="I1234" s="274">
        <v>0.03</v>
      </c>
      <c r="J1234" s="456">
        <f t="shared" si="34"/>
        <v>0.03</v>
      </c>
      <c r="K1234" s="583"/>
      <c r="L1234" s="268" t="s">
        <v>2625</v>
      </c>
      <c r="M1234" s="268" t="s">
        <v>2634</v>
      </c>
      <c r="N1234" s="278">
        <f>IFERROR(INDEX('Data Lokasi'!S:S,MATCH('Input Real Tanam&amp;Petik Nanas'!C1234,'Data Lokasi'!C:C,0)),"")</f>
        <v>44218</v>
      </c>
      <c r="O1234" s="278"/>
      <c r="P1234" s="283">
        <f>IFERROR(INDEX('Data Lokasi'!V:V,MATCH(C1234,'Data Lokasi'!C:C,0)),"")</f>
        <v>0</v>
      </c>
      <c r="Q1234" s="304">
        <f t="shared" si="35"/>
        <v>0</v>
      </c>
      <c r="R1234" s="308"/>
    </row>
    <row r="1235" spans="2:18" ht="15" hidden="1" thickTop="1">
      <c r="B1235" s="269">
        <v>46252</v>
      </c>
      <c r="C1235" s="268" t="s">
        <v>2662</v>
      </c>
      <c r="D1235" s="274">
        <f>IFERROR(VLOOKUP(C1235,'Data Lokasi'!C:D,2,0),"")</f>
        <v>5.64</v>
      </c>
      <c r="E1235" s="274" t="s">
        <v>2642</v>
      </c>
      <c r="F1235" s="274"/>
      <c r="G1235" s="274"/>
      <c r="H1235" s="274"/>
      <c r="I1235" s="274">
        <v>0.09</v>
      </c>
      <c r="J1235" s="456">
        <f t="shared" si="34"/>
        <v>0.09</v>
      </c>
      <c r="K1235" s="583"/>
      <c r="L1235" s="268" t="s">
        <v>2625</v>
      </c>
      <c r="M1235" s="268" t="s">
        <v>2634</v>
      </c>
      <c r="N1235" s="278">
        <f>IFERROR(INDEX('Data Lokasi'!S:S,MATCH('Input Real Tanam&amp;Petik Nanas'!C1235,'Data Lokasi'!C:C,0)),"")</f>
        <v>46204</v>
      </c>
      <c r="O1235" s="278"/>
      <c r="P1235" s="283">
        <f>IFERROR(INDEX('Data Lokasi'!V:V,MATCH(C1235,'Data Lokasi'!C:C,0)),"")</f>
        <v>0</v>
      </c>
      <c r="Q1235" s="304">
        <f t="shared" si="35"/>
        <v>0</v>
      </c>
      <c r="R1235" s="308"/>
    </row>
    <row r="1236" spans="2:18" ht="15" hidden="1" thickTop="1">
      <c r="B1236" s="269">
        <v>46252</v>
      </c>
      <c r="C1236" s="268" t="s">
        <v>705</v>
      </c>
      <c r="D1236" s="274">
        <f>IFERROR(VLOOKUP(C1236,'Data Lokasi'!C:D,2,0),"")</f>
        <v>7.67</v>
      </c>
      <c r="E1236" s="274" t="s">
        <v>2642</v>
      </c>
      <c r="F1236" s="274"/>
      <c r="G1236" s="274"/>
      <c r="H1236" s="274"/>
      <c r="I1236" s="274">
        <v>0.22</v>
      </c>
      <c r="J1236" s="456">
        <f t="shared" si="34"/>
        <v>0.22</v>
      </c>
      <c r="K1236" s="583"/>
      <c r="L1236" s="268" t="s">
        <v>2625</v>
      </c>
      <c r="M1236" s="268" t="s">
        <v>2631</v>
      </c>
      <c r="N1236" s="278">
        <f>IFERROR(INDEX('Data Lokasi'!S:S,MATCH('Input Real Tanam&amp;Petik Nanas'!C1236,'Data Lokasi'!C:C,0)),"")</f>
        <v>45202</v>
      </c>
      <c r="O1236" s="278"/>
      <c r="P1236" s="283">
        <f>IFERROR(INDEX('Data Lokasi'!V:V,MATCH(C1236,'Data Lokasi'!C:C,0)),"")</f>
        <v>0</v>
      </c>
      <c r="Q1236" s="304">
        <f t="shared" si="35"/>
        <v>0</v>
      </c>
      <c r="R1236" s="308"/>
    </row>
    <row r="1237" spans="2:18" ht="15" hidden="1" thickTop="1">
      <c r="B1237" s="269">
        <v>46252</v>
      </c>
      <c r="C1237" s="268" t="s">
        <v>708</v>
      </c>
      <c r="D1237" s="274">
        <f>IFERROR(VLOOKUP(C1237,'Data Lokasi'!C:D,2,0),"")</f>
        <v>7.54</v>
      </c>
      <c r="E1237" s="274" t="s">
        <v>2642</v>
      </c>
      <c r="F1237" s="274"/>
      <c r="G1237" s="274"/>
      <c r="H1237" s="274"/>
      <c r="I1237" s="274">
        <v>0.21</v>
      </c>
      <c r="J1237" s="456">
        <f t="shared" si="34"/>
        <v>0.21</v>
      </c>
      <c r="K1237" s="583"/>
      <c r="L1237" s="268" t="s">
        <v>2625</v>
      </c>
      <c r="M1237" s="268" t="s">
        <v>2631</v>
      </c>
      <c r="N1237" s="278">
        <f>IFERROR(INDEX('Data Lokasi'!S:S,MATCH('Input Real Tanam&amp;Petik Nanas'!C1237,'Data Lokasi'!C:C,0)),"")</f>
        <v>45240</v>
      </c>
      <c r="O1237" s="278"/>
      <c r="P1237" s="283">
        <f>IFERROR(INDEX('Data Lokasi'!V:V,MATCH(C1237,'Data Lokasi'!C:C,0)),"")</f>
        <v>0</v>
      </c>
      <c r="Q1237" s="304">
        <f t="shared" si="35"/>
        <v>0</v>
      </c>
      <c r="R1237" s="308"/>
    </row>
    <row r="1238" spans="2:18" ht="15" hidden="1" thickTop="1">
      <c r="B1238" s="269">
        <v>46252</v>
      </c>
      <c r="C1238" s="268" t="s">
        <v>289</v>
      </c>
      <c r="D1238" s="274">
        <f>IFERROR(VLOOKUP(C1238,'Data Lokasi'!C:D,2,0),"")</f>
        <v>2.87</v>
      </c>
      <c r="E1238" s="274" t="s">
        <v>2642</v>
      </c>
      <c r="F1238" s="274"/>
      <c r="G1238" s="274"/>
      <c r="H1238" s="274"/>
      <c r="I1238" s="274">
        <v>0.76</v>
      </c>
      <c r="J1238" s="456">
        <f t="shared" si="34"/>
        <v>0.76</v>
      </c>
      <c r="K1238" s="583"/>
      <c r="L1238" s="268" t="s">
        <v>2625</v>
      </c>
      <c r="M1238" s="268" t="s">
        <v>2631</v>
      </c>
      <c r="N1238" s="278">
        <f>IFERROR(INDEX('Data Lokasi'!S:S,MATCH('Input Real Tanam&amp;Petik Nanas'!C1238,'Data Lokasi'!C:C,0)),"")</f>
        <v>44121</v>
      </c>
      <c r="O1238" s="278"/>
      <c r="P1238" s="283">
        <f>IFERROR(INDEX('Data Lokasi'!V:V,MATCH(C1238,'Data Lokasi'!C:C,0)),"")</f>
        <v>0</v>
      </c>
      <c r="Q1238" s="304">
        <f t="shared" si="35"/>
        <v>0</v>
      </c>
      <c r="R1238" s="308"/>
    </row>
    <row r="1239" spans="2:18" ht="15" hidden="1" thickTop="1">
      <c r="B1239" s="269">
        <v>46252</v>
      </c>
      <c r="C1239" s="268" t="s">
        <v>108</v>
      </c>
      <c r="D1239" s="274">
        <f>IFERROR(VLOOKUP(C1239,'Data Lokasi'!C:D,2,0),"")</f>
        <v>10.45</v>
      </c>
      <c r="E1239" s="274" t="s">
        <v>2642</v>
      </c>
      <c r="F1239" s="274"/>
      <c r="G1239" s="274"/>
      <c r="H1239" s="274"/>
      <c r="I1239" s="274">
        <v>0.84</v>
      </c>
      <c r="J1239" s="456">
        <f t="shared" si="34"/>
        <v>0.84</v>
      </c>
      <c r="K1239" s="583"/>
      <c r="L1239" s="268" t="s">
        <v>2625</v>
      </c>
      <c r="M1239" s="268" t="s">
        <v>2631</v>
      </c>
      <c r="N1239" s="278">
        <f>IFERROR(INDEX('Data Lokasi'!S:S,MATCH('Input Real Tanam&amp;Petik Nanas'!C1239,'Data Lokasi'!C:C,0)),"")</f>
        <v>44176</v>
      </c>
      <c r="O1239" s="278"/>
      <c r="P1239" s="283">
        <f>IFERROR(INDEX('Data Lokasi'!V:V,MATCH(C1239,'Data Lokasi'!C:C,0)),"")</f>
        <v>0</v>
      </c>
      <c r="Q1239" s="304">
        <f t="shared" si="35"/>
        <v>0</v>
      </c>
      <c r="R1239" s="308"/>
    </row>
    <row r="1240" spans="2:18" ht="15" hidden="1" thickTop="1">
      <c r="B1240" s="269">
        <v>46252</v>
      </c>
      <c r="C1240" s="268" t="s">
        <v>704</v>
      </c>
      <c r="D1240" s="274">
        <f>IFERROR(VLOOKUP(C1240,'Data Lokasi'!C:D,2,0),"")</f>
        <v>6.38</v>
      </c>
      <c r="E1240" s="274" t="s">
        <v>2642</v>
      </c>
      <c r="F1240" s="274"/>
      <c r="G1240" s="274"/>
      <c r="H1240" s="274"/>
      <c r="I1240" s="274">
        <v>0.27</v>
      </c>
      <c r="J1240" s="456">
        <f t="shared" si="34"/>
        <v>0.27</v>
      </c>
      <c r="K1240" s="583"/>
      <c r="L1240" s="268" t="s">
        <v>2625</v>
      </c>
      <c r="M1240" s="268" t="s">
        <v>2631</v>
      </c>
      <c r="N1240" s="278">
        <f>IFERROR(INDEX('Data Lokasi'!S:S,MATCH('Input Real Tanam&amp;Petik Nanas'!C1240,'Data Lokasi'!C:C,0)),"")</f>
        <v>45199</v>
      </c>
      <c r="O1240" s="278"/>
      <c r="P1240" s="283">
        <f>IFERROR(INDEX('Data Lokasi'!V:V,MATCH(C1240,'Data Lokasi'!C:C,0)),"")</f>
        <v>0</v>
      </c>
      <c r="Q1240" s="304">
        <f t="shared" si="35"/>
        <v>0</v>
      </c>
      <c r="R1240" s="308"/>
    </row>
    <row r="1241" spans="2:18" ht="15" hidden="1" thickTop="1">
      <c r="B1241" s="269">
        <v>46252</v>
      </c>
      <c r="C1241" s="268" t="s">
        <v>465</v>
      </c>
      <c r="D1241" s="274">
        <f>IFERROR(VLOOKUP(C1241,'Data Lokasi'!C:D,2,0),"")</f>
        <v>11.63</v>
      </c>
      <c r="E1241" s="274" t="s">
        <v>2643</v>
      </c>
      <c r="F1241" s="274"/>
      <c r="G1241" s="274">
        <f>0.003+0.02</f>
        <v>2.3E-2</v>
      </c>
      <c r="H1241" s="274">
        <f>0.06+0.1</f>
        <v>0.16</v>
      </c>
      <c r="I1241" s="274"/>
      <c r="J1241" s="456">
        <f t="shared" si="34"/>
        <v>0.183</v>
      </c>
      <c r="K1241" s="583"/>
      <c r="L1241" s="268" t="s">
        <v>719</v>
      </c>
      <c r="M1241" s="268" t="s">
        <v>2631</v>
      </c>
      <c r="N1241" s="278">
        <f>IFERROR(INDEX('Data Lokasi'!S:S,MATCH('Input Real Tanam&amp;Petik Nanas'!C1241,'Data Lokasi'!C:C,0)),"")</f>
        <v>44477</v>
      </c>
      <c r="O1241" s="278"/>
      <c r="P1241" s="283">
        <f>IFERROR(INDEX('Data Lokasi'!V:V,MATCH(C1241,'Data Lokasi'!C:C,0)),"")</f>
        <v>0</v>
      </c>
      <c r="Q1241" s="304">
        <f t="shared" si="35"/>
        <v>0</v>
      </c>
      <c r="R1241" s="308">
        <v>3</v>
      </c>
    </row>
    <row r="1242" spans="2:18" ht="15" hidden="1" thickTop="1">
      <c r="B1242" s="269">
        <v>46252</v>
      </c>
      <c r="C1242" s="268" t="s">
        <v>371</v>
      </c>
      <c r="D1242" s="274">
        <f>IFERROR(VLOOKUP(C1242,'Data Lokasi'!C:D,2,0),"")</f>
        <v>7.06</v>
      </c>
      <c r="E1242" s="274" t="s">
        <v>2643</v>
      </c>
      <c r="F1242" s="274"/>
      <c r="G1242" s="274"/>
      <c r="H1242" s="274">
        <f>0.04+0.22</f>
        <v>0.26</v>
      </c>
      <c r="I1242" s="274"/>
      <c r="J1242" s="456">
        <f t="shared" si="34"/>
        <v>0.26</v>
      </c>
      <c r="K1242" s="583"/>
      <c r="L1242" s="268" t="s">
        <v>719</v>
      </c>
      <c r="M1242" s="268" t="s">
        <v>2634</v>
      </c>
      <c r="N1242" s="278">
        <f>IFERROR(INDEX('Data Lokasi'!S:S,MATCH('Input Real Tanam&amp;Petik Nanas'!C1242,'Data Lokasi'!C:C,0)),"")</f>
        <v>44335</v>
      </c>
      <c r="O1242" s="278"/>
      <c r="P1242" s="283">
        <f>IFERROR(INDEX('Data Lokasi'!V:V,MATCH(C1242,'Data Lokasi'!C:C,0)),"")</f>
        <v>0</v>
      </c>
      <c r="Q1242" s="304">
        <f t="shared" si="35"/>
        <v>0</v>
      </c>
      <c r="R1242" s="308">
        <v>6</v>
      </c>
    </row>
    <row r="1243" spans="2:18" ht="15" hidden="1" thickTop="1">
      <c r="B1243" s="269">
        <v>46252</v>
      </c>
      <c r="C1243" s="268" t="s">
        <v>476</v>
      </c>
      <c r="D1243" s="274">
        <f>IFERROR(VLOOKUP(C1243,'Data Lokasi'!C:D,2,0),"")</f>
        <v>5.26</v>
      </c>
      <c r="E1243" s="274" t="s">
        <v>2643</v>
      </c>
      <c r="F1243" s="274"/>
      <c r="G1243" s="274">
        <v>0.01</v>
      </c>
      <c r="H1243" s="274">
        <f>0.1+0.19</f>
        <v>0.29000000000000004</v>
      </c>
      <c r="I1243" s="274"/>
      <c r="J1243" s="456">
        <f t="shared" si="34"/>
        <v>0.30000000000000004</v>
      </c>
      <c r="K1243" s="583"/>
      <c r="L1243" s="268" t="s">
        <v>719</v>
      </c>
      <c r="M1243" s="268" t="s">
        <v>2634</v>
      </c>
      <c r="N1243" s="278">
        <f>IFERROR(INDEX('Data Lokasi'!S:S,MATCH('Input Real Tanam&amp;Petik Nanas'!C1243,'Data Lokasi'!C:C,0)),"")</f>
        <v>44487</v>
      </c>
      <c r="O1243" s="278"/>
      <c r="P1243" s="283">
        <f>IFERROR(INDEX('Data Lokasi'!V:V,MATCH(C1243,'Data Lokasi'!C:C,0)),"")</f>
        <v>0</v>
      </c>
      <c r="Q1243" s="304">
        <f t="shared" si="35"/>
        <v>0</v>
      </c>
      <c r="R1243" s="308">
        <v>6</v>
      </c>
    </row>
    <row r="1244" spans="2:18" ht="15" hidden="1" thickTop="1">
      <c r="B1244" s="269">
        <v>46252</v>
      </c>
      <c r="C1244" s="268" t="s">
        <v>537</v>
      </c>
      <c r="D1244" s="274">
        <f>IFERROR(VLOOKUP(C1244,'Data Lokasi'!C:D,2,0),"")</f>
        <v>7.93</v>
      </c>
      <c r="E1244" s="274" t="s">
        <v>2643</v>
      </c>
      <c r="F1244" s="274"/>
      <c r="G1244" s="274"/>
      <c r="H1244" s="274"/>
      <c r="I1244" s="274">
        <v>1.01</v>
      </c>
      <c r="J1244" s="456">
        <f t="shared" si="34"/>
        <v>1.01</v>
      </c>
      <c r="K1244" s="583"/>
      <c r="L1244" s="268" t="s">
        <v>2625</v>
      </c>
      <c r="M1244" s="268" t="s">
        <v>2634</v>
      </c>
      <c r="N1244" s="278">
        <f>IFERROR(INDEX('Data Lokasi'!S:S,MATCH('Input Real Tanam&amp;Petik Nanas'!C1244,'Data Lokasi'!C:C,0)),"")</f>
        <v>44648</v>
      </c>
      <c r="O1244" s="278"/>
      <c r="P1244" s="283">
        <f>IFERROR(INDEX('Data Lokasi'!V:V,MATCH(C1244,'Data Lokasi'!C:C,0)),"")</f>
        <v>0</v>
      </c>
      <c r="Q1244" s="304">
        <f t="shared" si="35"/>
        <v>0</v>
      </c>
      <c r="R1244" s="308"/>
    </row>
    <row r="1245" spans="2:18" ht="15" hidden="1" thickTop="1">
      <c r="B1245" s="269">
        <v>46252</v>
      </c>
      <c r="C1245" s="268" t="s">
        <v>147</v>
      </c>
      <c r="D1245" s="274">
        <f>IFERROR(VLOOKUP(C1245,'Data Lokasi'!C:D,2,0),"")</f>
        <v>9.1300000000000008</v>
      </c>
      <c r="E1245" s="274" t="s">
        <v>2643</v>
      </c>
      <c r="F1245" s="274"/>
      <c r="G1245" s="274"/>
      <c r="H1245" s="274"/>
      <c r="I1245" s="274">
        <v>0.28999999999999998</v>
      </c>
      <c r="J1245" s="456">
        <f t="shared" si="34"/>
        <v>0.28999999999999998</v>
      </c>
      <c r="K1245" s="583"/>
      <c r="L1245" s="268" t="s">
        <v>2625</v>
      </c>
      <c r="M1245" s="268" t="s">
        <v>2634</v>
      </c>
      <c r="N1245" s="278">
        <f>IFERROR(INDEX('Data Lokasi'!S:S,MATCH('Input Real Tanam&amp;Petik Nanas'!C1245,'Data Lokasi'!C:C,0)),"")</f>
        <v>44130</v>
      </c>
      <c r="O1245" s="278"/>
      <c r="P1245" s="283">
        <f>IFERROR(INDEX('Data Lokasi'!V:V,MATCH(C1245,'Data Lokasi'!C:C,0)),"")</f>
        <v>0</v>
      </c>
      <c r="Q1245" s="304">
        <f t="shared" si="35"/>
        <v>0</v>
      </c>
      <c r="R1245" s="308"/>
    </row>
    <row r="1246" spans="2:18" ht="15" hidden="1" thickTop="1">
      <c r="B1246" s="269">
        <v>46253</v>
      </c>
      <c r="C1246" s="268" t="s">
        <v>233</v>
      </c>
      <c r="D1246" s="274">
        <f>IFERROR(VLOOKUP(C1246,'Data Lokasi'!C:D,2,0),"")</f>
        <v>10.3</v>
      </c>
      <c r="E1246" s="274" t="s">
        <v>2642</v>
      </c>
      <c r="F1246" s="274"/>
      <c r="G1246" s="274"/>
      <c r="H1246" s="274"/>
      <c r="I1246" s="274">
        <v>0.38</v>
      </c>
      <c r="J1246" s="456">
        <f t="shared" si="34"/>
        <v>0.38</v>
      </c>
      <c r="K1246" s="583"/>
      <c r="L1246" s="268" t="s">
        <v>2625</v>
      </c>
      <c r="M1246" s="268" t="s">
        <v>2634</v>
      </c>
      <c r="N1246" s="278">
        <f>IFERROR(INDEX('Data Lokasi'!S:S,MATCH('Input Real Tanam&amp;Petik Nanas'!C1246,'Data Lokasi'!C:C,0)),"")</f>
        <v>44024</v>
      </c>
      <c r="O1246" s="278"/>
      <c r="P1246" s="283">
        <f>IFERROR(INDEX('Data Lokasi'!V:V,MATCH(C1246,'Data Lokasi'!C:C,0)),"")</f>
        <v>0</v>
      </c>
      <c r="Q1246" s="304">
        <f t="shared" si="35"/>
        <v>0</v>
      </c>
      <c r="R1246" s="308"/>
    </row>
    <row r="1247" spans="2:18" ht="15" hidden="1" thickTop="1">
      <c r="B1247" s="269">
        <v>46253</v>
      </c>
      <c r="C1247" s="268" t="s">
        <v>2692</v>
      </c>
      <c r="D1247" s="274">
        <f>IFERROR(VLOOKUP(C1247,'Data Lokasi'!C:D,2,0),"")</f>
        <v>8.9600000000000009</v>
      </c>
      <c r="E1247" s="274" t="s">
        <v>2642</v>
      </c>
      <c r="F1247" s="274"/>
      <c r="G1247" s="274"/>
      <c r="H1247" s="274"/>
      <c r="I1247" s="274">
        <v>0.24</v>
      </c>
      <c r="J1247" s="456">
        <f t="shared" si="34"/>
        <v>0.24</v>
      </c>
      <c r="K1247" s="583"/>
      <c r="L1247" s="268" t="s">
        <v>2625</v>
      </c>
      <c r="M1247" s="268" t="s">
        <v>2634</v>
      </c>
      <c r="N1247" s="278">
        <f>IFERROR(INDEX('Data Lokasi'!S:S,MATCH('Input Real Tanam&amp;Petik Nanas'!C1247,'Data Lokasi'!C:C,0)),"")</f>
        <v>46238</v>
      </c>
      <c r="O1247" s="278"/>
      <c r="P1247" s="283">
        <f>IFERROR(INDEX('Data Lokasi'!V:V,MATCH(C1247,'Data Lokasi'!C:C,0)),"")</f>
        <v>8.9600000000000009</v>
      </c>
      <c r="Q1247" s="304">
        <f t="shared" si="35"/>
        <v>1</v>
      </c>
      <c r="R1247" s="308"/>
    </row>
    <row r="1248" spans="2:18" ht="15" hidden="1" thickTop="1">
      <c r="B1248" s="269">
        <v>46253</v>
      </c>
      <c r="C1248" s="268" t="s">
        <v>2647</v>
      </c>
      <c r="D1248" s="274">
        <f>IFERROR(VLOOKUP(C1248,'Data Lokasi'!C:D,2,0),"")</f>
        <v>6.12</v>
      </c>
      <c r="E1248" s="274" t="s">
        <v>2642</v>
      </c>
      <c r="F1248" s="274"/>
      <c r="G1248" s="274"/>
      <c r="H1248" s="274">
        <v>0.47</v>
      </c>
      <c r="I1248" s="274"/>
      <c r="J1248" s="456">
        <f t="shared" si="34"/>
        <v>0.47</v>
      </c>
      <c r="K1248" s="583"/>
      <c r="L1248" s="268" t="s">
        <v>719</v>
      </c>
      <c r="M1248" s="268" t="s">
        <v>2634</v>
      </c>
      <c r="N1248" s="278">
        <f>IFERROR(INDEX('Data Lokasi'!S:S,MATCH('Input Real Tanam&amp;Petik Nanas'!C1248,'Data Lokasi'!C:C,0)),"")</f>
        <v>46237</v>
      </c>
      <c r="O1248" s="278"/>
      <c r="P1248" s="283">
        <f>IFERROR(INDEX('Data Lokasi'!V:V,MATCH(C1248,'Data Lokasi'!C:C,0)),"")</f>
        <v>6.12</v>
      </c>
      <c r="Q1248" s="304">
        <f t="shared" si="35"/>
        <v>1</v>
      </c>
      <c r="R1248" s="308"/>
    </row>
    <row r="1249" spans="2:18" ht="15" hidden="1" thickTop="1">
      <c r="B1249" s="269">
        <v>46253</v>
      </c>
      <c r="C1249" s="268" t="s">
        <v>234</v>
      </c>
      <c r="D1249" s="274">
        <f>IFERROR(VLOOKUP(C1249,'Data Lokasi'!C:D,2,0),"")</f>
        <v>5.85</v>
      </c>
      <c r="E1249" s="274" t="s">
        <v>2642</v>
      </c>
      <c r="F1249" s="274"/>
      <c r="G1249" s="274"/>
      <c r="H1249" s="274"/>
      <c r="I1249" s="274">
        <v>0.33</v>
      </c>
      <c r="J1249" s="456">
        <f t="shared" si="34"/>
        <v>0.33</v>
      </c>
      <c r="K1249" s="583"/>
      <c r="L1249" s="268" t="s">
        <v>2625</v>
      </c>
      <c r="M1249" s="268" t="s">
        <v>2634</v>
      </c>
      <c r="N1249" s="278">
        <f>IFERROR(INDEX('Data Lokasi'!S:S,MATCH('Input Real Tanam&amp;Petik Nanas'!C1249,'Data Lokasi'!C:C,0)),"")</f>
        <v>44038</v>
      </c>
      <c r="O1249" s="278"/>
      <c r="P1249" s="283">
        <f>IFERROR(INDEX('Data Lokasi'!V:V,MATCH(C1249,'Data Lokasi'!C:C,0)),"")</f>
        <v>0</v>
      </c>
      <c r="Q1249" s="304">
        <f t="shared" si="35"/>
        <v>0</v>
      </c>
      <c r="R1249" s="308"/>
    </row>
    <row r="1250" spans="2:18" ht="15" hidden="1" thickTop="1">
      <c r="B1250" s="269">
        <v>46253</v>
      </c>
      <c r="C1250" s="268" t="s">
        <v>684</v>
      </c>
      <c r="D1250" s="274">
        <f>IFERROR(VLOOKUP(C1250,'Data Lokasi'!C:D,2,0),"")</f>
        <v>8.8699999999999992</v>
      </c>
      <c r="E1250" s="274" t="s">
        <v>2642</v>
      </c>
      <c r="F1250" s="274"/>
      <c r="G1250" s="274"/>
      <c r="H1250" s="274"/>
      <c r="I1250" s="274">
        <v>0.39</v>
      </c>
      <c r="J1250" s="456">
        <f t="shared" si="34"/>
        <v>0.39</v>
      </c>
      <c r="K1250" s="583"/>
      <c r="L1250" s="268" t="s">
        <v>2625</v>
      </c>
      <c r="M1250" s="268" t="s">
        <v>2634</v>
      </c>
      <c r="N1250" s="278">
        <f>IFERROR(INDEX('Data Lokasi'!S:S,MATCH('Input Real Tanam&amp;Petik Nanas'!C1250,'Data Lokasi'!C:C,0)),"")</f>
        <v>45090</v>
      </c>
      <c r="O1250" s="278"/>
      <c r="P1250" s="283">
        <f>IFERROR(INDEX('Data Lokasi'!V:V,MATCH(C1250,'Data Lokasi'!C:C,0)),"")</f>
        <v>0</v>
      </c>
      <c r="Q1250" s="304">
        <f t="shared" si="35"/>
        <v>0</v>
      </c>
      <c r="R1250" s="308"/>
    </row>
    <row r="1251" spans="2:18" ht="15" hidden="1" thickTop="1">
      <c r="B1251" s="269">
        <v>46253</v>
      </c>
      <c r="C1251" s="268" t="s">
        <v>692</v>
      </c>
      <c r="D1251" s="274">
        <f>IFERROR(VLOOKUP(C1251,'Data Lokasi'!C:D,2,0),"")</f>
        <v>3.93</v>
      </c>
      <c r="E1251" s="274" t="s">
        <v>2642</v>
      </c>
      <c r="F1251" s="274"/>
      <c r="G1251" s="274"/>
      <c r="H1251" s="274"/>
      <c r="I1251" s="274">
        <v>0.08</v>
      </c>
      <c r="J1251" s="456">
        <f t="shared" si="34"/>
        <v>0.08</v>
      </c>
      <c r="K1251" s="583"/>
      <c r="L1251" s="268" t="s">
        <v>2625</v>
      </c>
      <c r="M1251" s="268" t="s">
        <v>2634</v>
      </c>
      <c r="N1251" s="278">
        <f>IFERROR(INDEX('Data Lokasi'!S:S,MATCH('Input Real Tanam&amp;Petik Nanas'!C1251,'Data Lokasi'!C:C,0)),"")</f>
        <v>45111</v>
      </c>
      <c r="O1251" s="278"/>
      <c r="P1251" s="283">
        <f>IFERROR(INDEX('Data Lokasi'!V:V,MATCH(C1251,'Data Lokasi'!C:C,0)),"")</f>
        <v>0</v>
      </c>
      <c r="Q1251" s="304">
        <f t="shared" si="35"/>
        <v>0</v>
      </c>
      <c r="R1251" s="308"/>
    </row>
    <row r="1252" spans="2:18" ht="15" hidden="1" thickTop="1">
      <c r="B1252" s="269">
        <v>46253</v>
      </c>
      <c r="C1252" s="268" t="s">
        <v>680</v>
      </c>
      <c r="D1252" s="274">
        <f>IFERROR(VLOOKUP(C1252,'Data Lokasi'!C:D,2,0),"")</f>
        <v>5</v>
      </c>
      <c r="E1252" s="274" t="s">
        <v>2642</v>
      </c>
      <c r="F1252" s="274"/>
      <c r="G1252" s="274"/>
      <c r="H1252" s="274"/>
      <c r="I1252" s="274">
        <v>0.05</v>
      </c>
      <c r="J1252" s="456">
        <f t="shared" si="34"/>
        <v>0.05</v>
      </c>
      <c r="K1252" s="583"/>
      <c r="L1252" s="268" t="s">
        <v>2625</v>
      </c>
      <c r="M1252" s="268" t="s">
        <v>2634</v>
      </c>
      <c r="N1252" s="278">
        <f>IFERROR(INDEX('Data Lokasi'!S:S,MATCH('Input Real Tanam&amp;Petik Nanas'!C1252,'Data Lokasi'!C:C,0)),"")</f>
        <v>45093</v>
      </c>
      <c r="O1252" s="278"/>
      <c r="P1252" s="283">
        <f>IFERROR(INDEX('Data Lokasi'!V:V,MATCH(C1252,'Data Lokasi'!C:C,0)),"")</f>
        <v>0</v>
      </c>
      <c r="Q1252" s="304">
        <f t="shared" si="35"/>
        <v>0</v>
      </c>
      <c r="R1252" s="308"/>
    </row>
    <row r="1253" spans="2:18" ht="15" hidden="1" thickTop="1">
      <c r="B1253" s="269">
        <v>46253</v>
      </c>
      <c r="C1253" s="268" t="s">
        <v>299</v>
      </c>
      <c r="D1253" s="274">
        <f>IFERROR(VLOOKUP(C1253,'Data Lokasi'!C:D,2,0),"")</f>
        <v>3.62</v>
      </c>
      <c r="E1253" s="274" t="s">
        <v>2642</v>
      </c>
      <c r="F1253" s="274"/>
      <c r="G1253" s="274"/>
      <c r="H1253" s="274">
        <v>0.08</v>
      </c>
      <c r="I1253" s="274"/>
      <c r="J1253" s="456">
        <f t="shared" si="34"/>
        <v>0.08</v>
      </c>
      <c r="K1253" s="583"/>
      <c r="L1253" s="268" t="s">
        <v>719</v>
      </c>
      <c r="M1253" s="268" t="s">
        <v>2634</v>
      </c>
      <c r="N1253" s="278">
        <f>IFERROR(INDEX('Data Lokasi'!S:S,MATCH('Input Real Tanam&amp;Petik Nanas'!C1253,'Data Lokasi'!C:C,0)),"")</f>
        <v>44144</v>
      </c>
      <c r="O1253" s="278"/>
      <c r="P1253" s="283">
        <f>IFERROR(INDEX('Data Lokasi'!V:V,MATCH(C1253,'Data Lokasi'!C:C,0)),"")</f>
        <v>0</v>
      </c>
      <c r="Q1253" s="304">
        <f t="shared" si="35"/>
        <v>0</v>
      </c>
      <c r="R1253" s="308"/>
    </row>
    <row r="1254" spans="2:18" ht="15" hidden="1" thickTop="1">
      <c r="B1254" s="269">
        <v>46253</v>
      </c>
      <c r="C1254" s="268" t="s">
        <v>705</v>
      </c>
      <c r="D1254" s="274">
        <f>IFERROR(VLOOKUP(C1254,'Data Lokasi'!C:D,2,0),"")</f>
        <v>7.67</v>
      </c>
      <c r="E1254" s="274" t="s">
        <v>2642</v>
      </c>
      <c r="F1254" s="274"/>
      <c r="G1254" s="274"/>
      <c r="H1254" s="274"/>
      <c r="I1254" s="274">
        <v>0.25</v>
      </c>
      <c r="J1254" s="456">
        <f t="shared" si="34"/>
        <v>0.25</v>
      </c>
      <c r="K1254" s="583"/>
      <c r="L1254" s="268" t="s">
        <v>2625</v>
      </c>
      <c r="M1254" s="268" t="s">
        <v>2631</v>
      </c>
      <c r="N1254" s="278">
        <f>IFERROR(INDEX('Data Lokasi'!S:S,MATCH('Input Real Tanam&amp;Petik Nanas'!C1254,'Data Lokasi'!C:C,0)),"")</f>
        <v>45202</v>
      </c>
      <c r="O1254" s="278"/>
      <c r="P1254" s="283">
        <f>IFERROR(INDEX('Data Lokasi'!V:V,MATCH(C1254,'Data Lokasi'!C:C,0)),"")</f>
        <v>0</v>
      </c>
      <c r="Q1254" s="304">
        <f t="shared" si="35"/>
        <v>0</v>
      </c>
      <c r="R1254" s="308"/>
    </row>
    <row r="1255" spans="2:18" ht="15" hidden="1" thickTop="1">
      <c r="B1255" s="269">
        <v>46253</v>
      </c>
      <c r="C1255" s="268" t="s">
        <v>695</v>
      </c>
      <c r="D1255" s="274">
        <f>IFERROR(VLOOKUP(C1255,'Data Lokasi'!C:D,2,0),"")</f>
        <v>5</v>
      </c>
      <c r="E1255" s="274" t="s">
        <v>2642</v>
      </c>
      <c r="F1255" s="274"/>
      <c r="G1255" s="274"/>
      <c r="H1255" s="274"/>
      <c r="I1255" s="274">
        <v>0.16</v>
      </c>
      <c r="J1255" s="456">
        <f t="shared" si="34"/>
        <v>0.16</v>
      </c>
      <c r="K1255" s="583"/>
      <c r="L1255" s="268" t="s">
        <v>2625</v>
      </c>
      <c r="M1255" s="268" t="s">
        <v>2631</v>
      </c>
      <c r="N1255" s="278">
        <f>IFERROR(INDEX('Data Lokasi'!S:S,MATCH('Input Real Tanam&amp;Petik Nanas'!C1255,'Data Lokasi'!C:C,0)),"")</f>
        <v>45117</v>
      </c>
      <c r="O1255" s="278"/>
      <c r="P1255" s="283">
        <f>IFERROR(INDEX('Data Lokasi'!V:V,MATCH(C1255,'Data Lokasi'!C:C,0)),"")</f>
        <v>0</v>
      </c>
      <c r="Q1255" s="304">
        <f t="shared" si="35"/>
        <v>0</v>
      </c>
      <c r="R1255" s="308"/>
    </row>
    <row r="1256" spans="2:18" ht="15" hidden="1" thickTop="1">
      <c r="B1256" s="269">
        <v>46253</v>
      </c>
      <c r="C1256" s="268" t="s">
        <v>704</v>
      </c>
      <c r="D1256" s="274">
        <f>IFERROR(VLOOKUP(C1256,'Data Lokasi'!C:D,2,0),"")</f>
        <v>6.38</v>
      </c>
      <c r="E1256" s="274" t="s">
        <v>2642</v>
      </c>
      <c r="F1256" s="274"/>
      <c r="G1256" s="274"/>
      <c r="H1256" s="274"/>
      <c r="I1256" s="274">
        <v>0.37</v>
      </c>
      <c r="J1256" s="456">
        <f t="shared" ref="J1256:J1319" si="36">IF(SUM(F1256:I1256)=0,"",(SUM(F1256:I1256)))</f>
        <v>0.37</v>
      </c>
      <c r="K1256" s="583"/>
      <c r="L1256" s="268" t="s">
        <v>2625</v>
      </c>
      <c r="M1256" s="268" t="s">
        <v>2631</v>
      </c>
      <c r="N1256" s="278">
        <f>IFERROR(INDEX('Data Lokasi'!S:S,MATCH('Input Real Tanam&amp;Petik Nanas'!C1256,'Data Lokasi'!C:C,0)),"")</f>
        <v>45199</v>
      </c>
      <c r="O1256" s="278"/>
      <c r="P1256" s="283">
        <f>IFERROR(INDEX('Data Lokasi'!V:V,MATCH(C1256,'Data Lokasi'!C:C,0)),"")</f>
        <v>0</v>
      </c>
      <c r="Q1256" s="304">
        <f t="shared" ref="Q1256:Q1319" si="37">IF(ISERROR(P1256/D1256),"",(P1256/D1256))</f>
        <v>0</v>
      </c>
      <c r="R1256" s="308"/>
    </row>
    <row r="1257" spans="2:18" ht="15" hidden="1" thickTop="1">
      <c r="B1257" s="269">
        <v>46253</v>
      </c>
      <c r="C1257" s="268" t="s">
        <v>108</v>
      </c>
      <c r="D1257" s="274">
        <f>IFERROR(VLOOKUP(C1257,'Data Lokasi'!C:D,2,0),"")</f>
        <v>10.45</v>
      </c>
      <c r="E1257" s="274" t="s">
        <v>2642</v>
      </c>
      <c r="F1257" s="274"/>
      <c r="G1257" s="274"/>
      <c r="H1257" s="274"/>
      <c r="I1257" s="274">
        <v>0.51</v>
      </c>
      <c r="J1257" s="456">
        <f t="shared" si="36"/>
        <v>0.51</v>
      </c>
      <c r="K1257" s="583"/>
      <c r="L1257" s="268" t="s">
        <v>2625</v>
      </c>
      <c r="M1257" s="268" t="s">
        <v>2631</v>
      </c>
      <c r="N1257" s="278">
        <f>IFERROR(INDEX('Data Lokasi'!S:S,MATCH('Input Real Tanam&amp;Petik Nanas'!C1257,'Data Lokasi'!C:C,0)),"")</f>
        <v>44176</v>
      </c>
      <c r="O1257" s="278"/>
      <c r="P1257" s="283">
        <f>IFERROR(INDEX('Data Lokasi'!V:V,MATCH(C1257,'Data Lokasi'!C:C,0)),"")</f>
        <v>0</v>
      </c>
      <c r="Q1257" s="304">
        <f t="shared" si="37"/>
        <v>0</v>
      </c>
      <c r="R1257" s="308"/>
    </row>
    <row r="1258" spans="2:18" ht="15" hidden="1" thickTop="1">
      <c r="B1258" s="269">
        <v>46253</v>
      </c>
      <c r="C1258" s="268" t="s">
        <v>289</v>
      </c>
      <c r="D1258" s="274">
        <f>IFERROR(VLOOKUP(C1258,'Data Lokasi'!C:D,2,0),"")</f>
        <v>2.87</v>
      </c>
      <c r="E1258" s="274" t="s">
        <v>2642</v>
      </c>
      <c r="F1258" s="274"/>
      <c r="G1258" s="274"/>
      <c r="H1258" s="274"/>
      <c r="I1258" s="274">
        <v>0.12</v>
      </c>
      <c r="J1258" s="456">
        <f t="shared" si="36"/>
        <v>0.12</v>
      </c>
      <c r="K1258" s="583"/>
      <c r="L1258" s="268" t="s">
        <v>2625</v>
      </c>
      <c r="M1258" s="268" t="s">
        <v>2631</v>
      </c>
      <c r="N1258" s="278">
        <f>IFERROR(INDEX('Data Lokasi'!S:S,MATCH('Input Real Tanam&amp;Petik Nanas'!C1258,'Data Lokasi'!C:C,0)),"")</f>
        <v>44121</v>
      </c>
      <c r="O1258" s="278"/>
      <c r="P1258" s="283">
        <f>IFERROR(INDEX('Data Lokasi'!V:V,MATCH(C1258,'Data Lokasi'!C:C,0)),"")</f>
        <v>0</v>
      </c>
      <c r="Q1258" s="304">
        <f t="shared" si="37"/>
        <v>0</v>
      </c>
      <c r="R1258" s="308"/>
    </row>
    <row r="1259" spans="2:18" ht="15" hidden="1" thickTop="1">
      <c r="B1259" s="269">
        <v>46253</v>
      </c>
      <c r="C1259" s="268" t="s">
        <v>708</v>
      </c>
      <c r="D1259" s="274">
        <f>IFERROR(VLOOKUP(C1259,'Data Lokasi'!C:D,2,0),"")</f>
        <v>7.54</v>
      </c>
      <c r="E1259" s="274" t="s">
        <v>2642</v>
      </c>
      <c r="F1259" s="274"/>
      <c r="G1259" s="274"/>
      <c r="H1259" s="274"/>
      <c r="I1259" s="274">
        <v>0.26</v>
      </c>
      <c r="J1259" s="456">
        <f t="shared" si="36"/>
        <v>0.26</v>
      </c>
      <c r="K1259" s="583"/>
      <c r="L1259" s="268" t="s">
        <v>2625</v>
      </c>
      <c r="M1259" s="268" t="s">
        <v>2631</v>
      </c>
      <c r="N1259" s="278">
        <f>IFERROR(INDEX('Data Lokasi'!S:S,MATCH('Input Real Tanam&amp;Petik Nanas'!C1259,'Data Lokasi'!C:C,0)),"")</f>
        <v>45240</v>
      </c>
      <c r="O1259" s="278"/>
      <c r="P1259" s="283">
        <f>IFERROR(INDEX('Data Lokasi'!V:V,MATCH(C1259,'Data Lokasi'!C:C,0)),"")</f>
        <v>0</v>
      </c>
      <c r="Q1259" s="304">
        <f t="shared" si="37"/>
        <v>0</v>
      </c>
      <c r="R1259" s="308"/>
    </row>
    <row r="1260" spans="2:18" ht="15" hidden="1" thickTop="1">
      <c r="B1260" s="269">
        <v>46253</v>
      </c>
      <c r="C1260" s="268" t="s">
        <v>270</v>
      </c>
      <c r="D1260" s="274">
        <f>IFERROR(VLOOKUP(C1260,'Data Lokasi'!C:D,2,0),"")</f>
        <v>6.13</v>
      </c>
      <c r="E1260" s="274" t="s">
        <v>2642</v>
      </c>
      <c r="F1260" s="274"/>
      <c r="G1260" s="274"/>
      <c r="H1260" s="274"/>
      <c r="I1260" s="274">
        <v>0.1</v>
      </c>
      <c r="J1260" s="456">
        <f t="shared" si="36"/>
        <v>0.1</v>
      </c>
      <c r="K1260" s="583"/>
      <c r="L1260" s="268" t="s">
        <v>2625</v>
      </c>
      <c r="M1260" s="268" t="s">
        <v>2631</v>
      </c>
      <c r="N1260" s="278">
        <f>IFERROR(INDEX('Data Lokasi'!S:S,MATCH('Input Real Tanam&amp;Petik Nanas'!C1260,'Data Lokasi'!C:C,0)),"")</f>
        <v>44086</v>
      </c>
      <c r="O1260" s="278"/>
      <c r="P1260" s="283">
        <f>IFERROR(INDEX('Data Lokasi'!V:V,MATCH(C1260,'Data Lokasi'!C:C,0)),"")</f>
        <v>0</v>
      </c>
      <c r="Q1260" s="304">
        <f t="shared" si="37"/>
        <v>0</v>
      </c>
      <c r="R1260" s="308"/>
    </row>
    <row r="1261" spans="2:18" ht="15" hidden="1" thickTop="1">
      <c r="B1261" s="269">
        <v>46253</v>
      </c>
      <c r="C1261" s="268" t="s">
        <v>244</v>
      </c>
      <c r="D1261" s="274">
        <f>IFERROR(VLOOKUP(C1261,'Data Lokasi'!C:D,2,0),"")</f>
        <v>11.05</v>
      </c>
      <c r="E1261" s="274" t="s">
        <v>2642</v>
      </c>
      <c r="F1261" s="274"/>
      <c r="G1261" s="274"/>
      <c r="H1261" s="274"/>
      <c r="I1261" s="274">
        <v>0.2</v>
      </c>
      <c r="J1261" s="456">
        <f t="shared" si="36"/>
        <v>0.2</v>
      </c>
      <c r="K1261" s="583"/>
      <c r="L1261" s="268" t="s">
        <v>2625</v>
      </c>
      <c r="M1261" s="268" t="s">
        <v>2631</v>
      </c>
      <c r="N1261" s="278">
        <f>IFERROR(INDEX('Data Lokasi'!S:S,MATCH('Input Real Tanam&amp;Petik Nanas'!C1261,'Data Lokasi'!C:C,0)),"")</f>
        <v>44025</v>
      </c>
      <c r="O1261" s="278"/>
      <c r="P1261" s="283">
        <f>IFERROR(INDEX('Data Lokasi'!V:V,MATCH(C1261,'Data Lokasi'!C:C,0)),"")</f>
        <v>0</v>
      </c>
      <c r="Q1261" s="304">
        <f t="shared" si="37"/>
        <v>0</v>
      </c>
      <c r="R1261" s="308"/>
    </row>
    <row r="1262" spans="2:18" ht="15" hidden="1" thickTop="1">
      <c r="B1262" s="269">
        <v>46253</v>
      </c>
      <c r="C1262" s="268" t="s">
        <v>2691</v>
      </c>
      <c r="D1262" s="274">
        <f>IFERROR(VLOOKUP(C1262,'Data Lokasi'!C:D,2,0),"")</f>
        <v>5.37</v>
      </c>
      <c r="E1262" s="274" t="s">
        <v>2642</v>
      </c>
      <c r="F1262" s="274"/>
      <c r="G1262" s="274"/>
      <c r="H1262" s="274"/>
      <c r="I1262" s="274">
        <v>0.15</v>
      </c>
      <c r="J1262" s="456">
        <f t="shared" si="36"/>
        <v>0.15</v>
      </c>
      <c r="K1262" s="583"/>
      <c r="L1262" s="268" t="s">
        <v>2625</v>
      </c>
      <c r="M1262" s="268" t="s">
        <v>2631</v>
      </c>
      <c r="N1262" s="278">
        <f>IFERROR(INDEX('Data Lokasi'!S:S,MATCH('Input Real Tanam&amp;Petik Nanas'!C1262,'Data Lokasi'!C:C,0)),"")</f>
        <v>46236</v>
      </c>
      <c r="O1262" s="278"/>
      <c r="P1262" s="283">
        <f>IFERROR(INDEX('Data Lokasi'!V:V,MATCH(C1262,'Data Lokasi'!C:C,0)),"")</f>
        <v>5.37</v>
      </c>
      <c r="Q1262" s="304">
        <f t="shared" si="37"/>
        <v>1</v>
      </c>
      <c r="R1262" s="308"/>
    </row>
    <row r="1263" spans="2:18" ht="15" hidden="1" thickTop="1">
      <c r="B1263" s="269">
        <v>46253</v>
      </c>
      <c r="C1263" s="268" t="s">
        <v>476</v>
      </c>
      <c r="D1263" s="274">
        <f>IFERROR(VLOOKUP(C1263,'Data Lokasi'!C:D,2,0),"")</f>
        <v>5.26</v>
      </c>
      <c r="E1263" s="274" t="s">
        <v>2643</v>
      </c>
      <c r="F1263" s="274"/>
      <c r="G1263" s="274"/>
      <c r="H1263" s="274">
        <v>0.04</v>
      </c>
      <c r="I1263" s="274">
        <f>0.1+0.16</f>
        <v>0.26</v>
      </c>
      <c r="J1263" s="456">
        <f t="shared" si="36"/>
        <v>0.3</v>
      </c>
      <c r="K1263" s="583"/>
      <c r="L1263" s="268" t="s">
        <v>719</v>
      </c>
      <c r="M1263" s="268" t="s">
        <v>2634</v>
      </c>
      <c r="N1263" s="278">
        <f>IFERROR(INDEX('Data Lokasi'!S:S,MATCH('Input Real Tanam&amp;Petik Nanas'!C1263,'Data Lokasi'!C:C,0)),"")</f>
        <v>44487</v>
      </c>
      <c r="O1263" s="278"/>
      <c r="P1263" s="283">
        <f>IFERROR(INDEX('Data Lokasi'!V:V,MATCH(C1263,'Data Lokasi'!C:C,0)),"")</f>
        <v>0</v>
      </c>
      <c r="Q1263" s="304">
        <f t="shared" si="37"/>
        <v>0</v>
      </c>
      <c r="R1263" s="308">
        <v>6</v>
      </c>
    </row>
    <row r="1264" spans="2:18" ht="15" hidden="1" thickTop="1">
      <c r="B1264" s="269">
        <v>46253</v>
      </c>
      <c r="C1264" s="268" t="s">
        <v>537</v>
      </c>
      <c r="D1264" s="274">
        <f>IFERROR(VLOOKUP(C1264,'Data Lokasi'!C:D,2,0),"")</f>
        <v>7.93</v>
      </c>
      <c r="E1264" s="274" t="s">
        <v>2643</v>
      </c>
      <c r="F1264" s="274"/>
      <c r="G1264" s="274"/>
      <c r="H1264" s="274"/>
      <c r="I1264" s="274">
        <v>0.74</v>
      </c>
      <c r="J1264" s="456">
        <f t="shared" si="36"/>
        <v>0.74</v>
      </c>
      <c r="K1264" s="583"/>
      <c r="L1264" s="268" t="s">
        <v>2625</v>
      </c>
      <c r="M1264" s="268" t="s">
        <v>2634</v>
      </c>
      <c r="N1264" s="278">
        <f>IFERROR(INDEX('Data Lokasi'!S:S,MATCH('Input Real Tanam&amp;Petik Nanas'!C1264,'Data Lokasi'!C:C,0)),"")</f>
        <v>44648</v>
      </c>
      <c r="O1264" s="278"/>
      <c r="P1264" s="283">
        <f>IFERROR(INDEX('Data Lokasi'!V:V,MATCH(C1264,'Data Lokasi'!C:C,0)),"")</f>
        <v>0</v>
      </c>
      <c r="Q1264" s="304">
        <f t="shared" si="37"/>
        <v>0</v>
      </c>
      <c r="R1264" s="308"/>
    </row>
    <row r="1265" spans="2:18" ht="15" hidden="1" thickTop="1">
      <c r="B1265" s="269">
        <v>46253</v>
      </c>
      <c r="C1265" s="268" t="s">
        <v>392</v>
      </c>
      <c r="D1265" s="274">
        <f>IFERROR(VLOOKUP(C1265,'Data Lokasi'!C:D,2,0),"")</f>
        <v>12.38</v>
      </c>
      <c r="E1265" s="274" t="s">
        <v>2643</v>
      </c>
      <c r="F1265" s="274"/>
      <c r="G1265" s="274"/>
      <c r="H1265" s="274"/>
      <c r="I1265" s="274">
        <v>0.88</v>
      </c>
      <c r="J1265" s="456">
        <f t="shared" si="36"/>
        <v>0.88</v>
      </c>
      <c r="K1265" s="583"/>
      <c r="L1265" s="268" t="s">
        <v>2625</v>
      </c>
      <c r="M1265" s="268" t="s">
        <v>2634</v>
      </c>
      <c r="N1265" s="278">
        <f>IFERROR(INDEX('Data Lokasi'!S:S,MATCH('Input Real Tanam&amp;Petik Nanas'!C1265,'Data Lokasi'!C:C,0)),"")</f>
        <v>44307</v>
      </c>
      <c r="O1265" s="278"/>
      <c r="P1265" s="283">
        <f>IFERROR(INDEX('Data Lokasi'!V:V,MATCH(C1265,'Data Lokasi'!C:C,0)),"")</f>
        <v>0</v>
      </c>
      <c r="Q1265" s="304">
        <f t="shared" si="37"/>
        <v>0</v>
      </c>
      <c r="R1265" s="308"/>
    </row>
    <row r="1266" spans="2:18" ht="15" hidden="1" thickTop="1">
      <c r="B1266" s="269">
        <v>46253</v>
      </c>
      <c r="C1266" s="268" t="s">
        <v>2542</v>
      </c>
      <c r="D1266" s="274">
        <f>IFERROR(VLOOKUP(C1266,'Data Lokasi'!C:D,2,0),"")</f>
        <v>0.6</v>
      </c>
      <c r="E1266" s="274" t="s">
        <v>2643</v>
      </c>
      <c r="F1266" s="274"/>
      <c r="G1266" s="274"/>
      <c r="H1266" s="274">
        <v>0.01</v>
      </c>
      <c r="I1266" s="274">
        <f>0.03+0.04</f>
        <v>7.0000000000000007E-2</v>
      </c>
      <c r="J1266" s="456">
        <f t="shared" si="36"/>
        <v>0.08</v>
      </c>
      <c r="K1266" s="583"/>
      <c r="L1266" s="268" t="s">
        <v>719</v>
      </c>
      <c r="M1266" s="268" t="s">
        <v>2631</v>
      </c>
      <c r="N1266" s="278">
        <f>IFERROR(INDEX('Data Lokasi'!S:S,MATCH('Input Real Tanam&amp;Petik Nanas'!C1266,'Data Lokasi'!C:C,0)),"")</f>
        <v>45431</v>
      </c>
      <c r="O1266" s="278"/>
      <c r="P1266" s="283">
        <f>IFERROR(INDEX('Data Lokasi'!V:V,MATCH(C1266,'Data Lokasi'!C:C,0)),"")</f>
        <v>0</v>
      </c>
      <c r="Q1266" s="304">
        <f t="shared" si="37"/>
        <v>0</v>
      </c>
      <c r="R1266" s="308">
        <v>6</v>
      </c>
    </row>
    <row r="1267" spans="2:18" ht="15" hidden="1" thickTop="1">
      <c r="B1267" s="269">
        <v>46253</v>
      </c>
      <c r="C1267" s="268" t="s">
        <v>360</v>
      </c>
      <c r="D1267" s="274">
        <f>IFERROR(VLOOKUP(C1267,'Data Lokasi'!C:D,2,0),"")</f>
        <v>10.66</v>
      </c>
      <c r="E1267" s="274" t="s">
        <v>2643</v>
      </c>
      <c r="F1267" s="274"/>
      <c r="G1267" s="274"/>
      <c r="H1267" s="274">
        <f>0.02+0.06</f>
        <v>0.08</v>
      </c>
      <c r="I1267" s="274">
        <f>0.11+0.1</f>
        <v>0.21000000000000002</v>
      </c>
      <c r="J1267" s="456">
        <f t="shared" si="36"/>
        <v>0.29000000000000004</v>
      </c>
      <c r="K1267" s="583"/>
      <c r="L1267" s="268" t="s">
        <v>719</v>
      </c>
      <c r="M1267" s="268" t="s">
        <v>2631</v>
      </c>
      <c r="N1267" s="278">
        <f>IFERROR(INDEX('Data Lokasi'!S:S,MATCH('Input Real Tanam&amp;Petik Nanas'!C1267,'Data Lokasi'!C:C,0)),"")</f>
        <v>44300</v>
      </c>
      <c r="O1267" s="278"/>
      <c r="P1267" s="283">
        <f>IFERROR(INDEX('Data Lokasi'!V:V,MATCH(C1267,'Data Lokasi'!C:C,0)),"")</f>
        <v>0</v>
      </c>
      <c r="Q1267" s="304">
        <f t="shared" si="37"/>
        <v>0</v>
      </c>
      <c r="R1267" s="308">
        <v>6</v>
      </c>
    </row>
    <row r="1268" spans="2:18" ht="15" hidden="1" thickTop="1">
      <c r="B1268" s="269">
        <v>46253</v>
      </c>
      <c r="C1268" s="268" t="s">
        <v>465</v>
      </c>
      <c r="D1268" s="274">
        <f>IFERROR(VLOOKUP(C1268,'Data Lokasi'!C:D,2,0),"")</f>
        <v>11.63</v>
      </c>
      <c r="E1268" s="274" t="s">
        <v>2643</v>
      </c>
      <c r="F1268" s="274"/>
      <c r="G1268" s="274">
        <f>0.001+0.01</f>
        <v>1.0999999999999999E-2</v>
      </c>
      <c r="H1268" s="274">
        <v>0.04</v>
      </c>
      <c r="I1268" s="274"/>
      <c r="J1268" s="456">
        <f t="shared" si="36"/>
        <v>5.1000000000000004E-2</v>
      </c>
      <c r="K1268" s="583"/>
      <c r="L1268" s="268" t="s">
        <v>719</v>
      </c>
      <c r="M1268" s="268" t="s">
        <v>2631</v>
      </c>
      <c r="N1268" s="278">
        <f>IFERROR(INDEX('Data Lokasi'!S:S,MATCH('Input Real Tanam&amp;Petik Nanas'!C1268,'Data Lokasi'!C:C,0)),"")</f>
        <v>44477</v>
      </c>
      <c r="O1268" s="278"/>
      <c r="P1268" s="283">
        <f>IFERROR(INDEX('Data Lokasi'!V:V,MATCH(C1268,'Data Lokasi'!C:C,0)),"")</f>
        <v>0</v>
      </c>
      <c r="Q1268" s="304">
        <f t="shared" si="37"/>
        <v>0</v>
      </c>
      <c r="R1268" s="308">
        <v>3</v>
      </c>
    </row>
    <row r="1269" spans="2:18" ht="15" hidden="1" thickTop="1">
      <c r="B1269" s="269">
        <v>46253</v>
      </c>
      <c r="C1269" s="268" t="s">
        <v>162</v>
      </c>
      <c r="D1269" s="274">
        <f>IFERROR(VLOOKUP(C1269,'Data Lokasi'!C:D,2,0),"")</f>
        <v>10.46</v>
      </c>
      <c r="E1269" s="274" t="s">
        <v>2643</v>
      </c>
      <c r="F1269" s="274"/>
      <c r="G1269" s="274">
        <f>0.004+0.003</f>
        <v>7.0000000000000001E-3</v>
      </c>
      <c r="H1269" s="274">
        <v>2E-3</v>
      </c>
      <c r="I1269" s="274"/>
      <c r="J1269" s="456">
        <f t="shared" si="36"/>
        <v>9.0000000000000011E-3</v>
      </c>
      <c r="K1269" s="583"/>
      <c r="L1269" s="268" t="s">
        <v>719</v>
      </c>
      <c r="M1269" s="268" t="s">
        <v>2631</v>
      </c>
      <c r="N1269" s="278">
        <f>IFERROR(INDEX('Data Lokasi'!S:S,MATCH('Input Real Tanam&amp;Petik Nanas'!C1269,'Data Lokasi'!C:C,0)),"")</f>
        <v>45350</v>
      </c>
      <c r="O1269" s="278"/>
      <c r="P1269" s="283">
        <f>IFERROR(INDEX('Data Lokasi'!V:V,MATCH(C1269,'Data Lokasi'!C:C,0)),"")</f>
        <v>0</v>
      </c>
      <c r="Q1269" s="304">
        <f t="shared" si="37"/>
        <v>0</v>
      </c>
      <c r="R1269" s="308"/>
    </row>
    <row r="1270" spans="2:18" ht="15" hidden="1" thickTop="1">
      <c r="B1270" s="269">
        <v>46254</v>
      </c>
      <c r="C1270" s="268" t="s">
        <v>710</v>
      </c>
      <c r="D1270" s="274">
        <f>IFERROR(VLOOKUP(C1270,'Data Lokasi'!C:D,2,0),"")</f>
        <v>8.3699999999999992</v>
      </c>
      <c r="E1270" s="274" t="s">
        <v>2642</v>
      </c>
      <c r="F1270" s="274"/>
      <c r="G1270" s="274"/>
      <c r="H1270" s="274"/>
      <c r="I1270" s="274">
        <v>0.21</v>
      </c>
      <c r="J1270" s="456">
        <f t="shared" si="36"/>
        <v>0.21</v>
      </c>
      <c r="K1270" s="583"/>
      <c r="L1270" s="268" t="s">
        <v>2625</v>
      </c>
      <c r="M1270" s="268" t="s">
        <v>2631</v>
      </c>
      <c r="N1270" s="278">
        <f>IFERROR(INDEX('Data Lokasi'!S:S,MATCH('Input Real Tanam&amp;Petik Nanas'!C1270,'Data Lokasi'!C:C,0)),"")</f>
        <v>45246</v>
      </c>
      <c r="O1270" s="278"/>
      <c r="P1270" s="283">
        <f>IFERROR(INDEX('Data Lokasi'!V:V,MATCH(C1270,'Data Lokasi'!C:C,0)),"")</f>
        <v>0</v>
      </c>
      <c r="Q1270" s="304">
        <f t="shared" si="37"/>
        <v>0</v>
      </c>
      <c r="R1270" s="308"/>
    </row>
    <row r="1271" spans="2:18" ht="15" hidden="1" thickTop="1">
      <c r="B1271" s="269">
        <v>46254</v>
      </c>
      <c r="C1271" s="268" t="s">
        <v>270</v>
      </c>
      <c r="D1271" s="274">
        <f>IFERROR(VLOOKUP(C1271,'Data Lokasi'!C:D,2,0),"")</f>
        <v>6.13</v>
      </c>
      <c r="E1271" s="274" t="s">
        <v>2642</v>
      </c>
      <c r="F1271" s="274"/>
      <c r="G1271" s="274"/>
      <c r="H1271" s="274"/>
      <c r="I1271" s="274">
        <v>0.08</v>
      </c>
      <c r="J1271" s="456">
        <f t="shared" si="36"/>
        <v>0.08</v>
      </c>
      <c r="K1271" s="583"/>
      <c r="L1271" s="268" t="s">
        <v>2625</v>
      </c>
      <c r="M1271" s="268" t="s">
        <v>2631</v>
      </c>
      <c r="N1271" s="278">
        <f>IFERROR(INDEX('Data Lokasi'!S:S,MATCH('Input Real Tanam&amp;Petik Nanas'!C1271,'Data Lokasi'!C:C,0)),"")</f>
        <v>44086</v>
      </c>
      <c r="O1271" s="278"/>
      <c r="P1271" s="283">
        <f>IFERROR(INDEX('Data Lokasi'!V:V,MATCH(C1271,'Data Lokasi'!C:C,0)),"")</f>
        <v>0</v>
      </c>
      <c r="Q1271" s="304">
        <f t="shared" si="37"/>
        <v>0</v>
      </c>
      <c r="R1271" s="308"/>
    </row>
    <row r="1272" spans="2:18" ht="15" hidden="1" thickTop="1">
      <c r="B1272" s="269">
        <v>46254</v>
      </c>
      <c r="C1272" s="268" t="s">
        <v>704</v>
      </c>
      <c r="D1272" s="274">
        <f>IFERROR(VLOOKUP(C1272,'Data Lokasi'!C:D,2,0),"")</f>
        <v>6.38</v>
      </c>
      <c r="E1272" s="274" t="s">
        <v>2642</v>
      </c>
      <c r="F1272" s="274"/>
      <c r="G1272" s="274"/>
      <c r="H1272" s="274"/>
      <c r="I1272" s="274">
        <v>0.12</v>
      </c>
      <c r="J1272" s="456">
        <f t="shared" si="36"/>
        <v>0.12</v>
      </c>
      <c r="K1272" s="583"/>
      <c r="L1272" s="268" t="s">
        <v>2625</v>
      </c>
      <c r="M1272" s="268" t="s">
        <v>2631</v>
      </c>
      <c r="N1272" s="278">
        <f>IFERROR(INDEX('Data Lokasi'!S:S,MATCH('Input Real Tanam&amp;Petik Nanas'!C1272,'Data Lokasi'!C:C,0)),"")</f>
        <v>45199</v>
      </c>
      <c r="O1272" s="278"/>
      <c r="P1272" s="283">
        <f>IFERROR(INDEX('Data Lokasi'!V:V,MATCH(C1272,'Data Lokasi'!C:C,0)),"")</f>
        <v>0</v>
      </c>
      <c r="Q1272" s="304">
        <f t="shared" si="37"/>
        <v>0</v>
      </c>
      <c r="R1272" s="308"/>
    </row>
    <row r="1273" spans="2:18" ht="15" hidden="1" thickTop="1">
      <c r="B1273" s="269">
        <v>46254</v>
      </c>
      <c r="C1273" s="268" t="s">
        <v>701</v>
      </c>
      <c r="D1273" s="274">
        <f>IFERROR(VLOOKUP(C1273,'Data Lokasi'!C:D,2,0),"")</f>
        <v>6.03</v>
      </c>
      <c r="E1273" s="274" t="s">
        <v>2642</v>
      </c>
      <c r="F1273" s="274"/>
      <c r="G1273" s="274"/>
      <c r="H1273" s="274"/>
      <c r="I1273" s="274">
        <v>0.16</v>
      </c>
      <c r="J1273" s="456">
        <f t="shared" si="36"/>
        <v>0.16</v>
      </c>
      <c r="K1273" s="583"/>
      <c r="L1273" s="268" t="s">
        <v>2625</v>
      </c>
      <c r="M1273" s="268" t="s">
        <v>2631</v>
      </c>
      <c r="N1273" s="278">
        <f>IFERROR(INDEX('Data Lokasi'!S:S,MATCH('Input Real Tanam&amp;Petik Nanas'!C1273,'Data Lokasi'!C:C,0)),"")</f>
        <v>45185</v>
      </c>
      <c r="O1273" s="278"/>
      <c r="P1273" s="283">
        <f>IFERROR(INDEX('Data Lokasi'!V:V,MATCH(C1273,'Data Lokasi'!C:C,0)),"")</f>
        <v>0</v>
      </c>
      <c r="Q1273" s="304">
        <f t="shared" si="37"/>
        <v>0</v>
      </c>
      <c r="R1273" s="308"/>
    </row>
    <row r="1274" spans="2:18" ht="15" hidden="1" thickTop="1">
      <c r="B1274" s="269">
        <v>46254</v>
      </c>
      <c r="C1274" s="268" t="s">
        <v>233</v>
      </c>
      <c r="D1274" s="274">
        <f>IFERROR(VLOOKUP(C1274,'Data Lokasi'!C:D,2,0),"")</f>
        <v>10.3</v>
      </c>
      <c r="E1274" s="274" t="s">
        <v>2642</v>
      </c>
      <c r="F1274" s="274"/>
      <c r="G1274" s="274"/>
      <c r="H1274" s="274"/>
      <c r="I1274" s="274">
        <v>0.81</v>
      </c>
      <c r="J1274" s="456">
        <f t="shared" si="36"/>
        <v>0.81</v>
      </c>
      <c r="K1274" s="583"/>
      <c r="L1274" s="268" t="s">
        <v>2625</v>
      </c>
      <c r="M1274" s="268" t="s">
        <v>2634</v>
      </c>
      <c r="N1274" s="278">
        <f>IFERROR(INDEX('Data Lokasi'!S:S,MATCH('Input Real Tanam&amp;Petik Nanas'!C1274,'Data Lokasi'!C:C,0)),"")</f>
        <v>44024</v>
      </c>
      <c r="O1274" s="278"/>
      <c r="P1274" s="283">
        <f>IFERROR(INDEX('Data Lokasi'!V:V,MATCH(C1274,'Data Lokasi'!C:C,0)),"")</f>
        <v>0</v>
      </c>
      <c r="Q1274" s="304">
        <f t="shared" si="37"/>
        <v>0</v>
      </c>
      <c r="R1274" s="308"/>
    </row>
    <row r="1275" spans="2:18" ht="15" hidden="1" thickTop="1">
      <c r="B1275" s="269">
        <v>46254</v>
      </c>
      <c r="C1275" s="268" t="s">
        <v>680</v>
      </c>
      <c r="D1275" s="274">
        <f>IFERROR(VLOOKUP(C1275,'Data Lokasi'!C:D,2,0),"")</f>
        <v>5</v>
      </c>
      <c r="E1275" s="274" t="s">
        <v>2642</v>
      </c>
      <c r="F1275" s="274"/>
      <c r="G1275" s="274"/>
      <c r="H1275" s="274"/>
      <c r="I1275" s="274">
        <v>0.45</v>
      </c>
      <c r="J1275" s="456">
        <f t="shared" si="36"/>
        <v>0.45</v>
      </c>
      <c r="K1275" s="583"/>
      <c r="L1275" s="268" t="s">
        <v>2625</v>
      </c>
      <c r="M1275" s="268" t="s">
        <v>2634</v>
      </c>
      <c r="N1275" s="278">
        <f>IFERROR(INDEX('Data Lokasi'!S:S,MATCH('Input Real Tanam&amp;Petik Nanas'!C1275,'Data Lokasi'!C:C,0)),"")</f>
        <v>45093</v>
      </c>
      <c r="O1275" s="278"/>
      <c r="P1275" s="283">
        <f>IFERROR(INDEX('Data Lokasi'!V:V,MATCH(C1275,'Data Lokasi'!C:C,0)),"")</f>
        <v>0</v>
      </c>
      <c r="Q1275" s="304">
        <f t="shared" si="37"/>
        <v>0</v>
      </c>
      <c r="R1275" s="308"/>
    </row>
    <row r="1276" spans="2:18" ht="15" hidden="1" thickTop="1">
      <c r="B1276" s="269">
        <v>46254</v>
      </c>
      <c r="C1276" s="268" t="s">
        <v>2646</v>
      </c>
      <c r="D1276" s="274">
        <f>IFERROR(VLOOKUP(C1276,'Data Lokasi'!C:D,2,0),"")</f>
        <v>8.41</v>
      </c>
      <c r="E1276" s="274" t="s">
        <v>2642</v>
      </c>
      <c r="F1276" s="274"/>
      <c r="G1276" s="274"/>
      <c r="H1276" s="274">
        <v>0.48</v>
      </c>
      <c r="I1276" s="274"/>
      <c r="J1276" s="456">
        <f t="shared" si="36"/>
        <v>0.48</v>
      </c>
      <c r="K1276" s="583"/>
      <c r="L1276" s="268" t="s">
        <v>719</v>
      </c>
      <c r="M1276" s="268" t="s">
        <v>2634</v>
      </c>
      <c r="N1276" s="278">
        <f>IFERROR(INDEX('Data Lokasi'!S:S,MATCH('Input Real Tanam&amp;Petik Nanas'!C1276,'Data Lokasi'!C:C,0)),"")</f>
        <v>46248</v>
      </c>
      <c r="O1276" s="278"/>
      <c r="P1276" s="283">
        <f>IFERROR(INDEX('Data Lokasi'!V:V,MATCH(C1276,'Data Lokasi'!C:C,0)),"")</f>
        <v>8.41</v>
      </c>
      <c r="Q1276" s="304">
        <f t="shared" si="37"/>
        <v>1</v>
      </c>
      <c r="R1276" s="308"/>
    </row>
    <row r="1277" spans="2:18" ht="15" hidden="1" thickTop="1">
      <c r="B1277" s="269">
        <v>46254</v>
      </c>
      <c r="C1277" s="268" t="s">
        <v>476</v>
      </c>
      <c r="D1277" s="274">
        <f>IFERROR(VLOOKUP(C1277,'Data Lokasi'!C:D,2,0),"")</f>
        <v>5.26</v>
      </c>
      <c r="E1277" s="274" t="s">
        <v>2643</v>
      </c>
      <c r="F1277" s="274"/>
      <c r="G1277" s="274"/>
      <c r="H1277" s="274">
        <f>0.01+0.02</f>
        <v>0.03</v>
      </c>
      <c r="I1277" s="274">
        <f>0.07+0.13</f>
        <v>0.2</v>
      </c>
      <c r="J1277" s="456">
        <f t="shared" si="36"/>
        <v>0.23</v>
      </c>
      <c r="K1277" s="583"/>
      <c r="L1277" s="268" t="s">
        <v>719</v>
      </c>
      <c r="M1277" s="268" t="s">
        <v>2634</v>
      </c>
      <c r="N1277" s="278">
        <f>IFERROR(INDEX('Data Lokasi'!S:S,MATCH('Input Real Tanam&amp;Petik Nanas'!C1277,'Data Lokasi'!C:C,0)),"")</f>
        <v>44487</v>
      </c>
      <c r="O1277" s="278"/>
      <c r="P1277" s="283">
        <f>IFERROR(INDEX('Data Lokasi'!V:V,MATCH(C1277,'Data Lokasi'!C:C,0)),"")</f>
        <v>0</v>
      </c>
      <c r="Q1277" s="304">
        <f t="shared" si="37"/>
        <v>0</v>
      </c>
      <c r="R1277" s="308">
        <v>6</v>
      </c>
    </row>
    <row r="1278" spans="2:18" ht="15" hidden="1" thickTop="1">
      <c r="B1278" s="269">
        <v>46254</v>
      </c>
      <c r="C1278" s="268" t="s">
        <v>537</v>
      </c>
      <c r="D1278" s="274">
        <f>IFERROR(VLOOKUP(C1278,'Data Lokasi'!C:D,2,0),"")</f>
        <v>7.93</v>
      </c>
      <c r="E1278" s="274" t="s">
        <v>2643</v>
      </c>
      <c r="F1278" s="274"/>
      <c r="G1278" s="274"/>
      <c r="H1278" s="274"/>
      <c r="I1278" s="274">
        <v>1.51</v>
      </c>
      <c r="J1278" s="456">
        <f t="shared" si="36"/>
        <v>1.51</v>
      </c>
      <c r="K1278" s="583"/>
      <c r="L1278" s="268" t="s">
        <v>2625</v>
      </c>
      <c r="M1278" s="268" t="s">
        <v>2634</v>
      </c>
      <c r="N1278" s="278">
        <f>IFERROR(INDEX('Data Lokasi'!S:S,MATCH('Input Real Tanam&amp;Petik Nanas'!C1278,'Data Lokasi'!C:C,0)),"")</f>
        <v>44648</v>
      </c>
      <c r="O1278" s="278"/>
      <c r="P1278" s="283">
        <f>IFERROR(INDEX('Data Lokasi'!V:V,MATCH(C1278,'Data Lokasi'!C:C,0)),"")</f>
        <v>0</v>
      </c>
      <c r="Q1278" s="304">
        <f t="shared" si="37"/>
        <v>0</v>
      </c>
      <c r="R1278" s="308"/>
    </row>
    <row r="1279" spans="2:18" ht="15" hidden="1" thickTop="1">
      <c r="B1279" s="269">
        <v>46254</v>
      </c>
      <c r="C1279" s="268" t="s">
        <v>2557</v>
      </c>
      <c r="D1279" s="274">
        <f>IFERROR(VLOOKUP(C1279,'Data Lokasi'!C:D,2,0),"")</f>
        <v>8.0399999999999991</v>
      </c>
      <c r="E1279" s="274" t="s">
        <v>2643</v>
      </c>
      <c r="F1279" s="274"/>
      <c r="G1279" s="274"/>
      <c r="H1279" s="274"/>
      <c r="I1279" s="274">
        <v>0.63</v>
      </c>
      <c r="J1279" s="456">
        <f t="shared" si="36"/>
        <v>0.63</v>
      </c>
      <c r="K1279" s="583"/>
      <c r="L1279" s="268" t="s">
        <v>2625</v>
      </c>
      <c r="M1279" s="268" t="s">
        <v>2634</v>
      </c>
      <c r="N1279" s="278">
        <f>IFERROR(INDEX('Data Lokasi'!S:S,MATCH('Input Real Tanam&amp;Petik Nanas'!C1279,'Data Lokasi'!C:C,0)),"")</f>
        <v>45708</v>
      </c>
      <c r="O1279" s="278"/>
      <c r="P1279" s="283">
        <f>IFERROR(INDEX('Data Lokasi'!V:V,MATCH(C1279,'Data Lokasi'!C:C,0)),"")</f>
        <v>0</v>
      </c>
      <c r="Q1279" s="304">
        <f t="shared" si="37"/>
        <v>0</v>
      </c>
      <c r="R1279" s="308"/>
    </row>
    <row r="1280" spans="2:18" ht="15" hidden="1" thickTop="1">
      <c r="B1280" s="269">
        <v>46254</v>
      </c>
      <c r="C1280" s="268" t="s">
        <v>378</v>
      </c>
      <c r="D1280" s="274">
        <f>IFERROR(VLOOKUP(C1280,'Data Lokasi'!C:D,2,0),"")</f>
        <v>10.88</v>
      </c>
      <c r="E1280" s="274" t="s">
        <v>2643</v>
      </c>
      <c r="F1280" s="274"/>
      <c r="G1280" s="274"/>
      <c r="H1280" s="274"/>
      <c r="I1280" s="274">
        <v>1.75</v>
      </c>
      <c r="J1280" s="456">
        <f t="shared" si="36"/>
        <v>1.75</v>
      </c>
      <c r="K1280" s="583"/>
      <c r="L1280" s="268" t="s">
        <v>2625</v>
      </c>
      <c r="M1280" s="268" t="s">
        <v>2634</v>
      </c>
      <c r="N1280" s="278">
        <f>IFERROR(INDEX('Data Lokasi'!S:S,MATCH('Input Real Tanam&amp;Petik Nanas'!C1280,'Data Lokasi'!C:C,0)),"")</f>
        <v>44319</v>
      </c>
      <c r="O1280" s="278"/>
      <c r="P1280" s="283">
        <f>IFERROR(INDEX('Data Lokasi'!V:V,MATCH(C1280,'Data Lokasi'!C:C,0)),"")</f>
        <v>0</v>
      </c>
      <c r="Q1280" s="304">
        <f t="shared" si="37"/>
        <v>0</v>
      </c>
      <c r="R1280" s="308"/>
    </row>
    <row r="1281" spans="2:18" ht="15" hidden="1" thickTop="1">
      <c r="B1281" s="269">
        <v>46254</v>
      </c>
      <c r="C1281" s="268" t="s">
        <v>465</v>
      </c>
      <c r="D1281" s="274">
        <f>IFERROR(VLOOKUP(C1281,'Data Lokasi'!C:D,2,0),"")</f>
        <v>11.63</v>
      </c>
      <c r="E1281" s="274" t="s">
        <v>2643</v>
      </c>
      <c r="F1281" s="274"/>
      <c r="G1281" s="274">
        <f>0.006+0.02</f>
        <v>2.6000000000000002E-2</v>
      </c>
      <c r="H1281" s="274">
        <v>0.06</v>
      </c>
      <c r="I1281" s="274"/>
      <c r="J1281" s="456">
        <f t="shared" si="36"/>
        <v>8.5999999999999993E-2</v>
      </c>
      <c r="K1281" s="583"/>
      <c r="L1281" s="268" t="s">
        <v>719</v>
      </c>
      <c r="M1281" s="268" t="s">
        <v>2631</v>
      </c>
      <c r="N1281" s="278">
        <f>IFERROR(INDEX('Data Lokasi'!S:S,MATCH('Input Real Tanam&amp;Petik Nanas'!C1281,'Data Lokasi'!C:C,0)),"")</f>
        <v>44477</v>
      </c>
      <c r="O1281" s="278"/>
      <c r="P1281" s="283">
        <f>IFERROR(INDEX('Data Lokasi'!V:V,MATCH(C1281,'Data Lokasi'!C:C,0)),"")</f>
        <v>0</v>
      </c>
      <c r="Q1281" s="304">
        <f t="shared" si="37"/>
        <v>0</v>
      </c>
      <c r="R1281" s="308">
        <v>3</v>
      </c>
    </row>
    <row r="1282" spans="2:18" ht="15" hidden="1" thickTop="1">
      <c r="B1282" s="269">
        <v>46254</v>
      </c>
      <c r="C1282" s="268" t="s">
        <v>154</v>
      </c>
      <c r="D1282" s="274">
        <f>IFERROR(VLOOKUP(C1282,'Data Lokasi'!C:D,2,0),"")</f>
        <v>3.3</v>
      </c>
      <c r="E1282" s="274" t="s">
        <v>2643</v>
      </c>
      <c r="F1282" s="274"/>
      <c r="G1282" s="274">
        <v>0.03</v>
      </c>
      <c r="H1282" s="274"/>
      <c r="I1282" s="274"/>
      <c r="J1282" s="456">
        <f t="shared" si="36"/>
        <v>0.03</v>
      </c>
      <c r="K1282" s="583"/>
      <c r="L1282" s="268" t="s">
        <v>719</v>
      </c>
      <c r="M1282" s="268" t="s">
        <v>2631</v>
      </c>
      <c r="N1282" s="278">
        <f>IFERROR(INDEX('Data Lokasi'!S:S,MATCH('Input Real Tanam&amp;Petik Nanas'!C1282,'Data Lokasi'!C:C,0)),"")</f>
        <v>44209</v>
      </c>
      <c r="O1282" s="278"/>
      <c r="P1282" s="283">
        <f>IFERROR(INDEX('Data Lokasi'!V:V,MATCH(C1282,'Data Lokasi'!C:C,0)),"")</f>
        <v>0</v>
      </c>
      <c r="Q1282" s="304">
        <f t="shared" si="37"/>
        <v>0</v>
      </c>
      <c r="R1282" s="308"/>
    </row>
    <row r="1283" spans="2:18" ht="15" hidden="1" thickTop="1">
      <c r="B1283" s="269">
        <v>46255</v>
      </c>
      <c r="C1283" s="268" t="s">
        <v>695</v>
      </c>
      <c r="D1283" s="274">
        <f>IFERROR(VLOOKUP(C1283,'Data Lokasi'!C:D,2,0),"")</f>
        <v>5</v>
      </c>
      <c r="E1283" s="274" t="s">
        <v>2642</v>
      </c>
      <c r="F1283" s="274"/>
      <c r="G1283" s="274"/>
      <c r="H1283" s="274"/>
      <c r="I1283" s="274">
        <v>0.04</v>
      </c>
      <c r="J1283" s="456">
        <f t="shared" si="36"/>
        <v>0.04</v>
      </c>
      <c r="K1283" s="583"/>
      <c r="L1283" s="268" t="s">
        <v>2625</v>
      </c>
      <c r="M1283" s="268" t="s">
        <v>2631</v>
      </c>
      <c r="N1283" s="278">
        <f>IFERROR(INDEX('Data Lokasi'!S:S,MATCH('Input Real Tanam&amp;Petik Nanas'!C1283,'Data Lokasi'!C:C,0)),"")</f>
        <v>45117</v>
      </c>
      <c r="O1283" s="278"/>
      <c r="P1283" s="283">
        <f>IFERROR(INDEX('Data Lokasi'!V:V,MATCH(C1283,'Data Lokasi'!C:C,0)),"")</f>
        <v>0</v>
      </c>
      <c r="Q1283" s="304">
        <f t="shared" si="37"/>
        <v>0</v>
      </c>
      <c r="R1283" s="308"/>
    </row>
    <row r="1284" spans="2:18" ht="15" hidden="1" thickTop="1">
      <c r="B1284" s="269">
        <v>46255</v>
      </c>
      <c r="C1284" s="268" t="s">
        <v>704</v>
      </c>
      <c r="D1284" s="274">
        <f>IFERROR(VLOOKUP(C1284,'Data Lokasi'!C:D,2,0),"")</f>
        <v>6.38</v>
      </c>
      <c r="E1284" s="274" t="s">
        <v>2642</v>
      </c>
      <c r="F1284" s="274"/>
      <c r="G1284" s="274"/>
      <c r="H1284" s="274"/>
      <c r="I1284" s="274">
        <v>0.15</v>
      </c>
      <c r="J1284" s="456">
        <f t="shared" si="36"/>
        <v>0.15</v>
      </c>
      <c r="K1284" s="583"/>
      <c r="L1284" s="268" t="s">
        <v>2625</v>
      </c>
      <c r="M1284" s="268" t="s">
        <v>2631</v>
      </c>
      <c r="N1284" s="278">
        <f>IFERROR(INDEX('Data Lokasi'!S:S,MATCH('Input Real Tanam&amp;Petik Nanas'!C1284,'Data Lokasi'!C:C,0)),"")</f>
        <v>45199</v>
      </c>
      <c r="O1284" s="278"/>
      <c r="P1284" s="283">
        <f>IFERROR(INDEX('Data Lokasi'!V:V,MATCH(C1284,'Data Lokasi'!C:C,0)),"")</f>
        <v>0</v>
      </c>
      <c r="Q1284" s="304">
        <f t="shared" si="37"/>
        <v>0</v>
      </c>
      <c r="R1284" s="308"/>
    </row>
    <row r="1285" spans="2:18" ht="15" hidden="1" thickTop="1">
      <c r="B1285" s="269">
        <v>46255</v>
      </c>
      <c r="C1285" s="268" t="s">
        <v>701</v>
      </c>
      <c r="D1285" s="274">
        <f>IFERROR(VLOOKUP(C1285,'Data Lokasi'!C:D,2,0),"")</f>
        <v>6.03</v>
      </c>
      <c r="E1285" s="274" t="s">
        <v>2642</v>
      </c>
      <c r="F1285" s="274"/>
      <c r="G1285" s="274"/>
      <c r="H1285" s="274"/>
      <c r="I1285" s="274">
        <v>0.16</v>
      </c>
      <c r="J1285" s="456">
        <f t="shared" si="36"/>
        <v>0.16</v>
      </c>
      <c r="K1285" s="583"/>
      <c r="L1285" s="268" t="s">
        <v>2625</v>
      </c>
      <c r="M1285" s="268" t="s">
        <v>2631</v>
      </c>
      <c r="N1285" s="278">
        <f>IFERROR(INDEX('Data Lokasi'!S:S,MATCH('Input Real Tanam&amp;Petik Nanas'!C1285,'Data Lokasi'!C:C,0)),"")</f>
        <v>45185</v>
      </c>
      <c r="O1285" s="278"/>
      <c r="P1285" s="283">
        <f>IFERROR(INDEX('Data Lokasi'!V:V,MATCH(C1285,'Data Lokasi'!C:C,0)),"")</f>
        <v>0</v>
      </c>
      <c r="Q1285" s="304">
        <f t="shared" si="37"/>
        <v>0</v>
      </c>
      <c r="R1285" s="308"/>
    </row>
    <row r="1286" spans="2:18" ht="15" hidden="1" thickTop="1">
      <c r="B1286" s="269">
        <v>46255</v>
      </c>
      <c r="C1286" s="268" t="s">
        <v>270</v>
      </c>
      <c r="D1286" s="274">
        <f>IFERROR(VLOOKUP(C1286,'Data Lokasi'!C:D,2,0),"")</f>
        <v>6.13</v>
      </c>
      <c r="E1286" s="274" t="s">
        <v>2642</v>
      </c>
      <c r="F1286" s="274"/>
      <c r="G1286" s="274"/>
      <c r="H1286" s="274"/>
      <c r="I1286" s="274">
        <v>0.08</v>
      </c>
      <c r="J1286" s="456">
        <f t="shared" si="36"/>
        <v>0.08</v>
      </c>
      <c r="K1286" s="583"/>
      <c r="L1286" s="268" t="s">
        <v>2625</v>
      </c>
      <c r="M1286" s="268" t="s">
        <v>2631</v>
      </c>
      <c r="N1286" s="278">
        <f>IFERROR(INDEX('Data Lokasi'!S:S,MATCH('Input Real Tanam&amp;Petik Nanas'!C1286,'Data Lokasi'!C:C,0)),"")</f>
        <v>44086</v>
      </c>
      <c r="O1286" s="278"/>
      <c r="P1286" s="283">
        <f>IFERROR(INDEX('Data Lokasi'!V:V,MATCH(C1286,'Data Lokasi'!C:C,0)),"")</f>
        <v>0</v>
      </c>
      <c r="Q1286" s="304">
        <f t="shared" si="37"/>
        <v>0</v>
      </c>
      <c r="R1286" s="308"/>
    </row>
    <row r="1287" spans="2:18" ht="15" hidden="1" thickTop="1">
      <c r="B1287" s="269">
        <v>46255</v>
      </c>
      <c r="C1287" s="268" t="s">
        <v>233</v>
      </c>
      <c r="D1287" s="274">
        <f>IFERROR(VLOOKUP(C1287,'Data Lokasi'!C:D,2,0),"")</f>
        <v>10.3</v>
      </c>
      <c r="E1287" s="274" t="s">
        <v>2642</v>
      </c>
      <c r="F1287" s="274"/>
      <c r="G1287" s="274"/>
      <c r="H1287" s="274"/>
      <c r="I1287" s="274">
        <v>0.9</v>
      </c>
      <c r="J1287" s="456">
        <f t="shared" si="36"/>
        <v>0.9</v>
      </c>
      <c r="K1287" s="583"/>
      <c r="L1287" s="268" t="s">
        <v>2625</v>
      </c>
      <c r="M1287" s="268" t="s">
        <v>2634</v>
      </c>
      <c r="N1287" s="278">
        <f>IFERROR(INDEX('Data Lokasi'!S:S,MATCH('Input Real Tanam&amp;Petik Nanas'!C1287,'Data Lokasi'!C:C,0)),"")</f>
        <v>44024</v>
      </c>
      <c r="O1287" s="278"/>
      <c r="P1287" s="283">
        <f>IFERROR(INDEX('Data Lokasi'!V:V,MATCH(C1287,'Data Lokasi'!C:C,0)),"")</f>
        <v>0</v>
      </c>
      <c r="Q1287" s="304">
        <f t="shared" si="37"/>
        <v>0</v>
      </c>
      <c r="R1287" s="308"/>
    </row>
    <row r="1288" spans="2:18" ht="15" hidden="1" thickTop="1">
      <c r="B1288" s="269">
        <v>46255</v>
      </c>
      <c r="C1288" s="268" t="s">
        <v>680</v>
      </c>
      <c r="D1288" s="274">
        <f>IFERROR(VLOOKUP(C1288,'Data Lokasi'!C:D,2,0),"")</f>
        <v>5</v>
      </c>
      <c r="E1288" s="274" t="s">
        <v>2642</v>
      </c>
      <c r="F1288" s="274"/>
      <c r="G1288" s="274"/>
      <c r="H1288" s="274"/>
      <c r="I1288" s="274">
        <v>0.74</v>
      </c>
      <c r="J1288" s="456">
        <f t="shared" si="36"/>
        <v>0.74</v>
      </c>
      <c r="K1288" s="583"/>
      <c r="L1288" s="268" t="s">
        <v>2625</v>
      </c>
      <c r="M1288" s="268" t="s">
        <v>2634</v>
      </c>
      <c r="N1288" s="278">
        <f>IFERROR(INDEX('Data Lokasi'!S:S,MATCH('Input Real Tanam&amp;Petik Nanas'!C1288,'Data Lokasi'!C:C,0)),"")</f>
        <v>45093</v>
      </c>
      <c r="O1288" s="278"/>
      <c r="P1288" s="283">
        <f>IFERROR(INDEX('Data Lokasi'!V:V,MATCH(C1288,'Data Lokasi'!C:C,0)),"")</f>
        <v>0</v>
      </c>
      <c r="Q1288" s="304">
        <f t="shared" si="37"/>
        <v>0</v>
      </c>
      <c r="R1288" s="308"/>
    </row>
    <row r="1289" spans="2:18" ht="15" hidden="1" thickTop="1">
      <c r="B1289" s="269">
        <v>46255</v>
      </c>
      <c r="C1289" s="268" t="s">
        <v>2646</v>
      </c>
      <c r="D1289" s="274">
        <f>IFERROR(VLOOKUP(C1289,'Data Lokasi'!C:D,2,0),"")</f>
        <v>8.41</v>
      </c>
      <c r="E1289" s="274" t="s">
        <v>2642</v>
      </c>
      <c r="F1289" s="274"/>
      <c r="G1289" s="274"/>
      <c r="H1289" s="274">
        <v>1.1399999999999999</v>
      </c>
      <c r="I1289" s="274"/>
      <c r="J1289" s="456">
        <f t="shared" si="36"/>
        <v>1.1399999999999999</v>
      </c>
      <c r="K1289" s="583"/>
      <c r="L1289" s="268" t="s">
        <v>719</v>
      </c>
      <c r="M1289" s="268" t="s">
        <v>2634</v>
      </c>
      <c r="N1289" s="278">
        <f>IFERROR(INDEX('Data Lokasi'!S:S,MATCH('Input Real Tanam&amp;Petik Nanas'!C1289,'Data Lokasi'!C:C,0)),"")</f>
        <v>46248</v>
      </c>
      <c r="O1289" s="278"/>
      <c r="P1289" s="283">
        <f>IFERROR(INDEX('Data Lokasi'!V:V,MATCH(C1289,'Data Lokasi'!C:C,0)),"")</f>
        <v>8.41</v>
      </c>
      <c r="Q1289" s="304">
        <f t="shared" si="37"/>
        <v>1</v>
      </c>
      <c r="R1289" s="308"/>
    </row>
    <row r="1290" spans="2:18" ht="15" hidden="1" thickTop="1">
      <c r="B1290" s="269">
        <v>46255</v>
      </c>
      <c r="C1290" s="268" t="s">
        <v>311</v>
      </c>
      <c r="D1290" s="274">
        <f>IFERROR(VLOOKUP(C1290,'Data Lokasi'!C:D,2,0),"")</f>
        <v>5.15</v>
      </c>
      <c r="E1290" s="274" t="s">
        <v>2642</v>
      </c>
      <c r="F1290" s="274"/>
      <c r="G1290" s="274"/>
      <c r="H1290" s="274"/>
      <c r="I1290" s="274">
        <v>0.17</v>
      </c>
      <c r="J1290" s="456">
        <f t="shared" si="36"/>
        <v>0.17</v>
      </c>
      <c r="K1290" s="583"/>
      <c r="L1290" s="268" t="s">
        <v>2625</v>
      </c>
      <c r="M1290" s="268" t="s">
        <v>2634</v>
      </c>
      <c r="N1290" s="278">
        <f>IFERROR(INDEX('Data Lokasi'!S:S,MATCH('Input Real Tanam&amp;Petik Nanas'!C1290,'Data Lokasi'!C:C,0)),"")</f>
        <v>44175</v>
      </c>
      <c r="O1290" s="278"/>
      <c r="P1290" s="283">
        <f>IFERROR(INDEX('Data Lokasi'!V:V,MATCH(C1290,'Data Lokasi'!C:C,0)),"")</f>
        <v>0</v>
      </c>
      <c r="Q1290" s="304">
        <f t="shared" si="37"/>
        <v>0</v>
      </c>
      <c r="R1290" s="308"/>
    </row>
    <row r="1291" spans="2:18" ht="15" hidden="1" thickTop="1">
      <c r="B1291" s="269">
        <v>46255</v>
      </c>
      <c r="C1291" s="268" t="s">
        <v>234</v>
      </c>
      <c r="D1291" s="274">
        <f>IFERROR(VLOOKUP(C1291,'Data Lokasi'!C:D,2,0),"")</f>
        <v>5.85</v>
      </c>
      <c r="E1291" s="274" t="s">
        <v>2642</v>
      </c>
      <c r="F1291" s="274"/>
      <c r="G1291" s="274"/>
      <c r="H1291" s="274"/>
      <c r="I1291" s="274">
        <v>0.08</v>
      </c>
      <c r="J1291" s="456">
        <f t="shared" si="36"/>
        <v>0.08</v>
      </c>
      <c r="K1291" s="583"/>
      <c r="L1291" s="268" t="s">
        <v>2625</v>
      </c>
      <c r="M1291" s="268" t="s">
        <v>2634</v>
      </c>
      <c r="N1291" s="278">
        <f>IFERROR(INDEX('Data Lokasi'!S:S,MATCH('Input Real Tanam&amp;Petik Nanas'!C1291,'Data Lokasi'!C:C,0)),"")</f>
        <v>44038</v>
      </c>
      <c r="O1291" s="278"/>
      <c r="P1291" s="283">
        <f>IFERROR(INDEX('Data Lokasi'!V:V,MATCH(C1291,'Data Lokasi'!C:C,0)),"")</f>
        <v>0</v>
      </c>
      <c r="Q1291" s="304">
        <f t="shared" si="37"/>
        <v>0</v>
      </c>
      <c r="R1291" s="308"/>
    </row>
    <row r="1292" spans="2:18" ht="15" hidden="1" thickTop="1">
      <c r="B1292" s="269">
        <v>46255</v>
      </c>
      <c r="C1292" s="268" t="s">
        <v>2647</v>
      </c>
      <c r="D1292" s="274">
        <f>IFERROR(VLOOKUP(C1292,'Data Lokasi'!C:D,2,0),"")</f>
        <v>6.12</v>
      </c>
      <c r="E1292" s="274" t="s">
        <v>2642</v>
      </c>
      <c r="F1292" s="274"/>
      <c r="G1292" s="274">
        <v>0.03</v>
      </c>
      <c r="H1292" s="274"/>
      <c r="I1292" s="274"/>
      <c r="J1292" s="456">
        <f t="shared" si="36"/>
        <v>0.03</v>
      </c>
      <c r="K1292" s="583"/>
      <c r="L1292" s="268" t="s">
        <v>719</v>
      </c>
      <c r="M1292" s="268" t="s">
        <v>2634</v>
      </c>
      <c r="N1292" s="278">
        <f>IFERROR(INDEX('Data Lokasi'!S:S,MATCH('Input Real Tanam&amp;Petik Nanas'!C1292,'Data Lokasi'!C:C,0)),"")</f>
        <v>46237</v>
      </c>
      <c r="O1292" s="278"/>
      <c r="P1292" s="283">
        <f>IFERROR(INDEX('Data Lokasi'!V:V,MATCH(C1292,'Data Lokasi'!C:C,0)),"")</f>
        <v>6.12</v>
      </c>
      <c r="Q1292" s="304">
        <f t="shared" si="37"/>
        <v>1</v>
      </c>
      <c r="R1292" s="308"/>
    </row>
    <row r="1293" spans="2:18" ht="15" hidden="1" thickTop="1">
      <c r="B1293" s="269">
        <v>46255</v>
      </c>
      <c r="C1293" s="268" t="s">
        <v>291</v>
      </c>
      <c r="D1293" s="274">
        <f>IFERROR(VLOOKUP(C1293,'Data Lokasi'!C:D,2,0),"")</f>
        <v>7.12</v>
      </c>
      <c r="E1293" s="274" t="s">
        <v>2643</v>
      </c>
      <c r="F1293" s="274"/>
      <c r="G1293" s="274"/>
      <c r="H1293" s="274"/>
      <c r="I1293" s="274">
        <v>1.26</v>
      </c>
      <c r="J1293" s="456">
        <f t="shared" si="36"/>
        <v>1.26</v>
      </c>
      <c r="K1293" s="583"/>
      <c r="L1293" s="268" t="s">
        <v>2625</v>
      </c>
      <c r="M1293" s="268" t="s">
        <v>2631</v>
      </c>
      <c r="N1293" s="278">
        <f>IFERROR(INDEX('Data Lokasi'!S:S,MATCH('Input Real Tanam&amp;Petik Nanas'!C1293,'Data Lokasi'!C:C,0)),"")</f>
        <v>44122</v>
      </c>
      <c r="O1293" s="278"/>
      <c r="P1293" s="283">
        <f>IFERROR(INDEX('Data Lokasi'!V:V,MATCH(C1293,'Data Lokasi'!C:C,0)),"")</f>
        <v>0</v>
      </c>
      <c r="Q1293" s="304">
        <f t="shared" si="37"/>
        <v>0</v>
      </c>
      <c r="R1293" s="308"/>
    </row>
    <row r="1294" spans="2:18" ht="15" hidden="1" thickTop="1">
      <c r="B1294" s="269">
        <v>46255</v>
      </c>
      <c r="C1294" s="268" t="s">
        <v>205</v>
      </c>
      <c r="D1294" s="274">
        <f>IFERROR(VLOOKUP(C1294,'Data Lokasi'!C:D,2,0),"")</f>
        <v>5.13</v>
      </c>
      <c r="E1294" s="274" t="s">
        <v>2643</v>
      </c>
      <c r="F1294" s="274"/>
      <c r="G1294" s="274">
        <v>0.03</v>
      </c>
      <c r="H1294" s="274"/>
      <c r="I1294" s="274"/>
      <c r="J1294" s="456">
        <f t="shared" si="36"/>
        <v>0.03</v>
      </c>
      <c r="K1294" s="583"/>
      <c r="L1294" s="268" t="s">
        <v>719</v>
      </c>
      <c r="M1294" s="268" t="s">
        <v>2631</v>
      </c>
      <c r="N1294" s="278">
        <f>IFERROR(INDEX('Data Lokasi'!S:S,MATCH('Input Real Tanam&amp;Petik Nanas'!C1294,'Data Lokasi'!C:C,0)),"")</f>
        <v>43964</v>
      </c>
      <c r="O1294" s="278"/>
      <c r="P1294" s="283">
        <f>IFERROR(INDEX('Data Lokasi'!V:V,MATCH(C1294,'Data Lokasi'!C:C,0)),"")</f>
        <v>0</v>
      </c>
      <c r="Q1294" s="304">
        <f t="shared" si="37"/>
        <v>0</v>
      </c>
      <c r="R1294" s="308"/>
    </row>
    <row r="1295" spans="2:18" ht="15" hidden="1" thickTop="1">
      <c r="B1295" s="269">
        <v>46255</v>
      </c>
      <c r="C1295" s="268" t="s">
        <v>255</v>
      </c>
      <c r="D1295" s="274">
        <f>IFERROR(VLOOKUP(C1295,'Data Lokasi'!C:D,2,0),"")</f>
        <v>10.32</v>
      </c>
      <c r="E1295" s="274" t="s">
        <v>2643</v>
      </c>
      <c r="F1295" s="274"/>
      <c r="G1295" s="274">
        <v>0.02</v>
      </c>
      <c r="H1295" s="274"/>
      <c r="I1295" s="274"/>
      <c r="J1295" s="456">
        <f t="shared" si="36"/>
        <v>0.02</v>
      </c>
      <c r="K1295" s="583"/>
      <c r="L1295" s="268" t="s">
        <v>719</v>
      </c>
      <c r="M1295" s="268" t="s">
        <v>2631</v>
      </c>
      <c r="N1295" s="278">
        <f>IFERROR(INDEX('Data Lokasi'!S:S,MATCH('Input Real Tanam&amp;Petik Nanas'!C1295,'Data Lokasi'!C:C,0)),"")</f>
        <v>44079</v>
      </c>
      <c r="O1295" s="278"/>
      <c r="P1295" s="283">
        <f>IFERROR(INDEX('Data Lokasi'!V:V,MATCH(C1295,'Data Lokasi'!C:C,0)),"")</f>
        <v>0</v>
      </c>
      <c r="Q1295" s="304">
        <f t="shared" si="37"/>
        <v>0</v>
      </c>
      <c r="R1295" s="308"/>
    </row>
    <row r="1296" spans="2:18" ht="15" hidden="1" thickTop="1">
      <c r="B1296" s="269">
        <v>46255</v>
      </c>
      <c r="C1296" s="268" t="s">
        <v>378</v>
      </c>
      <c r="D1296" s="274">
        <f>IFERROR(VLOOKUP(C1296,'Data Lokasi'!C:D,2,0),"")</f>
        <v>10.88</v>
      </c>
      <c r="E1296" s="274" t="s">
        <v>2643</v>
      </c>
      <c r="F1296" s="274"/>
      <c r="G1296" s="274"/>
      <c r="H1296" s="274"/>
      <c r="I1296" s="274">
        <v>1.3</v>
      </c>
      <c r="J1296" s="456">
        <f t="shared" si="36"/>
        <v>1.3</v>
      </c>
      <c r="K1296" s="583"/>
      <c r="L1296" s="268" t="s">
        <v>2625</v>
      </c>
      <c r="M1296" s="268" t="s">
        <v>2634</v>
      </c>
      <c r="N1296" s="278">
        <f>IFERROR(INDEX('Data Lokasi'!S:S,MATCH('Input Real Tanam&amp;Petik Nanas'!C1296,'Data Lokasi'!C:C,0)),"")</f>
        <v>44319</v>
      </c>
      <c r="O1296" s="278"/>
      <c r="P1296" s="283">
        <f>IFERROR(INDEX('Data Lokasi'!V:V,MATCH(C1296,'Data Lokasi'!C:C,0)),"")</f>
        <v>0</v>
      </c>
      <c r="Q1296" s="304">
        <f t="shared" si="37"/>
        <v>0</v>
      </c>
      <c r="R1296" s="308"/>
    </row>
    <row r="1297" spans="2:18" ht="15" hidden="1" thickTop="1">
      <c r="B1297" s="269">
        <v>46255</v>
      </c>
      <c r="C1297" s="268" t="s">
        <v>476</v>
      </c>
      <c r="D1297" s="274">
        <f>IFERROR(VLOOKUP(C1297,'Data Lokasi'!C:D,2,0),"")</f>
        <v>5.26</v>
      </c>
      <c r="E1297" s="274" t="s">
        <v>2643</v>
      </c>
      <c r="F1297" s="274"/>
      <c r="G1297" s="274"/>
      <c r="H1297" s="274">
        <v>0.05</v>
      </c>
      <c r="I1297" s="274">
        <f>0.12+0.19</f>
        <v>0.31</v>
      </c>
      <c r="J1297" s="456">
        <f t="shared" si="36"/>
        <v>0.36</v>
      </c>
      <c r="K1297" s="583"/>
      <c r="L1297" s="268" t="s">
        <v>719</v>
      </c>
      <c r="M1297" s="268" t="s">
        <v>2634</v>
      </c>
      <c r="N1297" s="278">
        <f>IFERROR(INDEX('Data Lokasi'!S:S,MATCH('Input Real Tanam&amp;Petik Nanas'!C1297,'Data Lokasi'!C:C,0)),"")</f>
        <v>44487</v>
      </c>
      <c r="O1297" s="278"/>
      <c r="P1297" s="283">
        <f>IFERROR(INDEX('Data Lokasi'!V:V,MATCH(C1297,'Data Lokasi'!C:C,0)),"")</f>
        <v>0</v>
      </c>
      <c r="Q1297" s="304">
        <f t="shared" si="37"/>
        <v>0</v>
      </c>
      <c r="R1297" s="308">
        <v>6</v>
      </c>
    </row>
    <row r="1298" spans="2:18" ht="15" hidden="1" thickTop="1">
      <c r="B1298" s="269">
        <v>46255</v>
      </c>
      <c r="C1298" s="268" t="s">
        <v>147</v>
      </c>
      <c r="D1298" s="274">
        <f>IFERROR(VLOOKUP(C1298,'Data Lokasi'!C:D,2,0),"")</f>
        <v>9.1300000000000008</v>
      </c>
      <c r="E1298" s="274" t="s">
        <v>2643</v>
      </c>
      <c r="F1298" s="274"/>
      <c r="G1298" s="274"/>
      <c r="H1298" s="274"/>
      <c r="I1298" s="274">
        <v>0.43</v>
      </c>
      <c r="J1298" s="456">
        <f t="shared" si="36"/>
        <v>0.43</v>
      </c>
      <c r="K1298" s="583"/>
      <c r="L1298" s="268" t="s">
        <v>2625</v>
      </c>
      <c r="M1298" s="268" t="s">
        <v>2634</v>
      </c>
      <c r="N1298" s="278">
        <f>IFERROR(INDEX('Data Lokasi'!S:S,MATCH('Input Real Tanam&amp;Petik Nanas'!C1298,'Data Lokasi'!C:C,0)),"")</f>
        <v>44130</v>
      </c>
      <c r="O1298" s="278"/>
      <c r="P1298" s="283">
        <f>IFERROR(INDEX('Data Lokasi'!V:V,MATCH(C1298,'Data Lokasi'!C:C,0)),"")</f>
        <v>0</v>
      </c>
      <c r="Q1298" s="304">
        <f t="shared" si="37"/>
        <v>0</v>
      </c>
      <c r="R1298" s="308"/>
    </row>
    <row r="1299" spans="2:18" ht="15" hidden="1" thickTop="1">
      <c r="B1299" s="269">
        <v>46255</v>
      </c>
      <c r="C1299" s="268" t="s">
        <v>2557</v>
      </c>
      <c r="D1299" s="274">
        <f>IFERROR(VLOOKUP(C1299,'Data Lokasi'!C:D,2,0),"")</f>
        <v>8.0399999999999991</v>
      </c>
      <c r="E1299" s="274" t="s">
        <v>2643</v>
      </c>
      <c r="F1299" s="274"/>
      <c r="G1299" s="274"/>
      <c r="H1299" s="274"/>
      <c r="I1299" s="274">
        <v>0.72</v>
      </c>
      <c r="J1299" s="456">
        <f t="shared" si="36"/>
        <v>0.72</v>
      </c>
      <c r="K1299" s="583"/>
      <c r="L1299" s="268" t="s">
        <v>2625</v>
      </c>
      <c r="M1299" s="268" t="s">
        <v>2634</v>
      </c>
      <c r="N1299" s="278">
        <f>IFERROR(INDEX('Data Lokasi'!S:S,MATCH('Input Real Tanam&amp;Petik Nanas'!C1299,'Data Lokasi'!C:C,0)),"")</f>
        <v>45708</v>
      </c>
      <c r="O1299" s="278"/>
      <c r="P1299" s="283">
        <f>IFERROR(INDEX('Data Lokasi'!V:V,MATCH(C1299,'Data Lokasi'!C:C,0)),"")</f>
        <v>0</v>
      </c>
      <c r="Q1299" s="304">
        <f t="shared" si="37"/>
        <v>0</v>
      </c>
      <c r="R1299" s="308"/>
    </row>
    <row r="1300" spans="2:18" ht="15" hidden="1" thickTop="1">
      <c r="B1300" s="269">
        <v>46256</v>
      </c>
      <c r="C1300" s="268" t="s">
        <v>378</v>
      </c>
      <c r="D1300" s="274">
        <f>IFERROR(VLOOKUP(C1300,'Data Lokasi'!C:D,2,0),"")</f>
        <v>10.88</v>
      </c>
      <c r="E1300" s="274" t="s">
        <v>2643</v>
      </c>
      <c r="F1300" s="274"/>
      <c r="G1300" s="274"/>
      <c r="H1300" s="274"/>
      <c r="I1300" s="274">
        <v>1.46</v>
      </c>
      <c r="J1300" s="456">
        <f t="shared" si="36"/>
        <v>1.46</v>
      </c>
      <c r="K1300" s="583"/>
      <c r="L1300" s="268" t="s">
        <v>2625</v>
      </c>
      <c r="M1300" s="268" t="s">
        <v>2634</v>
      </c>
      <c r="N1300" s="278">
        <f>IFERROR(INDEX('Data Lokasi'!S:S,MATCH('Input Real Tanam&amp;Petik Nanas'!C1300,'Data Lokasi'!C:C,0)),"")</f>
        <v>44319</v>
      </c>
      <c r="O1300" s="278"/>
      <c r="P1300" s="283">
        <f>IFERROR(INDEX('Data Lokasi'!V:V,MATCH(C1300,'Data Lokasi'!C:C,0)),"")</f>
        <v>0</v>
      </c>
      <c r="Q1300" s="304">
        <f t="shared" si="37"/>
        <v>0</v>
      </c>
      <c r="R1300" s="308"/>
    </row>
    <row r="1301" spans="2:18" ht="15" hidden="1" thickTop="1">
      <c r="B1301" s="269">
        <v>46256</v>
      </c>
      <c r="C1301" s="268" t="s">
        <v>339</v>
      </c>
      <c r="D1301" s="274">
        <f>IFERROR(VLOOKUP(C1301,'Data Lokasi'!C:D,2,0),"")</f>
        <v>7.68</v>
      </c>
      <c r="E1301" s="274" t="s">
        <v>2643</v>
      </c>
      <c r="F1301" s="274"/>
      <c r="G1301" s="274"/>
      <c r="H1301" s="274">
        <v>7.0000000000000007E-2</v>
      </c>
      <c r="I1301" s="274">
        <f>0.07+0.15</f>
        <v>0.22</v>
      </c>
      <c r="J1301" s="456">
        <f t="shared" si="36"/>
        <v>0.29000000000000004</v>
      </c>
      <c r="K1301" s="583"/>
      <c r="L1301" s="268" t="s">
        <v>719</v>
      </c>
      <c r="M1301" s="268" t="s">
        <v>2634</v>
      </c>
      <c r="N1301" s="278">
        <f>IFERROR(INDEX('Data Lokasi'!S:S,MATCH('Input Real Tanam&amp;Petik Nanas'!C1301,'Data Lokasi'!C:C,0)),"")</f>
        <v>44252</v>
      </c>
      <c r="O1301" s="278"/>
      <c r="P1301" s="283">
        <f>IFERROR(INDEX('Data Lokasi'!V:V,MATCH(C1301,'Data Lokasi'!C:C,0)),"")</f>
        <v>0</v>
      </c>
      <c r="Q1301" s="304">
        <f t="shared" si="37"/>
        <v>0</v>
      </c>
      <c r="R1301" s="308">
        <v>9</v>
      </c>
    </row>
    <row r="1302" spans="2:18" ht="15" hidden="1" thickTop="1">
      <c r="B1302" s="269">
        <v>46256</v>
      </c>
      <c r="C1302" s="268" t="s">
        <v>476</v>
      </c>
      <c r="D1302" s="274">
        <f>IFERROR(VLOOKUP(C1302,'Data Lokasi'!C:D,2,0),"")</f>
        <v>5.26</v>
      </c>
      <c r="E1302" s="274" t="s">
        <v>2643</v>
      </c>
      <c r="F1302" s="274"/>
      <c r="G1302" s="274"/>
      <c r="H1302" s="274"/>
      <c r="I1302" s="274">
        <v>0.13</v>
      </c>
      <c r="J1302" s="456">
        <f t="shared" si="36"/>
        <v>0.13</v>
      </c>
      <c r="K1302" s="583"/>
      <c r="L1302" s="268" t="s">
        <v>719</v>
      </c>
      <c r="M1302" s="268" t="s">
        <v>2634</v>
      </c>
      <c r="N1302" s="278">
        <f>IFERROR(INDEX('Data Lokasi'!S:S,MATCH('Input Real Tanam&amp;Petik Nanas'!C1302,'Data Lokasi'!C:C,0)),"")</f>
        <v>44487</v>
      </c>
      <c r="O1302" s="278"/>
      <c r="P1302" s="283">
        <f>IFERROR(INDEX('Data Lokasi'!V:V,MATCH(C1302,'Data Lokasi'!C:C,0)),"")</f>
        <v>0</v>
      </c>
      <c r="Q1302" s="304">
        <f t="shared" si="37"/>
        <v>0</v>
      </c>
      <c r="R1302" s="308">
        <v>6</v>
      </c>
    </row>
    <row r="1303" spans="2:18" ht="15" hidden="1" thickTop="1">
      <c r="B1303" s="269">
        <v>46256</v>
      </c>
      <c r="C1303" s="268" t="s">
        <v>153</v>
      </c>
      <c r="D1303" s="274">
        <f>IFERROR(VLOOKUP(C1303,'Data Lokasi'!C:D,2,0),"")</f>
        <v>4.12</v>
      </c>
      <c r="E1303" s="274" t="s">
        <v>2643</v>
      </c>
      <c r="F1303" s="274"/>
      <c r="G1303" s="274"/>
      <c r="H1303" s="274"/>
      <c r="I1303" s="274">
        <v>0.15</v>
      </c>
      <c r="J1303" s="456">
        <f t="shared" si="36"/>
        <v>0.15</v>
      </c>
      <c r="K1303" s="583"/>
      <c r="L1303" s="268" t="s">
        <v>2625</v>
      </c>
      <c r="M1303" s="268" t="s">
        <v>2634</v>
      </c>
      <c r="N1303" s="278">
        <f>IFERROR(INDEX('Data Lokasi'!S:S,MATCH('Input Real Tanam&amp;Petik Nanas'!C1303,'Data Lokasi'!C:C,0)),"")</f>
        <v>0</v>
      </c>
      <c r="O1303" s="278"/>
      <c r="P1303" s="283">
        <f>IFERROR(INDEX('Data Lokasi'!V:V,MATCH(C1303,'Data Lokasi'!C:C,0)),"")</f>
        <v>0</v>
      </c>
      <c r="Q1303" s="304">
        <f t="shared" si="37"/>
        <v>0</v>
      </c>
      <c r="R1303" s="308"/>
    </row>
    <row r="1304" spans="2:18" ht="15" hidden="1" thickTop="1">
      <c r="B1304" s="269">
        <v>46256</v>
      </c>
      <c r="C1304" s="268" t="s">
        <v>2557</v>
      </c>
      <c r="D1304" s="274">
        <f>IFERROR(VLOOKUP(C1304,'Data Lokasi'!C:D,2,0),"")</f>
        <v>8.0399999999999991</v>
      </c>
      <c r="E1304" s="274" t="s">
        <v>2643</v>
      </c>
      <c r="F1304" s="274"/>
      <c r="G1304" s="274"/>
      <c r="H1304" s="274"/>
      <c r="I1304" s="274">
        <v>0.37</v>
      </c>
      <c r="J1304" s="456">
        <f t="shared" si="36"/>
        <v>0.37</v>
      </c>
      <c r="K1304" s="583"/>
      <c r="L1304" s="268" t="s">
        <v>2625</v>
      </c>
      <c r="M1304" s="268" t="s">
        <v>2634</v>
      </c>
      <c r="N1304" s="278">
        <f>IFERROR(INDEX('Data Lokasi'!S:S,MATCH('Input Real Tanam&amp;Petik Nanas'!C1304,'Data Lokasi'!C:C,0)),"")</f>
        <v>45708</v>
      </c>
      <c r="O1304" s="278"/>
      <c r="P1304" s="283">
        <f>IFERROR(INDEX('Data Lokasi'!V:V,MATCH(C1304,'Data Lokasi'!C:C,0)),"")</f>
        <v>0</v>
      </c>
      <c r="Q1304" s="304">
        <f t="shared" si="37"/>
        <v>0</v>
      </c>
      <c r="R1304" s="308"/>
    </row>
    <row r="1305" spans="2:18" ht="15" hidden="1" thickTop="1">
      <c r="B1305" s="269">
        <v>46256</v>
      </c>
      <c r="C1305" s="268" t="s">
        <v>291</v>
      </c>
      <c r="D1305" s="274">
        <f>IFERROR(VLOOKUP(C1305,'Data Lokasi'!C:D,2,0),"")</f>
        <v>7.12</v>
      </c>
      <c r="E1305" s="274" t="s">
        <v>2643</v>
      </c>
      <c r="F1305" s="274"/>
      <c r="G1305" s="274"/>
      <c r="H1305" s="274"/>
      <c r="I1305" s="274">
        <v>0.12</v>
      </c>
      <c r="J1305" s="456">
        <f t="shared" si="36"/>
        <v>0.12</v>
      </c>
      <c r="K1305" s="583"/>
      <c r="L1305" s="268" t="s">
        <v>2625</v>
      </c>
      <c r="M1305" s="268" t="s">
        <v>2631</v>
      </c>
      <c r="N1305" s="278">
        <f>IFERROR(INDEX('Data Lokasi'!S:S,MATCH('Input Real Tanam&amp;Petik Nanas'!C1305,'Data Lokasi'!C:C,0)),"")</f>
        <v>44122</v>
      </c>
      <c r="O1305" s="278"/>
      <c r="P1305" s="283">
        <f>IFERROR(INDEX('Data Lokasi'!V:V,MATCH(C1305,'Data Lokasi'!C:C,0)),"")</f>
        <v>0</v>
      </c>
      <c r="Q1305" s="304">
        <f t="shared" si="37"/>
        <v>0</v>
      </c>
      <c r="R1305" s="308"/>
    </row>
    <row r="1306" spans="2:18" ht="15" hidden="1" thickTop="1">
      <c r="B1306" s="269">
        <v>46256</v>
      </c>
      <c r="C1306" s="268" t="s">
        <v>152</v>
      </c>
      <c r="D1306" s="274">
        <f>IFERROR(VLOOKUP(C1306,'Data Lokasi'!C:D,2,0),"")</f>
        <v>7.74</v>
      </c>
      <c r="E1306" s="274" t="s">
        <v>2643</v>
      </c>
      <c r="F1306" s="274"/>
      <c r="G1306" s="274"/>
      <c r="H1306" s="274"/>
      <c r="I1306" s="274">
        <v>1.21</v>
      </c>
      <c r="J1306" s="456">
        <f t="shared" si="36"/>
        <v>1.21</v>
      </c>
      <c r="K1306" s="583"/>
      <c r="L1306" s="268" t="s">
        <v>2625</v>
      </c>
      <c r="M1306" s="268" t="s">
        <v>2631</v>
      </c>
      <c r="N1306" s="278">
        <f>IFERROR(INDEX('Data Lokasi'!S:S,MATCH('Input Real Tanam&amp;Petik Nanas'!C1306,'Data Lokasi'!C:C,0)),"")</f>
        <v>45316</v>
      </c>
      <c r="O1306" s="278"/>
      <c r="P1306" s="283">
        <f>IFERROR(INDEX('Data Lokasi'!V:V,MATCH(C1306,'Data Lokasi'!C:C,0)),"")</f>
        <v>0</v>
      </c>
      <c r="Q1306" s="304">
        <f t="shared" si="37"/>
        <v>0</v>
      </c>
      <c r="R1306" s="308"/>
    </row>
    <row r="1307" spans="2:18" ht="15" hidden="1" thickTop="1">
      <c r="B1307" s="269">
        <v>46256</v>
      </c>
      <c r="C1307" s="268" t="s">
        <v>108</v>
      </c>
      <c r="D1307" s="274">
        <f>IFERROR(VLOOKUP(C1307,'Data Lokasi'!C:D,2,0),"")</f>
        <v>10.45</v>
      </c>
      <c r="E1307" s="274" t="s">
        <v>2642</v>
      </c>
      <c r="F1307" s="274"/>
      <c r="G1307" s="274"/>
      <c r="H1307" s="274"/>
      <c r="I1307" s="274">
        <v>0.66</v>
      </c>
      <c r="J1307" s="456">
        <f t="shared" si="36"/>
        <v>0.66</v>
      </c>
      <c r="K1307" s="583"/>
      <c r="L1307" s="268" t="s">
        <v>2625</v>
      </c>
      <c r="M1307" s="268" t="s">
        <v>2631</v>
      </c>
      <c r="N1307" s="278">
        <f>IFERROR(INDEX('Data Lokasi'!S:S,MATCH('Input Real Tanam&amp;Petik Nanas'!C1307,'Data Lokasi'!C:C,0)),"")</f>
        <v>44176</v>
      </c>
      <c r="O1307" s="278"/>
      <c r="P1307" s="283">
        <f>IFERROR(INDEX('Data Lokasi'!V:V,MATCH(C1307,'Data Lokasi'!C:C,0)),"")</f>
        <v>0</v>
      </c>
      <c r="Q1307" s="304">
        <f t="shared" si="37"/>
        <v>0</v>
      </c>
      <c r="R1307" s="308"/>
    </row>
    <row r="1308" spans="2:18" ht="15" hidden="1" thickTop="1">
      <c r="B1308" s="269">
        <v>46256</v>
      </c>
      <c r="C1308" s="268" t="s">
        <v>270</v>
      </c>
      <c r="D1308" s="274">
        <f>IFERROR(VLOOKUP(C1308,'Data Lokasi'!C:D,2,0),"")</f>
        <v>6.13</v>
      </c>
      <c r="E1308" s="274" t="s">
        <v>2642</v>
      </c>
      <c r="F1308" s="274"/>
      <c r="G1308" s="274"/>
      <c r="H1308" s="274"/>
      <c r="I1308" s="274">
        <v>0.8</v>
      </c>
      <c r="J1308" s="456">
        <f t="shared" si="36"/>
        <v>0.8</v>
      </c>
      <c r="K1308" s="583"/>
      <c r="L1308" s="268" t="s">
        <v>2625</v>
      </c>
      <c r="M1308" s="268" t="s">
        <v>2631</v>
      </c>
      <c r="N1308" s="278">
        <f>IFERROR(INDEX('Data Lokasi'!S:S,MATCH('Input Real Tanam&amp;Petik Nanas'!C1308,'Data Lokasi'!C:C,0)),"")</f>
        <v>44086</v>
      </c>
      <c r="O1308" s="278"/>
      <c r="P1308" s="283">
        <f>IFERROR(INDEX('Data Lokasi'!V:V,MATCH(C1308,'Data Lokasi'!C:C,0)),"")</f>
        <v>0</v>
      </c>
      <c r="Q1308" s="304">
        <f t="shared" si="37"/>
        <v>0</v>
      </c>
      <c r="R1308" s="308"/>
    </row>
    <row r="1309" spans="2:18" ht="15" hidden="1" thickTop="1">
      <c r="B1309" s="269">
        <v>46256</v>
      </c>
      <c r="C1309" s="268" t="s">
        <v>704</v>
      </c>
      <c r="D1309" s="274">
        <f>IFERROR(VLOOKUP(C1309,'Data Lokasi'!C:D,2,0),"")</f>
        <v>6.38</v>
      </c>
      <c r="E1309" s="274" t="s">
        <v>2642</v>
      </c>
      <c r="F1309" s="274"/>
      <c r="G1309" s="274"/>
      <c r="H1309" s="274"/>
      <c r="I1309" s="274">
        <v>7.0000000000000007E-2</v>
      </c>
      <c r="J1309" s="456">
        <f t="shared" si="36"/>
        <v>7.0000000000000007E-2</v>
      </c>
      <c r="K1309" s="583"/>
      <c r="L1309" s="268" t="s">
        <v>2625</v>
      </c>
      <c r="M1309" s="268" t="s">
        <v>2631</v>
      </c>
      <c r="N1309" s="278">
        <f>IFERROR(INDEX('Data Lokasi'!S:S,MATCH('Input Real Tanam&amp;Petik Nanas'!C1309,'Data Lokasi'!C:C,0)),"")</f>
        <v>45199</v>
      </c>
      <c r="O1309" s="278"/>
      <c r="P1309" s="283">
        <f>IFERROR(INDEX('Data Lokasi'!V:V,MATCH(C1309,'Data Lokasi'!C:C,0)),"")</f>
        <v>0</v>
      </c>
      <c r="Q1309" s="304">
        <f t="shared" si="37"/>
        <v>0</v>
      </c>
      <c r="R1309" s="308"/>
    </row>
    <row r="1310" spans="2:18" ht="15" hidden="1" thickTop="1">
      <c r="B1310" s="269">
        <v>46256</v>
      </c>
      <c r="C1310" s="268" t="s">
        <v>710</v>
      </c>
      <c r="D1310" s="274">
        <f>IFERROR(VLOOKUP(C1310,'Data Lokasi'!C:D,2,0),"")</f>
        <v>8.3699999999999992</v>
      </c>
      <c r="E1310" s="274" t="s">
        <v>2642</v>
      </c>
      <c r="F1310" s="274"/>
      <c r="G1310" s="274"/>
      <c r="H1310" s="274"/>
      <c r="I1310" s="274">
        <v>0.13</v>
      </c>
      <c r="J1310" s="456">
        <f t="shared" si="36"/>
        <v>0.13</v>
      </c>
      <c r="K1310" s="583"/>
      <c r="L1310" s="268" t="s">
        <v>2625</v>
      </c>
      <c r="M1310" s="268" t="s">
        <v>2631</v>
      </c>
      <c r="N1310" s="278">
        <f>IFERROR(INDEX('Data Lokasi'!S:S,MATCH('Input Real Tanam&amp;Petik Nanas'!C1310,'Data Lokasi'!C:C,0)),"")</f>
        <v>45246</v>
      </c>
      <c r="O1310" s="278"/>
      <c r="P1310" s="283">
        <f>IFERROR(INDEX('Data Lokasi'!V:V,MATCH(C1310,'Data Lokasi'!C:C,0)),"")</f>
        <v>0</v>
      </c>
      <c r="Q1310" s="304">
        <f t="shared" si="37"/>
        <v>0</v>
      </c>
      <c r="R1310" s="308"/>
    </row>
    <row r="1311" spans="2:18" ht="15" hidden="1" thickTop="1">
      <c r="B1311" s="269">
        <v>46256</v>
      </c>
      <c r="C1311" s="268" t="s">
        <v>705</v>
      </c>
      <c r="D1311" s="274">
        <f>IFERROR(VLOOKUP(C1311,'Data Lokasi'!C:D,2,0),"")</f>
        <v>7.67</v>
      </c>
      <c r="E1311" s="274" t="s">
        <v>2642</v>
      </c>
      <c r="F1311" s="274"/>
      <c r="G1311" s="274"/>
      <c r="H1311" s="274"/>
      <c r="I1311" s="274">
        <v>0.38</v>
      </c>
      <c r="J1311" s="456">
        <f t="shared" si="36"/>
        <v>0.38</v>
      </c>
      <c r="K1311" s="583"/>
      <c r="L1311" s="268" t="s">
        <v>2625</v>
      </c>
      <c r="M1311" s="268" t="s">
        <v>2631</v>
      </c>
      <c r="N1311" s="278">
        <f>IFERROR(INDEX('Data Lokasi'!S:S,MATCH('Input Real Tanam&amp;Petik Nanas'!C1311,'Data Lokasi'!C:C,0)),"")</f>
        <v>45202</v>
      </c>
      <c r="O1311" s="278"/>
      <c r="P1311" s="283">
        <f>IFERROR(INDEX('Data Lokasi'!V:V,MATCH(C1311,'Data Lokasi'!C:C,0)),"")</f>
        <v>0</v>
      </c>
      <c r="Q1311" s="304">
        <f t="shared" si="37"/>
        <v>0</v>
      </c>
      <c r="R1311" s="308"/>
    </row>
    <row r="1312" spans="2:18" ht="15" hidden="1" thickTop="1">
      <c r="B1312" s="269">
        <v>46256</v>
      </c>
      <c r="C1312" s="268" t="s">
        <v>244</v>
      </c>
      <c r="D1312" s="274">
        <f>IFERROR(VLOOKUP(C1312,'Data Lokasi'!C:D,2,0),"")</f>
        <v>11.05</v>
      </c>
      <c r="E1312" s="274" t="s">
        <v>2642</v>
      </c>
      <c r="F1312" s="274"/>
      <c r="G1312" s="274"/>
      <c r="H1312" s="274"/>
      <c r="I1312" s="274">
        <v>0.06</v>
      </c>
      <c r="J1312" s="456">
        <f t="shared" si="36"/>
        <v>0.06</v>
      </c>
      <c r="K1312" s="583"/>
      <c r="L1312" s="268" t="s">
        <v>2625</v>
      </c>
      <c r="M1312" s="268" t="s">
        <v>2631</v>
      </c>
      <c r="N1312" s="278">
        <f>IFERROR(INDEX('Data Lokasi'!S:S,MATCH('Input Real Tanam&amp;Petik Nanas'!C1312,'Data Lokasi'!C:C,0)),"")</f>
        <v>44025</v>
      </c>
      <c r="O1312" s="278"/>
      <c r="P1312" s="283">
        <f>IFERROR(INDEX('Data Lokasi'!V:V,MATCH(C1312,'Data Lokasi'!C:C,0)),"")</f>
        <v>0</v>
      </c>
      <c r="Q1312" s="304">
        <f t="shared" si="37"/>
        <v>0</v>
      </c>
      <c r="R1312" s="308"/>
    </row>
    <row r="1313" spans="2:18" ht="15" hidden="1" thickTop="1">
      <c r="B1313" s="269">
        <v>46256</v>
      </c>
      <c r="C1313" s="317" t="s">
        <v>700</v>
      </c>
      <c r="D1313" s="274">
        <f>IFERROR(VLOOKUP(C1313,'Data Lokasi'!C:D,2,0),"")</f>
        <v>8.44</v>
      </c>
      <c r="E1313" s="274" t="s">
        <v>2642</v>
      </c>
      <c r="F1313" s="274"/>
      <c r="G1313" s="274"/>
      <c r="H1313" s="274"/>
      <c r="I1313" s="274">
        <v>0.23</v>
      </c>
      <c r="J1313" s="456">
        <f t="shared" si="36"/>
        <v>0.23</v>
      </c>
      <c r="K1313" s="583"/>
      <c r="L1313" s="268" t="s">
        <v>2625</v>
      </c>
      <c r="M1313" s="268" t="s">
        <v>2631</v>
      </c>
      <c r="N1313" s="278">
        <f>IFERROR(INDEX('Data Lokasi'!S:S,MATCH('Input Real Tanam&amp;Petik Nanas'!C1313,'Data Lokasi'!C:C,0)),"")</f>
        <v>45166</v>
      </c>
      <c r="O1313" s="278"/>
      <c r="P1313" s="283">
        <f>IFERROR(INDEX('Data Lokasi'!V:V,MATCH(C1313,'Data Lokasi'!C:C,0)),"")</f>
        <v>0</v>
      </c>
      <c r="Q1313" s="304">
        <f t="shared" si="37"/>
        <v>0</v>
      </c>
      <c r="R1313" s="308"/>
    </row>
    <row r="1314" spans="2:18" ht="15" hidden="1" thickTop="1">
      <c r="B1314" s="269">
        <v>46256</v>
      </c>
      <c r="C1314" s="268" t="s">
        <v>233</v>
      </c>
      <c r="D1314" s="274">
        <f>IFERROR(VLOOKUP(C1314,'Data Lokasi'!C:D,2,0),"")</f>
        <v>10.3</v>
      </c>
      <c r="E1314" s="274" t="s">
        <v>2642</v>
      </c>
      <c r="F1314" s="274"/>
      <c r="G1314" s="274"/>
      <c r="H1314" s="274"/>
      <c r="I1314" s="274">
        <v>1.1200000000000001</v>
      </c>
      <c r="J1314" s="456">
        <f t="shared" si="36"/>
        <v>1.1200000000000001</v>
      </c>
      <c r="K1314" s="583"/>
      <c r="L1314" s="268" t="s">
        <v>2625</v>
      </c>
      <c r="M1314" s="268" t="s">
        <v>2634</v>
      </c>
      <c r="N1314" s="278">
        <f>IFERROR(INDEX('Data Lokasi'!S:S,MATCH('Input Real Tanam&amp;Petik Nanas'!C1314,'Data Lokasi'!C:C,0)),"")</f>
        <v>44024</v>
      </c>
      <c r="O1314" s="278"/>
      <c r="P1314" s="283">
        <f>IFERROR(INDEX('Data Lokasi'!V:V,MATCH(C1314,'Data Lokasi'!C:C,0)),"")</f>
        <v>0</v>
      </c>
      <c r="Q1314" s="304">
        <f t="shared" si="37"/>
        <v>0</v>
      </c>
      <c r="R1314" s="308"/>
    </row>
    <row r="1315" spans="2:18" ht="15" hidden="1" thickTop="1">
      <c r="B1315" s="269">
        <v>46256</v>
      </c>
      <c r="C1315" s="268" t="s">
        <v>680</v>
      </c>
      <c r="D1315" s="274">
        <f>IFERROR(VLOOKUP(C1315,'Data Lokasi'!C:D,2,0),"")</f>
        <v>5</v>
      </c>
      <c r="E1315" s="274" t="s">
        <v>2642</v>
      </c>
      <c r="F1315" s="274"/>
      <c r="G1315" s="274"/>
      <c r="H1315" s="274"/>
      <c r="I1315" s="274">
        <v>0.59</v>
      </c>
      <c r="J1315" s="456">
        <f t="shared" si="36"/>
        <v>0.59</v>
      </c>
      <c r="K1315" s="583"/>
      <c r="L1315" s="268" t="s">
        <v>2625</v>
      </c>
      <c r="M1315" s="268" t="s">
        <v>2634</v>
      </c>
      <c r="N1315" s="278">
        <f>IFERROR(INDEX('Data Lokasi'!S:S,MATCH('Input Real Tanam&amp;Petik Nanas'!C1315,'Data Lokasi'!C:C,0)),"")</f>
        <v>45093</v>
      </c>
      <c r="O1315" s="278"/>
      <c r="P1315" s="283">
        <f>IFERROR(INDEX('Data Lokasi'!V:V,MATCH(C1315,'Data Lokasi'!C:C,0)),"")</f>
        <v>0</v>
      </c>
      <c r="Q1315" s="304">
        <f t="shared" si="37"/>
        <v>0</v>
      </c>
      <c r="R1315" s="308"/>
    </row>
    <row r="1316" spans="2:18" ht="15" hidden="1" thickTop="1">
      <c r="B1316" s="269">
        <v>46256</v>
      </c>
      <c r="C1316" s="268" t="s">
        <v>2647</v>
      </c>
      <c r="D1316" s="274">
        <f>IFERROR(VLOOKUP(C1316,'Data Lokasi'!C:D,2,0),"")</f>
        <v>6.12</v>
      </c>
      <c r="E1316" s="274" t="s">
        <v>2642</v>
      </c>
      <c r="F1316" s="274"/>
      <c r="G1316" s="274">
        <v>0.09</v>
      </c>
      <c r="H1316" s="274"/>
      <c r="I1316" s="274"/>
      <c r="J1316" s="456">
        <f t="shared" si="36"/>
        <v>0.09</v>
      </c>
      <c r="K1316" s="583"/>
      <c r="L1316" s="268" t="s">
        <v>719</v>
      </c>
      <c r="M1316" s="268" t="s">
        <v>2634</v>
      </c>
      <c r="N1316" s="278">
        <f>IFERROR(INDEX('Data Lokasi'!S:S,MATCH('Input Real Tanam&amp;Petik Nanas'!C1316,'Data Lokasi'!C:C,0)),"")</f>
        <v>46237</v>
      </c>
      <c r="O1316" s="278"/>
      <c r="P1316" s="283">
        <f>IFERROR(INDEX('Data Lokasi'!V:V,MATCH(C1316,'Data Lokasi'!C:C,0)),"")</f>
        <v>6.12</v>
      </c>
      <c r="Q1316" s="304">
        <f t="shared" si="37"/>
        <v>1</v>
      </c>
      <c r="R1316" s="308"/>
    </row>
    <row r="1317" spans="2:18" ht="15" hidden="1" thickTop="1">
      <c r="B1317" s="269">
        <v>46256</v>
      </c>
      <c r="C1317" s="268" t="s">
        <v>2646</v>
      </c>
      <c r="D1317" s="274">
        <f>IFERROR(VLOOKUP(C1317,'Data Lokasi'!C:D,2,0),"")</f>
        <v>8.41</v>
      </c>
      <c r="E1317" s="274" t="s">
        <v>2642</v>
      </c>
      <c r="F1317" s="274"/>
      <c r="G1317" s="274"/>
      <c r="H1317" s="274">
        <v>0.35</v>
      </c>
      <c r="I1317" s="274"/>
      <c r="J1317" s="456">
        <f t="shared" si="36"/>
        <v>0.35</v>
      </c>
      <c r="K1317" s="583"/>
      <c r="L1317" s="268" t="s">
        <v>2625</v>
      </c>
      <c r="M1317" s="268" t="s">
        <v>2634</v>
      </c>
      <c r="N1317" s="278">
        <f>IFERROR(INDEX('Data Lokasi'!S:S,MATCH('Input Real Tanam&amp;Petik Nanas'!C1317,'Data Lokasi'!C:C,0)),"")</f>
        <v>46248</v>
      </c>
      <c r="O1317" s="278"/>
      <c r="P1317" s="283">
        <f>IFERROR(INDEX('Data Lokasi'!V:V,MATCH(C1317,'Data Lokasi'!C:C,0)),"")</f>
        <v>8.41</v>
      </c>
      <c r="Q1317" s="304">
        <f t="shared" si="37"/>
        <v>1</v>
      </c>
      <c r="R1317" s="308"/>
    </row>
    <row r="1318" spans="2:18" ht="15" hidden="1" thickTop="1">
      <c r="B1318" s="269">
        <v>46256</v>
      </c>
      <c r="C1318" s="268" t="s">
        <v>234</v>
      </c>
      <c r="D1318" s="274">
        <f>IFERROR(VLOOKUP(C1318,'Data Lokasi'!C:D,2,0),"")</f>
        <v>5.85</v>
      </c>
      <c r="E1318" s="274" t="s">
        <v>2642</v>
      </c>
      <c r="F1318" s="274"/>
      <c r="G1318" s="274"/>
      <c r="H1318" s="274"/>
      <c r="I1318" s="274">
        <v>0.04</v>
      </c>
      <c r="J1318" s="456">
        <f t="shared" si="36"/>
        <v>0.04</v>
      </c>
      <c r="K1318" s="583"/>
      <c r="L1318" s="268" t="s">
        <v>2625</v>
      </c>
      <c r="M1318" s="268" t="s">
        <v>2634</v>
      </c>
      <c r="N1318" s="278">
        <f>IFERROR(INDEX('Data Lokasi'!S:S,MATCH('Input Real Tanam&amp;Petik Nanas'!C1318,'Data Lokasi'!C:C,0)),"")</f>
        <v>44038</v>
      </c>
      <c r="O1318" s="278"/>
      <c r="P1318" s="283">
        <f>IFERROR(INDEX('Data Lokasi'!V:V,MATCH(C1318,'Data Lokasi'!C:C,0)),"")</f>
        <v>0</v>
      </c>
      <c r="Q1318" s="304">
        <f t="shared" si="37"/>
        <v>0</v>
      </c>
      <c r="R1318" s="308"/>
    </row>
    <row r="1319" spans="2:18" ht="15" hidden="1" thickTop="1">
      <c r="B1319" s="269">
        <v>46256</v>
      </c>
      <c r="C1319" s="268" t="s">
        <v>2692</v>
      </c>
      <c r="D1319" s="274">
        <f>IFERROR(VLOOKUP(C1319,'Data Lokasi'!C:D,2,0),"")</f>
        <v>8.9600000000000009</v>
      </c>
      <c r="E1319" s="274" t="s">
        <v>2642</v>
      </c>
      <c r="F1319" s="274"/>
      <c r="G1319" s="274"/>
      <c r="H1319" s="274"/>
      <c r="I1319" s="274">
        <v>0.28999999999999998</v>
      </c>
      <c r="J1319" s="456">
        <f t="shared" si="36"/>
        <v>0.28999999999999998</v>
      </c>
      <c r="K1319" s="583"/>
      <c r="L1319" s="268" t="s">
        <v>2625</v>
      </c>
      <c r="M1319" s="268" t="s">
        <v>2634</v>
      </c>
      <c r="N1319" s="278">
        <f>IFERROR(INDEX('Data Lokasi'!S:S,MATCH('Input Real Tanam&amp;Petik Nanas'!C1319,'Data Lokasi'!C:C,0)),"")</f>
        <v>46238</v>
      </c>
      <c r="O1319" s="278"/>
      <c r="P1319" s="283">
        <f>IFERROR(INDEX('Data Lokasi'!V:V,MATCH(C1319,'Data Lokasi'!C:C,0)),"")</f>
        <v>8.9600000000000009</v>
      </c>
      <c r="Q1319" s="304">
        <f t="shared" si="37"/>
        <v>1</v>
      </c>
      <c r="R1319" s="308"/>
    </row>
    <row r="1320" spans="2:18" ht="15" hidden="1" thickTop="1">
      <c r="B1320" s="269">
        <v>46256</v>
      </c>
      <c r="C1320" s="268" t="s">
        <v>677</v>
      </c>
      <c r="D1320" s="274">
        <f>IFERROR(VLOOKUP(C1320,'Data Lokasi'!C:D,2,0),"")</f>
        <v>8.2100000000000009</v>
      </c>
      <c r="E1320" s="274" t="s">
        <v>2642</v>
      </c>
      <c r="F1320" s="274"/>
      <c r="G1320" s="274"/>
      <c r="H1320" s="274"/>
      <c r="I1320" s="274">
        <v>0.28999999999999998</v>
      </c>
      <c r="J1320" s="456">
        <f t="shared" ref="J1320:J1375" si="38">IF(SUM(F1320:I1320)=0,"",(SUM(F1320:I1320)))</f>
        <v>0.28999999999999998</v>
      </c>
      <c r="K1320" s="583"/>
      <c r="L1320" s="268" t="s">
        <v>2625</v>
      </c>
      <c r="M1320" s="268" t="s">
        <v>2634</v>
      </c>
      <c r="N1320" s="278">
        <f>IFERROR(INDEX('Data Lokasi'!S:S,MATCH('Input Real Tanam&amp;Petik Nanas'!C1320,'Data Lokasi'!C:C,0)),"")</f>
        <v>45071</v>
      </c>
      <c r="O1320" s="278"/>
      <c r="P1320" s="283">
        <f>IFERROR(INDEX('Data Lokasi'!V:V,MATCH(C1320,'Data Lokasi'!C:C,0)),"")</f>
        <v>0</v>
      </c>
      <c r="Q1320" s="304">
        <f t="shared" ref="Q1320:Q1375" si="39">IF(ISERROR(P1320/D1320),"",(P1320/D1320))</f>
        <v>0</v>
      </c>
      <c r="R1320" s="308"/>
    </row>
    <row r="1321" spans="2:18" ht="15" hidden="1" thickTop="1">
      <c r="B1321" s="269">
        <v>46257</v>
      </c>
      <c r="C1321" s="268" t="s">
        <v>339</v>
      </c>
      <c r="D1321" s="274">
        <f>IFERROR(VLOOKUP(C1321,'Data Lokasi'!C:D,2,0),"")</f>
        <v>7.68</v>
      </c>
      <c r="E1321" s="274" t="s">
        <v>2643</v>
      </c>
      <c r="F1321" s="274"/>
      <c r="G1321" s="274"/>
      <c r="H1321" s="274">
        <v>7.0000000000000007E-2</v>
      </c>
      <c r="I1321" s="274">
        <f>0.16+0.21</f>
        <v>0.37</v>
      </c>
      <c r="J1321" s="456">
        <f t="shared" si="38"/>
        <v>0.44</v>
      </c>
      <c r="K1321" s="583"/>
      <c r="L1321" s="268" t="s">
        <v>719</v>
      </c>
      <c r="M1321" s="268" t="s">
        <v>2634</v>
      </c>
      <c r="N1321" s="278">
        <f>IFERROR(INDEX('Data Lokasi'!S:S,MATCH('Input Real Tanam&amp;Petik Nanas'!C1321,'Data Lokasi'!C:C,0)),"")</f>
        <v>44252</v>
      </c>
      <c r="O1321" s="278"/>
      <c r="P1321" s="283">
        <f>IFERROR(INDEX('Data Lokasi'!V:V,MATCH(C1321,'Data Lokasi'!C:C,0)),"")</f>
        <v>0</v>
      </c>
      <c r="Q1321" s="304">
        <f t="shared" si="39"/>
        <v>0</v>
      </c>
      <c r="R1321" s="308">
        <v>9</v>
      </c>
    </row>
    <row r="1322" spans="2:18" ht="15" hidden="1" thickTop="1">
      <c r="B1322" s="269">
        <v>46257</v>
      </c>
      <c r="C1322" s="268" t="s">
        <v>2557</v>
      </c>
      <c r="D1322" s="274">
        <f>IFERROR(VLOOKUP(C1322,'Data Lokasi'!C:D,2,0),"")</f>
        <v>8.0399999999999991</v>
      </c>
      <c r="E1322" s="274" t="s">
        <v>2643</v>
      </c>
      <c r="F1322" s="274"/>
      <c r="G1322" s="274"/>
      <c r="H1322" s="274"/>
      <c r="I1322" s="274">
        <v>0.44</v>
      </c>
      <c r="J1322" s="456">
        <f t="shared" si="38"/>
        <v>0.44</v>
      </c>
      <c r="K1322" s="583"/>
      <c r="L1322" s="268" t="s">
        <v>2625</v>
      </c>
      <c r="M1322" s="268" t="s">
        <v>2634</v>
      </c>
      <c r="N1322" s="278">
        <f>IFERROR(INDEX('Data Lokasi'!S:S,MATCH('Input Real Tanam&amp;Petik Nanas'!C1322,'Data Lokasi'!C:C,0)),"")</f>
        <v>45708</v>
      </c>
      <c r="O1322" s="278"/>
      <c r="P1322" s="283">
        <f>IFERROR(INDEX('Data Lokasi'!V:V,MATCH(C1322,'Data Lokasi'!C:C,0)),"")</f>
        <v>0</v>
      </c>
      <c r="Q1322" s="304">
        <f t="shared" si="39"/>
        <v>0</v>
      </c>
      <c r="R1322" s="308"/>
    </row>
    <row r="1323" spans="2:18" ht="15" hidden="1" thickTop="1">
      <c r="B1323" s="269">
        <v>46257</v>
      </c>
      <c r="C1323" s="268" t="s">
        <v>360</v>
      </c>
      <c r="D1323" s="274">
        <f>IFERROR(VLOOKUP(C1323,'Data Lokasi'!C:D,2,0),"")</f>
        <v>10.66</v>
      </c>
      <c r="E1323" s="274" t="s">
        <v>2643</v>
      </c>
      <c r="F1323" s="274"/>
      <c r="G1323" s="274"/>
      <c r="H1323" s="274">
        <f>0.05+0.18</f>
        <v>0.22999999999999998</v>
      </c>
      <c r="I1323" s="274">
        <f>0.29+0.3</f>
        <v>0.59</v>
      </c>
      <c r="J1323" s="456">
        <f t="shared" si="38"/>
        <v>0.82</v>
      </c>
      <c r="K1323" s="583"/>
      <c r="L1323" s="268" t="s">
        <v>719</v>
      </c>
      <c r="M1323" s="268" t="s">
        <v>2631</v>
      </c>
      <c r="N1323" s="278">
        <f>IFERROR(INDEX('Data Lokasi'!S:S,MATCH('Input Real Tanam&amp;Petik Nanas'!C1323,'Data Lokasi'!C:C,0)),"")</f>
        <v>44300</v>
      </c>
      <c r="O1323" s="278"/>
      <c r="P1323" s="283">
        <f>IFERROR(INDEX('Data Lokasi'!V:V,MATCH(C1323,'Data Lokasi'!C:C,0)),"")</f>
        <v>0</v>
      </c>
      <c r="Q1323" s="304">
        <f t="shared" si="39"/>
        <v>0</v>
      </c>
      <c r="R1323" s="308">
        <v>6</v>
      </c>
    </row>
    <row r="1324" spans="2:18" ht="15" hidden="1" thickTop="1">
      <c r="B1324" s="269">
        <v>46257</v>
      </c>
      <c r="C1324" s="268" t="s">
        <v>378</v>
      </c>
      <c r="D1324" s="274">
        <f>IFERROR(VLOOKUP(C1324,'Data Lokasi'!C:D,2,0),"")</f>
        <v>10.88</v>
      </c>
      <c r="E1324" s="274" t="s">
        <v>2643</v>
      </c>
      <c r="F1324" s="274"/>
      <c r="G1324" s="274"/>
      <c r="H1324" s="274"/>
      <c r="I1324" s="274">
        <v>0.45</v>
      </c>
      <c r="J1324" s="456">
        <f t="shared" si="38"/>
        <v>0.45</v>
      </c>
      <c r="K1324" s="583"/>
      <c r="L1324" s="268" t="s">
        <v>2625</v>
      </c>
      <c r="M1324" s="268" t="s">
        <v>2634</v>
      </c>
      <c r="N1324" s="278">
        <f>IFERROR(INDEX('Data Lokasi'!S:S,MATCH('Input Real Tanam&amp;Petik Nanas'!C1324,'Data Lokasi'!C:C,0)),"")</f>
        <v>44319</v>
      </c>
      <c r="O1324" s="278"/>
      <c r="P1324" s="283">
        <f>IFERROR(INDEX('Data Lokasi'!V:V,MATCH(C1324,'Data Lokasi'!C:C,0)),"")</f>
        <v>0</v>
      </c>
      <c r="Q1324" s="304">
        <f t="shared" si="39"/>
        <v>0</v>
      </c>
      <c r="R1324" s="308"/>
    </row>
    <row r="1325" spans="2:18" ht="15" hidden="1" thickTop="1">
      <c r="B1325" s="269">
        <v>46257</v>
      </c>
      <c r="C1325" s="268" t="s">
        <v>856</v>
      </c>
      <c r="D1325" s="274">
        <f>IFERROR(VLOOKUP(C1325,'Data Lokasi'!C:D,2,0),"")</f>
        <v>3.77</v>
      </c>
      <c r="E1325" s="274" t="s">
        <v>2643</v>
      </c>
      <c r="F1325" s="274"/>
      <c r="G1325" s="274"/>
      <c r="H1325" s="274"/>
      <c r="I1325" s="274">
        <v>0.65</v>
      </c>
      <c r="J1325" s="456">
        <f t="shared" si="38"/>
        <v>0.65</v>
      </c>
      <c r="K1325" s="583"/>
      <c r="L1325" s="268" t="s">
        <v>2625</v>
      </c>
      <c r="M1325" s="268" t="s">
        <v>2631</v>
      </c>
      <c r="N1325" s="278">
        <f>IFERROR(INDEX('Data Lokasi'!S:S,MATCH('Input Real Tanam&amp;Petik Nanas'!C1325,'Data Lokasi'!C:C,0)),"")</f>
        <v>45449</v>
      </c>
      <c r="O1325" s="278"/>
      <c r="P1325" s="283">
        <f>IFERROR(INDEX('Data Lokasi'!V:V,MATCH(C1325,'Data Lokasi'!C:C,0)),"")</f>
        <v>0</v>
      </c>
      <c r="Q1325" s="304">
        <f t="shared" si="39"/>
        <v>0</v>
      </c>
      <c r="R1325" s="308"/>
    </row>
    <row r="1326" spans="2:18" ht="15" hidden="1" thickTop="1">
      <c r="B1326" s="269">
        <v>46257</v>
      </c>
      <c r="C1326" s="268" t="s">
        <v>408</v>
      </c>
      <c r="D1326" s="274">
        <f>IFERROR(VLOOKUP(C1326,'Data Lokasi'!C:D,2,0),"")</f>
        <v>9.75</v>
      </c>
      <c r="E1326" s="274" t="s">
        <v>2643</v>
      </c>
      <c r="F1326" s="274"/>
      <c r="G1326" s="274"/>
      <c r="H1326" s="274"/>
      <c r="I1326" s="274">
        <v>1.9</v>
      </c>
      <c r="J1326" s="456">
        <f t="shared" si="38"/>
        <v>1.9</v>
      </c>
      <c r="K1326" s="583"/>
      <c r="L1326" s="268" t="s">
        <v>2625</v>
      </c>
      <c r="M1326" s="268" t="s">
        <v>2631</v>
      </c>
      <c r="N1326" s="278">
        <f>IFERROR(INDEX('Data Lokasi'!S:S,MATCH('Input Real Tanam&amp;Petik Nanas'!C1326,'Data Lokasi'!C:C,0)),"")</f>
        <v>44374</v>
      </c>
      <c r="O1326" s="278"/>
      <c r="P1326" s="283">
        <f>IFERROR(INDEX('Data Lokasi'!V:V,MATCH(C1326,'Data Lokasi'!C:C,0)),"")</f>
        <v>0</v>
      </c>
      <c r="Q1326" s="304">
        <f t="shared" si="39"/>
        <v>0</v>
      </c>
      <c r="R1326" s="308"/>
    </row>
    <row r="1327" spans="2:18" ht="15" hidden="1" thickTop="1">
      <c r="B1327" s="269">
        <v>46257</v>
      </c>
      <c r="C1327" s="268" t="s">
        <v>152</v>
      </c>
      <c r="D1327" s="274">
        <f>IFERROR(VLOOKUP(C1327,'Data Lokasi'!C:D,2,0),"")</f>
        <v>7.74</v>
      </c>
      <c r="E1327" s="274" t="s">
        <v>2643</v>
      </c>
      <c r="F1327" s="274"/>
      <c r="G1327" s="274"/>
      <c r="H1327" s="274"/>
      <c r="I1327" s="274">
        <v>0.42</v>
      </c>
      <c r="J1327" s="456">
        <f t="shared" si="38"/>
        <v>0.42</v>
      </c>
      <c r="K1327" s="583"/>
      <c r="L1327" s="268" t="s">
        <v>2625</v>
      </c>
      <c r="M1327" s="268" t="s">
        <v>2631</v>
      </c>
      <c r="N1327" s="278">
        <f>IFERROR(INDEX('Data Lokasi'!S:S,MATCH('Input Real Tanam&amp;Petik Nanas'!C1327,'Data Lokasi'!C:C,0)),"")</f>
        <v>45316</v>
      </c>
      <c r="O1327" s="278"/>
      <c r="P1327" s="283">
        <f>IFERROR(INDEX('Data Lokasi'!V:V,MATCH(C1327,'Data Lokasi'!C:C,0)),"")</f>
        <v>0</v>
      </c>
      <c r="Q1327" s="304">
        <f t="shared" si="39"/>
        <v>0</v>
      </c>
      <c r="R1327" s="308"/>
    </row>
    <row r="1328" spans="2:18" ht="15" hidden="1" thickTop="1">
      <c r="B1328" s="269">
        <v>46257</v>
      </c>
      <c r="C1328" s="268" t="s">
        <v>171</v>
      </c>
      <c r="D1328" s="274">
        <f>IFERROR(VLOOKUP(C1328,'Data Lokasi'!C:D,2,0),"")</f>
        <v>5.38</v>
      </c>
      <c r="E1328" s="274" t="s">
        <v>2643</v>
      </c>
      <c r="F1328" s="274"/>
      <c r="G1328" s="274">
        <v>0.01</v>
      </c>
      <c r="H1328" s="274">
        <f>0.06+0.16</f>
        <v>0.22</v>
      </c>
      <c r="I1328" s="274">
        <f>0.23+0.32</f>
        <v>0.55000000000000004</v>
      </c>
      <c r="J1328" s="456">
        <f t="shared" si="38"/>
        <v>0.78</v>
      </c>
      <c r="K1328" s="583"/>
      <c r="L1328" s="268" t="s">
        <v>719</v>
      </c>
      <c r="M1328" s="268" t="s">
        <v>2631</v>
      </c>
      <c r="N1328" s="278">
        <f>IFERROR(INDEX('Data Lokasi'!S:S,MATCH('Input Real Tanam&amp;Petik Nanas'!C1328,'Data Lokasi'!C:C,0)),"")</f>
        <v>43919</v>
      </c>
      <c r="O1328" s="278"/>
      <c r="P1328" s="283">
        <f>IFERROR(INDEX('Data Lokasi'!V:V,MATCH(C1328,'Data Lokasi'!C:C,0)),"")</f>
        <v>0</v>
      </c>
      <c r="Q1328" s="304">
        <f t="shared" si="39"/>
        <v>0</v>
      </c>
      <c r="R1328" s="308">
        <v>5</v>
      </c>
    </row>
    <row r="1329" spans="2:18" ht="15" hidden="1" thickTop="1">
      <c r="B1329" s="269">
        <v>46257</v>
      </c>
      <c r="C1329" s="268" t="s">
        <v>233</v>
      </c>
      <c r="D1329" s="274">
        <f>IFERROR(VLOOKUP(C1329,'Data Lokasi'!C:D,2,0),"")</f>
        <v>10.3</v>
      </c>
      <c r="E1329" s="274" t="s">
        <v>2642</v>
      </c>
      <c r="F1329" s="274"/>
      <c r="G1329" s="274"/>
      <c r="H1329" s="274"/>
      <c r="I1329" s="274">
        <v>1.43</v>
      </c>
      <c r="J1329" s="456">
        <f t="shared" si="38"/>
        <v>1.43</v>
      </c>
      <c r="K1329" s="583"/>
      <c r="L1329" s="268" t="s">
        <v>719</v>
      </c>
      <c r="M1329" s="268" t="s">
        <v>2634</v>
      </c>
      <c r="N1329" s="278">
        <f>IFERROR(INDEX('Data Lokasi'!S:S,MATCH('Input Real Tanam&amp;Petik Nanas'!C1329,'Data Lokasi'!C:C,0)),"")</f>
        <v>44024</v>
      </c>
      <c r="O1329" s="278"/>
      <c r="P1329" s="283">
        <f>IFERROR(INDEX('Data Lokasi'!V:V,MATCH(C1329,'Data Lokasi'!C:C,0)),"")</f>
        <v>0</v>
      </c>
      <c r="Q1329" s="304">
        <f t="shared" si="39"/>
        <v>0</v>
      </c>
      <c r="R1329" s="308"/>
    </row>
    <row r="1330" spans="2:18" ht="15" hidden="1" thickTop="1">
      <c r="B1330" s="269">
        <v>46257</v>
      </c>
      <c r="C1330" s="268" t="s">
        <v>680</v>
      </c>
      <c r="D1330" s="274">
        <f>IFERROR(VLOOKUP(C1330,'Data Lokasi'!C:D,2,0),"")</f>
        <v>5</v>
      </c>
      <c r="E1330" s="274" t="s">
        <v>2642</v>
      </c>
      <c r="F1330" s="274"/>
      <c r="G1330" s="274"/>
      <c r="H1330" s="274"/>
      <c r="I1330" s="274">
        <v>0.66</v>
      </c>
      <c r="J1330" s="456">
        <f t="shared" si="38"/>
        <v>0.66</v>
      </c>
      <c r="K1330" s="583"/>
      <c r="L1330" s="268" t="s">
        <v>2625</v>
      </c>
      <c r="M1330" s="268" t="s">
        <v>2634</v>
      </c>
      <c r="N1330" s="278">
        <f>IFERROR(INDEX('Data Lokasi'!S:S,MATCH('Input Real Tanam&amp;Petik Nanas'!C1330,'Data Lokasi'!C:C,0)),"")</f>
        <v>45093</v>
      </c>
      <c r="O1330" s="278"/>
      <c r="P1330" s="283">
        <f>IFERROR(INDEX('Data Lokasi'!V:V,MATCH(C1330,'Data Lokasi'!C:C,0)),"")</f>
        <v>0</v>
      </c>
      <c r="Q1330" s="304">
        <f t="shared" si="39"/>
        <v>0</v>
      </c>
      <c r="R1330" s="308"/>
    </row>
    <row r="1331" spans="2:18" ht="15" hidden="1" thickTop="1">
      <c r="B1331" s="269">
        <v>46257</v>
      </c>
      <c r="C1331" s="268" t="s">
        <v>2647</v>
      </c>
      <c r="D1331" s="274">
        <f>IFERROR(VLOOKUP(C1331,'Data Lokasi'!C:D,2,0),"")</f>
        <v>6.12</v>
      </c>
      <c r="E1331" s="274" t="s">
        <v>2642</v>
      </c>
      <c r="F1331" s="274"/>
      <c r="G1331" s="274">
        <v>7.0000000000000007E-2</v>
      </c>
      <c r="H1331" s="274"/>
      <c r="I1331" s="274"/>
      <c r="J1331" s="456">
        <f t="shared" si="38"/>
        <v>7.0000000000000007E-2</v>
      </c>
      <c r="K1331" s="583"/>
      <c r="L1331" s="268" t="s">
        <v>719</v>
      </c>
      <c r="M1331" s="268" t="s">
        <v>2634</v>
      </c>
      <c r="N1331" s="278">
        <f>IFERROR(INDEX('Data Lokasi'!S:S,MATCH('Input Real Tanam&amp;Petik Nanas'!C1331,'Data Lokasi'!C:C,0)),"")</f>
        <v>46237</v>
      </c>
      <c r="O1331" s="278"/>
      <c r="P1331" s="283">
        <f>IFERROR(INDEX('Data Lokasi'!V:V,MATCH(C1331,'Data Lokasi'!C:C,0)),"")</f>
        <v>6.12</v>
      </c>
      <c r="Q1331" s="304">
        <f t="shared" si="39"/>
        <v>1</v>
      </c>
      <c r="R1331" s="308"/>
    </row>
    <row r="1332" spans="2:18" ht="15" hidden="1" thickTop="1">
      <c r="B1332" s="269">
        <v>46257</v>
      </c>
      <c r="C1332" s="268" t="s">
        <v>684</v>
      </c>
      <c r="D1332" s="274">
        <f>IFERROR(VLOOKUP(C1332,'Data Lokasi'!C:D,2,0),"")</f>
        <v>8.8699999999999992</v>
      </c>
      <c r="E1332" s="274" t="s">
        <v>2642</v>
      </c>
      <c r="F1332" s="274"/>
      <c r="G1332" s="274"/>
      <c r="H1332" s="274"/>
      <c r="I1332" s="274">
        <v>0.08</v>
      </c>
      <c r="J1332" s="456">
        <f t="shared" si="38"/>
        <v>0.08</v>
      </c>
      <c r="K1332" s="583"/>
      <c r="L1332" s="268" t="s">
        <v>2625</v>
      </c>
      <c r="M1332" s="268" t="s">
        <v>2634</v>
      </c>
      <c r="N1332" s="278">
        <f>IFERROR(INDEX('Data Lokasi'!S:S,MATCH('Input Real Tanam&amp;Petik Nanas'!C1332,'Data Lokasi'!C:C,0)),"")</f>
        <v>45090</v>
      </c>
      <c r="O1332" s="278"/>
      <c r="P1332" s="283">
        <f>IFERROR(INDEX('Data Lokasi'!V:V,MATCH(C1332,'Data Lokasi'!C:C,0)),"")</f>
        <v>0</v>
      </c>
      <c r="Q1332" s="304">
        <f t="shared" si="39"/>
        <v>0</v>
      </c>
      <c r="R1332" s="308"/>
    </row>
    <row r="1333" spans="2:18" ht="15" hidden="1" thickTop="1">
      <c r="B1333" s="269">
        <v>46257</v>
      </c>
      <c r="C1333" s="268" t="s">
        <v>677</v>
      </c>
      <c r="D1333" s="274">
        <f>IFERROR(VLOOKUP(C1333,'Data Lokasi'!C:D,2,0),"")</f>
        <v>8.2100000000000009</v>
      </c>
      <c r="E1333" s="274" t="s">
        <v>2642</v>
      </c>
      <c r="F1333" s="274"/>
      <c r="G1333" s="274"/>
      <c r="H1333" s="274"/>
      <c r="I1333" s="274">
        <v>0.22</v>
      </c>
      <c r="J1333" s="456">
        <f t="shared" si="38"/>
        <v>0.22</v>
      </c>
      <c r="K1333" s="583"/>
      <c r="L1333" s="268" t="s">
        <v>719</v>
      </c>
      <c r="M1333" s="268" t="s">
        <v>2634</v>
      </c>
      <c r="N1333" s="278">
        <f>IFERROR(INDEX('Data Lokasi'!S:S,MATCH('Input Real Tanam&amp;Petik Nanas'!C1333,'Data Lokasi'!C:C,0)),"")</f>
        <v>45071</v>
      </c>
      <c r="O1333" s="278"/>
      <c r="P1333" s="283">
        <f>IFERROR(INDEX('Data Lokasi'!V:V,MATCH(C1333,'Data Lokasi'!C:C,0)),"")</f>
        <v>0</v>
      </c>
      <c r="Q1333" s="304">
        <f t="shared" si="39"/>
        <v>0</v>
      </c>
      <c r="R1333" s="308"/>
    </row>
    <row r="1334" spans="2:18" ht="15" hidden="1" thickTop="1">
      <c r="B1334" s="269">
        <v>46257</v>
      </c>
      <c r="C1334" s="317" t="s">
        <v>700</v>
      </c>
      <c r="D1334" s="274">
        <f>IFERROR(VLOOKUP(C1334,'Data Lokasi'!C:D,2,0),"")</f>
        <v>8.44</v>
      </c>
      <c r="E1334" s="274" t="s">
        <v>2642</v>
      </c>
      <c r="F1334" s="274"/>
      <c r="G1334" s="274"/>
      <c r="H1334" s="274"/>
      <c r="I1334" s="274">
        <v>7.0000000000000007E-2</v>
      </c>
      <c r="J1334" s="456">
        <f t="shared" si="38"/>
        <v>7.0000000000000007E-2</v>
      </c>
      <c r="K1334" s="583"/>
      <c r="L1334" s="268" t="s">
        <v>2625</v>
      </c>
      <c r="M1334" s="268" t="s">
        <v>2631</v>
      </c>
      <c r="N1334" s="278">
        <f>IFERROR(INDEX('Data Lokasi'!S:S,MATCH('Input Real Tanam&amp;Petik Nanas'!C1334,'Data Lokasi'!C:C,0)),"")</f>
        <v>45166</v>
      </c>
      <c r="O1334" s="278"/>
      <c r="P1334" s="283">
        <f>IFERROR(INDEX('Data Lokasi'!V:V,MATCH(C1334,'Data Lokasi'!C:C,0)),"")</f>
        <v>0</v>
      </c>
      <c r="Q1334" s="304">
        <f t="shared" si="39"/>
        <v>0</v>
      </c>
      <c r="R1334" s="308"/>
    </row>
    <row r="1335" spans="2:18" ht="15" hidden="1" thickTop="1">
      <c r="B1335" s="269">
        <v>46257</v>
      </c>
      <c r="C1335" s="375" t="s">
        <v>121</v>
      </c>
      <c r="D1335" s="274">
        <f>IFERROR(VLOOKUP(C1335,'Data Lokasi'!C:D,2,0),"")</f>
        <v>4.67</v>
      </c>
      <c r="E1335" s="274" t="s">
        <v>2642</v>
      </c>
      <c r="F1335" s="274"/>
      <c r="G1335" s="274"/>
      <c r="H1335" s="274"/>
      <c r="I1335" s="274">
        <v>0.17</v>
      </c>
      <c r="J1335" s="456">
        <f t="shared" si="38"/>
        <v>0.17</v>
      </c>
      <c r="K1335" s="583"/>
      <c r="L1335" s="268" t="s">
        <v>2625</v>
      </c>
      <c r="M1335" s="268" t="s">
        <v>2631</v>
      </c>
      <c r="N1335" s="278">
        <f>IFERROR(INDEX('Data Lokasi'!S:S,MATCH('Input Real Tanam&amp;Petik Nanas'!C1335,'Data Lokasi'!C:C,0)),"")</f>
        <v>45267</v>
      </c>
      <c r="O1335" s="278"/>
      <c r="P1335" s="283">
        <f>IFERROR(INDEX('Data Lokasi'!V:V,MATCH(C1335,'Data Lokasi'!C:C,0)),"")</f>
        <v>0</v>
      </c>
      <c r="Q1335" s="304">
        <f t="shared" si="39"/>
        <v>0</v>
      </c>
      <c r="R1335" s="308"/>
    </row>
    <row r="1336" spans="2:18" ht="15" hidden="1" thickTop="1">
      <c r="B1336" s="269">
        <v>46257</v>
      </c>
      <c r="C1336" s="268" t="s">
        <v>244</v>
      </c>
      <c r="D1336" s="274">
        <f>IFERROR(VLOOKUP(C1336,'Data Lokasi'!C:D,2,0),"")</f>
        <v>11.05</v>
      </c>
      <c r="E1336" s="274" t="s">
        <v>2642</v>
      </c>
      <c r="F1336" s="274"/>
      <c r="G1336" s="274"/>
      <c r="H1336" s="274"/>
      <c r="I1336" s="274">
        <v>0.12</v>
      </c>
      <c r="J1336" s="456">
        <f t="shared" si="38"/>
        <v>0.12</v>
      </c>
      <c r="K1336" s="583"/>
      <c r="L1336" s="268" t="s">
        <v>2625</v>
      </c>
      <c r="M1336" s="268" t="s">
        <v>2631</v>
      </c>
      <c r="N1336" s="278">
        <f>IFERROR(INDEX('Data Lokasi'!S:S,MATCH('Input Real Tanam&amp;Petik Nanas'!C1336,'Data Lokasi'!C:C,0)),"")</f>
        <v>44025</v>
      </c>
      <c r="O1336" s="278"/>
      <c r="P1336" s="283">
        <f>IFERROR(INDEX('Data Lokasi'!V:V,MATCH(C1336,'Data Lokasi'!C:C,0)),"")</f>
        <v>0</v>
      </c>
      <c r="Q1336" s="304">
        <f t="shared" si="39"/>
        <v>0</v>
      </c>
      <c r="R1336" s="308"/>
    </row>
    <row r="1337" spans="2:18" ht="15" hidden="1" thickTop="1">
      <c r="B1337" s="269">
        <v>46257</v>
      </c>
      <c r="C1337" s="268" t="s">
        <v>701</v>
      </c>
      <c r="D1337" s="274">
        <f>IFERROR(VLOOKUP(C1337,'Data Lokasi'!C:D,2,0),"")</f>
        <v>6.03</v>
      </c>
      <c r="E1337" s="274" t="s">
        <v>2642</v>
      </c>
      <c r="F1337" s="274"/>
      <c r="G1337" s="274"/>
      <c r="H1337" s="274"/>
      <c r="I1337" s="274">
        <v>0.3</v>
      </c>
      <c r="J1337" s="456">
        <f t="shared" si="38"/>
        <v>0.3</v>
      </c>
      <c r="K1337" s="583"/>
      <c r="L1337" s="268" t="s">
        <v>2625</v>
      </c>
      <c r="M1337" s="268" t="s">
        <v>2631</v>
      </c>
      <c r="N1337" s="278">
        <f>IFERROR(INDEX('Data Lokasi'!S:S,MATCH('Input Real Tanam&amp;Petik Nanas'!C1337,'Data Lokasi'!C:C,0)),"")</f>
        <v>45185</v>
      </c>
      <c r="O1337" s="278"/>
      <c r="P1337" s="283">
        <f>IFERROR(INDEX('Data Lokasi'!V:V,MATCH(C1337,'Data Lokasi'!C:C,0)),"")</f>
        <v>0</v>
      </c>
      <c r="Q1337" s="304">
        <f t="shared" si="39"/>
        <v>0</v>
      </c>
      <c r="R1337" s="308"/>
    </row>
    <row r="1338" spans="2:18" ht="15" hidden="1" thickTop="1">
      <c r="B1338" s="269">
        <v>46257</v>
      </c>
      <c r="C1338" s="268" t="s">
        <v>710</v>
      </c>
      <c r="D1338" s="274">
        <f>IFERROR(VLOOKUP(C1338,'Data Lokasi'!C:D,2,0),"")</f>
        <v>8.3699999999999992</v>
      </c>
      <c r="E1338" s="274" t="s">
        <v>2642</v>
      </c>
      <c r="F1338" s="274"/>
      <c r="G1338" s="274"/>
      <c r="H1338" s="274"/>
      <c r="I1338" s="274">
        <v>0.2</v>
      </c>
      <c r="J1338" s="456">
        <f t="shared" si="38"/>
        <v>0.2</v>
      </c>
      <c r="K1338" s="583"/>
      <c r="L1338" s="268" t="s">
        <v>2625</v>
      </c>
      <c r="M1338" s="268" t="s">
        <v>2631</v>
      </c>
      <c r="N1338" s="278">
        <f>IFERROR(INDEX('Data Lokasi'!S:S,MATCH('Input Real Tanam&amp;Petik Nanas'!C1338,'Data Lokasi'!C:C,0)),"")</f>
        <v>45246</v>
      </c>
      <c r="O1338" s="278"/>
      <c r="P1338" s="283">
        <f>IFERROR(INDEX('Data Lokasi'!V:V,MATCH(C1338,'Data Lokasi'!C:C,0)),"")</f>
        <v>0</v>
      </c>
      <c r="Q1338" s="304">
        <f t="shared" si="39"/>
        <v>0</v>
      </c>
      <c r="R1338" s="308"/>
    </row>
    <row r="1339" spans="2:18" ht="15" hidden="1" thickTop="1">
      <c r="B1339" s="269">
        <v>46257</v>
      </c>
      <c r="C1339" s="268" t="s">
        <v>704</v>
      </c>
      <c r="D1339" s="274">
        <f>IFERROR(VLOOKUP(C1339,'Data Lokasi'!C:D,2,0),"")</f>
        <v>6.38</v>
      </c>
      <c r="E1339" s="274" t="s">
        <v>2642</v>
      </c>
      <c r="F1339" s="274"/>
      <c r="G1339" s="274"/>
      <c r="H1339" s="274"/>
      <c r="I1339" s="274">
        <v>0.09</v>
      </c>
      <c r="J1339" s="456">
        <f t="shared" si="38"/>
        <v>0.09</v>
      </c>
      <c r="K1339" s="583"/>
      <c r="L1339" s="268" t="s">
        <v>2625</v>
      </c>
      <c r="M1339" s="268" t="s">
        <v>2631</v>
      </c>
      <c r="N1339" s="278">
        <f>IFERROR(INDEX('Data Lokasi'!S:S,MATCH('Input Real Tanam&amp;Petik Nanas'!C1339,'Data Lokasi'!C:C,0)),"")</f>
        <v>45199</v>
      </c>
      <c r="O1339" s="278"/>
      <c r="P1339" s="283">
        <f>IFERROR(INDEX('Data Lokasi'!V:V,MATCH(C1339,'Data Lokasi'!C:C,0)),"")</f>
        <v>0</v>
      </c>
      <c r="Q1339" s="304">
        <f t="shared" si="39"/>
        <v>0</v>
      </c>
      <c r="R1339" s="308"/>
    </row>
    <row r="1340" spans="2:18" ht="15" hidden="1" thickTop="1">
      <c r="B1340" s="269">
        <v>46257</v>
      </c>
      <c r="C1340" s="268" t="s">
        <v>270</v>
      </c>
      <c r="D1340" s="274">
        <f>IFERROR(VLOOKUP(C1340,'Data Lokasi'!C:D,2,0),"")</f>
        <v>6.13</v>
      </c>
      <c r="E1340" s="274" t="s">
        <v>2642</v>
      </c>
      <c r="F1340" s="274"/>
      <c r="G1340" s="274"/>
      <c r="H1340" s="274"/>
      <c r="I1340" s="274">
        <v>0.05</v>
      </c>
      <c r="J1340" s="456">
        <f t="shared" si="38"/>
        <v>0.05</v>
      </c>
      <c r="K1340" s="583"/>
      <c r="L1340" s="268" t="s">
        <v>2625</v>
      </c>
      <c r="M1340" s="268" t="s">
        <v>2631</v>
      </c>
      <c r="N1340" s="278">
        <f>IFERROR(INDEX('Data Lokasi'!S:S,MATCH('Input Real Tanam&amp;Petik Nanas'!C1340,'Data Lokasi'!C:C,0)),"")</f>
        <v>44086</v>
      </c>
      <c r="O1340" s="278"/>
      <c r="P1340" s="283">
        <f>IFERROR(INDEX('Data Lokasi'!V:V,MATCH(C1340,'Data Lokasi'!C:C,0)),"")</f>
        <v>0</v>
      </c>
      <c r="Q1340" s="304">
        <f t="shared" si="39"/>
        <v>0</v>
      </c>
      <c r="R1340" s="308"/>
    </row>
    <row r="1341" spans="2:18" ht="15" hidden="1" thickTop="1">
      <c r="B1341" s="269">
        <v>46257</v>
      </c>
      <c r="C1341" s="268" t="s">
        <v>108</v>
      </c>
      <c r="D1341" s="274">
        <f>IFERROR(VLOOKUP(C1341,'Data Lokasi'!C:D,2,0),"")</f>
        <v>10.45</v>
      </c>
      <c r="E1341" s="274" t="s">
        <v>2642</v>
      </c>
      <c r="F1341" s="274"/>
      <c r="G1341" s="274"/>
      <c r="H1341" s="274"/>
      <c r="I1341" s="274">
        <v>1.71</v>
      </c>
      <c r="J1341" s="456">
        <f t="shared" si="38"/>
        <v>1.71</v>
      </c>
      <c r="K1341" s="583"/>
      <c r="L1341" s="268" t="s">
        <v>2625</v>
      </c>
      <c r="M1341" s="268" t="s">
        <v>2631</v>
      </c>
      <c r="N1341" s="278">
        <f>IFERROR(INDEX('Data Lokasi'!S:S,MATCH('Input Real Tanam&amp;Petik Nanas'!C1341,'Data Lokasi'!C:C,0)),"")</f>
        <v>44176</v>
      </c>
      <c r="O1341" s="278"/>
      <c r="P1341" s="283">
        <f>IFERROR(INDEX('Data Lokasi'!V:V,MATCH(C1341,'Data Lokasi'!C:C,0)),"")</f>
        <v>0</v>
      </c>
      <c r="Q1341" s="304">
        <f t="shared" si="39"/>
        <v>0</v>
      </c>
      <c r="R1341" s="308"/>
    </row>
    <row r="1342" spans="2:18" ht="15" hidden="1" thickTop="1">
      <c r="B1342" s="269">
        <v>46258</v>
      </c>
      <c r="C1342" s="268" t="s">
        <v>244</v>
      </c>
      <c r="D1342" s="274">
        <f>IFERROR(VLOOKUP(C1342,'Data Lokasi'!C:D,2,0),"")</f>
        <v>11.05</v>
      </c>
      <c r="E1342" s="274" t="s">
        <v>2642</v>
      </c>
      <c r="F1342" s="274"/>
      <c r="G1342" s="274"/>
      <c r="H1342" s="274"/>
      <c r="I1342" s="274">
        <v>0.45</v>
      </c>
      <c r="J1342" s="456">
        <f t="shared" si="38"/>
        <v>0.45</v>
      </c>
      <c r="K1342" s="583"/>
      <c r="L1342" s="268" t="s">
        <v>2625</v>
      </c>
      <c r="M1342" s="268" t="s">
        <v>2631</v>
      </c>
      <c r="N1342" s="278">
        <f>IFERROR(INDEX('Data Lokasi'!S:S,MATCH('Input Real Tanam&amp;Petik Nanas'!C1342,'Data Lokasi'!C:C,0)),"")</f>
        <v>44025</v>
      </c>
      <c r="O1342" s="278"/>
      <c r="P1342" s="283">
        <f>IFERROR(INDEX('Data Lokasi'!V:V,MATCH(C1342,'Data Lokasi'!C:C,0)),"")</f>
        <v>0</v>
      </c>
      <c r="Q1342" s="304">
        <f t="shared" si="39"/>
        <v>0</v>
      </c>
      <c r="R1342" s="308"/>
    </row>
    <row r="1343" spans="2:18" ht="15" hidden="1" thickTop="1">
      <c r="B1343" s="269">
        <v>46258</v>
      </c>
      <c r="C1343" s="268" t="s">
        <v>270</v>
      </c>
      <c r="D1343" s="274">
        <f>IFERROR(VLOOKUP(C1343,'Data Lokasi'!C:D,2,0),"")</f>
        <v>6.13</v>
      </c>
      <c r="E1343" s="274" t="s">
        <v>2642</v>
      </c>
      <c r="F1343" s="274"/>
      <c r="G1343" s="274"/>
      <c r="H1343" s="274"/>
      <c r="I1343" s="274">
        <v>0.21</v>
      </c>
      <c r="J1343" s="456">
        <f t="shared" si="38"/>
        <v>0.21</v>
      </c>
      <c r="K1343" s="583"/>
      <c r="L1343" s="268" t="s">
        <v>2625</v>
      </c>
      <c r="M1343" s="268" t="s">
        <v>2631</v>
      </c>
      <c r="N1343" s="278">
        <f>IFERROR(INDEX('Data Lokasi'!S:S,MATCH('Input Real Tanam&amp;Petik Nanas'!C1343,'Data Lokasi'!C:C,0)),"")</f>
        <v>44086</v>
      </c>
      <c r="O1343" s="278"/>
      <c r="P1343" s="283">
        <f>IFERROR(INDEX('Data Lokasi'!V:V,MATCH(C1343,'Data Lokasi'!C:C,0)),"")</f>
        <v>0</v>
      </c>
      <c r="Q1343" s="304">
        <f t="shared" si="39"/>
        <v>0</v>
      </c>
      <c r="R1343" s="308"/>
    </row>
    <row r="1344" spans="2:18" ht="15" hidden="1" thickTop="1">
      <c r="B1344" s="269">
        <v>46258</v>
      </c>
      <c r="C1344" s="268" t="s">
        <v>705</v>
      </c>
      <c r="D1344" s="274">
        <f>IFERROR(VLOOKUP(C1344,'Data Lokasi'!C:D,2,0),"")</f>
        <v>7.67</v>
      </c>
      <c r="E1344" s="274" t="s">
        <v>2642</v>
      </c>
      <c r="F1344" s="274"/>
      <c r="G1344" s="274"/>
      <c r="H1344" s="274"/>
      <c r="I1344" s="274">
        <v>0.11</v>
      </c>
      <c r="J1344" s="456">
        <f t="shared" si="38"/>
        <v>0.11</v>
      </c>
      <c r="K1344" s="583"/>
      <c r="L1344" s="268" t="s">
        <v>2625</v>
      </c>
      <c r="M1344" s="268" t="s">
        <v>2631</v>
      </c>
      <c r="N1344" s="278">
        <f>IFERROR(INDEX('Data Lokasi'!S:S,MATCH('Input Real Tanam&amp;Petik Nanas'!C1344,'Data Lokasi'!C:C,0)),"")</f>
        <v>45202</v>
      </c>
      <c r="O1344" s="278"/>
      <c r="P1344" s="283">
        <f>IFERROR(INDEX('Data Lokasi'!V:V,MATCH(C1344,'Data Lokasi'!C:C,0)),"")</f>
        <v>0</v>
      </c>
      <c r="Q1344" s="304">
        <f t="shared" si="39"/>
        <v>0</v>
      </c>
      <c r="R1344" s="308"/>
    </row>
    <row r="1345" spans="2:18" ht="15" hidden="1" thickTop="1">
      <c r="B1345" s="269">
        <v>46258</v>
      </c>
      <c r="C1345" s="317" t="s">
        <v>121</v>
      </c>
      <c r="D1345" s="274">
        <f>IFERROR(VLOOKUP(C1345,'Data Lokasi'!C:D,2,0),"")</f>
        <v>4.67</v>
      </c>
      <c r="E1345" s="274" t="s">
        <v>2642</v>
      </c>
      <c r="F1345" s="274"/>
      <c r="G1345" s="274"/>
      <c r="H1345" s="274"/>
      <c r="I1345" s="274">
        <v>0.3</v>
      </c>
      <c r="J1345" s="456">
        <f t="shared" si="38"/>
        <v>0.3</v>
      </c>
      <c r="K1345" s="583"/>
      <c r="L1345" s="268" t="s">
        <v>2625</v>
      </c>
      <c r="M1345" s="268" t="s">
        <v>2631</v>
      </c>
      <c r="N1345" s="278">
        <f>IFERROR(INDEX('Data Lokasi'!S:S,MATCH('Input Real Tanam&amp;Petik Nanas'!C1345,'Data Lokasi'!C:C,0)),"")</f>
        <v>45267</v>
      </c>
      <c r="O1345" s="278"/>
      <c r="P1345" s="283">
        <f>IFERROR(INDEX('Data Lokasi'!V:V,MATCH(C1345,'Data Lokasi'!C:C,0)),"")</f>
        <v>0</v>
      </c>
      <c r="Q1345" s="304">
        <f t="shared" si="39"/>
        <v>0</v>
      </c>
      <c r="R1345" s="308"/>
    </row>
    <row r="1346" spans="2:18" ht="15" hidden="1" thickTop="1">
      <c r="B1346" s="269">
        <v>46258</v>
      </c>
      <c r="C1346" s="375" t="s">
        <v>700</v>
      </c>
      <c r="D1346" s="274">
        <f>IFERROR(VLOOKUP(C1346,'Data Lokasi'!C:D,2,0),"")</f>
        <v>8.44</v>
      </c>
      <c r="E1346" s="274" t="s">
        <v>2642</v>
      </c>
      <c r="F1346" s="274"/>
      <c r="G1346" s="274"/>
      <c r="H1346" s="274"/>
      <c r="I1346" s="274">
        <v>0.33</v>
      </c>
      <c r="J1346" s="456">
        <f t="shared" si="38"/>
        <v>0.33</v>
      </c>
      <c r="K1346" s="583"/>
      <c r="L1346" s="268" t="s">
        <v>2625</v>
      </c>
      <c r="M1346" s="268" t="s">
        <v>2631</v>
      </c>
      <c r="N1346" s="278">
        <f>IFERROR(INDEX('Data Lokasi'!S:S,MATCH('Input Real Tanam&amp;Petik Nanas'!C1346,'Data Lokasi'!C:C,0)),"")</f>
        <v>45166</v>
      </c>
      <c r="O1346" s="278"/>
      <c r="P1346" s="283">
        <f>IFERROR(INDEX('Data Lokasi'!V:V,MATCH(C1346,'Data Lokasi'!C:C,0)),"")</f>
        <v>0</v>
      </c>
      <c r="Q1346" s="304">
        <f t="shared" si="39"/>
        <v>0</v>
      </c>
      <c r="R1346" s="308"/>
    </row>
    <row r="1347" spans="2:18" ht="15" hidden="1" thickTop="1">
      <c r="B1347" s="269">
        <v>46258</v>
      </c>
      <c r="C1347" s="268" t="s">
        <v>108</v>
      </c>
      <c r="D1347" s="274">
        <f>IFERROR(VLOOKUP(C1347,'Data Lokasi'!C:D,2,0),"")</f>
        <v>10.45</v>
      </c>
      <c r="E1347" s="274" t="s">
        <v>2642</v>
      </c>
      <c r="F1347" s="274"/>
      <c r="G1347" s="274"/>
      <c r="H1347" s="274"/>
      <c r="I1347" s="274">
        <v>1.1299999999999999</v>
      </c>
      <c r="J1347" s="456">
        <f t="shared" si="38"/>
        <v>1.1299999999999999</v>
      </c>
      <c r="K1347" s="583"/>
      <c r="L1347" s="268" t="s">
        <v>2625</v>
      </c>
      <c r="M1347" s="268" t="s">
        <v>2631</v>
      </c>
      <c r="N1347" s="278">
        <f>IFERROR(INDEX('Data Lokasi'!S:S,MATCH('Input Real Tanam&amp;Petik Nanas'!C1347,'Data Lokasi'!C:C,0)),"")</f>
        <v>44176</v>
      </c>
      <c r="O1347" s="278"/>
      <c r="P1347" s="283">
        <f>IFERROR(INDEX('Data Lokasi'!V:V,MATCH(C1347,'Data Lokasi'!C:C,0)),"")</f>
        <v>0</v>
      </c>
      <c r="Q1347" s="304">
        <f t="shared" si="39"/>
        <v>0</v>
      </c>
      <c r="R1347" s="308"/>
    </row>
    <row r="1348" spans="2:18" ht="15" hidden="1" thickTop="1">
      <c r="B1348" s="269">
        <v>46258</v>
      </c>
      <c r="C1348" s="268" t="s">
        <v>233</v>
      </c>
      <c r="D1348" s="274">
        <f>IFERROR(VLOOKUP(C1348,'Data Lokasi'!C:D,2,0),"")</f>
        <v>10.3</v>
      </c>
      <c r="E1348" s="274" t="s">
        <v>2642</v>
      </c>
      <c r="F1348" s="274"/>
      <c r="G1348" s="274"/>
      <c r="H1348" s="274"/>
      <c r="I1348" s="274">
        <v>1.2</v>
      </c>
      <c r="J1348" s="456">
        <f t="shared" si="38"/>
        <v>1.2</v>
      </c>
      <c r="K1348" s="583"/>
      <c r="L1348" s="268" t="s">
        <v>719</v>
      </c>
      <c r="M1348" s="268" t="s">
        <v>2634</v>
      </c>
      <c r="N1348" s="278">
        <f>IFERROR(INDEX('Data Lokasi'!S:S,MATCH('Input Real Tanam&amp;Petik Nanas'!C1348,'Data Lokasi'!C:C,0)),"")</f>
        <v>44024</v>
      </c>
      <c r="O1348" s="278"/>
      <c r="P1348" s="283">
        <f>IFERROR(INDEX('Data Lokasi'!V:V,MATCH(C1348,'Data Lokasi'!C:C,0)),"")</f>
        <v>0</v>
      </c>
      <c r="Q1348" s="304">
        <f t="shared" si="39"/>
        <v>0</v>
      </c>
      <c r="R1348" s="308"/>
    </row>
    <row r="1349" spans="2:18" ht="15" hidden="1" thickTop="1">
      <c r="B1349" s="269">
        <v>46258</v>
      </c>
      <c r="C1349" s="268" t="s">
        <v>680</v>
      </c>
      <c r="D1349" s="274">
        <f>IFERROR(VLOOKUP(C1349,'Data Lokasi'!C:D,2,0),"")</f>
        <v>5</v>
      </c>
      <c r="E1349" s="274" t="s">
        <v>2642</v>
      </c>
      <c r="F1349" s="274"/>
      <c r="G1349" s="274"/>
      <c r="H1349" s="274"/>
      <c r="I1349" s="274">
        <v>0.96</v>
      </c>
      <c r="J1349" s="456">
        <f t="shared" si="38"/>
        <v>0.96</v>
      </c>
      <c r="K1349" s="583"/>
      <c r="L1349" s="268" t="s">
        <v>2625</v>
      </c>
      <c r="M1349" s="268" t="s">
        <v>2634</v>
      </c>
      <c r="N1349" s="278">
        <f>IFERROR(INDEX('Data Lokasi'!S:S,MATCH('Input Real Tanam&amp;Petik Nanas'!C1349,'Data Lokasi'!C:C,0)),"")</f>
        <v>45093</v>
      </c>
      <c r="O1349" s="278"/>
      <c r="P1349" s="283">
        <f>IFERROR(INDEX('Data Lokasi'!V:V,MATCH(C1349,'Data Lokasi'!C:C,0)),"")</f>
        <v>0</v>
      </c>
      <c r="Q1349" s="304">
        <f t="shared" si="39"/>
        <v>0</v>
      </c>
      <c r="R1349" s="308"/>
    </row>
    <row r="1350" spans="2:18" ht="15" hidden="1" thickTop="1">
      <c r="B1350" s="269">
        <v>46258</v>
      </c>
      <c r="C1350" s="268" t="s">
        <v>234</v>
      </c>
      <c r="D1350" s="274">
        <f>IFERROR(VLOOKUP(C1350,'Data Lokasi'!C:D,2,0),"")</f>
        <v>5.85</v>
      </c>
      <c r="E1350" s="274" t="s">
        <v>2642</v>
      </c>
      <c r="F1350" s="274"/>
      <c r="G1350" s="274"/>
      <c r="H1350" s="274"/>
      <c r="I1350" s="274">
        <v>0.04</v>
      </c>
      <c r="J1350" s="456">
        <f t="shared" si="38"/>
        <v>0.04</v>
      </c>
      <c r="K1350" s="583"/>
      <c r="L1350" s="268" t="s">
        <v>2625</v>
      </c>
      <c r="M1350" s="268" t="s">
        <v>2634</v>
      </c>
      <c r="N1350" s="278">
        <f>IFERROR(INDEX('Data Lokasi'!S:S,MATCH('Input Real Tanam&amp;Petik Nanas'!C1350,'Data Lokasi'!C:C,0)),"")</f>
        <v>44038</v>
      </c>
      <c r="O1350" s="278"/>
      <c r="P1350" s="283">
        <f>IFERROR(INDEX('Data Lokasi'!V:V,MATCH(C1350,'Data Lokasi'!C:C,0)),"")</f>
        <v>0</v>
      </c>
      <c r="Q1350" s="304">
        <f t="shared" si="39"/>
        <v>0</v>
      </c>
      <c r="R1350" s="308"/>
    </row>
    <row r="1351" spans="2:18" ht="15" hidden="1" thickTop="1">
      <c r="B1351" s="269">
        <v>46258</v>
      </c>
      <c r="C1351" s="268" t="s">
        <v>684</v>
      </c>
      <c r="D1351" s="274">
        <f>IFERROR(VLOOKUP(C1351,'Data Lokasi'!C:D,2,0),"")</f>
        <v>8.8699999999999992</v>
      </c>
      <c r="E1351" s="274" t="s">
        <v>2642</v>
      </c>
      <c r="F1351" s="274"/>
      <c r="G1351" s="274"/>
      <c r="H1351" s="274"/>
      <c r="I1351" s="274">
        <v>0.04</v>
      </c>
      <c r="J1351" s="456">
        <f t="shared" si="38"/>
        <v>0.04</v>
      </c>
      <c r="K1351" s="583"/>
      <c r="L1351" s="268" t="s">
        <v>2625</v>
      </c>
      <c r="M1351" s="268" t="s">
        <v>2634</v>
      </c>
      <c r="N1351" s="278">
        <f>IFERROR(INDEX('Data Lokasi'!S:S,MATCH('Input Real Tanam&amp;Petik Nanas'!C1351,'Data Lokasi'!C:C,0)),"")</f>
        <v>45090</v>
      </c>
      <c r="O1351" s="278"/>
      <c r="P1351" s="283">
        <f>IFERROR(INDEX('Data Lokasi'!V:V,MATCH(C1351,'Data Lokasi'!C:C,0)),"")</f>
        <v>0</v>
      </c>
      <c r="Q1351" s="304">
        <f t="shared" si="39"/>
        <v>0</v>
      </c>
      <c r="R1351" s="308"/>
    </row>
    <row r="1352" spans="2:18" ht="15" hidden="1" thickTop="1">
      <c r="B1352" s="269">
        <v>46258</v>
      </c>
      <c r="C1352" s="268" t="s">
        <v>339</v>
      </c>
      <c r="D1352" s="274">
        <f>IFERROR(VLOOKUP(C1352,'Data Lokasi'!C:D,2,0),"")</f>
        <v>7.68</v>
      </c>
      <c r="E1352" s="274" t="s">
        <v>2643</v>
      </c>
      <c r="F1352" s="274"/>
      <c r="G1352" s="274"/>
      <c r="H1352" s="274">
        <f>0.01+0.03</f>
        <v>0.04</v>
      </c>
      <c r="I1352" s="274">
        <f>0.1+0.19</f>
        <v>0.29000000000000004</v>
      </c>
      <c r="J1352" s="456">
        <f t="shared" si="38"/>
        <v>0.33</v>
      </c>
      <c r="K1352" s="583"/>
      <c r="L1352" s="268" t="s">
        <v>719</v>
      </c>
      <c r="M1352" s="268" t="s">
        <v>2634</v>
      </c>
      <c r="N1352" s="278">
        <f>IFERROR(INDEX('Data Lokasi'!S:S,MATCH('Input Real Tanam&amp;Petik Nanas'!C1352,'Data Lokasi'!C:C,0)),"")</f>
        <v>44252</v>
      </c>
      <c r="O1352" s="278"/>
      <c r="P1352" s="283">
        <f>IFERROR(INDEX('Data Lokasi'!V:V,MATCH(C1352,'Data Lokasi'!C:C,0)),"")</f>
        <v>0</v>
      </c>
      <c r="Q1352" s="304">
        <f t="shared" si="39"/>
        <v>0</v>
      </c>
      <c r="R1352" s="308">
        <v>9</v>
      </c>
    </row>
    <row r="1353" spans="2:18" ht="15" hidden="1" thickTop="1">
      <c r="B1353" s="269">
        <v>46258</v>
      </c>
      <c r="C1353" s="268" t="s">
        <v>554</v>
      </c>
      <c r="D1353" s="274">
        <f>IFERROR(VLOOKUP(C1353,'Data Lokasi'!C:D,2,0),"")</f>
        <v>5.62</v>
      </c>
      <c r="E1353" s="274" t="s">
        <v>2643</v>
      </c>
      <c r="F1353" s="274"/>
      <c r="G1353" s="274">
        <v>0.02</v>
      </c>
      <c r="H1353" s="274">
        <f>0.08+0.15</f>
        <v>0.22999999999999998</v>
      </c>
      <c r="I1353" s="274"/>
      <c r="J1353" s="456">
        <f t="shared" si="38"/>
        <v>0.24999999999999997</v>
      </c>
      <c r="K1353" s="583"/>
      <c r="L1353" s="268" t="s">
        <v>719</v>
      </c>
      <c r="M1353" s="268" t="s">
        <v>2634</v>
      </c>
      <c r="N1353" s="278">
        <f>IFERROR(INDEX('Data Lokasi'!S:S,MATCH('Input Real Tanam&amp;Petik Nanas'!C1353,'Data Lokasi'!C:C,0)),"")</f>
        <v>44655</v>
      </c>
      <c r="O1353" s="278"/>
      <c r="P1353" s="283">
        <f>IFERROR(INDEX('Data Lokasi'!V:V,MATCH(C1353,'Data Lokasi'!C:C,0)),"")</f>
        <v>0</v>
      </c>
      <c r="Q1353" s="304">
        <f t="shared" si="39"/>
        <v>0</v>
      </c>
      <c r="R1353" s="308">
        <v>3</v>
      </c>
    </row>
    <row r="1354" spans="2:18" ht="15" hidden="1" thickTop="1">
      <c r="B1354" s="269">
        <v>46258</v>
      </c>
      <c r="C1354" s="268" t="s">
        <v>2557</v>
      </c>
      <c r="D1354" s="274">
        <f>IFERROR(VLOOKUP(C1354,'Data Lokasi'!C:D,2,0),"")</f>
        <v>8.0399999999999991</v>
      </c>
      <c r="E1354" s="274" t="s">
        <v>2643</v>
      </c>
      <c r="F1354" s="274"/>
      <c r="G1354" s="274"/>
      <c r="H1354" s="274"/>
      <c r="I1354" s="274">
        <v>0.15</v>
      </c>
      <c r="J1354" s="456">
        <f t="shared" si="38"/>
        <v>0.15</v>
      </c>
      <c r="K1354" s="583"/>
      <c r="L1354" s="268" t="s">
        <v>2625</v>
      </c>
      <c r="M1354" s="268" t="s">
        <v>2634</v>
      </c>
      <c r="N1354" s="278">
        <f>IFERROR(INDEX('Data Lokasi'!S:S,MATCH('Input Real Tanam&amp;Petik Nanas'!C1354,'Data Lokasi'!C:C,0)),"")</f>
        <v>45708</v>
      </c>
      <c r="O1354" s="278"/>
      <c r="P1354" s="283">
        <f>IFERROR(INDEX('Data Lokasi'!V:V,MATCH(C1354,'Data Lokasi'!C:C,0)),"")</f>
        <v>0</v>
      </c>
      <c r="Q1354" s="304">
        <f t="shared" si="39"/>
        <v>0</v>
      </c>
      <c r="R1354" s="308"/>
    </row>
    <row r="1355" spans="2:18" ht="15" hidden="1" thickTop="1">
      <c r="B1355" s="269">
        <v>46258</v>
      </c>
      <c r="C1355" s="268" t="s">
        <v>360</v>
      </c>
      <c r="D1355" s="274">
        <f>IFERROR(VLOOKUP(C1355,'Data Lokasi'!C:D,2,0),"")</f>
        <v>10.66</v>
      </c>
      <c r="E1355" s="274" t="s">
        <v>2643</v>
      </c>
      <c r="F1355" s="274"/>
      <c r="G1355" s="274"/>
      <c r="H1355" s="274">
        <v>0.09</v>
      </c>
      <c r="I1355" s="274">
        <f>0.11+0.19</f>
        <v>0.3</v>
      </c>
      <c r="J1355" s="456">
        <f t="shared" si="38"/>
        <v>0.39</v>
      </c>
      <c r="K1355" s="583"/>
      <c r="L1355" s="268" t="s">
        <v>719</v>
      </c>
      <c r="M1355" s="268" t="s">
        <v>2631</v>
      </c>
      <c r="N1355" s="278">
        <f>IFERROR(INDEX('Data Lokasi'!S:S,MATCH('Input Real Tanam&amp;Petik Nanas'!C1355,'Data Lokasi'!C:C,0)),"")</f>
        <v>44300</v>
      </c>
      <c r="O1355" s="278"/>
      <c r="P1355" s="283">
        <f>IFERROR(INDEX('Data Lokasi'!V:V,MATCH(C1355,'Data Lokasi'!C:C,0)),"")</f>
        <v>0</v>
      </c>
      <c r="Q1355" s="304">
        <f t="shared" si="39"/>
        <v>0</v>
      </c>
      <c r="R1355" s="308">
        <v>6</v>
      </c>
    </row>
    <row r="1356" spans="2:18" ht="15" hidden="1" thickTop="1">
      <c r="B1356" s="269">
        <v>46258</v>
      </c>
      <c r="C1356" s="268" t="s">
        <v>337</v>
      </c>
      <c r="D1356" s="274">
        <f>IFERROR(VLOOKUP(C1356,'Data Lokasi'!C:D,2,0),"")</f>
        <v>9.17</v>
      </c>
      <c r="E1356" s="274" t="s">
        <v>2643</v>
      </c>
      <c r="F1356" s="274"/>
      <c r="G1356" s="274"/>
      <c r="H1356" s="274">
        <v>0.01</v>
      </c>
      <c r="I1356" s="274">
        <f>0.06+0.08</f>
        <v>0.14000000000000001</v>
      </c>
      <c r="J1356" s="456">
        <f t="shared" si="38"/>
        <v>0.15000000000000002</v>
      </c>
      <c r="K1356" s="583"/>
      <c r="L1356" s="268" t="s">
        <v>719</v>
      </c>
      <c r="M1356" s="268" t="s">
        <v>2631</v>
      </c>
      <c r="N1356" s="278">
        <f>IFERROR(INDEX('Data Lokasi'!S:S,MATCH('Input Real Tanam&amp;Petik Nanas'!C1356,'Data Lokasi'!C:C,0)),"")</f>
        <v>44250</v>
      </c>
      <c r="O1356" s="278"/>
      <c r="P1356" s="283">
        <f>IFERROR(INDEX('Data Lokasi'!V:V,MATCH(C1356,'Data Lokasi'!C:C,0)),"")</f>
        <v>0</v>
      </c>
      <c r="Q1356" s="304">
        <f t="shared" si="39"/>
        <v>0</v>
      </c>
      <c r="R1356" s="308">
        <v>7</v>
      </c>
    </row>
    <row r="1357" spans="2:18" ht="15" hidden="1" thickTop="1">
      <c r="B1357" s="269">
        <v>46258</v>
      </c>
      <c r="C1357" s="268" t="s">
        <v>378</v>
      </c>
      <c r="D1357" s="274">
        <f>IFERROR(VLOOKUP(C1357,'Data Lokasi'!C:D,2,0),"")</f>
        <v>10.88</v>
      </c>
      <c r="E1357" s="274" t="s">
        <v>2643</v>
      </c>
      <c r="F1357" s="274"/>
      <c r="G1357" s="274"/>
      <c r="H1357" s="274"/>
      <c r="I1357" s="274">
        <v>0.61</v>
      </c>
      <c r="J1357" s="456">
        <f t="shared" si="38"/>
        <v>0.61</v>
      </c>
      <c r="K1357" s="583"/>
      <c r="L1357" s="268" t="s">
        <v>2625</v>
      </c>
      <c r="M1357" s="268" t="s">
        <v>2634</v>
      </c>
      <c r="N1357" s="278">
        <f>IFERROR(INDEX('Data Lokasi'!S:S,MATCH('Input Real Tanam&amp;Petik Nanas'!C1357,'Data Lokasi'!C:C,0)),"")</f>
        <v>44319</v>
      </c>
      <c r="O1357" s="278"/>
      <c r="P1357" s="283">
        <f>IFERROR(INDEX('Data Lokasi'!V:V,MATCH(C1357,'Data Lokasi'!C:C,0)),"")</f>
        <v>0</v>
      </c>
      <c r="Q1357" s="304">
        <f t="shared" si="39"/>
        <v>0</v>
      </c>
      <c r="R1357" s="308"/>
    </row>
    <row r="1358" spans="2:18" ht="15" hidden="1" thickTop="1">
      <c r="B1358" s="269">
        <v>46258</v>
      </c>
      <c r="C1358" s="268" t="s">
        <v>856</v>
      </c>
      <c r="D1358" s="274">
        <f>IFERROR(VLOOKUP(C1358,'Data Lokasi'!C:D,2,0),"")</f>
        <v>3.77</v>
      </c>
      <c r="E1358" s="274" t="s">
        <v>2643</v>
      </c>
      <c r="F1358" s="274"/>
      <c r="G1358" s="274"/>
      <c r="H1358" s="274"/>
      <c r="I1358" s="274">
        <v>0.37</v>
      </c>
      <c r="J1358" s="456">
        <f t="shared" si="38"/>
        <v>0.37</v>
      </c>
      <c r="K1358" s="583"/>
      <c r="L1358" s="268" t="s">
        <v>2625</v>
      </c>
      <c r="M1358" s="268" t="s">
        <v>2631</v>
      </c>
      <c r="N1358" s="278">
        <f>IFERROR(INDEX('Data Lokasi'!S:S,MATCH('Input Real Tanam&amp;Petik Nanas'!C1358,'Data Lokasi'!C:C,0)),"")</f>
        <v>45449</v>
      </c>
      <c r="O1358" s="278"/>
      <c r="P1358" s="283">
        <f>IFERROR(INDEX('Data Lokasi'!V:V,MATCH(C1358,'Data Lokasi'!C:C,0)),"")</f>
        <v>0</v>
      </c>
      <c r="Q1358" s="304">
        <f t="shared" si="39"/>
        <v>0</v>
      </c>
      <c r="R1358" s="308"/>
    </row>
    <row r="1359" spans="2:18" ht="15" hidden="1" thickTop="1">
      <c r="B1359" s="269">
        <v>46258</v>
      </c>
      <c r="C1359" s="268" t="s">
        <v>408</v>
      </c>
      <c r="D1359" s="274">
        <f>IFERROR(VLOOKUP(C1359,'Data Lokasi'!C:D,2,0),"")</f>
        <v>9.75</v>
      </c>
      <c r="E1359" s="274" t="s">
        <v>2643</v>
      </c>
      <c r="F1359" s="274"/>
      <c r="G1359" s="274"/>
      <c r="H1359" s="274"/>
      <c r="I1359" s="274">
        <v>1.05</v>
      </c>
      <c r="J1359" s="456">
        <f t="shared" si="38"/>
        <v>1.05</v>
      </c>
      <c r="K1359" s="583"/>
      <c r="L1359" s="268" t="s">
        <v>2625</v>
      </c>
      <c r="M1359" s="268" t="s">
        <v>2631</v>
      </c>
      <c r="N1359" s="278">
        <f>IFERROR(INDEX('Data Lokasi'!S:S,MATCH('Input Real Tanam&amp;Petik Nanas'!C1359,'Data Lokasi'!C:C,0)),"")</f>
        <v>44374</v>
      </c>
      <c r="O1359" s="278"/>
      <c r="P1359" s="283">
        <f>IFERROR(INDEX('Data Lokasi'!V:V,MATCH(C1359,'Data Lokasi'!C:C,0)),"")</f>
        <v>0</v>
      </c>
      <c r="Q1359" s="304">
        <f t="shared" si="39"/>
        <v>0</v>
      </c>
      <c r="R1359" s="308"/>
    </row>
    <row r="1360" spans="2:18" ht="15" hidden="1" thickTop="1">
      <c r="B1360" s="269">
        <v>46258</v>
      </c>
      <c r="C1360" s="268" t="s">
        <v>171</v>
      </c>
      <c r="D1360" s="274">
        <f>IFERROR(VLOOKUP(C1360,'Data Lokasi'!C:D,2,0),"")</f>
        <v>5.38</v>
      </c>
      <c r="E1360" s="274" t="s">
        <v>2643</v>
      </c>
      <c r="F1360" s="274"/>
      <c r="G1360" s="274"/>
      <c r="H1360" s="274">
        <v>0.06</v>
      </c>
      <c r="I1360" s="274">
        <f>0.07+0.08</f>
        <v>0.15000000000000002</v>
      </c>
      <c r="J1360" s="456">
        <f t="shared" si="38"/>
        <v>0.21000000000000002</v>
      </c>
      <c r="K1360" s="583"/>
      <c r="L1360" s="268" t="s">
        <v>719</v>
      </c>
      <c r="M1360" s="268" t="s">
        <v>2631</v>
      </c>
      <c r="N1360" s="278">
        <f>IFERROR(INDEX('Data Lokasi'!S:S,MATCH('Input Real Tanam&amp;Petik Nanas'!C1360,'Data Lokasi'!C:C,0)),"")</f>
        <v>43919</v>
      </c>
      <c r="O1360" s="278"/>
      <c r="P1360" s="283">
        <f>IFERROR(INDEX('Data Lokasi'!V:V,MATCH(C1360,'Data Lokasi'!C:C,0)),"")</f>
        <v>0</v>
      </c>
      <c r="Q1360" s="304">
        <f t="shared" si="39"/>
        <v>0</v>
      </c>
      <c r="R1360" s="308">
        <v>5</v>
      </c>
    </row>
    <row r="1361" spans="2:18" ht="15" hidden="1" thickTop="1">
      <c r="B1361" s="269">
        <v>46259</v>
      </c>
      <c r="C1361" s="268" t="s">
        <v>233</v>
      </c>
      <c r="D1361" s="274">
        <f>IFERROR(VLOOKUP(C1361,'Data Lokasi'!C:D,2,0),"")</f>
        <v>10.3</v>
      </c>
      <c r="E1361" s="274" t="s">
        <v>2642</v>
      </c>
      <c r="F1361" s="274"/>
      <c r="G1361" s="274"/>
      <c r="H1361" s="274"/>
      <c r="I1361" s="274">
        <v>0.56000000000000005</v>
      </c>
      <c r="J1361" s="456">
        <f t="shared" si="38"/>
        <v>0.56000000000000005</v>
      </c>
      <c r="K1361" s="583"/>
      <c r="L1361" s="268" t="s">
        <v>719</v>
      </c>
      <c r="M1361" s="268" t="s">
        <v>2634</v>
      </c>
      <c r="N1361" s="278">
        <f>IFERROR(INDEX('Data Lokasi'!S:S,MATCH('Input Real Tanam&amp;Petik Nanas'!C1361,'Data Lokasi'!C:C,0)),"")</f>
        <v>44024</v>
      </c>
      <c r="O1361" s="278"/>
      <c r="P1361" s="283">
        <f>IFERROR(INDEX('Data Lokasi'!V:V,MATCH(C1361,'Data Lokasi'!C:C,0)),"")</f>
        <v>0</v>
      </c>
      <c r="Q1361" s="304">
        <f t="shared" si="39"/>
        <v>0</v>
      </c>
      <c r="R1361" s="308"/>
    </row>
    <row r="1362" spans="2:18" ht="15" hidden="1" thickTop="1">
      <c r="B1362" s="269">
        <v>46259</v>
      </c>
      <c r="C1362" s="268" t="s">
        <v>233</v>
      </c>
      <c r="D1362" s="274">
        <f>IFERROR(VLOOKUP(C1362,'Data Lokasi'!C:D,2,0),"")</f>
        <v>10.3</v>
      </c>
      <c r="E1362" s="274" t="s">
        <v>2642</v>
      </c>
      <c r="F1362" s="274"/>
      <c r="G1362" s="274"/>
      <c r="H1362" s="274"/>
      <c r="I1362" s="274">
        <v>0.97</v>
      </c>
      <c r="J1362" s="456">
        <f t="shared" si="38"/>
        <v>0.97</v>
      </c>
      <c r="K1362" s="583"/>
      <c r="L1362" s="268" t="s">
        <v>2625</v>
      </c>
      <c r="M1362" s="268" t="s">
        <v>2634</v>
      </c>
      <c r="N1362" s="278">
        <f>IFERROR(INDEX('Data Lokasi'!S:S,MATCH('Input Real Tanam&amp;Petik Nanas'!C1362,'Data Lokasi'!C:C,0)),"")</f>
        <v>44024</v>
      </c>
      <c r="O1362" s="278"/>
      <c r="P1362" s="283">
        <f>IFERROR(INDEX('Data Lokasi'!V:V,MATCH(C1362,'Data Lokasi'!C:C,0)),"")</f>
        <v>0</v>
      </c>
      <c r="Q1362" s="304">
        <f t="shared" si="39"/>
        <v>0</v>
      </c>
      <c r="R1362" s="308"/>
    </row>
    <row r="1363" spans="2:18" ht="15" hidden="1" thickTop="1">
      <c r="B1363" s="269">
        <v>46259</v>
      </c>
      <c r="C1363" s="268" t="s">
        <v>2646</v>
      </c>
      <c r="D1363" s="274">
        <f>IFERROR(VLOOKUP(C1363,'Data Lokasi'!C:D,2,0),"")</f>
        <v>8.41</v>
      </c>
      <c r="E1363" s="274" t="s">
        <v>2642</v>
      </c>
      <c r="F1363" s="274"/>
      <c r="G1363" s="274"/>
      <c r="H1363" s="274">
        <v>0.15</v>
      </c>
      <c r="I1363" s="274"/>
      <c r="J1363" s="456">
        <f t="shared" si="38"/>
        <v>0.15</v>
      </c>
      <c r="K1363" s="583"/>
      <c r="L1363" s="268" t="s">
        <v>719</v>
      </c>
      <c r="M1363" s="268" t="s">
        <v>2634</v>
      </c>
      <c r="N1363" s="278">
        <f>IFERROR(INDEX('Data Lokasi'!S:S,MATCH('Input Real Tanam&amp;Petik Nanas'!C1363,'Data Lokasi'!C:C,0)),"")</f>
        <v>46248</v>
      </c>
      <c r="O1363" s="278"/>
      <c r="P1363" s="283">
        <f>IFERROR(INDEX('Data Lokasi'!V:V,MATCH(C1363,'Data Lokasi'!C:C,0)),"")</f>
        <v>8.41</v>
      </c>
      <c r="Q1363" s="304">
        <f t="shared" si="39"/>
        <v>1</v>
      </c>
      <c r="R1363" s="308"/>
    </row>
    <row r="1364" spans="2:18" ht="15" hidden="1" thickTop="1">
      <c r="B1364" s="269">
        <v>46259</v>
      </c>
      <c r="C1364" s="268" t="s">
        <v>680</v>
      </c>
      <c r="D1364" s="274">
        <f>IFERROR(VLOOKUP(C1364,'Data Lokasi'!C:D,2,0),"")</f>
        <v>5</v>
      </c>
      <c r="E1364" s="274" t="s">
        <v>2642</v>
      </c>
      <c r="F1364" s="274"/>
      <c r="G1364" s="274"/>
      <c r="H1364" s="274"/>
      <c r="I1364" s="274">
        <v>0.98</v>
      </c>
      <c r="J1364" s="456">
        <f t="shared" si="38"/>
        <v>0.98</v>
      </c>
      <c r="K1364" s="583"/>
      <c r="L1364" s="268" t="s">
        <v>2625</v>
      </c>
      <c r="M1364" s="268" t="s">
        <v>2634</v>
      </c>
      <c r="N1364" s="278">
        <f>IFERROR(INDEX('Data Lokasi'!S:S,MATCH('Input Real Tanam&amp;Petik Nanas'!C1364,'Data Lokasi'!C:C,0)),"")</f>
        <v>45093</v>
      </c>
      <c r="O1364" s="278"/>
      <c r="P1364" s="283">
        <f>IFERROR(INDEX('Data Lokasi'!V:V,MATCH(C1364,'Data Lokasi'!C:C,0)),"")</f>
        <v>0</v>
      </c>
      <c r="Q1364" s="304">
        <f t="shared" si="39"/>
        <v>0</v>
      </c>
      <c r="R1364" s="308"/>
    </row>
    <row r="1365" spans="2:18" ht="15" hidden="1" thickTop="1">
      <c r="B1365" s="269">
        <v>46259</v>
      </c>
      <c r="C1365" s="268" t="s">
        <v>336</v>
      </c>
      <c r="D1365" s="274">
        <f>IFERROR(VLOOKUP(C1365,'Data Lokasi'!C:D,2,0),"")</f>
        <v>3.64</v>
      </c>
      <c r="E1365" s="274" t="s">
        <v>2642</v>
      </c>
      <c r="F1365" s="274"/>
      <c r="G1365" s="274"/>
      <c r="H1365" s="274"/>
      <c r="I1365" s="274">
        <v>0.16</v>
      </c>
      <c r="J1365" s="456">
        <f t="shared" si="38"/>
        <v>0.16</v>
      </c>
      <c r="K1365" s="583"/>
      <c r="L1365" s="268" t="s">
        <v>2625</v>
      </c>
      <c r="M1365" s="268" t="s">
        <v>2634</v>
      </c>
      <c r="N1365" s="278">
        <f>IFERROR(INDEX('Data Lokasi'!S:S,MATCH('Input Real Tanam&amp;Petik Nanas'!C1365,'Data Lokasi'!C:C,0)),"")</f>
        <v>44231</v>
      </c>
      <c r="O1365" s="278"/>
      <c r="P1365" s="283">
        <f>IFERROR(INDEX('Data Lokasi'!V:V,MATCH(C1365,'Data Lokasi'!C:C,0)),"")</f>
        <v>0</v>
      </c>
      <c r="Q1365" s="304">
        <f t="shared" si="39"/>
        <v>0</v>
      </c>
      <c r="R1365" s="308"/>
    </row>
    <row r="1366" spans="2:18" ht="15" hidden="1" thickTop="1">
      <c r="B1366" s="269">
        <v>46259</v>
      </c>
      <c r="C1366" s="268" t="s">
        <v>149</v>
      </c>
      <c r="D1366" s="274">
        <f>IFERROR(VLOOKUP(C1366,'Data Lokasi'!C:D,2,0),"")</f>
        <v>5.37</v>
      </c>
      <c r="E1366" s="274" t="s">
        <v>2642</v>
      </c>
      <c r="F1366" s="274"/>
      <c r="G1366" s="274"/>
      <c r="H1366" s="274">
        <v>0.97</v>
      </c>
      <c r="I1366" s="274"/>
      <c r="J1366" s="456">
        <f t="shared" si="38"/>
        <v>0.97</v>
      </c>
      <c r="K1366" s="583"/>
      <c r="L1366" s="268" t="s">
        <v>719</v>
      </c>
      <c r="M1366" s="268" t="s">
        <v>2631</v>
      </c>
      <c r="N1366" s="278">
        <f>IFERROR(INDEX('Data Lokasi'!S:S,MATCH('Input Real Tanam&amp;Petik Nanas'!C1366,'Data Lokasi'!C:C,0)),"")</f>
        <v>45295</v>
      </c>
      <c r="O1366" s="278"/>
      <c r="P1366" s="283">
        <f>IFERROR(INDEX('Data Lokasi'!V:V,MATCH(C1366,'Data Lokasi'!C:C,0)),"")</f>
        <v>0</v>
      </c>
      <c r="Q1366" s="304">
        <f t="shared" si="39"/>
        <v>0</v>
      </c>
      <c r="R1366" s="308"/>
    </row>
    <row r="1367" spans="2:18" ht="15" hidden="1" thickTop="1">
      <c r="B1367" s="269">
        <v>46259</v>
      </c>
      <c r="C1367" s="268" t="s">
        <v>289</v>
      </c>
      <c r="D1367" s="274">
        <f>IFERROR(VLOOKUP(C1367,'Data Lokasi'!C:D,2,0),"")</f>
        <v>2.87</v>
      </c>
      <c r="E1367" s="274" t="s">
        <v>2642</v>
      </c>
      <c r="F1367" s="274"/>
      <c r="G1367" s="274"/>
      <c r="H1367" s="274"/>
      <c r="I1367" s="274">
        <v>0.62</v>
      </c>
      <c r="J1367" s="456">
        <f t="shared" si="38"/>
        <v>0.62</v>
      </c>
      <c r="K1367" s="583"/>
      <c r="L1367" s="268" t="s">
        <v>2625</v>
      </c>
      <c r="M1367" s="268" t="s">
        <v>2631</v>
      </c>
      <c r="N1367" s="278">
        <f>IFERROR(INDEX('Data Lokasi'!S:S,MATCH('Input Real Tanam&amp;Petik Nanas'!C1367,'Data Lokasi'!C:C,0)),"")</f>
        <v>44121</v>
      </c>
      <c r="O1367" s="278"/>
      <c r="P1367" s="283">
        <f>IFERROR(INDEX('Data Lokasi'!V:V,MATCH(C1367,'Data Lokasi'!C:C,0)),"")</f>
        <v>0</v>
      </c>
      <c r="Q1367" s="304">
        <f t="shared" si="39"/>
        <v>0</v>
      </c>
      <c r="R1367" s="308"/>
    </row>
    <row r="1368" spans="2:18" ht="15" hidden="1" thickTop="1">
      <c r="B1368" s="269">
        <v>46259</v>
      </c>
      <c r="C1368" s="268" t="s">
        <v>108</v>
      </c>
      <c r="D1368" s="274">
        <f>IFERROR(VLOOKUP(C1368,'Data Lokasi'!C:D,2,0),"")</f>
        <v>10.45</v>
      </c>
      <c r="E1368" s="274" t="s">
        <v>2642</v>
      </c>
      <c r="F1368" s="274"/>
      <c r="G1368" s="274"/>
      <c r="H1368" s="274"/>
      <c r="I1368" s="274">
        <v>1.34</v>
      </c>
      <c r="J1368" s="456">
        <f t="shared" si="38"/>
        <v>1.34</v>
      </c>
      <c r="K1368" s="583"/>
      <c r="L1368" s="268" t="s">
        <v>2625</v>
      </c>
      <c r="M1368" s="268" t="s">
        <v>2631</v>
      </c>
      <c r="N1368" s="278">
        <f>IFERROR(INDEX('Data Lokasi'!S:S,MATCH('Input Real Tanam&amp;Petik Nanas'!C1368,'Data Lokasi'!C:C,0)),"")</f>
        <v>44176</v>
      </c>
      <c r="O1368" s="278"/>
      <c r="P1368" s="283">
        <f>IFERROR(INDEX('Data Lokasi'!V:V,MATCH(C1368,'Data Lokasi'!C:C,0)),"")</f>
        <v>0</v>
      </c>
      <c r="Q1368" s="304">
        <f t="shared" si="39"/>
        <v>0</v>
      </c>
      <c r="R1368" s="308"/>
    </row>
    <row r="1369" spans="2:18" ht="15" hidden="1" thickTop="1">
      <c r="B1369" s="269">
        <v>46259</v>
      </c>
      <c r="C1369" s="268" t="s">
        <v>270</v>
      </c>
      <c r="D1369" s="274">
        <f>IFERROR(VLOOKUP(C1369,'Data Lokasi'!C:D,2,0),"")</f>
        <v>6.13</v>
      </c>
      <c r="E1369" s="274" t="s">
        <v>2642</v>
      </c>
      <c r="F1369" s="274"/>
      <c r="G1369" s="274"/>
      <c r="H1369" s="274"/>
      <c r="I1369" s="274">
        <v>0.13</v>
      </c>
      <c r="J1369" s="456">
        <f t="shared" si="38"/>
        <v>0.13</v>
      </c>
      <c r="K1369" s="583"/>
      <c r="L1369" s="268" t="s">
        <v>2625</v>
      </c>
      <c r="M1369" s="268" t="s">
        <v>2631</v>
      </c>
      <c r="N1369" s="278">
        <f>IFERROR(INDEX('Data Lokasi'!S:S,MATCH('Input Real Tanam&amp;Petik Nanas'!C1369,'Data Lokasi'!C:C,0)),"")</f>
        <v>44086</v>
      </c>
      <c r="O1369" s="278"/>
      <c r="P1369" s="283">
        <f>IFERROR(INDEX('Data Lokasi'!V:V,MATCH(C1369,'Data Lokasi'!C:C,0)),"")</f>
        <v>0</v>
      </c>
      <c r="Q1369" s="304">
        <f t="shared" si="39"/>
        <v>0</v>
      </c>
      <c r="R1369" s="308"/>
    </row>
    <row r="1370" spans="2:18" ht="15" hidden="1" thickTop="1">
      <c r="B1370" s="269">
        <v>46259</v>
      </c>
      <c r="C1370" s="268" t="s">
        <v>695</v>
      </c>
      <c r="D1370" s="274">
        <f>IFERROR(VLOOKUP(C1370,'Data Lokasi'!C:D,2,0),"")</f>
        <v>5</v>
      </c>
      <c r="E1370" s="274" t="s">
        <v>2642</v>
      </c>
      <c r="F1370" s="274"/>
      <c r="G1370" s="274"/>
      <c r="H1370" s="274"/>
      <c r="I1370" s="274">
        <v>0.01</v>
      </c>
      <c r="J1370" s="456">
        <f t="shared" si="38"/>
        <v>0.01</v>
      </c>
      <c r="K1370" s="583"/>
      <c r="L1370" s="268" t="s">
        <v>2625</v>
      </c>
      <c r="M1370" s="268" t="s">
        <v>2631</v>
      </c>
      <c r="N1370" s="278">
        <f>IFERROR(INDEX('Data Lokasi'!S:S,MATCH('Input Real Tanam&amp;Petik Nanas'!C1370,'Data Lokasi'!C:C,0)),"")</f>
        <v>45117</v>
      </c>
      <c r="O1370" s="278"/>
      <c r="P1370" s="283">
        <f>IFERROR(INDEX('Data Lokasi'!V:V,MATCH(C1370,'Data Lokasi'!C:C,0)),"")</f>
        <v>0</v>
      </c>
      <c r="Q1370" s="304">
        <f t="shared" si="39"/>
        <v>0</v>
      </c>
      <c r="R1370" s="308"/>
    </row>
    <row r="1371" spans="2:18" ht="15" hidden="1" thickTop="1">
      <c r="B1371" s="269">
        <v>46259</v>
      </c>
      <c r="C1371" s="268" t="s">
        <v>244</v>
      </c>
      <c r="D1371" s="274">
        <f>IFERROR(VLOOKUP(C1371,'Data Lokasi'!C:D,2,0),"")</f>
        <v>11.05</v>
      </c>
      <c r="E1371" s="274" t="s">
        <v>2642</v>
      </c>
      <c r="F1371" s="274"/>
      <c r="G1371" s="274"/>
      <c r="H1371" s="274"/>
      <c r="I1371" s="274">
        <v>0.27</v>
      </c>
      <c r="J1371" s="456">
        <f t="shared" si="38"/>
        <v>0.27</v>
      </c>
      <c r="K1371" s="583"/>
      <c r="L1371" s="268" t="s">
        <v>2625</v>
      </c>
      <c r="M1371" s="268" t="s">
        <v>2631</v>
      </c>
      <c r="N1371" s="278">
        <f>IFERROR(INDEX('Data Lokasi'!S:S,MATCH('Input Real Tanam&amp;Petik Nanas'!C1371,'Data Lokasi'!C:C,0)),"")</f>
        <v>44025</v>
      </c>
      <c r="O1371" s="278"/>
      <c r="P1371" s="283">
        <f>IFERROR(INDEX('Data Lokasi'!V:V,MATCH(C1371,'Data Lokasi'!C:C,0)),"")</f>
        <v>0</v>
      </c>
      <c r="Q1371" s="304">
        <f t="shared" si="39"/>
        <v>0</v>
      </c>
      <c r="R1371" s="308"/>
    </row>
    <row r="1372" spans="2:18" ht="15" hidden="1" thickTop="1">
      <c r="B1372" s="269">
        <v>46259</v>
      </c>
      <c r="C1372" s="268" t="s">
        <v>395</v>
      </c>
      <c r="D1372" s="274">
        <f>IFERROR(VLOOKUP(C1372,'Data Lokasi'!C:D,2,0),"")</f>
        <v>6.32</v>
      </c>
      <c r="E1372" s="274" t="s">
        <v>2643</v>
      </c>
      <c r="F1372" s="274"/>
      <c r="G1372" s="274"/>
      <c r="H1372" s="274">
        <f>0.02+0.13</f>
        <v>0.15</v>
      </c>
      <c r="I1372" s="274">
        <f>0.25+0.45</f>
        <v>0.7</v>
      </c>
      <c r="J1372" s="456">
        <f t="shared" si="38"/>
        <v>0.85</v>
      </c>
      <c r="K1372" s="583"/>
      <c r="L1372" s="268" t="s">
        <v>719</v>
      </c>
      <c r="M1372" s="268" t="s">
        <v>2634</v>
      </c>
      <c r="N1372" s="278">
        <f>IFERROR(INDEX('Data Lokasi'!S:S,MATCH('Input Real Tanam&amp;Petik Nanas'!C1372,'Data Lokasi'!C:C,0)),"")</f>
        <v>44369</v>
      </c>
      <c r="O1372" s="278"/>
      <c r="P1372" s="283">
        <f>IFERROR(INDEX('Data Lokasi'!V:V,MATCH(C1372,'Data Lokasi'!C:C,0)),"")</f>
        <v>0</v>
      </c>
      <c r="Q1372" s="304">
        <f t="shared" si="39"/>
        <v>0</v>
      </c>
      <c r="R1372" s="308">
        <v>6</v>
      </c>
    </row>
    <row r="1373" spans="2:18" ht="15" hidden="1" thickTop="1">
      <c r="B1373" s="269">
        <v>46259</v>
      </c>
      <c r="C1373" s="268" t="s">
        <v>371</v>
      </c>
      <c r="D1373" s="274">
        <f>IFERROR(VLOOKUP(C1373,'Data Lokasi'!C:D,2,0),"")</f>
        <v>7.06</v>
      </c>
      <c r="E1373" s="274" t="s">
        <v>2643</v>
      </c>
      <c r="F1373" s="274"/>
      <c r="G1373" s="274"/>
      <c r="H1373" s="274">
        <v>0.05</v>
      </c>
      <c r="I1373" s="274">
        <f>0.17+0.35</f>
        <v>0.52</v>
      </c>
      <c r="J1373" s="456">
        <f t="shared" si="38"/>
        <v>0.57000000000000006</v>
      </c>
      <c r="K1373" s="583"/>
      <c r="L1373" s="268" t="s">
        <v>719</v>
      </c>
      <c r="M1373" s="268" t="s">
        <v>2634</v>
      </c>
      <c r="N1373" s="278">
        <f>IFERROR(INDEX('Data Lokasi'!S:S,MATCH('Input Real Tanam&amp;Petik Nanas'!C1373,'Data Lokasi'!C:C,0)),"")</f>
        <v>44335</v>
      </c>
      <c r="O1373" s="278"/>
      <c r="P1373" s="283">
        <f>IFERROR(INDEX('Data Lokasi'!V:V,MATCH(C1373,'Data Lokasi'!C:C,0)),"")</f>
        <v>0</v>
      </c>
      <c r="Q1373" s="304">
        <f t="shared" si="39"/>
        <v>0</v>
      </c>
      <c r="R1373" s="308">
        <v>6</v>
      </c>
    </row>
    <row r="1374" spans="2:18" ht="15" hidden="1" thickTop="1">
      <c r="B1374" s="269">
        <v>46259</v>
      </c>
      <c r="C1374" s="268" t="s">
        <v>2557</v>
      </c>
      <c r="D1374" s="274">
        <f>IFERROR(VLOOKUP(C1374,'Data Lokasi'!C:D,2,0),"")</f>
        <v>8.0399999999999991</v>
      </c>
      <c r="E1374" s="274" t="s">
        <v>2643</v>
      </c>
      <c r="F1374" s="274"/>
      <c r="G1374" s="274"/>
      <c r="H1374" s="274"/>
      <c r="I1374" s="274">
        <v>0.48</v>
      </c>
      <c r="J1374" s="456">
        <f t="shared" si="38"/>
        <v>0.48</v>
      </c>
      <c r="K1374" s="583"/>
      <c r="L1374" s="268" t="s">
        <v>2625</v>
      </c>
      <c r="M1374" s="268" t="s">
        <v>2634</v>
      </c>
      <c r="N1374" s="278">
        <f>IFERROR(INDEX('Data Lokasi'!S:S,MATCH('Input Real Tanam&amp;Petik Nanas'!C1374,'Data Lokasi'!C:C,0)),"")</f>
        <v>45708</v>
      </c>
      <c r="O1374" s="278"/>
      <c r="P1374" s="283">
        <f>IFERROR(INDEX('Data Lokasi'!V:V,MATCH(C1374,'Data Lokasi'!C:C,0)),"")</f>
        <v>0</v>
      </c>
      <c r="Q1374" s="304">
        <f t="shared" si="39"/>
        <v>0</v>
      </c>
      <c r="R1374" s="308"/>
    </row>
    <row r="1375" spans="2:18" ht="15" hidden="1" thickTop="1">
      <c r="B1375" s="269">
        <v>46259</v>
      </c>
      <c r="C1375" s="268" t="s">
        <v>537</v>
      </c>
      <c r="D1375" s="274">
        <f>IFERROR(VLOOKUP(C1375,'Data Lokasi'!C:D,2,0),"")</f>
        <v>7.93</v>
      </c>
      <c r="E1375" s="274" t="s">
        <v>2643</v>
      </c>
      <c r="F1375" s="274"/>
      <c r="G1375" s="274"/>
      <c r="H1375" s="274"/>
      <c r="I1375" s="274">
        <v>0.85</v>
      </c>
      <c r="J1375" s="456">
        <f t="shared" si="38"/>
        <v>0.85</v>
      </c>
      <c r="K1375" s="583"/>
      <c r="L1375" s="268" t="s">
        <v>2625</v>
      </c>
      <c r="M1375" s="268" t="s">
        <v>2634</v>
      </c>
      <c r="N1375" s="278">
        <f>IFERROR(INDEX('Data Lokasi'!S:S,MATCH('Input Real Tanam&amp;Petik Nanas'!C1375,'Data Lokasi'!C:C,0)),"")</f>
        <v>44648</v>
      </c>
      <c r="O1375" s="278"/>
      <c r="P1375" s="283">
        <f>IFERROR(INDEX('Data Lokasi'!V:V,MATCH(C1375,'Data Lokasi'!C:C,0)),"")</f>
        <v>0</v>
      </c>
      <c r="Q1375" s="304">
        <f t="shared" si="39"/>
        <v>0</v>
      </c>
      <c r="R1375" s="308"/>
    </row>
    <row r="1376" spans="2:18" ht="15" hidden="1" thickTop="1">
      <c r="B1376" s="269">
        <v>46259</v>
      </c>
      <c r="C1376" s="268" t="s">
        <v>554</v>
      </c>
      <c r="D1376" s="274">
        <f>IFERROR(VLOOKUP(C1376,'Data Lokasi'!C:D,2,0),"")</f>
        <v>5.62</v>
      </c>
      <c r="E1376" s="274" t="s">
        <v>2643</v>
      </c>
      <c r="F1376" s="274"/>
      <c r="G1376" s="274">
        <v>0.05</v>
      </c>
      <c r="H1376" s="274">
        <f>0.24+0.43</f>
        <v>0.66999999999999993</v>
      </c>
      <c r="I1376" s="274"/>
      <c r="J1376" s="456">
        <f t="shared" ref="J1376:J1383" si="40">IF(SUM(F1376:I1376)=0,"",(SUM(F1376:I1376)))</f>
        <v>0.72</v>
      </c>
      <c r="K1376" s="583"/>
      <c r="L1376" s="268" t="s">
        <v>719</v>
      </c>
      <c r="M1376" s="268" t="s">
        <v>2634</v>
      </c>
      <c r="N1376" s="278">
        <f>IFERROR(INDEX('Data Lokasi'!S:S,MATCH('Input Real Tanam&amp;Petik Nanas'!C1376,'Data Lokasi'!C:C,0)),"")</f>
        <v>44655</v>
      </c>
      <c r="O1376" s="278"/>
      <c r="P1376" s="283">
        <f>IFERROR(INDEX('Data Lokasi'!V:V,MATCH(C1376,'Data Lokasi'!C:C,0)),"")</f>
        <v>0</v>
      </c>
      <c r="Q1376" s="304">
        <f t="shared" ref="Q1376:Q1383" si="41">IF(ISERROR(P1376/D1376),"",(P1376/D1376))</f>
        <v>0</v>
      </c>
      <c r="R1376" s="308">
        <v>3</v>
      </c>
    </row>
    <row r="1377" spans="2:18" ht="15" hidden="1" thickTop="1">
      <c r="B1377" s="269">
        <v>46259</v>
      </c>
      <c r="C1377" s="268" t="s">
        <v>408</v>
      </c>
      <c r="D1377" s="274">
        <f>IFERROR(VLOOKUP(C1377,'Data Lokasi'!C:D,2,0),"")</f>
        <v>9.75</v>
      </c>
      <c r="E1377" s="274" t="s">
        <v>2643</v>
      </c>
      <c r="F1377" s="274"/>
      <c r="G1377" s="274"/>
      <c r="H1377" s="274"/>
      <c r="I1377" s="274">
        <v>1.52</v>
      </c>
      <c r="J1377" s="456">
        <f t="shared" si="40"/>
        <v>1.52</v>
      </c>
      <c r="K1377" s="583"/>
      <c r="L1377" s="268" t="s">
        <v>2625</v>
      </c>
      <c r="M1377" s="268" t="s">
        <v>2631</v>
      </c>
      <c r="N1377" s="278">
        <f>IFERROR(INDEX('Data Lokasi'!S:S,MATCH('Input Real Tanam&amp;Petik Nanas'!C1377,'Data Lokasi'!C:C,0)),"")</f>
        <v>44374</v>
      </c>
      <c r="O1377" s="278"/>
      <c r="P1377" s="283">
        <f>IFERROR(INDEX('Data Lokasi'!V:V,MATCH(C1377,'Data Lokasi'!C:C,0)),"")</f>
        <v>0</v>
      </c>
      <c r="Q1377" s="304">
        <f t="shared" si="41"/>
        <v>0</v>
      </c>
      <c r="R1377" s="308"/>
    </row>
    <row r="1378" spans="2:18" ht="15" hidden="1" thickTop="1">
      <c r="B1378" s="269">
        <v>46259</v>
      </c>
      <c r="C1378" s="268" t="s">
        <v>810</v>
      </c>
      <c r="D1378" s="274">
        <f>IFERROR(VLOOKUP(C1378,'Data Lokasi'!C:D,2,0),"")</f>
        <v>3.82</v>
      </c>
      <c r="E1378" s="274" t="s">
        <v>2643</v>
      </c>
      <c r="F1378" s="274"/>
      <c r="G1378" s="274"/>
      <c r="H1378" s="274"/>
      <c r="I1378" s="274">
        <v>2.34</v>
      </c>
      <c r="J1378" s="456">
        <f t="shared" si="40"/>
        <v>2.34</v>
      </c>
      <c r="K1378" s="583"/>
      <c r="L1378" s="268" t="s">
        <v>2625</v>
      </c>
      <c r="M1378" s="268" t="s">
        <v>2631</v>
      </c>
      <c r="N1378" s="278">
        <f>IFERROR(INDEX('Data Lokasi'!S:S,MATCH('Input Real Tanam&amp;Petik Nanas'!C1378,'Data Lokasi'!C:C,0)),"")</f>
        <v>45793</v>
      </c>
      <c r="O1378" s="278"/>
      <c r="P1378" s="283">
        <f>IFERROR(INDEX('Data Lokasi'!V:V,MATCH(C1378,'Data Lokasi'!C:C,0)),"")</f>
        <v>0</v>
      </c>
      <c r="Q1378" s="304">
        <f t="shared" si="41"/>
        <v>0</v>
      </c>
      <c r="R1378" s="308"/>
    </row>
    <row r="1379" spans="2:18" ht="15" hidden="1" thickTop="1">
      <c r="B1379" s="269">
        <v>46259</v>
      </c>
      <c r="C1379" s="268" t="s">
        <v>465</v>
      </c>
      <c r="D1379" s="274">
        <f>IFERROR(VLOOKUP(C1379,'Data Lokasi'!C:D,2,0),"")</f>
        <v>11.63</v>
      </c>
      <c r="E1379" s="274" t="s">
        <v>2643</v>
      </c>
      <c r="F1379" s="274">
        <v>0.01</v>
      </c>
      <c r="G1379" s="274">
        <f>0.03+0.07</f>
        <v>0.1</v>
      </c>
      <c r="H1379" s="274">
        <f>0.11+0.2</f>
        <v>0.31</v>
      </c>
      <c r="I1379" s="274"/>
      <c r="J1379" s="456">
        <f t="shared" si="40"/>
        <v>0.42</v>
      </c>
      <c r="K1379" s="583"/>
      <c r="L1379" s="268" t="s">
        <v>719</v>
      </c>
      <c r="M1379" s="268" t="s">
        <v>2631</v>
      </c>
      <c r="N1379" s="278">
        <f>IFERROR(INDEX('Data Lokasi'!S:S,MATCH('Input Real Tanam&amp;Petik Nanas'!C1379,'Data Lokasi'!C:C,0)),"")</f>
        <v>44477</v>
      </c>
      <c r="O1379" s="278"/>
      <c r="P1379" s="283">
        <f>IFERROR(INDEX('Data Lokasi'!V:V,MATCH(C1379,'Data Lokasi'!C:C,0)),"")</f>
        <v>0</v>
      </c>
      <c r="Q1379" s="304">
        <f t="shared" si="41"/>
        <v>0</v>
      </c>
      <c r="R1379" s="308">
        <v>3</v>
      </c>
    </row>
    <row r="1380" spans="2:18" ht="15" hidden="1" thickTop="1">
      <c r="B1380" s="269">
        <v>46259</v>
      </c>
      <c r="C1380" s="268" t="s">
        <v>171</v>
      </c>
      <c r="D1380" s="274">
        <f>IFERROR(VLOOKUP(C1380,'Data Lokasi'!C:D,2,0),"")</f>
        <v>5.38</v>
      </c>
      <c r="E1380" s="274" t="s">
        <v>2643</v>
      </c>
      <c r="F1380" s="274"/>
      <c r="G1380" s="274"/>
      <c r="H1380" s="274">
        <f>0.02+0.04</f>
        <v>0.06</v>
      </c>
      <c r="I1380" s="274">
        <f>0.05+0.08</f>
        <v>0.13</v>
      </c>
      <c r="J1380" s="456">
        <f t="shared" si="40"/>
        <v>0.19</v>
      </c>
      <c r="K1380" s="583"/>
      <c r="L1380" s="268" t="s">
        <v>719</v>
      </c>
      <c r="M1380" s="268" t="s">
        <v>2631</v>
      </c>
      <c r="N1380" s="278">
        <f>IFERROR(INDEX('Data Lokasi'!S:S,MATCH('Input Real Tanam&amp;Petik Nanas'!C1380,'Data Lokasi'!C:C,0)),"")</f>
        <v>43919</v>
      </c>
      <c r="O1380" s="278"/>
      <c r="P1380" s="283">
        <f>IFERROR(INDEX('Data Lokasi'!V:V,MATCH(C1380,'Data Lokasi'!C:C,0)),"")</f>
        <v>0</v>
      </c>
      <c r="Q1380" s="304">
        <f t="shared" si="41"/>
        <v>0</v>
      </c>
      <c r="R1380" s="308">
        <v>5</v>
      </c>
    </row>
    <row r="1381" spans="2:18" ht="15" hidden="1" thickTop="1">
      <c r="B1381" s="269">
        <v>46260</v>
      </c>
      <c r="C1381" s="268" t="s">
        <v>149</v>
      </c>
      <c r="D1381" s="274">
        <f>IFERROR(VLOOKUP(C1381,'Data Lokasi'!C:D,2,0),"")</f>
        <v>5.37</v>
      </c>
      <c r="E1381" s="274" t="s">
        <v>2642</v>
      </c>
      <c r="F1381" s="274"/>
      <c r="G1381" s="274"/>
      <c r="H1381" s="274"/>
      <c r="I1381" s="274">
        <v>1.05</v>
      </c>
      <c r="J1381" s="456">
        <f t="shared" si="40"/>
        <v>1.05</v>
      </c>
      <c r="K1381" s="583"/>
      <c r="L1381" s="268" t="s">
        <v>719</v>
      </c>
      <c r="M1381" s="268" t="s">
        <v>2631</v>
      </c>
      <c r="N1381" s="278">
        <f>IFERROR(INDEX('Data Lokasi'!S:S,MATCH('Input Real Tanam&amp;Petik Nanas'!C1381,'Data Lokasi'!C:C,0)),"")</f>
        <v>45295</v>
      </c>
      <c r="O1381" s="278"/>
      <c r="P1381" s="283">
        <f>IFERROR(INDEX('Data Lokasi'!V:V,MATCH(C1381,'Data Lokasi'!C:C,0)),"")</f>
        <v>0</v>
      </c>
      <c r="Q1381" s="304">
        <f t="shared" si="41"/>
        <v>0</v>
      </c>
      <c r="R1381" s="308"/>
    </row>
    <row r="1382" spans="2:18" ht="15" hidden="1" thickTop="1">
      <c r="B1382" s="269">
        <v>46260</v>
      </c>
      <c r="C1382" s="268" t="s">
        <v>149</v>
      </c>
      <c r="D1382" s="274">
        <f>IFERROR(VLOOKUP(C1382,'Data Lokasi'!C:D,2,0),"")</f>
        <v>5.37</v>
      </c>
      <c r="E1382" s="274" t="s">
        <v>2642</v>
      </c>
      <c r="F1382" s="274"/>
      <c r="G1382" s="274"/>
      <c r="H1382" s="274"/>
      <c r="I1382" s="274">
        <v>0.52</v>
      </c>
      <c r="J1382" s="456">
        <f t="shared" si="40"/>
        <v>0.52</v>
      </c>
      <c r="K1382" s="583"/>
      <c r="L1382" s="268" t="s">
        <v>2625</v>
      </c>
      <c r="M1382" s="268" t="s">
        <v>2631</v>
      </c>
      <c r="N1382" s="278">
        <f>IFERROR(INDEX('Data Lokasi'!S:S,MATCH('Input Real Tanam&amp;Petik Nanas'!C1382,'Data Lokasi'!C:C,0)),"")</f>
        <v>45295</v>
      </c>
      <c r="O1382" s="278"/>
      <c r="P1382" s="283">
        <f>IFERROR(INDEX('Data Lokasi'!V:V,MATCH(C1382,'Data Lokasi'!C:C,0)),"")</f>
        <v>0</v>
      </c>
      <c r="Q1382" s="304">
        <f t="shared" si="41"/>
        <v>0</v>
      </c>
      <c r="R1382" s="308"/>
    </row>
    <row r="1383" spans="2:18" ht="15" hidden="1" thickTop="1">
      <c r="B1383" s="269">
        <v>46260</v>
      </c>
      <c r="C1383" s="268" t="s">
        <v>289</v>
      </c>
      <c r="D1383" s="274">
        <f>IFERROR(VLOOKUP(C1383,'Data Lokasi'!C:D,2,0),"")</f>
        <v>2.87</v>
      </c>
      <c r="E1383" s="274" t="s">
        <v>2642</v>
      </c>
      <c r="F1383" s="274"/>
      <c r="G1383" s="274"/>
      <c r="H1383" s="274"/>
      <c r="I1383" s="274">
        <v>0.57999999999999996</v>
      </c>
      <c r="J1383" s="456">
        <f t="shared" si="40"/>
        <v>0.57999999999999996</v>
      </c>
      <c r="K1383" s="583"/>
      <c r="L1383" s="268" t="s">
        <v>2625</v>
      </c>
      <c r="M1383" s="268" t="s">
        <v>2631</v>
      </c>
      <c r="N1383" s="278">
        <f>IFERROR(INDEX('Data Lokasi'!S:S,MATCH('Input Real Tanam&amp;Petik Nanas'!C1383,'Data Lokasi'!C:C,0)),"")</f>
        <v>44121</v>
      </c>
      <c r="O1383" s="278"/>
      <c r="P1383" s="283">
        <f>IFERROR(INDEX('Data Lokasi'!V:V,MATCH(C1383,'Data Lokasi'!C:C,0)),"")</f>
        <v>0</v>
      </c>
      <c r="Q1383" s="304">
        <f t="shared" si="41"/>
        <v>0</v>
      </c>
      <c r="R1383" s="308"/>
    </row>
    <row r="1384" spans="2:18" ht="15" hidden="1" thickTop="1">
      <c r="B1384" s="269">
        <v>46260</v>
      </c>
      <c r="C1384" s="268" t="s">
        <v>704</v>
      </c>
      <c r="D1384" s="274">
        <f>IFERROR(VLOOKUP(C1384,'Data Lokasi'!C:D,2,0),"")</f>
        <v>6.38</v>
      </c>
      <c r="E1384" s="274" t="s">
        <v>2642</v>
      </c>
      <c r="F1384" s="274"/>
      <c r="G1384" s="274"/>
      <c r="H1384" s="274"/>
      <c r="I1384" s="274">
        <v>0.22</v>
      </c>
      <c r="J1384" s="456">
        <f t="shared" ref="J1384:J1399" si="42">IF(SUM(F1384:I1384)=0,"",(SUM(F1384:I1384)))</f>
        <v>0.22</v>
      </c>
      <c r="K1384" s="583"/>
      <c r="L1384" s="268" t="s">
        <v>2625</v>
      </c>
      <c r="M1384" s="268" t="s">
        <v>2631</v>
      </c>
      <c r="N1384" s="278">
        <f>IFERROR(INDEX('Data Lokasi'!S:S,MATCH('Input Real Tanam&amp;Petik Nanas'!C1384,'Data Lokasi'!C:C,0)),"")</f>
        <v>45199</v>
      </c>
      <c r="O1384" s="278"/>
      <c r="P1384" s="283">
        <f>IFERROR(INDEX('Data Lokasi'!V:V,MATCH(C1384,'Data Lokasi'!C:C,0)),"")</f>
        <v>0</v>
      </c>
      <c r="Q1384" s="304">
        <f t="shared" ref="Q1384:Q1399" si="43">IF(ISERROR(P1384/D1384),"",(P1384/D1384))</f>
        <v>0</v>
      </c>
      <c r="R1384" s="308"/>
    </row>
    <row r="1385" spans="2:18" ht="15" hidden="1" thickTop="1">
      <c r="B1385" s="269">
        <v>46260</v>
      </c>
      <c r="C1385" s="268" t="s">
        <v>108</v>
      </c>
      <c r="D1385" s="274">
        <f>IFERROR(VLOOKUP(C1385,'Data Lokasi'!C:D,2,0),"")</f>
        <v>10.45</v>
      </c>
      <c r="E1385" s="274" t="s">
        <v>2642</v>
      </c>
      <c r="F1385" s="274"/>
      <c r="G1385" s="274"/>
      <c r="H1385" s="274"/>
      <c r="I1385" s="274">
        <v>0.64</v>
      </c>
      <c r="J1385" s="456">
        <f t="shared" si="42"/>
        <v>0.64</v>
      </c>
      <c r="K1385" s="583"/>
      <c r="L1385" s="268" t="s">
        <v>2625</v>
      </c>
      <c r="M1385" s="268" t="s">
        <v>2631</v>
      </c>
      <c r="N1385" s="278">
        <f>IFERROR(INDEX('Data Lokasi'!S:S,MATCH('Input Real Tanam&amp;Petik Nanas'!C1385,'Data Lokasi'!C:C,0)),"")</f>
        <v>44176</v>
      </c>
      <c r="O1385" s="278"/>
      <c r="P1385" s="283">
        <f>IFERROR(INDEX('Data Lokasi'!V:V,MATCH(C1385,'Data Lokasi'!C:C,0)),"")</f>
        <v>0</v>
      </c>
      <c r="Q1385" s="304">
        <f t="shared" si="43"/>
        <v>0</v>
      </c>
      <c r="R1385" s="308"/>
    </row>
    <row r="1386" spans="2:18" ht="15" hidden="1" thickTop="1">
      <c r="B1386" s="269">
        <v>46260</v>
      </c>
      <c r="C1386" s="268" t="s">
        <v>701</v>
      </c>
      <c r="D1386" s="274">
        <f>IFERROR(VLOOKUP(C1386,'Data Lokasi'!C:D,2,0),"")</f>
        <v>6.03</v>
      </c>
      <c r="E1386" s="274" t="s">
        <v>2642</v>
      </c>
      <c r="F1386" s="274"/>
      <c r="G1386" s="274"/>
      <c r="H1386" s="274"/>
      <c r="I1386" s="274">
        <v>0.16</v>
      </c>
      <c r="J1386" s="456">
        <f t="shared" si="42"/>
        <v>0.16</v>
      </c>
      <c r="K1386" s="583"/>
      <c r="L1386" s="268" t="s">
        <v>2625</v>
      </c>
      <c r="M1386" s="268" t="s">
        <v>2631</v>
      </c>
      <c r="N1386" s="278">
        <f>IFERROR(INDEX('Data Lokasi'!S:S,MATCH('Input Real Tanam&amp;Petik Nanas'!C1386,'Data Lokasi'!C:C,0)),"")</f>
        <v>45185</v>
      </c>
      <c r="O1386" s="278"/>
      <c r="P1386" s="283">
        <f>IFERROR(INDEX('Data Lokasi'!V:V,MATCH(C1386,'Data Lokasi'!C:C,0)),"")</f>
        <v>0</v>
      </c>
      <c r="Q1386" s="304">
        <f t="shared" si="43"/>
        <v>0</v>
      </c>
      <c r="R1386" s="308"/>
    </row>
    <row r="1387" spans="2:18" ht="15" hidden="1" thickTop="1">
      <c r="B1387" s="269">
        <v>46260</v>
      </c>
      <c r="C1387" s="268" t="s">
        <v>244</v>
      </c>
      <c r="D1387" s="274">
        <f>IFERROR(VLOOKUP(C1387,'Data Lokasi'!C:D,2,0),"")</f>
        <v>11.05</v>
      </c>
      <c r="E1387" s="274" t="s">
        <v>2642</v>
      </c>
      <c r="F1387" s="274"/>
      <c r="G1387" s="274"/>
      <c r="H1387" s="274"/>
      <c r="I1387" s="274">
        <v>0.08</v>
      </c>
      <c r="J1387" s="456">
        <f t="shared" si="42"/>
        <v>0.08</v>
      </c>
      <c r="K1387" s="583"/>
      <c r="L1387" s="268" t="s">
        <v>2625</v>
      </c>
      <c r="M1387" s="268" t="s">
        <v>2631</v>
      </c>
      <c r="N1387" s="278">
        <f>IFERROR(INDEX('Data Lokasi'!S:S,MATCH('Input Real Tanam&amp;Petik Nanas'!C1387,'Data Lokasi'!C:C,0)),"")</f>
        <v>44025</v>
      </c>
      <c r="O1387" s="278"/>
      <c r="P1387" s="283">
        <f>IFERROR(INDEX('Data Lokasi'!V:V,MATCH(C1387,'Data Lokasi'!C:C,0)),"")</f>
        <v>0</v>
      </c>
      <c r="Q1387" s="304">
        <f t="shared" si="43"/>
        <v>0</v>
      </c>
      <c r="R1387" s="308"/>
    </row>
    <row r="1388" spans="2:18" ht="15" hidden="1" thickTop="1">
      <c r="B1388" s="269">
        <v>46260</v>
      </c>
      <c r="C1388" s="268" t="s">
        <v>233</v>
      </c>
      <c r="D1388" s="274">
        <f>IFERROR(VLOOKUP(C1388,'Data Lokasi'!C:D,2,0),"")</f>
        <v>10.3</v>
      </c>
      <c r="E1388" s="274" t="s">
        <v>2642</v>
      </c>
      <c r="F1388" s="274"/>
      <c r="G1388" s="274"/>
      <c r="H1388" s="274"/>
      <c r="I1388" s="274">
        <v>0.48</v>
      </c>
      <c r="J1388" s="456">
        <f t="shared" si="42"/>
        <v>0.48</v>
      </c>
      <c r="K1388" s="583"/>
      <c r="L1388" s="268" t="s">
        <v>719</v>
      </c>
      <c r="M1388" s="268" t="s">
        <v>2634</v>
      </c>
      <c r="N1388" s="278">
        <f>IFERROR(INDEX('Data Lokasi'!S:S,MATCH('Input Real Tanam&amp;Petik Nanas'!C1388,'Data Lokasi'!C:C,0)),"")</f>
        <v>44024</v>
      </c>
      <c r="O1388" s="278"/>
      <c r="P1388" s="283">
        <f>IFERROR(INDEX('Data Lokasi'!V:V,MATCH(C1388,'Data Lokasi'!C:C,0)),"")</f>
        <v>0</v>
      </c>
      <c r="Q1388" s="304">
        <f t="shared" si="43"/>
        <v>0</v>
      </c>
      <c r="R1388" s="308"/>
    </row>
    <row r="1389" spans="2:18" ht="15" hidden="1" thickTop="1">
      <c r="B1389" s="269">
        <v>46260</v>
      </c>
      <c r="C1389" s="268" t="s">
        <v>2646</v>
      </c>
      <c r="D1389" s="274">
        <f>IFERROR(VLOOKUP(C1389,'Data Lokasi'!C:D,2,0),"")</f>
        <v>8.41</v>
      </c>
      <c r="E1389" s="274" t="s">
        <v>2642</v>
      </c>
      <c r="F1389" s="274"/>
      <c r="G1389" s="274"/>
      <c r="H1389" s="274">
        <v>0.5</v>
      </c>
      <c r="I1389" s="274"/>
      <c r="J1389" s="456">
        <f t="shared" si="42"/>
        <v>0.5</v>
      </c>
      <c r="K1389" s="583"/>
      <c r="L1389" s="268" t="s">
        <v>719</v>
      </c>
      <c r="M1389" s="268" t="s">
        <v>2634</v>
      </c>
      <c r="N1389" s="278">
        <f>IFERROR(INDEX('Data Lokasi'!S:S,MATCH('Input Real Tanam&amp;Petik Nanas'!C1389,'Data Lokasi'!C:C,0)),"")</f>
        <v>46248</v>
      </c>
      <c r="O1389" s="278"/>
      <c r="P1389" s="283">
        <f>IFERROR(INDEX('Data Lokasi'!V:V,MATCH(C1389,'Data Lokasi'!C:C,0)),"")</f>
        <v>8.41</v>
      </c>
      <c r="Q1389" s="304">
        <f t="shared" si="43"/>
        <v>1</v>
      </c>
      <c r="R1389" s="308"/>
    </row>
    <row r="1390" spans="2:18" ht="15" hidden="1" thickTop="1">
      <c r="B1390" s="269">
        <v>46260</v>
      </c>
      <c r="C1390" s="268" t="s">
        <v>687</v>
      </c>
      <c r="D1390" s="274">
        <f>IFERROR(VLOOKUP(C1390,'Data Lokasi'!C:D,2,0),"")</f>
        <v>10.58</v>
      </c>
      <c r="E1390" s="274" t="s">
        <v>2642</v>
      </c>
      <c r="F1390" s="274"/>
      <c r="G1390" s="274"/>
      <c r="H1390" s="274"/>
      <c r="I1390" s="274">
        <v>0.08</v>
      </c>
      <c r="J1390" s="456">
        <f t="shared" si="42"/>
        <v>0.08</v>
      </c>
      <c r="K1390" s="583"/>
      <c r="L1390" s="268" t="s">
        <v>2625</v>
      </c>
      <c r="M1390" s="268" t="s">
        <v>2634</v>
      </c>
      <c r="N1390" s="278">
        <f>IFERROR(INDEX('Data Lokasi'!S:S,MATCH('Input Real Tanam&amp;Petik Nanas'!C1390,'Data Lokasi'!C:C,0)),"")</f>
        <v>45105</v>
      </c>
      <c r="O1390" s="278"/>
      <c r="P1390" s="283">
        <f>IFERROR(INDEX('Data Lokasi'!V:V,MATCH(C1390,'Data Lokasi'!C:C,0)),"")</f>
        <v>0</v>
      </c>
      <c r="Q1390" s="304">
        <f t="shared" si="43"/>
        <v>0</v>
      </c>
      <c r="R1390" s="308"/>
    </row>
    <row r="1391" spans="2:18" ht="15" hidden="1" thickTop="1">
      <c r="B1391" s="269">
        <v>46260</v>
      </c>
      <c r="C1391" s="268" t="s">
        <v>196</v>
      </c>
      <c r="D1391" s="274">
        <f>IFERROR(VLOOKUP(C1391,'Data Lokasi'!C:D,2,0),"")</f>
        <v>11.7</v>
      </c>
      <c r="E1391" s="274" t="s">
        <v>2642</v>
      </c>
      <c r="F1391" s="274"/>
      <c r="G1391" s="274"/>
      <c r="H1391" s="274"/>
      <c r="I1391" s="274">
        <v>0.12</v>
      </c>
      <c r="J1391" s="456">
        <f t="shared" si="42"/>
        <v>0.12</v>
      </c>
      <c r="K1391" s="583"/>
      <c r="L1391" s="268" t="s">
        <v>2625</v>
      </c>
      <c r="M1391" s="268" t="s">
        <v>2634</v>
      </c>
      <c r="N1391" s="278">
        <f>IFERROR(INDEX('Data Lokasi'!S:S,MATCH('Input Real Tanam&amp;Petik Nanas'!C1391,'Data Lokasi'!C:C,0)),"")</f>
        <v>43948</v>
      </c>
      <c r="O1391" s="278"/>
      <c r="P1391" s="283">
        <f>IFERROR(INDEX('Data Lokasi'!V:V,MATCH(C1391,'Data Lokasi'!C:C,0)),"")</f>
        <v>0</v>
      </c>
      <c r="Q1391" s="304">
        <f t="shared" si="43"/>
        <v>0</v>
      </c>
      <c r="R1391" s="308"/>
    </row>
    <row r="1392" spans="2:18" ht="15" hidden="1" thickTop="1">
      <c r="B1392" s="269">
        <v>46260</v>
      </c>
      <c r="C1392" s="268" t="s">
        <v>2692</v>
      </c>
      <c r="D1392" s="274">
        <f>IFERROR(VLOOKUP(C1392,'Data Lokasi'!C:D,2,0),"")</f>
        <v>8.9600000000000009</v>
      </c>
      <c r="E1392" s="274" t="s">
        <v>2642</v>
      </c>
      <c r="F1392" s="274"/>
      <c r="G1392" s="274"/>
      <c r="H1392" s="274"/>
      <c r="I1392" s="274">
        <v>0.04</v>
      </c>
      <c r="J1392" s="456">
        <f t="shared" si="42"/>
        <v>0.04</v>
      </c>
      <c r="K1392" s="583"/>
      <c r="L1392" s="268" t="s">
        <v>2625</v>
      </c>
      <c r="M1392" s="268" t="s">
        <v>2634</v>
      </c>
      <c r="N1392" s="278">
        <f>IFERROR(INDEX('Data Lokasi'!S:S,MATCH('Input Real Tanam&amp;Petik Nanas'!C1392,'Data Lokasi'!C:C,0)),"")</f>
        <v>46238</v>
      </c>
      <c r="O1392" s="278"/>
      <c r="P1392" s="283">
        <f>IFERROR(INDEX('Data Lokasi'!V:V,MATCH(C1392,'Data Lokasi'!C:C,0)),"")</f>
        <v>8.9600000000000009</v>
      </c>
      <c r="Q1392" s="304">
        <f t="shared" si="43"/>
        <v>1</v>
      </c>
      <c r="R1392" s="308"/>
    </row>
    <row r="1393" spans="2:18" ht="15" hidden="1" thickTop="1">
      <c r="B1393" s="269">
        <v>46260</v>
      </c>
      <c r="C1393" s="268" t="s">
        <v>336</v>
      </c>
      <c r="D1393" s="274">
        <f>IFERROR(VLOOKUP(C1393,'Data Lokasi'!C:D,2,0),"")</f>
        <v>3.64</v>
      </c>
      <c r="E1393" s="274" t="s">
        <v>2642</v>
      </c>
      <c r="F1393" s="274"/>
      <c r="G1393" s="274"/>
      <c r="H1393" s="274"/>
      <c r="I1393" s="274">
        <v>0.56000000000000005</v>
      </c>
      <c r="J1393" s="456">
        <f t="shared" si="42"/>
        <v>0.56000000000000005</v>
      </c>
      <c r="K1393" s="583"/>
      <c r="L1393" s="268" t="s">
        <v>2625</v>
      </c>
      <c r="M1393" s="268" t="s">
        <v>2634</v>
      </c>
      <c r="N1393" s="278">
        <f>IFERROR(INDEX('Data Lokasi'!S:S,MATCH('Input Real Tanam&amp;Petik Nanas'!C1393,'Data Lokasi'!C:C,0)),"")</f>
        <v>44231</v>
      </c>
      <c r="O1393" s="278"/>
      <c r="P1393" s="283">
        <f>IFERROR(INDEX('Data Lokasi'!V:V,MATCH(C1393,'Data Lokasi'!C:C,0)),"")</f>
        <v>0</v>
      </c>
      <c r="Q1393" s="304">
        <f t="shared" si="43"/>
        <v>0</v>
      </c>
      <c r="R1393" s="308"/>
    </row>
    <row r="1394" spans="2:18" ht="15" hidden="1" thickTop="1">
      <c r="B1394" s="269">
        <v>46260</v>
      </c>
      <c r="C1394" s="268" t="s">
        <v>360</v>
      </c>
      <c r="D1394" s="274">
        <f>IFERROR(VLOOKUP(C1394,'Data Lokasi'!C:D,2,0),"")</f>
        <v>10.66</v>
      </c>
      <c r="E1394" s="274" t="s">
        <v>2643</v>
      </c>
      <c r="F1394" s="274"/>
      <c r="G1394" s="274"/>
      <c r="H1394" s="274">
        <v>7.0000000000000007E-2</v>
      </c>
      <c r="I1394" s="274">
        <f>0.11+0.13</f>
        <v>0.24</v>
      </c>
      <c r="J1394" s="456">
        <f t="shared" si="42"/>
        <v>0.31</v>
      </c>
      <c r="K1394" s="583"/>
      <c r="L1394" s="268" t="s">
        <v>719</v>
      </c>
      <c r="M1394" s="268" t="s">
        <v>2631</v>
      </c>
      <c r="N1394" s="278">
        <f>IFERROR(INDEX('Data Lokasi'!S:S,MATCH('Input Real Tanam&amp;Petik Nanas'!C1394,'Data Lokasi'!C:C,0)),"")</f>
        <v>44300</v>
      </c>
      <c r="O1394" s="278"/>
      <c r="P1394" s="283">
        <f>IFERROR(INDEX('Data Lokasi'!V:V,MATCH(C1394,'Data Lokasi'!C:C,0)),"")</f>
        <v>0</v>
      </c>
      <c r="Q1394" s="304">
        <f t="shared" si="43"/>
        <v>0</v>
      </c>
      <c r="R1394" s="308">
        <v>6</v>
      </c>
    </row>
    <row r="1395" spans="2:18" ht="15" hidden="1" thickTop="1">
      <c r="B1395" s="269">
        <v>46260</v>
      </c>
      <c r="C1395" s="268" t="s">
        <v>337</v>
      </c>
      <c r="D1395" s="274">
        <f>IFERROR(VLOOKUP(C1395,'Data Lokasi'!C:D,2,0),"")</f>
        <v>9.17</v>
      </c>
      <c r="E1395" s="274" t="s">
        <v>2643</v>
      </c>
      <c r="F1395" s="274"/>
      <c r="G1395" s="274"/>
      <c r="H1395" s="274">
        <v>0.01</v>
      </c>
      <c r="I1395" s="274">
        <f>0.05+0.07</f>
        <v>0.12000000000000001</v>
      </c>
      <c r="J1395" s="456">
        <f t="shared" si="42"/>
        <v>0.13</v>
      </c>
      <c r="K1395" s="583"/>
      <c r="L1395" s="268" t="s">
        <v>719</v>
      </c>
      <c r="M1395" s="268" t="s">
        <v>2631</v>
      </c>
      <c r="N1395" s="278">
        <f>IFERROR(INDEX('Data Lokasi'!S:S,MATCH('Input Real Tanam&amp;Petik Nanas'!C1395,'Data Lokasi'!C:C,0)),"")</f>
        <v>44250</v>
      </c>
      <c r="O1395" s="278"/>
      <c r="P1395" s="283">
        <f>IFERROR(INDEX('Data Lokasi'!V:V,MATCH(C1395,'Data Lokasi'!C:C,0)),"")</f>
        <v>0</v>
      </c>
      <c r="Q1395" s="304">
        <f t="shared" si="43"/>
        <v>0</v>
      </c>
      <c r="R1395" s="308">
        <v>6</v>
      </c>
    </row>
    <row r="1396" spans="2:18" ht="15" hidden="1" thickTop="1">
      <c r="B1396" s="269">
        <v>46260</v>
      </c>
      <c r="C1396" s="268" t="s">
        <v>395</v>
      </c>
      <c r="D1396" s="274">
        <f>IFERROR(VLOOKUP(C1396,'Data Lokasi'!C:D,2,0),"")</f>
        <v>6.32</v>
      </c>
      <c r="E1396" s="274" t="s">
        <v>2643</v>
      </c>
      <c r="F1396" s="274"/>
      <c r="G1396" s="274"/>
      <c r="H1396" s="274">
        <v>0.05</v>
      </c>
      <c r="I1396" s="274">
        <v>0.17</v>
      </c>
      <c r="J1396" s="456">
        <f t="shared" si="42"/>
        <v>0.22000000000000003</v>
      </c>
      <c r="K1396" s="583"/>
      <c r="L1396" s="268" t="s">
        <v>719</v>
      </c>
      <c r="M1396" s="268" t="s">
        <v>2634</v>
      </c>
      <c r="N1396" s="278">
        <f>IFERROR(INDEX('Data Lokasi'!S:S,MATCH('Input Real Tanam&amp;Petik Nanas'!C1396,'Data Lokasi'!C:C,0)),"")</f>
        <v>44369</v>
      </c>
      <c r="O1396" s="278"/>
      <c r="P1396" s="283">
        <f>IFERROR(INDEX('Data Lokasi'!V:V,MATCH(C1396,'Data Lokasi'!C:C,0)),"")</f>
        <v>0</v>
      </c>
      <c r="Q1396" s="304">
        <f t="shared" si="43"/>
        <v>0</v>
      </c>
      <c r="R1396" s="308">
        <v>5</v>
      </c>
    </row>
    <row r="1397" spans="2:18" ht="15" hidden="1" thickTop="1">
      <c r="B1397" s="269">
        <v>46260</v>
      </c>
      <c r="C1397" s="268" t="s">
        <v>371</v>
      </c>
      <c r="D1397" s="274">
        <f>IFERROR(VLOOKUP(C1397,'Data Lokasi'!C:D,2,0),"")</f>
        <v>7.06</v>
      </c>
      <c r="E1397" s="274" t="s">
        <v>2643</v>
      </c>
      <c r="F1397" s="274"/>
      <c r="G1397" s="274"/>
      <c r="H1397" s="274">
        <v>0.02</v>
      </c>
      <c r="I1397" s="274">
        <f>0.08+0.12</f>
        <v>0.2</v>
      </c>
      <c r="J1397" s="456">
        <f t="shared" si="42"/>
        <v>0.22</v>
      </c>
      <c r="K1397" s="583"/>
      <c r="L1397" s="268" t="s">
        <v>719</v>
      </c>
      <c r="M1397" s="268" t="s">
        <v>2634</v>
      </c>
      <c r="N1397" s="278">
        <f>IFERROR(INDEX('Data Lokasi'!S:S,MATCH('Input Real Tanam&amp;Petik Nanas'!C1397,'Data Lokasi'!C:C,0)),"")</f>
        <v>44335</v>
      </c>
      <c r="O1397" s="278"/>
      <c r="P1397" s="283">
        <f>IFERROR(INDEX('Data Lokasi'!V:V,MATCH(C1397,'Data Lokasi'!C:C,0)),"")</f>
        <v>0</v>
      </c>
      <c r="Q1397" s="304">
        <f t="shared" si="43"/>
        <v>0</v>
      </c>
      <c r="R1397" s="308">
        <v>5</v>
      </c>
    </row>
    <row r="1398" spans="2:18" ht="15" hidden="1" thickTop="1">
      <c r="B1398" s="269">
        <v>46260</v>
      </c>
      <c r="C1398" s="268" t="s">
        <v>381</v>
      </c>
      <c r="D1398" s="274">
        <f>IFERROR(VLOOKUP(C1398,'Data Lokasi'!C:D,2,0),"")</f>
        <v>8.18</v>
      </c>
      <c r="E1398" s="274" t="s">
        <v>2643</v>
      </c>
      <c r="F1398" s="274"/>
      <c r="G1398" s="274">
        <v>0.01</v>
      </c>
      <c r="H1398" s="274">
        <f>0.11+0.24</f>
        <v>0.35</v>
      </c>
      <c r="I1398" s="274"/>
      <c r="J1398" s="456">
        <f t="shared" si="42"/>
        <v>0.36</v>
      </c>
      <c r="K1398" s="583"/>
      <c r="L1398" s="268" t="s">
        <v>719</v>
      </c>
      <c r="M1398" s="268" t="s">
        <v>2634</v>
      </c>
      <c r="N1398" s="278">
        <f>IFERROR(INDEX('Data Lokasi'!S:S,MATCH('Input Real Tanam&amp;Petik Nanas'!C1398,'Data Lokasi'!C:C,0)),"")</f>
        <v>44335</v>
      </c>
      <c r="O1398" s="278"/>
      <c r="P1398" s="283">
        <f>IFERROR(INDEX('Data Lokasi'!V:V,MATCH(C1398,'Data Lokasi'!C:C,0)),"")</f>
        <v>0</v>
      </c>
      <c r="Q1398" s="304">
        <f t="shared" si="43"/>
        <v>0</v>
      </c>
      <c r="R1398" s="308">
        <v>8</v>
      </c>
    </row>
    <row r="1399" spans="2:18" ht="15" hidden="1" thickTop="1">
      <c r="B1399" s="269">
        <v>46260</v>
      </c>
      <c r="C1399" s="268" t="s">
        <v>554</v>
      </c>
      <c r="D1399" s="274">
        <f>IFERROR(VLOOKUP(C1399,'Data Lokasi'!C:D,2,0),"")</f>
        <v>5.62</v>
      </c>
      <c r="E1399" s="274" t="s">
        <v>2643</v>
      </c>
      <c r="F1399" s="274"/>
      <c r="G1399" s="274">
        <v>0.02</v>
      </c>
      <c r="H1399" s="274">
        <f>0.08+0.11</f>
        <v>0.19</v>
      </c>
      <c r="I1399" s="274"/>
      <c r="J1399" s="456">
        <f t="shared" si="42"/>
        <v>0.21</v>
      </c>
      <c r="K1399" s="583"/>
      <c r="L1399" s="268" t="s">
        <v>719</v>
      </c>
      <c r="M1399" s="268" t="s">
        <v>2634</v>
      </c>
      <c r="N1399" s="278">
        <f>IFERROR(INDEX('Data Lokasi'!S:S,MATCH('Input Real Tanam&amp;Petik Nanas'!C1399,'Data Lokasi'!C:C,0)),"")</f>
        <v>44655</v>
      </c>
      <c r="O1399" s="278"/>
      <c r="P1399" s="283">
        <f>IFERROR(INDEX('Data Lokasi'!V:V,MATCH(C1399,'Data Lokasi'!C:C,0)),"")</f>
        <v>0</v>
      </c>
      <c r="Q1399" s="304">
        <f t="shared" si="43"/>
        <v>0</v>
      </c>
      <c r="R1399" s="308">
        <v>3</v>
      </c>
    </row>
    <row r="1400" spans="2:18" ht="15" hidden="1" thickTop="1">
      <c r="B1400" s="269">
        <v>46260</v>
      </c>
      <c r="C1400" s="268" t="s">
        <v>810</v>
      </c>
      <c r="D1400" s="274">
        <f>IFERROR(VLOOKUP(C1400,'Data Lokasi'!C:D,2,0),"")</f>
        <v>3.82</v>
      </c>
      <c r="E1400" s="274" t="s">
        <v>2643</v>
      </c>
      <c r="F1400" s="274"/>
      <c r="G1400" s="274"/>
      <c r="H1400" s="274"/>
      <c r="I1400" s="274">
        <v>0.03</v>
      </c>
      <c r="J1400" s="456">
        <f t="shared" ref="J1400:J1431" si="44">IF(SUM(F1400:I1400)=0,"",(SUM(F1400:I1400)))</f>
        <v>0.03</v>
      </c>
      <c r="K1400" s="583"/>
      <c r="L1400" s="268" t="s">
        <v>2625</v>
      </c>
      <c r="M1400" s="268" t="s">
        <v>2631</v>
      </c>
      <c r="N1400" s="278">
        <f>IFERROR(INDEX('Data Lokasi'!S:S,MATCH('Input Real Tanam&amp;Petik Nanas'!C1400,'Data Lokasi'!C:C,0)),"")</f>
        <v>45793</v>
      </c>
      <c r="O1400" s="278"/>
      <c r="P1400" s="283">
        <f>IFERROR(INDEX('Data Lokasi'!V:V,MATCH(C1400,'Data Lokasi'!C:C,0)),"")</f>
        <v>0</v>
      </c>
      <c r="Q1400" s="304">
        <f t="shared" ref="Q1400:Q1431" si="45">IF(ISERROR(P1400/D1400),"",(P1400/D1400))</f>
        <v>0</v>
      </c>
      <c r="R1400" s="308"/>
    </row>
    <row r="1401" spans="2:18" ht="15" hidden="1" thickTop="1">
      <c r="B1401" s="269">
        <v>46260</v>
      </c>
      <c r="C1401" s="268" t="s">
        <v>327</v>
      </c>
      <c r="D1401" s="274">
        <f>IFERROR(VLOOKUP(C1401,'Data Lokasi'!C:D,2,0),"")</f>
        <v>6.66</v>
      </c>
      <c r="E1401" s="274" t="s">
        <v>2643</v>
      </c>
      <c r="F1401" s="274"/>
      <c r="G1401" s="274"/>
      <c r="H1401" s="274"/>
      <c r="I1401" s="274">
        <v>0.83</v>
      </c>
      <c r="J1401" s="456">
        <f t="shared" si="44"/>
        <v>0.83</v>
      </c>
      <c r="K1401" s="583"/>
      <c r="L1401" s="268" t="s">
        <v>2625</v>
      </c>
      <c r="M1401" s="268" t="s">
        <v>2631</v>
      </c>
      <c r="N1401" s="278">
        <f>IFERROR(INDEX('Data Lokasi'!S:S,MATCH('Input Real Tanam&amp;Petik Nanas'!C1401,'Data Lokasi'!C:C,0)),"")</f>
        <v>44222</v>
      </c>
      <c r="O1401" s="278"/>
      <c r="P1401" s="283">
        <f>IFERROR(INDEX('Data Lokasi'!V:V,MATCH(C1401,'Data Lokasi'!C:C,0)),"")</f>
        <v>0</v>
      </c>
      <c r="Q1401" s="304">
        <f t="shared" si="45"/>
        <v>0</v>
      </c>
      <c r="R1401" s="308"/>
    </row>
    <row r="1402" spans="2:18" ht="15" hidden="1" thickTop="1">
      <c r="B1402" s="269">
        <v>46261</v>
      </c>
      <c r="C1402" s="268" t="s">
        <v>120</v>
      </c>
      <c r="D1402" s="274">
        <f>IFERROR(VLOOKUP(C1402,'Data Lokasi'!C:D,2,0),"")</f>
        <v>9.0399999999999991</v>
      </c>
      <c r="E1402" s="274" t="s">
        <v>2642</v>
      </c>
      <c r="F1402" s="274"/>
      <c r="G1402" s="274"/>
      <c r="H1402" s="274"/>
      <c r="I1402" s="274">
        <v>1.9</v>
      </c>
      <c r="J1402" s="456">
        <f t="shared" si="44"/>
        <v>1.9</v>
      </c>
      <c r="K1402" s="583"/>
      <c r="L1402" s="268" t="s">
        <v>2625</v>
      </c>
      <c r="M1402" s="268" t="s">
        <v>2631</v>
      </c>
      <c r="N1402" s="278">
        <f>IFERROR(INDEX('Data Lokasi'!S:S,MATCH('Input Real Tanam&amp;Petik Nanas'!C1402,'Data Lokasi'!C:C,0)),"")</f>
        <v>44184</v>
      </c>
      <c r="O1402" s="278"/>
      <c r="P1402" s="283">
        <f>IFERROR(INDEX('Data Lokasi'!V:V,MATCH(C1402,'Data Lokasi'!C:C,0)),"")</f>
        <v>0</v>
      </c>
      <c r="Q1402" s="304">
        <f t="shared" si="45"/>
        <v>0</v>
      </c>
      <c r="R1402" s="308"/>
    </row>
    <row r="1403" spans="2:18" ht="15" hidden="1" thickTop="1">
      <c r="B1403" s="269">
        <v>46261</v>
      </c>
      <c r="C1403" s="268" t="s">
        <v>701</v>
      </c>
      <c r="D1403" s="274">
        <f>IFERROR(VLOOKUP(C1403,'Data Lokasi'!C:D,2,0),"")</f>
        <v>6.03</v>
      </c>
      <c r="E1403" s="274" t="s">
        <v>2642</v>
      </c>
      <c r="F1403" s="274"/>
      <c r="G1403" s="274"/>
      <c r="H1403" s="274"/>
      <c r="I1403" s="274">
        <v>0.02</v>
      </c>
      <c r="J1403" s="456">
        <f t="shared" si="44"/>
        <v>0.02</v>
      </c>
      <c r="K1403" s="583"/>
      <c r="L1403" s="268" t="s">
        <v>2625</v>
      </c>
      <c r="M1403" s="268" t="s">
        <v>2631</v>
      </c>
      <c r="N1403" s="278">
        <f>IFERROR(INDEX('Data Lokasi'!S:S,MATCH('Input Real Tanam&amp;Petik Nanas'!C1403,'Data Lokasi'!C:C,0)),"")</f>
        <v>45185</v>
      </c>
      <c r="O1403" s="278"/>
      <c r="P1403" s="283">
        <f>IFERROR(INDEX('Data Lokasi'!V:V,MATCH(C1403,'Data Lokasi'!C:C,0)),"")</f>
        <v>0</v>
      </c>
      <c r="Q1403" s="304">
        <f t="shared" si="45"/>
        <v>0</v>
      </c>
      <c r="R1403" s="308"/>
    </row>
    <row r="1404" spans="2:18" ht="15" hidden="1" thickTop="1">
      <c r="B1404" s="269">
        <v>46261</v>
      </c>
      <c r="C1404" s="268" t="s">
        <v>244</v>
      </c>
      <c r="D1404" s="274">
        <f>IFERROR(VLOOKUP(C1404,'Data Lokasi'!C:D,2,0),"")</f>
        <v>11.05</v>
      </c>
      <c r="E1404" s="274" t="s">
        <v>2642</v>
      </c>
      <c r="F1404" s="274"/>
      <c r="G1404" s="274"/>
      <c r="H1404" s="274"/>
      <c r="I1404" s="274">
        <v>0.19</v>
      </c>
      <c r="J1404" s="456">
        <f t="shared" si="44"/>
        <v>0.19</v>
      </c>
      <c r="K1404" s="583"/>
      <c r="L1404" s="268" t="s">
        <v>2625</v>
      </c>
      <c r="M1404" s="268" t="s">
        <v>2631</v>
      </c>
      <c r="N1404" s="278">
        <f>IFERROR(INDEX('Data Lokasi'!S:S,MATCH('Input Real Tanam&amp;Petik Nanas'!C1404,'Data Lokasi'!C:C,0)),"")</f>
        <v>44025</v>
      </c>
      <c r="O1404" s="278"/>
      <c r="P1404" s="283">
        <f>IFERROR(INDEX('Data Lokasi'!V:V,MATCH(C1404,'Data Lokasi'!C:C,0)),"")</f>
        <v>0</v>
      </c>
      <c r="Q1404" s="304">
        <f t="shared" si="45"/>
        <v>0</v>
      </c>
      <c r="R1404" s="308"/>
    </row>
    <row r="1405" spans="2:18" ht="15" hidden="1" thickTop="1">
      <c r="B1405" s="269">
        <v>46261</v>
      </c>
      <c r="C1405" s="268" t="s">
        <v>108</v>
      </c>
      <c r="D1405" s="274">
        <f>IFERROR(VLOOKUP(C1405,'Data Lokasi'!C:D,2,0),"")</f>
        <v>10.45</v>
      </c>
      <c r="E1405" s="274" t="s">
        <v>2642</v>
      </c>
      <c r="F1405" s="274"/>
      <c r="G1405" s="274"/>
      <c r="H1405" s="274"/>
      <c r="I1405" s="274">
        <v>0.41</v>
      </c>
      <c r="J1405" s="456">
        <f t="shared" si="44"/>
        <v>0.41</v>
      </c>
      <c r="K1405" s="583"/>
      <c r="L1405" s="268" t="s">
        <v>2625</v>
      </c>
      <c r="M1405" s="268" t="s">
        <v>2631</v>
      </c>
      <c r="N1405" s="278">
        <f>IFERROR(INDEX('Data Lokasi'!S:S,MATCH('Input Real Tanam&amp;Petik Nanas'!C1405,'Data Lokasi'!C:C,0)),"")</f>
        <v>44176</v>
      </c>
      <c r="O1405" s="278"/>
      <c r="P1405" s="283">
        <f>IFERROR(INDEX('Data Lokasi'!V:V,MATCH(C1405,'Data Lokasi'!C:C,0)),"")</f>
        <v>0</v>
      </c>
      <c r="Q1405" s="304">
        <f t="shared" si="45"/>
        <v>0</v>
      </c>
      <c r="R1405" s="308"/>
    </row>
    <row r="1406" spans="2:18" ht="15" hidden="1" thickTop="1">
      <c r="B1406" s="269">
        <v>46261</v>
      </c>
      <c r="C1406" s="268" t="s">
        <v>233</v>
      </c>
      <c r="D1406" s="274">
        <f>IFERROR(VLOOKUP(C1406,'Data Lokasi'!C:D,2,0),"")</f>
        <v>10.3</v>
      </c>
      <c r="E1406" s="274" t="s">
        <v>2642</v>
      </c>
      <c r="F1406" s="274"/>
      <c r="G1406" s="274"/>
      <c r="H1406" s="274"/>
      <c r="I1406" s="274">
        <v>0.4</v>
      </c>
      <c r="J1406" s="456">
        <f t="shared" si="44"/>
        <v>0.4</v>
      </c>
      <c r="K1406" s="583"/>
      <c r="L1406" s="268" t="s">
        <v>719</v>
      </c>
      <c r="M1406" s="268" t="s">
        <v>2634</v>
      </c>
      <c r="N1406" s="278">
        <f>IFERROR(INDEX('Data Lokasi'!S:S,MATCH('Input Real Tanam&amp;Petik Nanas'!C1406,'Data Lokasi'!C:C,0)),"")</f>
        <v>44024</v>
      </c>
      <c r="O1406" s="278"/>
      <c r="P1406" s="283">
        <f>IFERROR(INDEX('Data Lokasi'!V:V,MATCH(C1406,'Data Lokasi'!C:C,0)),"")</f>
        <v>0</v>
      </c>
      <c r="Q1406" s="304">
        <f t="shared" si="45"/>
        <v>0</v>
      </c>
      <c r="R1406" s="308"/>
    </row>
    <row r="1407" spans="2:18" ht="15" hidden="1" thickTop="1">
      <c r="B1407" s="269">
        <v>46261</v>
      </c>
      <c r="C1407" s="268" t="s">
        <v>2646</v>
      </c>
      <c r="D1407" s="274">
        <f>IFERROR(VLOOKUP(C1407,'Data Lokasi'!C:D,2,0),"")</f>
        <v>8.41</v>
      </c>
      <c r="E1407" s="274" t="s">
        <v>2642</v>
      </c>
      <c r="F1407" s="274"/>
      <c r="G1407" s="274"/>
      <c r="H1407" s="274">
        <v>0.75</v>
      </c>
      <c r="I1407" s="274"/>
      <c r="J1407" s="456">
        <f t="shared" si="44"/>
        <v>0.75</v>
      </c>
      <c r="K1407" s="583"/>
      <c r="L1407" s="268" t="s">
        <v>719</v>
      </c>
      <c r="M1407" s="268" t="s">
        <v>2634</v>
      </c>
      <c r="N1407" s="278">
        <f>IFERROR(INDEX('Data Lokasi'!S:S,MATCH('Input Real Tanam&amp;Petik Nanas'!C1407,'Data Lokasi'!C:C,0)),"")</f>
        <v>46248</v>
      </c>
      <c r="O1407" s="278"/>
      <c r="P1407" s="283">
        <f>IFERROR(INDEX('Data Lokasi'!V:V,MATCH(C1407,'Data Lokasi'!C:C,0)),"")</f>
        <v>8.41</v>
      </c>
      <c r="Q1407" s="304">
        <f t="shared" si="45"/>
        <v>1</v>
      </c>
      <c r="R1407" s="308"/>
    </row>
    <row r="1408" spans="2:18" ht="15" hidden="1" thickTop="1">
      <c r="B1408" s="269">
        <v>46261</v>
      </c>
      <c r="C1408" s="268" t="s">
        <v>336</v>
      </c>
      <c r="D1408" s="274">
        <f>IFERROR(VLOOKUP(C1408,'Data Lokasi'!C:D,2,0),"")</f>
        <v>3.64</v>
      </c>
      <c r="E1408" s="274" t="s">
        <v>2642</v>
      </c>
      <c r="F1408" s="274"/>
      <c r="G1408" s="274"/>
      <c r="H1408" s="274">
        <v>0.46</v>
      </c>
      <c r="I1408" s="274"/>
      <c r="J1408" s="456">
        <f t="shared" si="44"/>
        <v>0.46</v>
      </c>
      <c r="K1408" s="583"/>
      <c r="L1408" s="268" t="s">
        <v>719</v>
      </c>
      <c r="M1408" s="268" t="s">
        <v>2634</v>
      </c>
      <c r="N1408" s="278">
        <f>IFERROR(INDEX('Data Lokasi'!S:S,MATCH('Input Real Tanam&amp;Petik Nanas'!C1408,'Data Lokasi'!C:C,0)),"")</f>
        <v>44231</v>
      </c>
      <c r="O1408" s="278"/>
      <c r="P1408" s="283">
        <f>IFERROR(INDEX('Data Lokasi'!V:V,MATCH(C1408,'Data Lokasi'!C:C,0)),"")</f>
        <v>0</v>
      </c>
      <c r="Q1408" s="304">
        <f t="shared" si="45"/>
        <v>0</v>
      </c>
      <c r="R1408" s="308"/>
    </row>
    <row r="1409" spans="2:18" ht="15" hidden="1" thickTop="1">
      <c r="B1409" s="269">
        <v>46261</v>
      </c>
      <c r="C1409" s="268" t="s">
        <v>684</v>
      </c>
      <c r="D1409" s="274">
        <f>IFERROR(VLOOKUP(C1409,'Data Lokasi'!C:D,2,0),"")</f>
        <v>8.8699999999999992</v>
      </c>
      <c r="E1409" s="274" t="s">
        <v>2642</v>
      </c>
      <c r="F1409" s="274"/>
      <c r="G1409" s="274"/>
      <c r="H1409" s="274"/>
      <c r="I1409" s="274">
        <v>0.14000000000000001</v>
      </c>
      <c r="J1409" s="456">
        <f t="shared" si="44"/>
        <v>0.14000000000000001</v>
      </c>
      <c r="K1409" s="583"/>
      <c r="L1409" s="268" t="s">
        <v>2625</v>
      </c>
      <c r="M1409" s="268" t="s">
        <v>2634</v>
      </c>
      <c r="N1409" s="278">
        <f>IFERROR(INDEX('Data Lokasi'!S:S,MATCH('Input Real Tanam&amp;Petik Nanas'!C1409,'Data Lokasi'!C:C,0)),"")</f>
        <v>45090</v>
      </c>
      <c r="O1409" s="278"/>
      <c r="P1409" s="283">
        <f>IFERROR(INDEX('Data Lokasi'!V:V,MATCH(C1409,'Data Lokasi'!C:C,0)),"")</f>
        <v>0</v>
      </c>
      <c r="Q1409" s="304">
        <f t="shared" si="45"/>
        <v>0</v>
      </c>
      <c r="R1409" s="308"/>
    </row>
    <row r="1410" spans="2:18" ht="15" hidden="1" thickTop="1">
      <c r="B1410" s="269">
        <v>46261</v>
      </c>
      <c r="C1410" s="268" t="s">
        <v>234</v>
      </c>
      <c r="D1410" s="274">
        <f>IFERROR(VLOOKUP(C1410,'Data Lokasi'!C:D,2,0),"")</f>
        <v>5.85</v>
      </c>
      <c r="E1410" s="274" t="s">
        <v>2642</v>
      </c>
      <c r="F1410" s="274"/>
      <c r="G1410" s="274"/>
      <c r="H1410" s="274"/>
      <c r="I1410" s="274">
        <v>0.04</v>
      </c>
      <c r="J1410" s="456">
        <f t="shared" si="44"/>
        <v>0.04</v>
      </c>
      <c r="K1410" s="583"/>
      <c r="L1410" s="268" t="s">
        <v>2625</v>
      </c>
      <c r="M1410" s="268" t="s">
        <v>2634</v>
      </c>
      <c r="N1410" s="278">
        <f>IFERROR(INDEX('Data Lokasi'!S:S,MATCH('Input Real Tanam&amp;Petik Nanas'!C1410,'Data Lokasi'!C:C,0)),"")</f>
        <v>44038</v>
      </c>
      <c r="O1410" s="278"/>
      <c r="P1410" s="283">
        <f>IFERROR(INDEX('Data Lokasi'!V:V,MATCH(C1410,'Data Lokasi'!C:C,0)),"")</f>
        <v>0</v>
      </c>
      <c r="Q1410" s="304">
        <f t="shared" si="45"/>
        <v>0</v>
      </c>
      <c r="R1410" s="308"/>
    </row>
    <row r="1411" spans="2:18" ht="15" hidden="1" thickTop="1">
      <c r="B1411" s="269">
        <v>46261</v>
      </c>
      <c r="C1411" s="268" t="s">
        <v>327</v>
      </c>
      <c r="D1411" s="274">
        <f>IFERROR(VLOOKUP(C1411,'Data Lokasi'!C:D,2,0),"")</f>
        <v>6.66</v>
      </c>
      <c r="E1411" s="274" t="s">
        <v>2643</v>
      </c>
      <c r="F1411" s="274"/>
      <c r="G1411" s="274"/>
      <c r="H1411" s="274"/>
      <c r="I1411" s="274">
        <v>0.2</v>
      </c>
      <c r="J1411" s="456">
        <f t="shared" si="44"/>
        <v>0.2</v>
      </c>
      <c r="K1411" s="583"/>
      <c r="L1411" s="268" t="s">
        <v>2625</v>
      </c>
      <c r="M1411" s="268" t="s">
        <v>2631</v>
      </c>
      <c r="N1411" s="278">
        <f>IFERROR(INDEX('Data Lokasi'!S:S,MATCH('Input Real Tanam&amp;Petik Nanas'!C1411,'Data Lokasi'!C:C,0)),"")</f>
        <v>44222</v>
      </c>
      <c r="O1411" s="278"/>
      <c r="P1411" s="283">
        <f>IFERROR(INDEX('Data Lokasi'!V:V,MATCH(C1411,'Data Lokasi'!C:C,0)),"")</f>
        <v>0</v>
      </c>
      <c r="Q1411" s="304">
        <f t="shared" si="45"/>
        <v>0</v>
      </c>
      <c r="R1411" s="308"/>
    </row>
    <row r="1412" spans="2:18" ht="15" hidden="1" thickTop="1">
      <c r="B1412" s="269">
        <v>46261</v>
      </c>
      <c r="C1412" s="268" t="s">
        <v>1781</v>
      </c>
      <c r="D1412" s="274">
        <f>IFERROR(VLOOKUP(C1412,'Data Lokasi'!C:D,2,0),"")</f>
        <v>6.83</v>
      </c>
      <c r="E1412" s="274" t="s">
        <v>2643</v>
      </c>
      <c r="F1412" s="274"/>
      <c r="G1412" s="274"/>
      <c r="H1412" s="274"/>
      <c r="I1412" s="274">
        <v>2.0299999999999998</v>
      </c>
      <c r="J1412" s="456">
        <f t="shared" si="44"/>
        <v>2.0299999999999998</v>
      </c>
      <c r="K1412" s="583"/>
      <c r="L1412" s="268" t="s">
        <v>2625</v>
      </c>
      <c r="M1412" s="268" t="s">
        <v>2631</v>
      </c>
      <c r="N1412" s="278">
        <f>IFERROR(INDEX('Data Lokasi'!S:S,MATCH('Input Real Tanam&amp;Petik Nanas'!C1412,'Data Lokasi'!C:C,0)),"")</f>
        <v>45683</v>
      </c>
      <c r="O1412" s="278"/>
      <c r="P1412" s="283">
        <f>IFERROR(INDEX('Data Lokasi'!V:V,MATCH(C1412,'Data Lokasi'!C:C,0)),"")</f>
        <v>0</v>
      </c>
      <c r="Q1412" s="304">
        <f t="shared" si="45"/>
        <v>0</v>
      </c>
      <c r="R1412" s="308"/>
    </row>
    <row r="1413" spans="2:18" ht="15" hidden="1" thickTop="1">
      <c r="B1413" s="269">
        <v>46261</v>
      </c>
      <c r="C1413" s="268" t="s">
        <v>472</v>
      </c>
      <c r="D1413" s="274">
        <f>IFERROR(VLOOKUP(C1413,'Data Lokasi'!C:D,2,0),"")</f>
        <v>14.38</v>
      </c>
      <c r="E1413" s="274" t="s">
        <v>2643</v>
      </c>
      <c r="F1413" s="274"/>
      <c r="G1413" s="274">
        <v>0.04</v>
      </c>
      <c r="H1413" s="274">
        <f>0.19+0.41</f>
        <v>0.6</v>
      </c>
      <c r="I1413" s="274"/>
      <c r="J1413" s="456">
        <f t="shared" si="44"/>
        <v>0.64</v>
      </c>
      <c r="K1413" s="583"/>
      <c r="L1413" s="268" t="s">
        <v>719</v>
      </c>
      <c r="M1413" s="268" t="s">
        <v>2631</v>
      </c>
      <c r="N1413" s="278">
        <f>IFERROR(INDEX('Data Lokasi'!S:S,MATCH('Input Real Tanam&amp;Petik Nanas'!C1413,'Data Lokasi'!C:C,0)),"")</f>
        <v>44487</v>
      </c>
      <c r="O1413" s="278"/>
      <c r="P1413" s="283">
        <f>IFERROR(INDEX('Data Lokasi'!V:V,MATCH(C1413,'Data Lokasi'!C:C,0)),"")</f>
        <v>0</v>
      </c>
      <c r="Q1413" s="304">
        <f t="shared" si="45"/>
        <v>0</v>
      </c>
      <c r="R1413" s="308"/>
    </row>
    <row r="1414" spans="2:18" ht="15" hidden="1" thickTop="1">
      <c r="B1414" s="269">
        <v>46261</v>
      </c>
      <c r="C1414" s="268" t="s">
        <v>381</v>
      </c>
      <c r="D1414" s="274">
        <f>IFERROR(VLOOKUP(C1414,'Data Lokasi'!C:D,2,0),"")</f>
        <v>8.18</v>
      </c>
      <c r="E1414" s="274" t="s">
        <v>2643</v>
      </c>
      <c r="F1414" s="274"/>
      <c r="G1414" s="274"/>
      <c r="H1414" s="274">
        <f>0.06+0.1</f>
        <v>0.16</v>
      </c>
      <c r="I1414" s="274"/>
      <c r="J1414" s="456">
        <f t="shared" si="44"/>
        <v>0.16</v>
      </c>
      <c r="K1414" s="583"/>
      <c r="L1414" s="268" t="s">
        <v>719</v>
      </c>
      <c r="M1414" s="268" t="s">
        <v>2634</v>
      </c>
      <c r="N1414" s="278">
        <f>IFERROR(INDEX('Data Lokasi'!S:S,MATCH('Input Real Tanam&amp;Petik Nanas'!C1414,'Data Lokasi'!C:C,0)),"")</f>
        <v>44335</v>
      </c>
      <c r="O1414" s="278"/>
      <c r="P1414" s="283">
        <f>IFERROR(INDEX('Data Lokasi'!V:V,MATCH(C1414,'Data Lokasi'!C:C,0)),"")</f>
        <v>0</v>
      </c>
      <c r="Q1414" s="304">
        <f t="shared" si="45"/>
        <v>0</v>
      </c>
      <c r="R1414" s="308">
        <v>8</v>
      </c>
    </row>
    <row r="1415" spans="2:18" ht="15" hidden="1" thickTop="1">
      <c r="B1415" s="269">
        <v>46261</v>
      </c>
      <c r="C1415" s="268" t="s">
        <v>409</v>
      </c>
      <c r="D1415" s="274">
        <f>IFERROR(VLOOKUP(C1415,'Data Lokasi'!C:D,2,0),"")</f>
        <v>8.83</v>
      </c>
      <c r="E1415" s="274" t="s">
        <v>2643</v>
      </c>
      <c r="F1415" s="274"/>
      <c r="G1415" s="274">
        <v>0.03</v>
      </c>
      <c r="H1415" s="274">
        <f>0.1+0.24</f>
        <v>0.33999999999999997</v>
      </c>
      <c r="I1415" s="274"/>
      <c r="J1415" s="456">
        <f t="shared" si="44"/>
        <v>0.37</v>
      </c>
      <c r="K1415" s="583"/>
      <c r="L1415" s="268" t="s">
        <v>719</v>
      </c>
      <c r="M1415" s="268" t="s">
        <v>2634</v>
      </c>
      <c r="N1415" s="278">
        <f>IFERROR(INDEX('Data Lokasi'!S:S,MATCH('Input Real Tanam&amp;Petik Nanas'!C1415,'Data Lokasi'!C:C,0)),"")</f>
        <v>44365</v>
      </c>
      <c r="O1415" s="278"/>
      <c r="P1415" s="283">
        <f>IFERROR(INDEX('Data Lokasi'!V:V,MATCH(C1415,'Data Lokasi'!C:C,0)),"")</f>
        <v>0</v>
      </c>
      <c r="Q1415" s="304">
        <f t="shared" si="45"/>
        <v>0</v>
      </c>
      <c r="R1415" s="308">
        <v>8</v>
      </c>
    </row>
    <row r="1416" spans="2:18" ht="15" hidden="1" thickTop="1">
      <c r="B1416" s="269">
        <v>46262</v>
      </c>
      <c r="C1416" s="268" t="s">
        <v>472</v>
      </c>
      <c r="D1416" s="274">
        <f>IFERROR(VLOOKUP(C1416,'Data Lokasi'!C:D,2,0),"")</f>
        <v>14.38</v>
      </c>
      <c r="E1416" s="274" t="s">
        <v>2643</v>
      </c>
      <c r="F1416" s="274"/>
      <c r="G1416" s="274">
        <v>0.05</v>
      </c>
      <c r="H1416" s="274">
        <f>0.17+0.44</f>
        <v>0.61</v>
      </c>
      <c r="I1416" s="274"/>
      <c r="J1416" s="456">
        <f t="shared" si="44"/>
        <v>0.66</v>
      </c>
      <c r="K1416" s="583"/>
      <c r="L1416" s="268" t="s">
        <v>719</v>
      </c>
      <c r="M1416" s="268" t="s">
        <v>2631</v>
      </c>
      <c r="N1416" s="278">
        <f>IFERROR(INDEX('Data Lokasi'!S:S,MATCH('Input Real Tanam&amp;Petik Nanas'!C1416,'Data Lokasi'!C:C,0)),"")</f>
        <v>44487</v>
      </c>
      <c r="O1416" s="278"/>
      <c r="P1416" s="283">
        <f>IFERROR(INDEX('Data Lokasi'!V:V,MATCH(C1416,'Data Lokasi'!C:C,0)),"")</f>
        <v>0</v>
      </c>
      <c r="Q1416" s="304">
        <f t="shared" si="45"/>
        <v>0</v>
      </c>
      <c r="R1416" s="308"/>
    </row>
    <row r="1417" spans="2:18" ht="15" hidden="1" thickTop="1">
      <c r="B1417" s="269">
        <v>46262</v>
      </c>
      <c r="C1417" s="268" t="s">
        <v>409</v>
      </c>
      <c r="D1417" s="274">
        <f>IFERROR(VLOOKUP(C1417,'Data Lokasi'!C:D,2,0),"")</f>
        <v>8.83</v>
      </c>
      <c r="E1417" s="274" t="s">
        <v>2643</v>
      </c>
      <c r="F1417" s="274"/>
      <c r="G1417" s="274">
        <v>0.04</v>
      </c>
      <c r="H1417" s="274">
        <f>0.2+0.42</f>
        <v>0.62</v>
      </c>
      <c r="I1417" s="274"/>
      <c r="J1417" s="456">
        <f t="shared" si="44"/>
        <v>0.66</v>
      </c>
      <c r="K1417" s="583"/>
      <c r="L1417" s="268" t="s">
        <v>719</v>
      </c>
      <c r="M1417" s="268" t="s">
        <v>2634</v>
      </c>
      <c r="N1417" s="278">
        <f>IFERROR(INDEX('Data Lokasi'!S:S,MATCH('Input Real Tanam&amp;Petik Nanas'!C1417,'Data Lokasi'!C:C,0)),"")</f>
        <v>44365</v>
      </c>
      <c r="O1417" s="278"/>
      <c r="P1417" s="283">
        <f>IFERROR(INDEX('Data Lokasi'!V:V,MATCH(C1417,'Data Lokasi'!C:C,0)),"")</f>
        <v>0</v>
      </c>
      <c r="Q1417" s="304">
        <f t="shared" si="45"/>
        <v>0</v>
      </c>
      <c r="R1417" s="308"/>
    </row>
    <row r="1418" spans="2:18" ht="15" hidden="1" thickTop="1">
      <c r="B1418" s="269">
        <v>46262</v>
      </c>
      <c r="C1418" s="268" t="s">
        <v>327</v>
      </c>
      <c r="D1418" s="274">
        <f>IFERROR(VLOOKUP(C1418,'Data Lokasi'!C:D,2,0),"")</f>
        <v>6.66</v>
      </c>
      <c r="E1418" s="274" t="s">
        <v>2643</v>
      </c>
      <c r="F1418" s="274"/>
      <c r="G1418" s="274"/>
      <c r="H1418" s="274"/>
      <c r="I1418" s="274">
        <v>0.31</v>
      </c>
      <c r="J1418" s="456">
        <f t="shared" si="44"/>
        <v>0.31</v>
      </c>
      <c r="K1418" s="583"/>
      <c r="L1418" s="268" t="s">
        <v>2625</v>
      </c>
      <c r="M1418" s="268" t="s">
        <v>2631</v>
      </c>
      <c r="N1418" s="278">
        <f>IFERROR(INDEX('Data Lokasi'!S:S,MATCH('Input Real Tanam&amp;Petik Nanas'!C1418,'Data Lokasi'!C:C,0)),"")</f>
        <v>44222</v>
      </c>
      <c r="O1418" s="278"/>
      <c r="P1418" s="283">
        <f>IFERROR(INDEX('Data Lokasi'!V:V,MATCH(C1418,'Data Lokasi'!C:C,0)),"")</f>
        <v>0</v>
      </c>
      <c r="Q1418" s="304">
        <f t="shared" si="45"/>
        <v>0</v>
      </c>
      <c r="R1418" s="308"/>
    </row>
    <row r="1419" spans="2:18" ht="15" hidden="1" thickTop="1">
      <c r="B1419" s="269">
        <v>46262</v>
      </c>
      <c r="C1419" s="268" t="s">
        <v>1781</v>
      </c>
      <c r="D1419" s="274">
        <f>IFERROR(VLOOKUP(C1419,'Data Lokasi'!C:D,2,0),"")</f>
        <v>6.83</v>
      </c>
      <c r="E1419" s="274" t="s">
        <v>2643</v>
      </c>
      <c r="F1419" s="274"/>
      <c r="G1419" s="274"/>
      <c r="H1419" s="274"/>
      <c r="I1419" s="274">
        <v>1.42</v>
      </c>
      <c r="J1419" s="456">
        <f t="shared" si="44"/>
        <v>1.42</v>
      </c>
      <c r="K1419" s="583"/>
      <c r="L1419" s="268" t="s">
        <v>2625</v>
      </c>
      <c r="M1419" s="268" t="s">
        <v>2631</v>
      </c>
      <c r="N1419" s="278">
        <f>IFERROR(INDEX('Data Lokasi'!S:S,MATCH('Input Real Tanam&amp;Petik Nanas'!C1419,'Data Lokasi'!C:C,0)),"")</f>
        <v>45683</v>
      </c>
      <c r="O1419" s="278"/>
      <c r="P1419" s="283">
        <f>IFERROR(INDEX('Data Lokasi'!V:V,MATCH(C1419,'Data Lokasi'!C:C,0)),"")</f>
        <v>0</v>
      </c>
      <c r="Q1419" s="304">
        <f t="shared" si="45"/>
        <v>0</v>
      </c>
      <c r="R1419" s="308"/>
    </row>
    <row r="1420" spans="2:18" ht="15" hidden="1" thickTop="1">
      <c r="B1420" s="269">
        <v>46262</v>
      </c>
      <c r="C1420" s="268" t="s">
        <v>543</v>
      </c>
      <c r="D1420" s="274">
        <f>IFERROR(VLOOKUP(C1420,'Data Lokasi'!C:D,2,0),"")</f>
        <v>6.96</v>
      </c>
      <c r="E1420" s="274" t="s">
        <v>2643</v>
      </c>
      <c r="F1420" s="274"/>
      <c r="G1420" s="274"/>
      <c r="H1420" s="274"/>
      <c r="I1420" s="274">
        <v>0.91</v>
      </c>
      <c r="J1420" s="456">
        <f t="shared" si="44"/>
        <v>0.91</v>
      </c>
      <c r="K1420" s="583"/>
      <c r="L1420" s="268" t="s">
        <v>2625</v>
      </c>
      <c r="M1420" s="268" t="s">
        <v>2631</v>
      </c>
      <c r="N1420" s="278">
        <f>IFERROR(INDEX('Data Lokasi'!S:S,MATCH('Input Real Tanam&amp;Petik Nanas'!C1420,'Data Lokasi'!C:C,0)),"")</f>
        <v>44646</v>
      </c>
      <c r="O1420" s="278"/>
      <c r="P1420" s="283">
        <f>IFERROR(INDEX('Data Lokasi'!V:V,MATCH(C1420,'Data Lokasi'!C:C,0)),"")</f>
        <v>0</v>
      </c>
      <c r="Q1420" s="304">
        <f t="shared" si="45"/>
        <v>0</v>
      </c>
      <c r="R1420" s="308"/>
    </row>
    <row r="1421" spans="2:18" ht="15" hidden="1" thickTop="1">
      <c r="B1421" s="269">
        <v>46263</v>
      </c>
      <c r="C1421" s="268" t="s">
        <v>472</v>
      </c>
      <c r="D1421" s="274">
        <f>IFERROR(VLOOKUP(C1421,'Data Lokasi'!C:D,2,0),"")</f>
        <v>14.38</v>
      </c>
      <c r="E1421" s="274" t="s">
        <v>2643</v>
      </c>
      <c r="F1421" s="274"/>
      <c r="G1421" s="274">
        <v>0.01</v>
      </c>
      <c r="H1421" s="274">
        <v>7.0000000000000007E-2</v>
      </c>
      <c r="I1421" s="274"/>
      <c r="J1421" s="456">
        <f t="shared" si="44"/>
        <v>0.08</v>
      </c>
      <c r="K1421" s="583"/>
      <c r="L1421" s="268" t="s">
        <v>719</v>
      </c>
      <c r="M1421" s="268" t="s">
        <v>2631</v>
      </c>
      <c r="N1421" s="278">
        <f>IFERROR(INDEX('Data Lokasi'!S:S,MATCH('Input Real Tanam&amp;Petik Nanas'!C1421,'Data Lokasi'!C:C,0)),"")</f>
        <v>44487</v>
      </c>
      <c r="O1421" s="278"/>
      <c r="P1421" s="283">
        <f>IFERROR(INDEX('Data Lokasi'!V:V,MATCH(C1421,'Data Lokasi'!C:C,0)),"")</f>
        <v>0</v>
      </c>
      <c r="Q1421" s="304">
        <f t="shared" si="45"/>
        <v>0</v>
      </c>
      <c r="R1421" s="308">
        <v>2</v>
      </c>
    </row>
    <row r="1422" spans="2:18" ht="15" hidden="1" thickTop="1">
      <c r="B1422" s="269">
        <v>46263</v>
      </c>
      <c r="C1422" s="268" t="s">
        <v>534</v>
      </c>
      <c r="D1422" s="274">
        <f>IFERROR(VLOOKUP(C1422,'Data Lokasi'!C:D,2,0),"")</f>
        <v>6.6</v>
      </c>
      <c r="E1422" s="274" t="s">
        <v>2643</v>
      </c>
      <c r="F1422" s="274"/>
      <c r="G1422" s="274">
        <v>0.01</v>
      </c>
      <c r="H1422" s="274">
        <f>0.08+0.13</f>
        <v>0.21000000000000002</v>
      </c>
      <c r="I1422" s="274"/>
      <c r="J1422" s="456">
        <f t="shared" si="44"/>
        <v>0.22000000000000003</v>
      </c>
      <c r="K1422" s="583"/>
      <c r="L1422" s="268" t="s">
        <v>719</v>
      </c>
      <c r="M1422" s="268" t="s">
        <v>2631</v>
      </c>
      <c r="N1422" s="278">
        <f>IFERROR(INDEX('Data Lokasi'!S:S,MATCH('Input Real Tanam&amp;Petik Nanas'!C1422,'Data Lokasi'!C:C,0)),"")</f>
        <v>44639</v>
      </c>
      <c r="O1422" s="278"/>
      <c r="P1422" s="283">
        <f>IFERROR(INDEX('Data Lokasi'!V:V,MATCH(C1422,'Data Lokasi'!C:C,0)),"")</f>
        <v>0</v>
      </c>
      <c r="Q1422" s="304">
        <f t="shared" si="45"/>
        <v>0</v>
      </c>
      <c r="R1422" s="308">
        <v>4</v>
      </c>
    </row>
    <row r="1423" spans="2:18" ht="15" hidden="1" thickTop="1">
      <c r="B1423" s="269">
        <v>46263</v>
      </c>
      <c r="C1423" s="268" t="s">
        <v>2378</v>
      </c>
      <c r="D1423" s="274">
        <f>IFERROR(VLOOKUP(C1423,'Data Lokasi'!C:D,2,0),"")</f>
        <v>6.88</v>
      </c>
      <c r="E1423" s="274" t="s">
        <v>2643</v>
      </c>
      <c r="F1423" s="274"/>
      <c r="G1423" s="274"/>
      <c r="H1423" s="274"/>
      <c r="I1423" s="274">
        <v>2.38</v>
      </c>
      <c r="J1423" s="456">
        <f t="shared" si="44"/>
        <v>2.38</v>
      </c>
      <c r="K1423" s="583"/>
      <c r="L1423" s="268" t="s">
        <v>2625</v>
      </c>
      <c r="M1423" s="268" t="s">
        <v>2631</v>
      </c>
      <c r="N1423" s="278">
        <f>IFERROR(INDEX('Data Lokasi'!S:S,MATCH('Input Real Tanam&amp;Petik Nanas'!C1423,'Data Lokasi'!C:C,0)),"")</f>
        <v>45789</v>
      </c>
      <c r="O1423" s="278"/>
      <c r="P1423" s="283">
        <f>IFERROR(INDEX('Data Lokasi'!V:V,MATCH(C1423,'Data Lokasi'!C:C,0)),"")</f>
        <v>0</v>
      </c>
      <c r="Q1423" s="304">
        <f t="shared" si="45"/>
        <v>0</v>
      </c>
      <c r="R1423" s="308"/>
    </row>
    <row r="1424" spans="2:18" ht="15" hidden="1" thickTop="1">
      <c r="B1424" s="269">
        <v>46263</v>
      </c>
      <c r="C1424" s="268" t="s">
        <v>488</v>
      </c>
      <c r="D1424" s="274">
        <f>IFERROR(VLOOKUP(C1424,'Data Lokasi'!C:D,2,0),"")</f>
        <v>11.2</v>
      </c>
      <c r="E1424" s="274" t="s">
        <v>2643</v>
      </c>
      <c r="F1424" s="274"/>
      <c r="G1424" s="274">
        <v>0.04</v>
      </c>
      <c r="H1424" s="274">
        <f>0.14+0.36</f>
        <v>0.5</v>
      </c>
      <c r="I1424" s="274"/>
      <c r="J1424" s="456">
        <f t="shared" si="44"/>
        <v>0.54</v>
      </c>
      <c r="K1424" s="583"/>
      <c r="L1424" s="268" t="s">
        <v>719</v>
      </c>
      <c r="M1424" s="268" t="s">
        <v>2634</v>
      </c>
      <c r="N1424" s="278">
        <f>IFERROR(INDEX('Data Lokasi'!S:S,MATCH('Input Real Tanam&amp;Petik Nanas'!C1424,'Data Lokasi'!C:C,0)),"")</f>
        <v>44529</v>
      </c>
      <c r="O1424" s="278"/>
      <c r="P1424" s="283">
        <f>IFERROR(INDEX('Data Lokasi'!V:V,MATCH(C1424,'Data Lokasi'!C:C,0)),"")</f>
        <v>0</v>
      </c>
      <c r="Q1424" s="304">
        <f t="shared" si="45"/>
        <v>0</v>
      </c>
      <c r="R1424" s="308">
        <v>3</v>
      </c>
    </row>
    <row r="1425" spans="2:18" ht="15" hidden="1" thickTop="1">
      <c r="B1425" s="269">
        <v>46263</v>
      </c>
      <c r="C1425" s="268" t="s">
        <v>810</v>
      </c>
      <c r="D1425" s="274">
        <f>IFERROR(VLOOKUP(C1425,'Data Lokasi'!C:D,2,0),"")</f>
        <v>3.82</v>
      </c>
      <c r="E1425" s="274" t="s">
        <v>2643</v>
      </c>
      <c r="F1425" s="274"/>
      <c r="G1425" s="274"/>
      <c r="H1425" s="274"/>
      <c r="I1425" s="274">
        <v>0.19</v>
      </c>
      <c r="J1425" s="456">
        <f t="shared" si="44"/>
        <v>0.19</v>
      </c>
      <c r="K1425" s="583"/>
      <c r="L1425" s="268" t="s">
        <v>2625</v>
      </c>
      <c r="M1425" s="268" t="s">
        <v>2631</v>
      </c>
      <c r="N1425" s="278">
        <f>IFERROR(INDEX('Data Lokasi'!S:S,MATCH('Input Real Tanam&amp;Petik Nanas'!C1425,'Data Lokasi'!C:C,0)),"")</f>
        <v>45793</v>
      </c>
      <c r="O1425" s="278"/>
      <c r="P1425" s="283">
        <f>IFERROR(INDEX('Data Lokasi'!V:V,MATCH(C1425,'Data Lokasi'!C:C,0)),"")</f>
        <v>0</v>
      </c>
      <c r="Q1425" s="304">
        <f t="shared" si="45"/>
        <v>0</v>
      </c>
      <c r="R1425" s="308"/>
    </row>
    <row r="1426" spans="2:18" ht="15" hidden="1" thickTop="1">
      <c r="B1426" s="269">
        <v>46263</v>
      </c>
      <c r="C1426" s="268" t="s">
        <v>543</v>
      </c>
      <c r="D1426" s="274">
        <f>IFERROR(VLOOKUP(C1426,'Data Lokasi'!C:D,2,0),"")</f>
        <v>6.96</v>
      </c>
      <c r="E1426" s="274" t="s">
        <v>2643</v>
      </c>
      <c r="F1426" s="274"/>
      <c r="G1426" s="274"/>
      <c r="H1426" s="274"/>
      <c r="I1426" s="274">
        <v>1.72</v>
      </c>
      <c r="J1426" s="456">
        <f t="shared" si="44"/>
        <v>1.72</v>
      </c>
      <c r="K1426" s="583"/>
      <c r="L1426" s="268" t="s">
        <v>2625</v>
      </c>
      <c r="M1426" s="268" t="s">
        <v>2631</v>
      </c>
      <c r="N1426" s="278">
        <f>IFERROR(INDEX('Data Lokasi'!S:S,MATCH('Input Real Tanam&amp;Petik Nanas'!C1426,'Data Lokasi'!C:C,0)),"")</f>
        <v>44646</v>
      </c>
      <c r="O1426" s="278"/>
      <c r="P1426" s="283">
        <f>IFERROR(INDEX('Data Lokasi'!V:V,MATCH(C1426,'Data Lokasi'!C:C,0)),"")</f>
        <v>0</v>
      </c>
      <c r="Q1426" s="304">
        <f t="shared" si="45"/>
        <v>0</v>
      </c>
      <c r="R1426" s="308"/>
    </row>
    <row r="1427" spans="2:18" ht="15" hidden="1" thickTop="1">
      <c r="B1427" s="269">
        <v>46263</v>
      </c>
      <c r="C1427" s="268" t="s">
        <v>1781</v>
      </c>
      <c r="D1427" s="274">
        <f>IFERROR(VLOOKUP(C1427,'Data Lokasi'!C:D,2,0),"")</f>
        <v>6.83</v>
      </c>
      <c r="E1427" s="274" t="s">
        <v>2643</v>
      </c>
      <c r="F1427" s="274"/>
      <c r="G1427" s="274"/>
      <c r="H1427" s="274"/>
      <c r="I1427" s="274">
        <v>0.17</v>
      </c>
      <c r="J1427" s="456">
        <f t="shared" si="44"/>
        <v>0.17</v>
      </c>
      <c r="K1427" s="583"/>
      <c r="L1427" s="268" t="s">
        <v>2625</v>
      </c>
      <c r="M1427" s="268" t="s">
        <v>2631</v>
      </c>
      <c r="N1427" s="278">
        <f>IFERROR(INDEX('Data Lokasi'!S:S,MATCH('Input Real Tanam&amp;Petik Nanas'!C1427,'Data Lokasi'!C:C,0)),"")</f>
        <v>45683</v>
      </c>
      <c r="O1427" s="278"/>
      <c r="P1427" s="283">
        <f>IFERROR(INDEX('Data Lokasi'!V:V,MATCH(C1427,'Data Lokasi'!C:C,0)),"")</f>
        <v>0</v>
      </c>
      <c r="Q1427" s="304">
        <f t="shared" si="45"/>
        <v>0</v>
      </c>
      <c r="R1427" s="308"/>
    </row>
    <row r="1428" spans="2:18" ht="15" hidden="1" thickTop="1">
      <c r="B1428" s="269">
        <v>46263</v>
      </c>
      <c r="C1428" s="268" t="s">
        <v>425</v>
      </c>
      <c r="D1428" s="274">
        <f>IFERROR(VLOOKUP(C1428,'Data Lokasi'!C:D,2,0),"")</f>
        <v>8.85</v>
      </c>
      <c r="E1428" s="274" t="s">
        <v>2643</v>
      </c>
      <c r="F1428" s="274">
        <v>1E-3</v>
      </c>
      <c r="G1428" s="274">
        <v>0.06</v>
      </c>
      <c r="H1428" s="274">
        <f>0.07+0.08</f>
        <v>0.15000000000000002</v>
      </c>
      <c r="I1428" s="274"/>
      <c r="J1428" s="456">
        <f t="shared" si="44"/>
        <v>0.21100000000000002</v>
      </c>
      <c r="K1428" s="583"/>
      <c r="L1428" s="268" t="s">
        <v>719</v>
      </c>
      <c r="M1428" s="268" t="s">
        <v>2631</v>
      </c>
      <c r="N1428" s="278">
        <f>IFERROR(INDEX('Data Lokasi'!S:S,MATCH('Input Real Tanam&amp;Petik Nanas'!C1428,'Data Lokasi'!C:C,0)),"")</f>
        <v>44389</v>
      </c>
      <c r="O1428" s="278"/>
      <c r="P1428" s="283">
        <f>IFERROR(INDEX('Data Lokasi'!V:V,MATCH(C1428,'Data Lokasi'!C:C,0)),"")</f>
        <v>0</v>
      </c>
      <c r="Q1428" s="304">
        <f t="shared" si="45"/>
        <v>0</v>
      </c>
      <c r="R1428" s="308">
        <v>5</v>
      </c>
    </row>
    <row r="1429" spans="2:18" ht="15" hidden="1" thickTop="1">
      <c r="B1429" s="269">
        <v>46264</v>
      </c>
      <c r="C1429" s="317" t="s">
        <v>2559</v>
      </c>
      <c r="D1429" s="274">
        <f>IFERROR(VLOOKUP(C1429,'Data Lokasi'!C:D,2,0),"")</f>
        <v>7.2</v>
      </c>
      <c r="E1429" s="274" t="s">
        <v>2643</v>
      </c>
      <c r="F1429" s="274"/>
      <c r="G1429" s="274"/>
      <c r="H1429" s="274"/>
      <c r="I1429" s="274">
        <v>2.38</v>
      </c>
      <c r="J1429" s="456">
        <f t="shared" si="44"/>
        <v>2.38</v>
      </c>
      <c r="K1429" s="583"/>
      <c r="L1429" s="268" t="s">
        <v>2625</v>
      </c>
      <c r="M1429" s="268" t="s">
        <v>2631</v>
      </c>
      <c r="N1429" s="278">
        <f>IFERROR(INDEX('Data Lokasi'!S:S,MATCH('Input Real Tanam&amp;Petik Nanas'!C1429,'Data Lokasi'!C:C,0)),"")</f>
        <v>45795</v>
      </c>
      <c r="O1429" s="278"/>
      <c r="P1429" s="283">
        <f>IFERROR(INDEX('Data Lokasi'!V:V,MATCH(C1429,'Data Lokasi'!C:C,0)),"")</f>
        <v>0</v>
      </c>
      <c r="Q1429" s="304">
        <f t="shared" si="45"/>
        <v>0</v>
      </c>
      <c r="R1429" s="308"/>
    </row>
    <row r="1430" spans="2:18" ht="15" hidden="1" thickTop="1">
      <c r="B1430" s="269">
        <v>46264</v>
      </c>
      <c r="C1430" s="268" t="s">
        <v>2378</v>
      </c>
      <c r="D1430" s="274">
        <f>IFERROR(VLOOKUP(C1430,'Data Lokasi'!C:D,2,0),"")</f>
        <v>6.88</v>
      </c>
      <c r="E1430" s="274" t="s">
        <v>2643</v>
      </c>
      <c r="F1430" s="274"/>
      <c r="G1430" s="274"/>
      <c r="H1430" s="274"/>
      <c r="I1430" s="274">
        <v>1.54</v>
      </c>
      <c r="J1430" s="456">
        <f t="shared" si="44"/>
        <v>1.54</v>
      </c>
      <c r="K1430" s="583"/>
      <c r="L1430" s="268" t="s">
        <v>2625</v>
      </c>
      <c r="M1430" s="268" t="s">
        <v>2631</v>
      </c>
      <c r="N1430" s="278">
        <f>IFERROR(INDEX('Data Lokasi'!S:S,MATCH('Input Real Tanam&amp;Petik Nanas'!C1430,'Data Lokasi'!C:C,0)),"")</f>
        <v>45789</v>
      </c>
      <c r="O1430" s="278"/>
      <c r="P1430" s="283">
        <f>IFERROR(INDEX('Data Lokasi'!V:V,MATCH(C1430,'Data Lokasi'!C:C,0)),"")</f>
        <v>0</v>
      </c>
      <c r="Q1430" s="304">
        <f t="shared" si="45"/>
        <v>0</v>
      </c>
      <c r="R1430" s="308"/>
    </row>
    <row r="1431" spans="2:18" ht="15" hidden="1" thickTop="1">
      <c r="B1431" s="269">
        <v>46264</v>
      </c>
      <c r="C1431" s="268" t="s">
        <v>346</v>
      </c>
      <c r="D1431" s="274">
        <f>IFERROR(VLOOKUP(C1431,'Data Lokasi'!C:D,2,0),"")</f>
        <v>5.62</v>
      </c>
      <c r="E1431" s="274" t="s">
        <v>2643</v>
      </c>
      <c r="F1431" s="274"/>
      <c r="G1431" s="274"/>
      <c r="H1431" s="274">
        <v>0.01</v>
      </c>
      <c r="I1431" s="274">
        <f>0.06+0.3</f>
        <v>0.36</v>
      </c>
      <c r="J1431" s="456">
        <f t="shared" si="44"/>
        <v>0.37</v>
      </c>
      <c r="K1431" s="583"/>
      <c r="L1431" s="268" t="s">
        <v>719</v>
      </c>
      <c r="M1431" s="268" t="s">
        <v>2634</v>
      </c>
      <c r="N1431" s="278">
        <f>IFERROR(INDEX('Data Lokasi'!S:S,MATCH('Input Real Tanam&amp;Petik Nanas'!C1431,'Data Lokasi'!C:C,0)),"")</f>
        <v>44258</v>
      </c>
      <c r="O1431" s="278"/>
      <c r="P1431" s="283">
        <f>IFERROR(INDEX('Data Lokasi'!V:V,MATCH(C1431,'Data Lokasi'!C:C,0)),"")</f>
        <v>0</v>
      </c>
      <c r="Q1431" s="304">
        <f t="shared" si="45"/>
        <v>0</v>
      </c>
      <c r="R1431" s="308">
        <v>10</v>
      </c>
    </row>
    <row r="1432" spans="2:18" ht="15" hidden="1" thickTop="1">
      <c r="B1432" s="269">
        <v>46264</v>
      </c>
      <c r="C1432" s="268" t="s">
        <v>488</v>
      </c>
      <c r="D1432" s="274">
        <f>IFERROR(VLOOKUP(C1432,'Data Lokasi'!C:D,2,0),"")</f>
        <v>11.2</v>
      </c>
      <c r="E1432" s="274" t="s">
        <v>2643</v>
      </c>
      <c r="F1432" s="274"/>
      <c r="G1432" s="274">
        <v>0.01</v>
      </c>
      <c r="H1432" s="274">
        <f>0.1+0.23</f>
        <v>0.33</v>
      </c>
      <c r="I1432" s="274"/>
      <c r="J1432" s="456">
        <f t="shared" ref="J1432:J1495" si="46">IF(SUM(F1432:I1432)=0,"",(SUM(F1432:I1432)))</f>
        <v>0.34</v>
      </c>
      <c r="K1432" s="583"/>
      <c r="L1432" s="268" t="s">
        <v>719</v>
      </c>
      <c r="M1432" s="268" t="s">
        <v>2634</v>
      </c>
      <c r="N1432" s="278">
        <f>IFERROR(INDEX('Data Lokasi'!S:S,MATCH('Input Real Tanam&amp;Petik Nanas'!C1432,'Data Lokasi'!C:C,0)),"")</f>
        <v>44529</v>
      </c>
      <c r="O1432" s="278"/>
      <c r="P1432" s="283">
        <f>IFERROR(INDEX('Data Lokasi'!V:V,MATCH(C1432,'Data Lokasi'!C:C,0)),"")</f>
        <v>0</v>
      </c>
      <c r="Q1432" s="304">
        <f t="shared" ref="Q1432:Q1495" si="47">IF(ISERROR(P1432/D1432),"",(P1432/D1432))</f>
        <v>0</v>
      </c>
      <c r="R1432" s="308">
        <v>3</v>
      </c>
    </row>
    <row r="1433" spans="2:18" ht="15" hidden="1" thickTop="1">
      <c r="B1433" s="269">
        <v>46265</v>
      </c>
      <c r="C1433" s="268" t="s">
        <v>534</v>
      </c>
      <c r="D1433" s="274">
        <f>IFERROR(VLOOKUP(C1433,'Data Lokasi'!C:D,2,0),"")</f>
        <v>6.6</v>
      </c>
      <c r="E1433" s="274" t="s">
        <v>2643</v>
      </c>
      <c r="F1433" s="274"/>
      <c r="G1433" s="274">
        <v>0.01</v>
      </c>
      <c r="H1433" s="274">
        <v>0.13</v>
      </c>
      <c r="I1433" s="274"/>
      <c r="J1433" s="456">
        <f t="shared" si="46"/>
        <v>0.14000000000000001</v>
      </c>
      <c r="K1433" s="583"/>
      <c r="L1433" s="268" t="s">
        <v>719</v>
      </c>
      <c r="M1433" s="268" t="s">
        <v>2631</v>
      </c>
      <c r="N1433" s="278">
        <f>IFERROR(INDEX('Data Lokasi'!S:S,MATCH('Input Real Tanam&amp;Petik Nanas'!C1433,'Data Lokasi'!C:C,0)),"")</f>
        <v>44639</v>
      </c>
      <c r="O1433" s="278"/>
      <c r="P1433" s="283">
        <f>IFERROR(INDEX('Data Lokasi'!V:V,MATCH(C1433,'Data Lokasi'!C:C,0)),"")</f>
        <v>0</v>
      </c>
      <c r="Q1433" s="304">
        <f t="shared" si="47"/>
        <v>0</v>
      </c>
      <c r="R1433" s="308">
        <v>4</v>
      </c>
    </row>
    <row r="1434" spans="2:18" ht="15" hidden="1" thickTop="1">
      <c r="B1434" s="269">
        <v>46265</v>
      </c>
      <c r="C1434" s="317" t="s">
        <v>2559</v>
      </c>
      <c r="D1434" s="274">
        <f>IFERROR(VLOOKUP(C1434,'Data Lokasi'!C:D,2,0),"")</f>
        <v>7.2</v>
      </c>
      <c r="E1434" s="274" t="s">
        <v>2643</v>
      </c>
      <c r="F1434" s="274"/>
      <c r="G1434" s="274"/>
      <c r="H1434" s="274"/>
      <c r="I1434" s="274">
        <v>1.82</v>
      </c>
      <c r="J1434" s="456">
        <f t="shared" si="46"/>
        <v>1.82</v>
      </c>
      <c r="K1434" s="583"/>
      <c r="L1434" s="268" t="s">
        <v>2625</v>
      </c>
      <c r="M1434" s="268" t="s">
        <v>2631</v>
      </c>
      <c r="N1434" s="278">
        <f>IFERROR(INDEX('Data Lokasi'!S:S,MATCH('Input Real Tanam&amp;Petik Nanas'!C1434,'Data Lokasi'!C:C,0)),"")</f>
        <v>45795</v>
      </c>
      <c r="O1434" s="278"/>
      <c r="P1434" s="283">
        <f>IFERROR(INDEX('Data Lokasi'!V:V,MATCH(C1434,'Data Lokasi'!C:C,0)),"")</f>
        <v>0</v>
      </c>
      <c r="Q1434" s="304">
        <f t="shared" si="47"/>
        <v>0</v>
      </c>
      <c r="R1434" s="308"/>
    </row>
    <row r="1435" spans="2:18" ht="15" hidden="1" thickTop="1">
      <c r="B1435" s="269">
        <v>46265</v>
      </c>
      <c r="C1435" s="268" t="s">
        <v>2378</v>
      </c>
      <c r="D1435" s="274">
        <f>IFERROR(VLOOKUP(C1435,'Data Lokasi'!C:D,2,0),"")</f>
        <v>6.88</v>
      </c>
      <c r="E1435" s="274" t="s">
        <v>2643</v>
      </c>
      <c r="F1435" s="274"/>
      <c r="G1435" s="274"/>
      <c r="H1435" s="274"/>
      <c r="I1435" s="274">
        <v>0.57999999999999996</v>
      </c>
      <c r="J1435" s="456">
        <f t="shared" si="46"/>
        <v>0.57999999999999996</v>
      </c>
      <c r="K1435" s="583"/>
      <c r="L1435" s="268" t="s">
        <v>2625</v>
      </c>
      <c r="M1435" s="268" t="s">
        <v>2631</v>
      </c>
      <c r="N1435" s="278">
        <f>IFERROR(INDEX('Data Lokasi'!S:S,MATCH('Input Real Tanam&amp;Petik Nanas'!C1435,'Data Lokasi'!C:C,0)),"")</f>
        <v>45789</v>
      </c>
      <c r="O1435" s="278"/>
      <c r="P1435" s="283">
        <f>IFERROR(INDEX('Data Lokasi'!V:V,MATCH(C1435,'Data Lokasi'!C:C,0)),"")</f>
        <v>0</v>
      </c>
      <c r="Q1435" s="304">
        <f t="shared" si="47"/>
        <v>0</v>
      </c>
      <c r="R1435" s="308"/>
    </row>
    <row r="1436" spans="2:18" ht="15" hidden="1" thickTop="1">
      <c r="B1436" s="269">
        <v>46265</v>
      </c>
      <c r="C1436" s="268" t="s">
        <v>478</v>
      </c>
      <c r="D1436" s="274">
        <f>IFERROR(VLOOKUP(C1436,'Data Lokasi'!C:D,2,0),"")</f>
        <v>6.8</v>
      </c>
      <c r="E1436" s="274" t="s">
        <v>2643</v>
      </c>
      <c r="F1436" s="274"/>
      <c r="G1436" s="274">
        <v>0.02</v>
      </c>
      <c r="H1436" s="274">
        <v>0.15</v>
      </c>
      <c r="I1436" s="274"/>
      <c r="J1436" s="456">
        <f t="shared" si="46"/>
        <v>0.16999999999999998</v>
      </c>
      <c r="K1436" s="583"/>
      <c r="L1436" s="268" t="s">
        <v>719</v>
      </c>
      <c r="M1436" s="268" t="s">
        <v>2634</v>
      </c>
      <c r="N1436" s="278">
        <f>IFERROR(INDEX('Data Lokasi'!S:S,MATCH('Input Real Tanam&amp;Petik Nanas'!C1436,'Data Lokasi'!C:C,0)),"")</f>
        <v>44517</v>
      </c>
      <c r="O1436" s="278"/>
      <c r="P1436" s="283">
        <f>IFERROR(INDEX('Data Lokasi'!V:V,MATCH(C1436,'Data Lokasi'!C:C,0)),"")</f>
        <v>0</v>
      </c>
      <c r="Q1436" s="304">
        <f t="shared" si="47"/>
        <v>0</v>
      </c>
      <c r="R1436" s="308">
        <v>3</v>
      </c>
    </row>
    <row r="1437" spans="2:18" ht="15" hidden="1" thickTop="1">
      <c r="B1437" s="269">
        <v>46265</v>
      </c>
      <c r="C1437" s="268" t="s">
        <v>488</v>
      </c>
      <c r="D1437" s="274">
        <f>IFERROR(VLOOKUP(C1437,'Data Lokasi'!C:D,2,0),"")</f>
        <v>11.2</v>
      </c>
      <c r="E1437" s="274" t="s">
        <v>2643</v>
      </c>
      <c r="F1437" s="274"/>
      <c r="G1437" s="274">
        <v>0.01</v>
      </c>
      <c r="H1437" s="274">
        <f>0.09+0.21</f>
        <v>0.3</v>
      </c>
      <c r="I1437" s="274"/>
      <c r="J1437" s="456">
        <f t="shared" si="46"/>
        <v>0.31</v>
      </c>
      <c r="K1437" s="583"/>
      <c r="L1437" s="268" t="s">
        <v>719</v>
      </c>
      <c r="M1437" s="268" t="s">
        <v>2634</v>
      </c>
      <c r="N1437" s="278">
        <f>IFERROR(INDEX('Data Lokasi'!S:S,MATCH('Input Real Tanam&amp;Petik Nanas'!C1437,'Data Lokasi'!C:C,0)),"")</f>
        <v>44529</v>
      </c>
      <c r="O1437" s="278"/>
      <c r="P1437" s="283">
        <f>IFERROR(INDEX('Data Lokasi'!V:V,MATCH(C1437,'Data Lokasi'!C:C,0)),"")</f>
        <v>0</v>
      </c>
      <c r="Q1437" s="304">
        <f t="shared" si="47"/>
        <v>0</v>
      </c>
      <c r="R1437" s="308">
        <v>3</v>
      </c>
    </row>
    <row r="1438" spans="2:18" ht="15" hidden="1" thickTop="1">
      <c r="B1438" s="269">
        <v>46265</v>
      </c>
      <c r="C1438" s="268" t="s">
        <v>2647</v>
      </c>
      <c r="D1438" s="274">
        <f>IFERROR(VLOOKUP(C1438,'Data Lokasi'!C:D,2,0),"")</f>
        <v>6.12</v>
      </c>
      <c r="E1438" s="274" t="s">
        <v>2642</v>
      </c>
      <c r="F1438" s="274"/>
      <c r="G1438" s="274">
        <v>0.51</v>
      </c>
      <c r="H1438" s="274"/>
      <c r="I1438" s="274"/>
      <c r="J1438" s="456">
        <f t="shared" si="46"/>
        <v>0.51</v>
      </c>
      <c r="K1438" s="583"/>
      <c r="L1438" s="268" t="s">
        <v>719</v>
      </c>
      <c r="M1438" s="268" t="s">
        <v>2634</v>
      </c>
      <c r="N1438" s="278">
        <f>IFERROR(INDEX('Data Lokasi'!S:S,MATCH('Input Real Tanam&amp;Petik Nanas'!C1438,'Data Lokasi'!C:C,0)),"")</f>
        <v>46237</v>
      </c>
      <c r="O1438" s="278"/>
      <c r="P1438" s="283">
        <f>IFERROR(INDEX('Data Lokasi'!V:V,MATCH(C1438,'Data Lokasi'!C:C,0)),"")</f>
        <v>6.12</v>
      </c>
      <c r="Q1438" s="304">
        <f t="shared" si="47"/>
        <v>1</v>
      </c>
      <c r="R1438" s="308"/>
    </row>
    <row r="1439" spans="2:18" ht="15" hidden="1" thickTop="1">
      <c r="B1439" s="269">
        <v>46265</v>
      </c>
      <c r="C1439" s="268" t="s">
        <v>2646</v>
      </c>
      <c r="D1439" s="274">
        <f>IFERROR(VLOOKUP(C1439,'Data Lokasi'!C:D,2,0),"")</f>
        <v>8.41</v>
      </c>
      <c r="E1439" s="274" t="s">
        <v>2642</v>
      </c>
      <c r="F1439" s="274"/>
      <c r="G1439" s="274"/>
      <c r="H1439" s="274">
        <v>0.26</v>
      </c>
      <c r="I1439" s="274"/>
      <c r="J1439" s="456">
        <f t="shared" si="46"/>
        <v>0.26</v>
      </c>
      <c r="K1439" s="583"/>
      <c r="L1439" s="268" t="s">
        <v>719</v>
      </c>
      <c r="M1439" s="268" t="s">
        <v>2634</v>
      </c>
      <c r="N1439" s="278">
        <f>IFERROR(INDEX('Data Lokasi'!S:S,MATCH('Input Real Tanam&amp;Petik Nanas'!C1439,'Data Lokasi'!C:C,0)),"")</f>
        <v>46248</v>
      </c>
      <c r="O1439" s="278"/>
      <c r="P1439" s="283">
        <f>IFERROR(INDEX('Data Lokasi'!V:V,MATCH(C1439,'Data Lokasi'!C:C,0)),"")</f>
        <v>8.41</v>
      </c>
      <c r="Q1439" s="304">
        <f t="shared" si="47"/>
        <v>1</v>
      </c>
      <c r="R1439" s="308"/>
    </row>
    <row r="1440" spans="2:18" ht="15" hidden="1" thickTop="1">
      <c r="B1440" s="269">
        <v>46265</v>
      </c>
      <c r="C1440" s="268" t="s">
        <v>336</v>
      </c>
      <c r="D1440" s="274">
        <f>IFERROR(VLOOKUP(C1440,'Data Lokasi'!C:D,2,0),"")</f>
        <v>3.64</v>
      </c>
      <c r="E1440" s="274" t="s">
        <v>2642</v>
      </c>
      <c r="F1440" s="274"/>
      <c r="G1440" s="274"/>
      <c r="H1440" s="274"/>
      <c r="I1440" s="274">
        <v>0.25</v>
      </c>
      <c r="J1440" s="456">
        <f t="shared" si="46"/>
        <v>0.25</v>
      </c>
      <c r="K1440" s="583"/>
      <c r="L1440" s="268" t="s">
        <v>719</v>
      </c>
      <c r="M1440" s="268" t="s">
        <v>2634</v>
      </c>
      <c r="N1440" s="278">
        <f>IFERROR(INDEX('Data Lokasi'!S:S,MATCH('Input Real Tanam&amp;Petik Nanas'!C1440,'Data Lokasi'!C:C,0)),"")</f>
        <v>44231</v>
      </c>
      <c r="O1440" s="278"/>
      <c r="P1440" s="283">
        <f>IFERROR(INDEX('Data Lokasi'!V:V,MATCH(C1440,'Data Lokasi'!C:C,0)),"")</f>
        <v>0</v>
      </c>
      <c r="Q1440" s="304">
        <f t="shared" si="47"/>
        <v>0</v>
      </c>
      <c r="R1440" s="308"/>
    </row>
    <row r="1441" spans="2:18" ht="15" hidden="1" thickTop="1">
      <c r="B1441" s="269">
        <v>46265</v>
      </c>
      <c r="C1441" s="268" t="s">
        <v>267</v>
      </c>
      <c r="D1441" s="274">
        <f>IFERROR(VLOOKUP(C1441,'Data Lokasi'!C:D,2,0),"")</f>
        <v>8.44</v>
      </c>
      <c r="E1441" s="274" t="s">
        <v>2642</v>
      </c>
      <c r="F1441" s="274"/>
      <c r="G1441" s="274"/>
      <c r="H1441" s="274">
        <v>0.82</v>
      </c>
      <c r="I1441" s="274"/>
      <c r="J1441" s="456">
        <f t="shared" si="46"/>
        <v>0.82</v>
      </c>
      <c r="K1441" s="583"/>
      <c r="L1441" s="268" t="s">
        <v>719</v>
      </c>
      <c r="M1441" s="268" t="s">
        <v>2634</v>
      </c>
      <c r="N1441" s="278">
        <f>IFERROR(INDEX('Data Lokasi'!S:S,MATCH('Input Real Tanam&amp;Petik Nanas'!C1441,'Data Lokasi'!C:C,0)),"")</f>
        <v>44091</v>
      </c>
      <c r="O1441" s="278"/>
      <c r="P1441" s="283">
        <f>IFERROR(INDEX('Data Lokasi'!V:V,MATCH(C1441,'Data Lokasi'!C:C,0)),"")</f>
        <v>0</v>
      </c>
      <c r="Q1441" s="304">
        <f t="shared" si="47"/>
        <v>0</v>
      </c>
      <c r="R1441" s="308"/>
    </row>
    <row r="1442" spans="2:18" ht="15" hidden="1" thickTop="1">
      <c r="B1442" s="269">
        <v>46265</v>
      </c>
      <c r="C1442" s="268" t="s">
        <v>267</v>
      </c>
      <c r="D1442" s="274">
        <f>IFERROR(VLOOKUP(C1442,'Data Lokasi'!C:D,2,0),"")</f>
        <v>8.44</v>
      </c>
      <c r="E1442" s="274" t="s">
        <v>2642</v>
      </c>
      <c r="F1442" s="274"/>
      <c r="G1442" s="274"/>
      <c r="H1442" s="274"/>
      <c r="I1442" s="274">
        <v>1.1399999999999999</v>
      </c>
      <c r="J1442" s="456">
        <f t="shared" si="46"/>
        <v>1.1399999999999999</v>
      </c>
      <c r="K1442" s="583"/>
      <c r="L1442" s="268" t="s">
        <v>2625</v>
      </c>
      <c r="M1442" s="268" t="s">
        <v>2634</v>
      </c>
      <c r="N1442" s="278">
        <f>IFERROR(INDEX('Data Lokasi'!S:S,MATCH('Input Real Tanam&amp;Petik Nanas'!C1442,'Data Lokasi'!C:C,0)),"")</f>
        <v>44091</v>
      </c>
      <c r="O1442" s="278"/>
      <c r="P1442" s="283">
        <f>IFERROR(INDEX('Data Lokasi'!V:V,MATCH(C1442,'Data Lokasi'!C:C,0)),"")</f>
        <v>0</v>
      </c>
      <c r="Q1442" s="304">
        <f t="shared" si="47"/>
        <v>0</v>
      </c>
      <c r="R1442" s="308"/>
    </row>
    <row r="1443" spans="2:18" ht="15" hidden="1" thickTop="1">
      <c r="B1443" s="269">
        <v>46265</v>
      </c>
      <c r="C1443" s="268" t="s">
        <v>234</v>
      </c>
      <c r="D1443" s="274">
        <f>IFERROR(VLOOKUP(C1443,'Data Lokasi'!C:D,2,0),"")</f>
        <v>5.85</v>
      </c>
      <c r="E1443" s="274" t="s">
        <v>2642</v>
      </c>
      <c r="F1443" s="274"/>
      <c r="G1443" s="274"/>
      <c r="H1443" s="274"/>
      <c r="I1443" s="274">
        <v>0.04</v>
      </c>
      <c r="J1443" s="456">
        <f t="shared" si="46"/>
        <v>0.04</v>
      </c>
      <c r="K1443" s="583"/>
      <c r="L1443" s="268" t="s">
        <v>2625</v>
      </c>
      <c r="M1443" s="268" t="s">
        <v>2634</v>
      </c>
      <c r="N1443" s="278">
        <f>IFERROR(INDEX('Data Lokasi'!S:S,MATCH('Input Real Tanam&amp;Petik Nanas'!C1443,'Data Lokasi'!C:C,0)),"")</f>
        <v>44038</v>
      </c>
      <c r="O1443" s="278"/>
      <c r="P1443" s="283">
        <f>IFERROR(INDEX('Data Lokasi'!V:V,MATCH(C1443,'Data Lokasi'!C:C,0)),"")</f>
        <v>0</v>
      </c>
      <c r="Q1443" s="304">
        <f t="shared" si="47"/>
        <v>0</v>
      </c>
      <c r="R1443" s="308"/>
    </row>
    <row r="1444" spans="2:18" ht="15" hidden="1" thickTop="1">
      <c r="B1444" s="269">
        <v>46265</v>
      </c>
      <c r="C1444" s="317" t="s">
        <v>700</v>
      </c>
      <c r="D1444" s="274">
        <f>IFERROR(VLOOKUP(C1444,'Data Lokasi'!C:D,2,0),"")</f>
        <v>8.44</v>
      </c>
      <c r="E1444" s="274" t="s">
        <v>2642</v>
      </c>
      <c r="F1444" s="274"/>
      <c r="G1444" s="274"/>
      <c r="H1444" s="274"/>
      <c r="I1444" s="274">
        <v>0.06</v>
      </c>
      <c r="J1444" s="456">
        <f t="shared" si="46"/>
        <v>0.06</v>
      </c>
      <c r="K1444" s="583"/>
      <c r="L1444" s="268" t="s">
        <v>2625</v>
      </c>
      <c r="M1444" s="268" t="s">
        <v>2631</v>
      </c>
      <c r="N1444" s="278">
        <f>IFERROR(INDEX('Data Lokasi'!S:S,MATCH('Input Real Tanam&amp;Petik Nanas'!C1444,'Data Lokasi'!C:C,0)),"")</f>
        <v>45166</v>
      </c>
      <c r="O1444" s="278"/>
      <c r="P1444" s="283">
        <f>IFERROR(INDEX('Data Lokasi'!V:V,MATCH(C1444,'Data Lokasi'!C:C,0)),"")</f>
        <v>0</v>
      </c>
      <c r="Q1444" s="304">
        <f t="shared" si="47"/>
        <v>0</v>
      </c>
      <c r="R1444" s="308"/>
    </row>
    <row r="1445" spans="2:18" ht="15" hidden="1" thickTop="1">
      <c r="B1445" s="269">
        <v>46265</v>
      </c>
      <c r="C1445" s="268" t="s">
        <v>704</v>
      </c>
      <c r="D1445" s="274">
        <f>IFERROR(VLOOKUP(C1445,'Data Lokasi'!C:D,2,0),"")</f>
        <v>6.38</v>
      </c>
      <c r="E1445" s="274" t="s">
        <v>2642</v>
      </c>
      <c r="F1445" s="274"/>
      <c r="G1445" s="274"/>
      <c r="H1445" s="274"/>
      <c r="I1445" s="274">
        <v>0.16</v>
      </c>
      <c r="J1445" s="456">
        <f t="shared" si="46"/>
        <v>0.16</v>
      </c>
      <c r="K1445" s="583"/>
      <c r="L1445" s="268" t="s">
        <v>2625</v>
      </c>
      <c r="M1445" s="268" t="s">
        <v>2631</v>
      </c>
      <c r="N1445" s="278">
        <f>IFERROR(INDEX('Data Lokasi'!S:S,MATCH('Input Real Tanam&amp;Petik Nanas'!C1445,'Data Lokasi'!C:C,0)),"")</f>
        <v>45199</v>
      </c>
      <c r="O1445" s="278"/>
      <c r="P1445" s="283">
        <f>IFERROR(INDEX('Data Lokasi'!V:V,MATCH(C1445,'Data Lokasi'!C:C,0)),"")</f>
        <v>0</v>
      </c>
      <c r="Q1445" s="304">
        <f t="shared" si="47"/>
        <v>0</v>
      </c>
      <c r="R1445" s="308"/>
    </row>
    <row r="1446" spans="2:18" ht="15" hidden="1" thickTop="1">
      <c r="B1446" s="269">
        <v>46265</v>
      </c>
      <c r="C1446" s="268" t="s">
        <v>108</v>
      </c>
      <c r="D1446" s="274">
        <f>IFERROR(VLOOKUP(C1446,'Data Lokasi'!C:D,2,0),"")</f>
        <v>10.45</v>
      </c>
      <c r="E1446" s="274" t="s">
        <v>2642</v>
      </c>
      <c r="F1446" s="274"/>
      <c r="G1446" s="274"/>
      <c r="H1446" s="274"/>
      <c r="I1446" s="274">
        <v>0.4</v>
      </c>
      <c r="J1446" s="456">
        <f t="shared" si="46"/>
        <v>0.4</v>
      </c>
      <c r="K1446" s="583"/>
      <c r="L1446" s="268" t="s">
        <v>2625</v>
      </c>
      <c r="M1446" s="268" t="s">
        <v>2631</v>
      </c>
      <c r="N1446" s="278">
        <f>IFERROR(INDEX('Data Lokasi'!S:S,MATCH('Input Real Tanam&amp;Petik Nanas'!C1446,'Data Lokasi'!C:C,0)),"")</f>
        <v>44176</v>
      </c>
      <c r="O1446" s="278"/>
      <c r="P1446" s="283">
        <f>IFERROR(INDEX('Data Lokasi'!V:V,MATCH(C1446,'Data Lokasi'!C:C,0)),"")</f>
        <v>0</v>
      </c>
      <c r="Q1446" s="304">
        <f t="shared" si="47"/>
        <v>0</v>
      </c>
      <c r="R1446" s="308"/>
    </row>
    <row r="1447" spans="2:18" ht="15" hidden="1" thickTop="1">
      <c r="B1447" s="269">
        <v>46265</v>
      </c>
      <c r="C1447" s="268" t="s">
        <v>708</v>
      </c>
      <c r="D1447" s="274">
        <f>IFERROR(VLOOKUP(C1447,'Data Lokasi'!C:D,2,0),"")</f>
        <v>7.54</v>
      </c>
      <c r="E1447" s="274" t="s">
        <v>2642</v>
      </c>
      <c r="F1447" s="274"/>
      <c r="G1447" s="274"/>
      <c r="H1447" s="274"/>
      <c r="I1447" s="274">
        <v>0.55000000000000004</v>
      </c>
      <c r="J1447" s="456">
        <f t="shared" si="46"/>
        <v>0.55000000000000004</v>
      </c>
      <c r="K1447" s="583"/>
      <c r="L1447" s="268" t="s">
        <v>2625</v>
      </c>
      <c r="M1447" s="268" t="s">
        <v>2631</v>
      </c>
      <c r="N1447" s="278">
        <f>IFERROR(INDEX('Data Lokasi'!S:S,MATCH('Input Real Tanam&amp;Petik Nanas'!C1447,'Data Lokasi'!C:C,0)),"")</f>
        <v>45240</v>
      </c>
      <c r="O1447" s="278"/>
      <c r="P1447" s="283">
        <f>IFERROR(INDEX('Data Lokasi'!V:V,MATCH(C1447,'Data Lokasi'!C:C,0)),"")</f>
        <v>0</v>
      </c>
      <c r="Q1447" s="304">
        <f t="shared" si="47"/>
        <v>0</v>
      </c>
      <c r="R1447" s="308"/>
    </row>
    <row r="1448" spans="2:18" ht="15" hidden="1" thickTop="1">
      <c r="B1448" s="269">
        <v>46265</v>
      </c>
      <c r="C1448" s="268" t="s">
        <v>120</v>
      </c>
      <c r="D1448" s="274">
        <f>IFERROR(VLOOKUP(C1448,'Data Lokasi'!C:D,2,0),"")</f>
        <v>9.0399999999999991</v>
      </c>
      <c r="E1448" s="274" t="s">
        <v>2642</v>
      </c>
      <c r="F1448" s="274"/>
      <c r="G1448" s="274"/>
      <c r="H1448" s="274"/>
      <c r="I1448" s="274">
        <v>0.94</v>
      </c>
      <c r="J1448" s="456">
        <f t="shared" si="46"/>
        <v>0.94</v>
      </c>
      <c r="K1448" s="583"/>
      <c r="L1448" s="268" t="s">
        <v>2625</v>
      </c>
      <c r="M1448" s="268" t="s">
        <v>2631</v>
      </c>
      <c r="N1448" s="278">
        <f>IFERROR(INDEX('Data Lokasi'!S:S,MATCH('Input Real Tanam&amp;Petik Nanas'!C1448,'Data Lokasi'!C:C,0)),"")</f>
        <v>44184</v>
      </c>
      <c r="O1448" s="278"/>
      <c r="P1448" s="283">
        <f>IFERROR(INDEX('Data Lokasi'!V:V,MATCH(C1448,'Data Lokasi'!C:C,0)),"")</f>
        <v>0</v>
      </c>
      <c r="Q1448" s="304">
        <f t="shared" si="47"/>
        <v>0</v>
      </c>
      <c r="R1448" s="308"/>
    </row>
    <row r="1449" spans="2:18" ht="15" hidden="1" thickTop="1">
      <c r="B1449" s="269">
        <v>46265</v>
      </c>
      <c r="C1449" s="268" t="s">
        <v>149</v>
      </c>
      <c r="D1449" s="274">
        <f>IFERROR(VLOOKUP(C1449,'Data Lokasi'!C:D,2,0),"")</f>
        <v>5.37</v>
      </c>
      <c r="E1449" s="274" t="s">
        <v>2642</v>
      </c>
      <c r="F1449" s="274"/>
      <c r="G1449" s="274"/>
      <c r="H1449" s="274"/>
      <c r="I1449" s="274">
        <v>0.17</v>
      </c>
      <c r="J1449" s="456">
        <f t="shared" si="46"/>
        <v>0.17</v>
      </c>
      <c r="K1449" s="583"/>
      <c r="L1449" s="268" t="s">
        <v>2625</v>
      </c>
      <c r="M1449" s="268" t="s">
        <v>2631</v>
      </c>
      <c r="N1449" s="278">
        <f>IFERROR(INDEX('Data Lokasi'!S:S,MATCH('Input Real Tanam&amp;Petik Nanas'!C1449,'Data Lokasi'!C:C,0)),"")</f>
        <v>45295</v>
      </c>
      <c r="O1449" s="278"/>
      <c r="P1449" s="283">
        <f>IFERROR(INDEX('Data Lokasi'!V:V,MATCH(C1449,'Data Lokasi'!C:C,0)),"")</f>
        <v>0</v>
      </c>
      <c r="Q1449" s="304">
        <f t="shared" si="47"/>
        <v>0</v>
      </c>
      <c r="R1449" s="308"/>
    </row>
    <row r="1450" spans="2:18" ht="15" hidden="1" thickTop="1">
      <c r="B1450" s="269">
        <v>46265</v>
      </c>
      <c r="C1450" s="268" t="s">
        <v>710</v>
      </c>
      <c r="D1450" s="274">
        <f>IFERROR(VLOOKUP(C1450,'Data Lokasi'!C:D,2,0),"")</f>
        <v>8.3699999999999992</v>
      </c>
      <c r="E1450" s="274" t="s">
        <v>2642</v>
      </c>
      <c r="F1450" s="274"/>
      <c r="G1450" s="274"/>
      <c r="H1450" s="274"/>
      <c r="I1450" s="274">
        <v>0.22</v>
      </c>
      <c r="J1450" s="456">
        <f t="shared" si="46"/>
        <v>0.22</v>
      </c>
      <c r="K1450" s="583"/>
      <c r="L1450" s="268" t="s">
        <v>2625</v>
      </c>
      <c r="M1450" s="268" t="s">
        <v>2631</v>
      </c>
      <c r="N1450" s="278">
        <f>IFERROR(INDEX('Data Lokasi'!S:S,MATCH('Input Real Tanam&amp;Petik Nanas'!C1450,'Data Lokasi'!C:C,0)),"")</f>
        <v>45246</v>
      </c>
      <c r="O1450" s="278"/>
      <c r="P1450" s="283">
        <f>IFERROR(INDEX('Data Lokasi'!V:V,MATCH(C1450,'Data Lokasi'!C:C,0)),"")</f>
        <v>0</v>
      </c>
      <c r="Q1450" s="304">
        <f t="shared" si="47"/>
        <v>0</v>
      </c>
      <c r="R1450" s="308"/>
    </row>
    <row r="1451" spans="2:18" ht="15" hidden="1" thickTop="1">
      <c r="B1451" s="269">
        <v>46266</v>
      </c>
      <c r="C1451" s="268" t="s">
        <v>534</v>
      </c>
      <c r="D1451" s="274">
        <f>IFERROR(VLOOKUP(C1451,'Data Lokasi'!C:D,2,0),"")</f>
        <v>6.6</v>
      </c>
      <c r="E1451" s="274" t="s">
        <v>2643</v>
      </c>
      <c r="F1451" s="274"/>
      <c r="G1451" s="274">
        <v>0.02</v>
      </c>
      <c r="H1451" s="274">
        <f>0.05+0.12</f>
        <v>0.16999999999999998</v>
      </c>
      <c r="I1451" s="274"/>
      <c r="J1451" s="456">
        <f>IF(SUM(F1451:I1451)=0,"",(SUM(F1451:I1451)))</f>
        <v>0.18999999999999997</v>
      </c>
      <c r="K1451" s="583"/>
      <c r="L1451" s="268" t="s">
        <v>719</v>
      </c>
      <c r="M1451" s="268" t="s">
        <v>2631</v>
      </c>
      <c r="N1451" s="278">
        <f>IFERROR(INDEX('Data Lokasi'!S:S,MATCH('Input Real Tanam&amp;Petik Nanas'!C1451,'Data Lokasi'!C:C,0)),"")</f>
        <v>44639</v>
      </c>
      <c r="O1451" s="278"/>
      <c r="P1451" s="283">
        <f>IFERROR(INDEX('Data Lokasi'!V:V,MATCH(C1451,'Data Lokasi'!C:C,0)),"")</f>
        <v>0</v>
      </c>
      <c r="Q1451" s="304">
        <f t="shared" si="47"/>
        <v>0</v>
      </c>
      <c r="R1451" s="308">
        <v>4</v>
      </c>
    </row>
    <row r="1452" spans="2:18" ht="15" hidden="1" thickTop="1">
      <c r="B1452" s="269">
        <v>46266</v>
      </c>
      <c r="C1452" s="268" t="s">
        <v>472</v>
      </c>
      <c r="D1452" s="274">
        <f>IFERROR(VLOOKUP(C1452,'Data Lokasi'!C:D,2,0),"")</f>
        <v>14.38</v>
      </c>
      <c r="E1452" s="274" t="s">
        <v>2643</v>
      </c>
      <c r="F1452" s="274"/>
      <c r="G1452" s="274">
        <v>0.01</v>
      </c>
      <c r="H1452" s="274">
        <f>0.02+0.06</f>
        <v>0.08</v>
      </c>
      <c r="I1452" s="274"/>
      <c r="J1452" s="456">
        <f t="shared" si="46"/>
        <v>0.09</v>
      </c>
      <c r="K1452" s="583"/>
      <c r="L1452" s="268" t="s">
        <v>719</v>
      </c>
      <c r="M1452" s="268" t="s">
        <v>2631</v>
      </c>
      <c r="N1452" s="278">
        <f>IFERROR(INDEX('Data Lokasi'!S:S,MATCH('Input Real Tanam&amp;Petik Nanas'!C1452,'Data Lokasi'!C:C,0)),"")</f>
        <v>44487</v>
      </c>
      <c r="O1452" s="278"/>
      <c r="P1452" s="283">
        <f>IFERROR(INDEX('Data Lokasi'!V:V,MATCH(C1452,'Data Lokasi'!C:C,0)),"")</f>
        <v>0</v>
      </c>
      <c r="Q1452" s="304">
        <f t="shared" si="47"/>
        <v>0</v>
      </c>
      <c r="R1452" s="308">
        <v>2</v>
      </c>
    </row>
    <row r="1453" spans="2:18" ht="15" hidden="1" thickTop="1">
      <c r="B1453" s="269">
        <v>46266</v>
      </c>
      <c r="C1453" s="268" t="s">
        <v>535</v>
      </c>
      <c r="D1453" s="274">
        <f>IFERROR(VLOOKUP(C1453,'Data Lokasi'!C:D,2,0),"")</f>
        <v>11.3</v>
      </c>
      <c r="E1453" s="274" t="s">
        <v>2643</v>
      </c>
      <c r="F1453" s="274"/>
      <c r="G1453" s="274"/>
      <c r="H1453" s="274"/>
      <c r="I1453" s="274">
        <v>1.1399999999999999</v>
      </c>
      <c r="J1453" s="456">
        <f t="shared" si="46"/>
        <v>1.1399999999999999</v>
      </c>
      <c r="K1453" s="583"/>
      <c r="L1453" s="268" t="s">
        <v>2625</v>
      </c>
      <c r="M1453" s="268" t="s">
        <v>2631</v>
      </c>
      <c r="N1453" s="278">
        <f>IFERROR(INDEX('Data Lokasi'!S:S,MATCH('Input Real Tanam&amp;Petik Nanas'!C1453,'Data Lokasi'!C:C,0)),"")</f>
        <v>44639</v>
      </c>
      <c r="O1453" s="278"/>
      <c r="P1453" s="283">
        <f>IFERROR(INDEX('Data Lokasi'!V:V,MATCH(C1453,'Data Lokasi'!C:C,0)),"")</f>
        <v>0</v>
      </c>
      <c r="Q1453" s="304">
        <f t="shared" si="47"/>
        <v>0</v>
      </c>
      <c r="R1453" s="308"/>
    </row>
    <row r="1454" spans="2:18" ht="15" hidden="1" thickTop="1">
      <c r="B1454" s="269">
        <v>46266</v>
      </c>
      <c r="C1454" s="268" t="s">
        <v>478</v>
      </c>
      <c r="D1454" s="274">
        <f>IFERROR(VLOOKUP(C1454,'Data Lokasi'!C:D,2,0),"")</f>
        <v>6.8</v>
      </c>
      <c r="E1454" s="274" t="s">
        <v>2643</v>
      </c>
      <c r="F1454" s="274"/>
      <c r="G1454" s="274">
        <v>0.02</v>
      </c>
      <c r="H1454" s="274">
        <f>0.13+0.32</f>
        <v>0.45</v>
      </c>
      <c r="I1454" s="274"/>
      <c r="J1454" s="456">
        <f t="shared" si="46"/>
        <v>0.47000000000000003</v>
      </c>
      <c r="K1454" s="583"/>
      <c r="L1454" s="268" t="s">
        <v>719</v>
      </c>
      <c r="M1454" s="268" t="s">
        <v>2634</v>
      </c>
      <c r="N1454" s="278">
        <f>IFERROR(INDEX('Data Lokasi'!S:S,MATCH('Input Real Tanam&amp;Petik Nanas'!C1454,'Data Lokasi'!C:C,0)),"")</f>
        <v>44517</v>
      </c>
      <c r="O1454" s="278"/>
      <c r="P1454" s="283">
        <f>IFERROR(INDEX('Data Lokasi'!V:V,MATCH(C1454,'Data Lokasi'!C:C,0)),"")</f>
        <v>0</v>
      </c>
      <c r="Q1454" s="304">
        <f t="shared" si="47"/>
        <v>0</v>
      </c>
      <c r="R1454" s="308">
        <v>3</v>
      </c>
    </row>
    <row r="1455" spans="2:18" ht="15" hidden="1" thickTop="1">
      <c r="B1455" s="269">
        <v>46266</v>
      </c>
      <c r="C1455" s="268" t="s">
        <v>2306</v>
      </c>
      <c r="D1455" s="274">
        <f>IFERROR(VLOOKUP(C1455,'Data Lokasi'!C:D,2,0),"")</f>
        <v>5.87</v>
      </c>
      <c r="E1455" s="274" t="s">
        <v>2643</v>
      </c>
      <c r="F1455" s="274"/>
      <c r="G1455" s="274"/>
      <c r="H1455" s="274"/>
      <c r="I1455" s="274">
        <v>0.93</v>
      </c>
      <c r="J1455" s="456">
        <f t="shared" si="46"/>
        <v>0.93</v>
      </c>
      <c r="K1455" s="583"/>
      <c r="L1455" s="268" t="s">
        <v>2625</v>
      </c>
      <c r="M1455" s="268" t="s">
        <v>2631</v>
      </c>
      <c r="N1455" s="278">
        <f>IFERROR(INDEX('Data Lokasi'!S:S,MATCH('Input Real Tanam&amp;Petik Nanas'!C1455,'Data Lokasi'!C:C,0)),"")</f>
        <v>45762</v>
      </c>
      <c r="O1455" s="278"/>
      <c r="P1455" s="283">
        <f>IFERROR(INDEX('Data Lokasi'!V:V,MATCH(C1455,'Data Lokasi'!C:C,0)),"")</f>
        <v>0</v>
      </c>
      <c r="Q1455" s="304">
        <f t="shared" si="47"/>
        <v>0</v>
      </c>
      <c r="R1455" s="308"/>
    </row>
    <row r="1456" spans="2:18" ht="15" hidden="1" thickTop="1">
      <c r="B1456" s="269">
        <v>46267</v>
      </c>
      <c r="C1456" s="268" t="s">
        <v>535</v>
      </c>
      <c r="D1456" s="274">
        <f>IFERROR(VLOOKUP(C1456,'Data Lokasi'!C:D,2,0),"")</f>
        <v>11.3</v>
      </c>
      <c r="E1456" s="274" t="s">
        <v>2643</v>
      </c>
      <c r="F1456" s="274"/>
      <c r="G1456" s="274"/>
      <c r="H1456" s="274"/>
      <c r="I1456" s="274">
        <v>3.17</v>
      </c>
      <c r="J1456" s="456">
        <f t="shared" si="46"/>
        <v>3.17</v>
      </c>
      <c r="K1456" s="583"/>
      <c r="L1456" s="268" t="s">
        <v>2625</v>
      </c>
      <c r="M1456" s="268" t="s">
        <v>2631</v>
      </c>
      <c r="N1456" s="278">
        <f>IFERROR(INDEX('Data Lokasi'!S:S,MATCH('Input Real Tanam&amp;Petik Nanas'!C1456,'Data Lokasi'!C:C,0)),"")</f>
        <v>44639</v>
      </c>
      <c r="O1456" s="278"/>
      <c r="P1456" s="283">
        <f>IFERROR(INDEX('Data Lokasi'!V:V,MATCH(C1456,'Data Lokasi'!C:C,0)),"")</f>
        <v>0</v>
      </c>
      <c r="Q1456" s="304">
        <f t="shared" si="47"/>
        <v>0</v>
      </c>
      <c r="R1456" s="308"/>
    </row>
    <row r="1457" spans="2:18" ht="15" hidden="1" thickTop="1">
      <c r="B1457" s="269">
        <v>46267</v>
      </c>
      <c r="C1457" s="268" t="s">
        <v>477</v>
      </c>
      <c r="D1457" s="274">
        <f>IFERROR(VLOOKUP(C1457,'Data Lokasi'!C:D,2,0),"")</f>
        <v>6.05</v>
      </c>
      <c r="E1457" s="274" t="s">
        <v>2643</v>
      </c>
      <c r="F1457" s="274"/>
      <c r="G1457" s="274"/>
      <c r="H1457" s="274">
        <f>0.05+0.14</f>
        <v>0.19</v>
      </c>
      <c r="I1457" s="274"/>
      <c r="J1457" s="456">
        <f t="shared" si="46"/>
        <v>0.19</v>
      </c>
      <c r="K1457" s="583"/>
      <c r="L1457" s="268" t="s">
        <v>719</v>
      </c>
      <c r="M1457" s="268" t="s">
        <v>2634</v>
      </c>
      <c r="N1457" s="278">
        <f>IFERROR(INDEX('Data Lokasi'!S:S,MATCH('Input Real Tanam&amp;Petik Nanas'!C1457,'Data Lokasi'!C:C,0)),"")</f>
        <v>44508</v>
      </c>
      <c r="O1457" s="278"/>
      <c r="P1457" s="283">
        <f>IFERROR(INDEX('Data Lokasi'!V:V,MATCH(C1457,'Data Lokasi'!C:C,0)),"")</f>
        <v>0</v>
      </c>
      <c r="Q1457" s="304">
        <f t="shared" si="47"/>
        <v>0</v>
      </c>
      <c r="R1457" s="308">
        <v>2</v>
      </c>
    </row>
    <row r="1458" spans="2:18" ht="15" hidden="1" thickTop="1">
      <c r="B1458" s="269">
        <v>46267</v>
      </c>
      <c r="C1458" s="268" t="s">
        <v>431</v>
      </c>
      <c r="D1458" s="274">
        <f>IFERROR(VLOOKUP(C1458,'Data Lokasi'!C:D,2,0),"")</f>
        <v>4.17</v>
      </c>
      <c r="E1458" s="274" t="s">
        <v>2643</v>
      </c>
      <c r="F1458" s="274"/>
      <c r="G1458" s="274"/>
      <c r="H1458" s="274"/>
      <c r="I1458" s="274">
        <v>1.02</v>
      </c>
      <c r="J1458" s="456">
        <f t="shared" si="46"/>
        <v>1.02</v>
      </c>
      <c r="K1458" s="583"/>
      <c r="L1458" s="268" t="s">
        <v>2625</v>
      </c>
      <c r="M1458" s="268" t="s">
        <v>2634</v>
      </c>
      <c r="N1458" s="278">
        <f>IFERROR(INDEX('Data Lokasi'!S:S,MATCH('Input Real Tanam&amp;Petik Nanas'!C1458,'Data Lokasi'!C:C,0)),"")</f>
        <v>44407</v>
      </c>
      <c r="O1458" s="278"/>
      <c r="P1458" s="283">
        <f>IFERROR(INDEX('Data Lokasi'!V:V,MATCH(C1458,'Data Lokasi'!C:C,0)),"")</f>
        <v>0</v>
      </c>
      <c r="Q1458" s="304">
        <f t="shared" si="47"/>
        <v>0</v>
      </c>
      <c r="R1458" s="308"/>
    </row>
    <row r="1459" spans="2:18" ht="15" hidden="1" thickTop="1">
      <c r="B1459" s="269">
        <v>46267</v>
      </c>
      <c r="C1459" s="268" t="s">
        <v>2306</v>
      </c>
      <c r="D1459" s="274">
        <f>IFERROR(VLOOKUP(C1459,'Data Lokasi'!C:D,2,0),"")</f>
        <v>5.87</v>
      </c>
      <c r="E1459" s="274" t="s">
        <v>2643</v>
      </c>
      <c r="F1459" s="274"/>
      <c r="G1459" s="274"/>
      <c r="H1459" s="274"/>
      <c r="I1459" s="274">
        <v>0.09</v>
      </c>
      <c r="J1459" s="456">
        <f t="shared" si="46"/>
        <v>0.09</v>
      </c>
      <c r="K1459" s="583"/>
      <c r="L1459" s="268" t="s">
        <v>2625</v>
      </c>
      <c r="M1459" s="268" t="s">
        <v>2631</v>
      </c>
      <c r="N1459" s="278">
        <f>IFERROR(INDEX('Data Lokasi'!S:S,MATCH('Input Real Tanam&amp;Petik Nanas'!C1459,'Data Lokasi'!C:C,0)),"")</f>
        <v>45762</v>
      </c>
      <c r="O1459" s="278"/>
      <c r="P1459" s="283">
        <f>IFERROR(INDEX('Data Lokasi'!V:V,MATCH(C1459,'Data Lokasi'!C:C,0)),"")</f>
        <v>0</v>
      </c>
      <c r="Q1459" s="304">
        <f t="shared" si="47"/>
        <v>0</v>
      </c>
      <c r="R1459" s="308"/>
    </row>
    <row r="1460" spans="2:18" ht="15" hidden="1" thickTop="1">
      <c r="B1460" s="269">
        <v>46268</v>
      </c>
      <c r="C1460" s="268" t="s">
        <v>472</v>
      </c>
      <c r="D1460" s="274">
        <f>IFERROR(VLOOKUP(C1460,'Data Lokasi'!C:D,2,0),"")</f>
        <v>14.38</v>
      </c>
      <c r="E1460" s="274" t="s">
        <v>2643</v>
      </c>
      <c r="F1460" s="274"/>
      <c r="G1460" s="274">
        <v>6.0000000000000001E-3</v>
      </c>
      <c r="H1460" s="274">
        <f>0.02+0.06</f>
        <v>0.08</v>
      </c>
      <c r="I1460" s="274"/>
      <c r="J1460" s="456">
        <f t="shared" si="46"/>
        <v>8.6000000000000007E-2</v>
      </c>
      <c r="K1460" s="583"/>
      <c r="L1460" s="268" t="s">
        <v>719</v>
      </c>
      <c r="M1460" s="268" t="s">
        <v>2631</v>
      </c>
      <c r="N1460" s="278">
        <f>IFERROR(INDEX('Data Lokasi'!S:S,MATCH('Input Real Tanam&amp;Petik Nanas'!C1460,'Data Lokasi'!C:C,0)),"")</f>
        <v>44487</v>
      </c>
      <c r="O1460" s="278"/>
      <c r="P1460" s="283">
        <f>IFERROR(INDEX('Data Lokasi'!V:V,MATCH(C1460,'Data Lokasi'!C:C,0)),"")</f>
        <v>0</v>
      </c>
      <c r="Q1460" s="304">
        <f t="shared" si="47"/>
        <v>0</v>
      </c>
      <c r="R1460" s="308"/>
    </row>
    <row r="1461" spans="2:18" ht="15" hidden="1" thickTop="1">
      <c r="B1461" s="269">
        <v>46268</v>
      </c>
      <c r="C1461" s="268" t="s">
        <v>534</v>
      </c>
      <c r="D1461" s="274">
        <f>IFERROR(VLOOKUP(C1461,'Data Lokasi'!C:D,2,0),"")</f>
        <v>6.6</v>
      </c>
      <c r="E1461" s="274" t="s">
        <v>2643</v>
      </c>
      <c r="F1461" s="274"/>
      <c r="G1461" s="274">
        <v>0.01</v>
      </c>
      <c r="H1461" s="274">
        <v>0.05</v>
      </c>
      <c r="I1461" s="274"/>
      <c r="J1461" s="456">
        <f t="shared" si="46"/>
        <v>6.0000000000000005E-2</v>
      </c>
      <c r="K1461" s="583"/>
      <c r="L1461" s="268" t="s">
        <v>719</v>
      </c>
      <c r="M1461" s="268" t="s">
        <v>2631</v>
      </c>
      <c r="N1461" s="278">
        <f>IFERROR(INDEX('Data Lokasi'!S:S,MATCH('Input Real Tanam&amp;Petik Nanas'!C1461,'Data Lokasi'!C:C,0)),"")</f>
        <v>44639</v>
      </c>
      <c r="O1461" s="278"/>
      <c r="P1461" s="283">
        <f>IFERROR(INDEX('Data Lokasi'!V:V,MATCH(C1461,'Data Lokasi'!C:C,0)),"")</f>
        <v>0</v>
      </c>
      <c r="Q1461" s="304">
        <f t="shared" si="47"/>
        <v>0</v>
      </c>
      <c r="R1461" s="308"/>
    </row>
    <row r="1462" spans="2:18" ht="15" hidden="1" thickTop="1">
      <c r="B1462" s="269">
        <v>46268</v>
      </c>
      <c r="C1462" s="268" t="s">
        <v>371</v>
      </c>
      <c r="D1462" s="274">
        <f>IFERROR(VLOOKUP(C1462,'Data Lokasi'!C:D,2,0),"")</f>
        <v>7.06</v>
      </c>
      <c r="E1462" s="274" t="s">
        <v>2643</v>
      </c>
      <c r="F1462" s="274"/>
      <c r="G1462" s="274"/>
      <c r="H1462" s="274">
        <v>0.02</v>
      </c>
      <c r="I1462" s="274">
        <f>0.07+0.12</f>
        <v>0.19</v>
      </c>
      <c r="J1462" s="456">
        <f t="shared" si="46"/>
        <v>0.21</v>
      </c>
      <c r="K1462" s="583"/>
      <c r="L1462" s="268" t="s">
        <v>719</v>
      </c>
      <c r="M1462" s="268" t="s">
        <v>2634</v>
      </c>
      <c r="N1462" s="278">
        <f>IFERROR(INDEX('Data Lokasi'!S:S,MATCH('Input Real Tanam&amp;Petik Nanas'!C1462,'Data Lokasi'!C:C,0)),"")</f>
        <v>44335</v>
      </c>
      <c r="O1462" s="278"/>
      <c r="P1462" s="283">
        <f>IFERROR(INDEX('Data Lokasi'!V:V,MATCH(C1462,'Data Lokasi'!C:C,0)),"")</f>
        <v>0</v>
      </c>
      <c r="Q1462" s="304">
        <f t="shared" si="47"/>
        <v>0</v>
      </c>
      <c r="R1462" s="308"/>
    </row>
    <row r="1463" spans="2:18" ht="15" hidden="1" thickTop="1">
      <c r="B1463" s="269">
        <v>46268</v>
      </c>
      <c r="C1463" s="268" t="s">
        <v>395</v>
      </c>
      <c r="D1463" s="274">
        <f>IFERROR(VLOOKUP(C1463,'Data Lokasi'!C:D,2,0),"")</f>
        <v>6.32</v>
      </c>
      <c r="E1463" s="274" t="s">
        <v>2643</v>
      </c>
      <c r="F1463" s="274"/>
      <c r="G1463" s="274"/>
      <c r="H1463" s="274">
        <f>0.005+0.01</f>
        <v>1.4999999999999999E-2</v>
      </c>
      <c r="I1463" s="274">
        <f>0.03+0.04</f>
        <v>7.0000000000000007E-2</v>
      </c>
      <c r="J1463" s="456">
        <f t="shared" si="46"/>
        <v>8.5000000000000006E-2</v>
      </c>
      <c r="K1463" s="583"/>
      <c r="L1463" s="268" t="s">
        <v>719</v>
      </c>
      <c r="M1463" s="268" t="s">
        <v>2634</v>
      </c>
      <c r="N1463" s="278">
        <f>IFERROR(INDEX('Data Lokasi'!S:S,MATCH('Input Real Tanam&amp;Petik Nanas'!C1463,'Data Lokasi'!C:C,0)),"")</f>
        <v>44369</v>
      </c>
      <c r="O1463" s="278"/>
      <c r="P1463" s="283">
        <f>IFERROR(INDEX('Data Lokasi'!V:V,MATCH(C1463,'Data Lokasi'!C:C,0)),"")</f>
        <v>0</v>
      </c>
      <c r="Q1463" s="304">
        <f t="shared" si="47"/>
        <v>0</v>
      </c>
      <c r="R1463" s="308"/>
    </row>
    <row r="1464" spans="2:18" ht="15" hidden="1" thickTop="1">
      <c r="B1464" s="269">
        <v>46268</v>
      </c>
      <c r="C1464" s="268" t="s">
        <v>535</v>
      </c>
      <c r="D1464" s="274">
        <f>IFERROR(VLOOKUP(C1464,'Data Lokasi'!C:D,2,0),"")</f>
        <v>11.3</v>
      </c>
      <c r="E1464" s="274" t="s">
        <v>2643</v>
      </c>
      <c r="F1464" s="274"/>
      <c r="G1464" s="274"/>
      <c r="H1464" s="274"/>
      <c r="I1464" s="274">
        <v>0.75</v>
      </c>
      <c r="J1464" s="456">
        <f t="shared" si="46"/>
        <v>0.75</v>
      </c>
      <c r="K1464" s="583"/>
      <c r="L1464" s="268" t="s">
        <v>2625</v>
      </c>
      <c r="M1464" s="268" t="s">
        <v>2631</v>
      </c>
      <c r="N1464" s="278">
        <f>IFERROR(INDEX('Data Lokasi'!S:S,MATCH('Input Real Tanam&amp;Petik Nanas'!C1464,'Data Lokasi'!C:C,0)),"")</f>
        <v>44639</v>
      </c>
      <c r="O1464" s="278"/>
      <c r="P1464" s="283">
        <f>IFERROR(INDEX('Data Lokasi'!V:V,MATCH(C1464,'Data Lokasi'!C:C,0)),"")</f>
        <v>0</v>
      </c>
      <c r="Q1464" s="304">
        <f t="shared" si="47"/>
        <v>0</v>
      </c>
      <c r="R1464" s="308"/>
    </row>
    <row r="1465" spans="2:18" ht="15" hidden="1" thickTop="1">
      <c r="B1465" s="269">
        <v>46268</v>
      </c>
      <c r="C1465" s="268" t="s">
        <v>431</v>
      </c>
      <c r="D1465" s="274">
        <f>IFERROR(VLOOKUP(C1465,'Data Lokasi'!C:D,2,0),"")</f>
        <v>4.17</v>
      </c>
      <c r="E1465" s="274" t="s">
        <v>2643</v>
      </c>
      <c r="F1465" s="274"/>
      <c r="G1465" s="274"/>
      <c r="H1465" s="274"/>
      <c r="I1465" s="274">
        <v>0.52</v>
      </c>
      <c r="J1465" s="456">
        <f t="shared" si="46"/>
        <v>0.52</v>
      </c>
      <c r="K1465" s="583"/>
      <c r="L1465" s="268" t="s">
        <v>2625</v>
      </c>
      <c r="M1465" s="268" t="s">
        <v>2634</v>
      </c>
      <c r="N1465" s="278">
        <f>IFERROR(INDEX('Data Lokasi'!S:S,MATCH('Input Real Tanam&amp;Petik Nanas'!C1465,'Data Lokasi'!C:C,0)),"")</f>
        <v>44407</v>
      </c>
      <c r="O1465" s="278"/>
      <c r="P1465" s="283">
        <f>IFERROR(INDEX('Data Lokasi'!V:V,MATCH(C1465,'Data Lokasi'!C:C,0)),"")</f>
        <v>0</v>
      </c>
      <c r="Q1465" s="304">
        <f t="shared" si="47"/>
        <v>0</v>
      </c>
      <c r="R1465" s="308"/>
    </row>
    <row r="1466" spans="2:18" ht="15" hidden="1" thickTop="1">
      <c r="B1466" s="269">
        <v>46268</v>
      </c>
      <c r="C1466" s="268" t="s">
        <v>136</v>
      </c>
      <c r="D1466" s="274">
        <f>IFERROR(VLOOKUP(C1466,'Data Lokasi'!C:D,2,0),"")</f>
        <v>10.52</v>
      </c>
      <c r="E1466" s="274" t="s">
        <v>2643</v>
      </c>
      <c r="F1466" s="274"/>
      <c r="G1466" s="274"/>
      <c r="H1466" s="274"/>
      <c r="I1466" s="274">
        <v>0.95</v>
      </c>
      <c r="J1466" s="456">
        <f t="shared" si="46"/>
        <v>0.95</v>
      </c>
      <c r="K1466" s="583"/>
      <c r="L1466" s="268" t="s">
        <v>2625</v>
      </c>
      <c r="M1466" s="268" t="s">
        <v>2634</v>
      </c>
      <c r="N1466" s="278">
        <f>IFERROR(INDEX('Data Lokasi'!S:S,MATCH('Input Real Tanam&amp;Petik Nanas'!C1466,'Data Lokasi'!C:C,0)),"")</f>
        <v>44176</v>
      </c>
      <c r="O1466" s="278"/>
      <c r="P1466" s="283">
        <f>IFERROR(INDEX('Data Lokasi'!V:V,MATCH(C1466,'Data Lokasi'!C:C,0)),"")</f>
        <v>0</v>
      </c>
      <c r="Q1466" s="304">
        <f t="shared" si="47"/>
        <v>0</v>
      </c>
      <c r="R1466" s="308"/>
    </row>
    <row r="1467" spans="2:18" ht="15" hidden="1" thickTop="1">
      <c r="B1467" s="269">
        <v>46268</v>
      </c>
      <c r="C1467" s="268" t="s">
        <v>477</v>
      </c>
      <c r="D1467" s="274">
        <f>IFERROR(VLOOKUP(C1467,'Data Lokasi'!C:D,2,0),"")</f>
        <v>6.05</v>
      </c>
      <c r="E1467" s="274" t="s">
        <v>2643</v>
      </c>
      <c r="F1467" s="274"/>
      <c r="G1467" s="274">
        <v>0.01</v>
      </c>
      <c r="H1467" s="274">
        <f>0.12+0.25</f>
        <v>0.37</v>
      </c>
      <c r="I1467" s="274"/>
      <c r="J1467" s="456">
        <f t="shared" si="46"/>
        <v>0.38</v>
      </c>
      <c r="K1467" s="583"/>
      <c r="L1467" s="268" t="s">
        <v>719</v>
      </c>
      <c r="M1467" s="268" t="s">
        <v>2634</v>
      </c>
      <c r="N1467" s="278">
        <f>IFERROR(INDEX('Data Lokasi'!S:S,MATCH('Input Real Tanam&amp;Petik Nanas'!C1467,'Data Lokasi'!C:C,0)),"")</f>
        <v>44508</v>
      </c>
      <c r="O1467" s="278"/>
      <c r="P1467" s="283">
        <f>IFERROR(INDEX('Data Lokasi'!V:V,MATCH(C1467,'Data Lokasi'!C:C,0)),"")</f>
        <v>0</v>
      </c>
      <c r="Q1467" s="304">
        <f t="shared" si="47"/>
        <v>0</v>
      </c>
      <c r="R1467" s="308">
        <v>2</v>
      </c>
    </row>
    <row r="1468" spans="2:18" ht="15" hidden="1" thickTop="1">
      <c r="B1468" s="269">
        <v>46269</v>
      </c>
      <c r="C1468" s="268" t="s">
        <v>498</v>
      </c>
      <c r="D1468" s="274">
        <f>IFERROR(VLOOKUP(C1468,'Data Lokasi'!C:D,2,0),"")</f>
        <v>7.82</v>
      </c>
      <c r="E1468" s="274" t="s">
        <v>2643</v>
      </c>
      <c r="F1468" s="274"/>
      <c r="G1468" s="274">
        <v>0.09</v>
      </c>
      <c r="H1468" s="274">
        <v>0.26</v>
      </c>
      <c r="I1468" s="274"/>
      <c r="J1468" s="456">
        <f t="shared" si="46"/>
        <v>0.35</v>
      </c>
      <c r="K1468" s="583"/>
      <c r="L1468" s="268" t="s">
        <v>719</v>
      </c>
      <c r="M1468" s="268" t="s">
        <v>2631</v>
      </c>
      <c r="N1468" s="278">
        <f>IFERROR(INDEX('Data Lokasi'!S:S,MATCH('Input Real Tanam&amp;Petik Nanas'!C1468,'Data Lokasi'!C:C,0)),"")</f>
        <v>44568</v>
      </c>
      <c r="O1468" s="278"/>
      <c r="P1468" s="283">
        <f>IFERROR(INDEX('Data Lokasi'!V:V,MATCH(C1468,'Data Lokasi'!C:C,0)),"")</f>
        <v>0</v>
      </c>
      <c r="Q1468" s="304">
        <f t="shared" si="47"/>
        <v>0</v>
      </c>
      <c r="R1468" s="308"/>
    </row>
    <row r="1469" spans="2:18" ht="15" hidden="1" thickTop="1">
      <c r="B1469" s="269">
        <v>46269</v>
      </c>
      <c r="C1469" s="268" t="s">
        <v>534</v>
      </c>
      <c r="D1469" s="274">
        <f>IFERROR(VLOOKUP(C1469,'Data Lokasi'!C:D,2,0),"")</f>
        <v>6.6</v>
      </c>
      <c r="E1469" s="274" t="s">
        <v>2643</v>
      </c>
      <c r="F1469" s="274"/>
      <c r="G1469" s="274">
        <v>0.03</v>
      </c>
      <c r="H1469" s="274">
        <v>0.08</v>
      </c>
      <c r="I1469" s="274"/>
      <c r="J1469" s="456">
        <f t="shared" si="46"/>
        <v>0.11</v>
      </c>
      <c r="K1469" s="583"/>
      <c r="L1469" s="268" t="s">
        <v>719</v>
      </c>
      <c r="M1469" s="268" t="s">
        <v>2631</v>
      </c>
      <c r="N1469" s="278">
        <f>IFERROR(INDEX('Data Lokasi'!S:S,MATCH('Input Real Tanam&amp;Petik Nanas'!C1469,'Data Lokasi'!C:C,0)),"")</f>
        <v>44639</v>
      </c>
      <c r="O1469" s="278"/>
      <c r="P1469" s="283">
        <f>IFERROR(INDEX('Data Lokasi'!V:V,MATCH(C1469,'Data Lokasi'!C:C,0)),"")</f>
        <v>0</v>
      </c>
      <c r="Q1469" s="304">
        <f t="shared" si="47"/>
        <v>0</v>
      </c>
      <c r="R1469" s="308"/>
    </row>
    <row r="1470" spans="2:18" ht="15" hidden="1" thickTop="1">
      <c r="B1470" s="269">
        <v>46269</v>
      </c>
      <c r="C1470" s="268" t="s">
        <v>360</v>
      </c>
      <c r="D1470" s="274">
        <f>IFERROR(VLOOKUP(C1470,'Data Lokasi'!C:D,2,0),"")</f>
        <v>10.66</v>
      </c>
      <c r="E1470" s="274" t="s">
        <v>2643</v>
      </c>
      <c r="F1470" s="274"/>
      <c r="G1470" s="274"/>
      <c r="H1470" s="274">
        <f>0.03+0.1</f>
        <v>0.13</v>
      </c>
      <c r="I1470" s="274">
        <f>0.13+0.14</f>
        <v>0.27</v>
      </c>
      <c r="J1470" s="456">
        <f t="shared" si="46"/>
        <v>0.4</v>
      </c>
      <c r="K1470" s="583"/>
      <c r="L1470" s="268" t="s">
        <v>719</v>
      </c>
      <c r="M1470" s="268" t="s">
        <v>2631</v>
      </c>
      <c r="N1470" s="278">
        <f>IFERROR(INDEX('Data Lokasi'!S:S,MATCH('Input Real Tanam&amp;Petik Nanas'!C1470,'Data Lokasi'!C:C,0)),"")</f>
        <v>44300</v>
      </c>
      <c r="O1470" s="278"/>
      <c r="P1470" s="283">
        <f>IFERROR(INDEX('Data Lokasi'!V:V,MATCH(C1470,'Data Lokasi'!C:C,0)),"")</f>
        <v>0</v>
      </c>
      <c r="Q1470" s="304">
        <f t="shared" si="47"/>
        <v>0</v>
      </c>
      <c r="R1470" s="308"/>
    </row>
    <row r="1471" spans="2:18" ht="15" hidden="1" thickTop="1">
      <c r="B1471" s="269">
        <v>46269</v>
      </c>
      <c r="C1471" s="268" t="s">
        <v>477</v>
      </c>
      <c r="D1471" s="274">
        <f>IFERROR(VLOOKUP(C1471,'Data Lokasi'!C:D,2,0),"")</f>
        <v>6.05</v>
      </c>
      <c r="E1471" s="274" t="s">
        <v>2643</v>
      </c>
      <c r="F1471" s="274"/>
      <c r="G1471" s="274"/>
      <c r="H1471" s="274">
        <v>0.03</v>
      </c>
      <c r="I1471" s="274"/>
      <c r="J1471" s="456">
        <f t="shared" si="46"/>
        <v>0.03</v>
      </c>
      <c r="K1471" s="583"/>
      <c r="L1471" s="268" t="s">
        <v>719</v>
      </c>
      <c r="M1471" s="268" t="s">
        <v>2634</v>
      </c>
      <c r="N1471" s="278">
        <f>IFERROR(INDEX('Data Lokasi'!S:S,MATCH('Input Real Tanam&amp;Petik Nanas'!C1471,'Data Lokasi'!C:C,0)),"")</f>
        <v>44508</v>
      </c>
      <c r="O1471" s="278"/>
      <c r="P1471" s="283">
        <f>IFERROR(INDEX('Data Lokasi'!V:V,MATCH(C1471,'Data Lokasi'!C:C,0)),"")</f>
        <v>0</v>
      </c>
      <c r="Q1471" s="304">
        <f t="shared" si="47"/>
        <v>0</v>
      </c>
      <c r="R1471" s="308"/>
    </row>
    <row r="1472" spans="2:18" ht="15" hidden="1" thickTop="1">
      <c r="B1472" s="269">
        <v>46269</v>
      </c>
      <c r="C1472" s="268" t="s">
        <v>523</v>
      </c>
      <c r="D1472" s="274">
        <f>IFERROR(VLOOKUP(C1472,'Data Lokasi'!C:D,2,0),"")</f>
        <v>8.73</v>
      </c>
      <c r="E1472" s="274" t="s">
        <v>2643</v>
      </c>
      <c r="F1472" s="274"/>
      <c r="G1472" s="274"/>
      <c r="H1472" s="274">
        <v>0.09</v>
      </c>
      <c r="I1472" s="274"/>
      <c r="J1472" s="456">
        <f t="shared" si="46"/>
        <v>0.09</v>
      </c>
      <c r="K1472" s="583"/>
      <c r="L1472" s="268" t="s">
        <v>719</v>
      </c>
      <c r="M1472" s="268" t="s">
        <v>2634</v>
      </c>
      <c r="N1472" s="278">
        <f>IFERROR(INDEX('Data Lokasi'!S:S,MATCH('Input Real Tanam&amp;Petik Nanas'!C1472,'Data Lokasi'!C:C,0)),"")</f>
        <v>44600</v>
      </c>
      <c r="O1472" s="278"/>
      <c r="P1472" s="283">
        <f>IFERROR(INDEX('Data Lokasi'!V:V,MATCH(C1472,'Data Lokasi'!C:C,0)),"")</f>
        <v>0</v>
      </c>
      <c r="Q1472" s="304">
        <f t="shared" si="47"/>
        <v>0</v>
      </c>
      <c r="R1472" s="308">
        <v>1</v>
      </c>
    </row>
    <row r="1473" spans="2:18" ht="15" hidden="1" thickTop="1">
      <c r="B1473" s="269">
        <v>46269</v>
      </c>
      <c r="C1473" s="268" t="s">
        <v>136</v>
      </c>
      <c r="D1473" s="274">
        <f>IFERROR(VLOOKUP(C1473,'Data Lokasi'!C:D,2,0),"")</f>
        <v>10.52</v>
      </c>
      <c r="E1473" s="274" t="s">
        <v>2643</v>
      </c>
      <c r="F1473" s="274"/>
      <c r="G1473" s="274"/>
      <c r="H1473" s="274"/>
      <c r="I1473" s="274">
        <v>1.83</v>
      </c>
      <c r="J1473" s="456">
        <f t="shared" si="46"/>
        <v>1.83</v>
      </c>
      <c r="K1473" s="583"/>
      <c r="L1473" s="268" t="s">
        <v>2625</v>
      </c>
      <c r="M1473" s="268" t="s">
        <v>2634</v>
      </c>
      <c r="N1473" s="278">
        <f>IFERROR(INDEX('Data Lokasi'!S:S,MATCH('Input Real Tanam&amp;Petik Nanas'!C1473,'Data Lokasi'!C:C,0)),"")</f>
        <v>44176</v>
      </c>
      <c r="O1473" s="278"/>
      <c r="P1473" s="283">
        <f>IFERROR(INDEX('Data Lokasi'!V:V,MATCH(C1473,'Data Lokasi'!C:C,0)),"")</f>
        <v>0</v>
      </c>
      <c r="Q1473" s="304">
        <f t="shared" si="47"/>
        <v>0</v>
      </c>
      <c r="R1473" s="308"/>
    </row>
    <row r="1474" spans="2:18" ht="15" hidden="1" thickTop="1">
      <c r="B1474" s="269">
        <v>46269</v>
      </c>
      <c r="C1474" s="268" t="s">
        <v>540</v>
      </c>
      <c r="D1474" s="274">
        <f>IFERROR(VLOOKUP(C1474,'Data Lokasi'!C:D,2,0),"")</f>
        <v>9.9499999999999993</v>
      </c>
      <c r="E1474" s="274" t="s">
        <v>2643</v>
      </c>
      <c r="F1474" s="274"/>
      <c r="G1474" s="274"/>
      <c r="H1474" s="274"/>
      <c r="I1474" s="274">
        <v>1.1200000000000001</v>
      </c>
      <c r="J1474" s="456">
        <f t="shared" si="46"/>
        <v>1.1200000000000001</v>
      </c>
      <c r="K1474" s="583"/>
      <c r="L1474" s="268" t="s">
        <v>2625</v>
      </c>
      <c r="M1474" s="268" t="s">
        <v>2634</v>
      </c>
      <c r="N1474" s="278">
        <f>IFERROR(INDEX('Data Lokasi'!S:S,MATCH('Input Real Tanam&amp;Petik Nanas'!C1474,'Data Lokasi'!C:C,0)),"")</f>
        <v>44642</v>
      </c>
      <c r="O1474" s="278"/>
      <c r="P1474" s="283">
        <f>IFERROR(INDEX('Data Lokasi'!V:V,MATCH(C1474,'Data Lokasi'!C:C,0)),"")</f>
        <v>0</v>
      </c>
      <c r="Q1474" s="304">
        <f t="shared" si="47"/>
        <v>0</v>
      </c>
      <c r="R1474" s="308"/>
    </row>
    <row r="1475" spans="2:18" ht="15" hidden="1" thickTop="1">
      <c r="B1475" s="269">
        <v>46270</v>
      </c>
      <c r="C1475" s="268" t="s">
        <v>523</v>
      </c>
      <c r="D1475" s="274">
        <f>IFERROR(VLOOKUP(C1475,'Data Lokasi'!C:D,2,0),"")</f>
        <v>8.73</v>
      </c>
      <c r="E1475" s="274" t="s">
        <v>2643</v>
      </c>
      <c r="F1475" s="274"/>
      <c r="G1475" s="274">
        <v>0.01</v>
      </c>
      <c r="H1475" s="274">
        <f>0.13+0.14</f>
        <v>0.27</v>
      </c>
      <c r="I1475" s="274"/>
      <c r="J1475" s="456">
        <f t="shared" si="46"/>
        <v>0.28000000000000003</v>
      </c>
      <c r="K1475" s="583"/>
      <c r="L1475" s="268" t="s">
        <v>719</v>
      </c>
      <c r="M1475" s="268" t="s">
        <v>2634</v>
      </c>
      <c r="N1475" s="278">
        <f>IFERROR(INDEX('Data Lokasi'!S:S,MATCH('Input Real Tanam&amp;Petik Nanas'!C1475,'Data Lokasi'!C:C,0)),"")</f>
        <v>44600</v>
      </c>
      <c r="O1475" s="278"/>
      <c r="P1475" s="283">
        <f>IFERROR(INDEX('Data Lokasi'!V:V,MATCH(C1475,'Data Lokasi'!C:C,0)),"")</f>
        <v>0</v>
      </c>
      <c r="Q1475" s="304">
        <f t="shared" si="47"/>
        <v>0</v>
      </c>
      <c r="R1475" s="308">
        <v>1</v>
      </c>
    </row>
    <row r="1476" spans="2:18" ht="15" hidden="1" thickTop="1">
      <c r="B1476" s="269">
        <v>46270</v>
      </c>
      <c r="C1476" s="268" t="s">
        <v>136</v>
      </c>
      <c r="D1476" s="274">
        <f>IFERROR(VLOOKUP(C1476,'Data Lokasi'!C:D,2,0),"")</f>
        <v>10.52</v>
      </c>
      <c r="E1476" s="274" t="s">
        <v>2643</v>
      </c>
      <c r="F1476" s="274"/>
      <c r="G1476" s="274"/>
      <c r="H1476" s="274"/>
      <c r="I1476" s="274">
        <v>0.69</v>
      </c>
      <c r="J1476" s="456">
        <f t="shared" si="46"/>
        <v>0.69</v>
      </c>
      <c r="K1476" s="583"/>
      <c r="L1476" s="268" t="s">
        <v>2625</v>
      </c>
      <c r="M1476" s="268" t="s">
        <v>2634</v>
      </c>
      <c r="N1476" s="278">
        <f>IFERROR(INDEX('Data Lokasi'!S:S,MATCH('Input Real Tanam&amp;Petik Nanas'!C1476,'Data Lokasi'!C:C,0)),"")</f>
        <v>44176</v>
      </c>
      <c r="O1476" s="278"/>
      <c r="P1476" s="283">
        <f>IFERROR(INDEX('Data Lokasi'!V:V,MATCH(C1476,'Data Lokasi'!C:C,0)),"")</f>
        <v>0</v>
      </c>
      <c r="Q1476" s="304">
        <f t="shared" si="47"/>
        <v>0</v>
      </c>
      <c r="R1476" s="308"/>
    </row>
    <row r="1477" spans="2:18" ht="15" hidden="1" thickTop="1">
      <c r="B1477" s="269">
        <v>46270</v>
      </c>
      <c r="C1477" s="268" t="s">
        <v>540</v>
      </c>
      <c r="D1477" s="274">
        <f>IFERROR(VLOOKUP(C1477,'Data Lokasi'!C:D,2,0),"")</f>
        <v>9.9499999999999993</v>
      </c>
      <c r="E1477" s="274" t="s">
        <v>2643</v>
      </c>
      <c r="F1477" s="274"/>
      <c r="G1477" s="274"/>
      <c r="H1477" s="274"/>
      <c r="I1477" s="274">
        <v>1.99</v>
      </c>
      <c r="J1477" s="456">
        <f t="shared" si="46"/>
        <v>1.99</v>
      </c>
      <c r="K1477" s="583"/>
      <c r="L1477" s="268" t="s">
        <v>2625</v>
      </c>
      <c r="M1477" s="268" t="s">
        <v>2634</v>
      </c>
      <c r="N1477" s="278">
        <f>IFERROR(INDEX('Data Lokasi'!S:S,MATCH('Input Real Tanam&amp;Petik Nanas'!C1477,'Data Lokasi'!C:C,0)),"")</f>
        <v>44642</v>
      </c>
      <c r="O1477" s="278"/>
      <c r="P1477" s="283">
        <f>IFERROR(INDEX('Data Lokasi'!V:V,MATCH(C1477,'Data Lokasi'!C:C,0)),"")</f>
        <v>0</v>
      </c>
      <c r="Q1477" s="304">
        <f t="shared" si="47"/>
        <v>0</v>
      </c>
      <c r="R1477" s="308"/>
    </row>
    <row r="1478" spans="2:18" ht="15" hidden="1" thickTop="1">
      <c r="B1478" s="269">
        <v>46270</v>
      </c>
      <c r="C1478" s="268" t="s">
        <v>498</v>
      </c>
      <c r="D1478" s="274">
        <f>IFERROR(VLOOKUP(C1478,'Data Lokasi'!C:D,2,0),"")</f>
        <v>7.82</v>
      </c>
      <c r="E1478" s="274" t="s">
        <v>2643</v>
      </c>
      <c r="F1478" s="274"/>
      <c r="G1478" s="274">
        <v>0.09</v>
      </c>
      <c r="H1478" s="274">
        <f>0.13+0.16</f>
        <v>0.29000000000000004</v>
      </c>
      <c r="I1478" s="274"/>
      <c r="J1478" s="456">
        <f t="shared" si="46"/>
        <v>0.38</v>
      </c>
      <c r="K1478" s="583"/>
      <c r="L1478" s="268" t="s">
        <v>719</v>
      </c>
      <c r="M1478" s="268" t="s">
        <v>2631</v>
      </c>
      <c r="N1478" s="278">
        <f>IFERROR(INDEX('Data Lokasi'!S:S,MATCH('Input Real Tanam&amp;Petik Nanas'!C1478,'Data Lokasi'!C:C,0)),"")</f>
        <v>44568</v>
      </c>
      <c r="O1478" s="278"/>
      <c r="P1478" s="283">
        <f>IFERROR(INDEX('Data Lokasi'!V:V,MATCH(C1478,'Data Lokasi'!C:C,0)),"")</f>
        <v>0</v>
      </c>
      <c r="Q1478" s="304">
        <f t="shared" si="47"/>
        <v>0</v>
      </c>
      <c r="R1478" s="308"/>
    </row>
    <row r="1479" spans="2:18" ht="15" hidden="1" thickTop="1">
      <c r="B1479" s="269">
        <v>46270</v>
      </c>
      <c r="C1479" s="268" t="s">
        <v>360</v>
      </c>
      <c r="D1479" s="274">
        <f>IFERROR(VLOOKUP(C1479,'Data Lokasi'!C:D,2,0),"")</f>
        <v>10.66</v>
      </c>
      <c r="E1479" s="274" t="s">
        <v>2643</v>
      </c>
      <c r="F1479" s="274"/>
      <c r="G1479" s="274"/>
      <c r="H1479" s="274">
        <f>0.02+0.1</f>
        <v>0.12000000000000001</v>
      </c>
      <c r="I1479" s="274">
        <f>0.15+0.18</f>
        <v>0.32999999999999996</v>
      </c>
      <c r="J1479" s="456">
        <f t="shared" si="46"/>
        <v>0.44999999999999996</v>
      </c>
      <c r="K1479" s="583"/>
      <c r="L1479" s="268" t="s">
        <v>719</v>
      </c>
      <c r="M1479" s="268" t="s">
        <v>2631</v>
      </c>
      <c r="N1479" s="278">
        <f>IFERROR(INDEX('Data Lokasi'!S:S,MATCH('Input Real Tanam&amp;Petik Nanas'!C1479,'Data Lokasi'!C:C,0)),"")</f>
        <v>44300</v>
      </c>
      <c r="O1479" s="278"/>
      <c r="P1479" s="283">
        <f>IFERROR(INDEX('Data Lokasi'!V:V,MATCH(C1479,'Data Lokasi'!C:C,0)),"")</f>
        <v>0</v>
      </c>
      <c r="Q1479" s="304">
        <f t="shared" si="47"/>
        <v>0</v>
      </c>
      <c r="R1479" s="308"/>
    </row>
    <row r="1480" spans="2:18" ht="15" hidden="1" thickTop="1">
      <c r="B1480" s="269">
        <v>46270</v>
      </c>
      <c r="C1480" s="268" t="s">
        <v>492</v>
      </c>
      <c r="D1480" s="274">
        <f>IFERROR(VLOOKUP(C1480,'Data Lokasi'!C:D,2,0),"")</f>
        <v>9.2100000000000009</v>
      </c>
      <c r="E1480" s="274" t="s">
        <v>2643</v>
      </c>
      <c r="F1480" s="274"/>
      <c r="G1480" s="274">
        <f>0.007+0.03</f>
        <v>3.6999999999999998E-2</v>
      </c>
      <c r="H1480" s="274">
        <f>0.09+0.15</f>
        <v>0.24</v>
      </c>
      <c r="I1480" s="274"/>
      <c r="J1480" s="456">
        <f t="shared" si="46"/>
        <v>0.27699999999999997</v>
      </c>
      <c r="K1480" s="583"/>
      <c r="L1480" s="268" t="s">
        <v>719</v>
      </c>
      <c r="M1480" s="268" t="s">
        <v>2631</v>
      </c>
      <c r="N1480" s="278">
        <f>IFERROR(INDEX('Data Lokasi'!S:S,MATCH('Input Real Tanam&amp;Petik Nanas'!C1480,'Data Lokasi'!C:C,0)),"")</f>
        <v>44536</v>
      </c>
      <c r="O1480" s="278"/>
      <c r="P1480" s="283">
        <f>IFERROR(INDEX('Data Lokasi'!V:V,MATCH(C1480,'Data Lokasi'!C:C,0)),"")</f>
        <v>0</v>
      </c>
      <c r="Q1480" s="304">
        <f t="shared" si="47"/>
        <v>0</v>
      </c>
      <c r="R1480" s="308">
        <v>3</v>
      </c>
    </row>
    <row r="1481" spans="2:18" ht="15" hidden="1" thickTop="1">
      <c r="B1481" s="269">
        <v>46271</v>
      </c>
      <c r="C1481" s="268" t="s">
        <v>523</v>
      </c>
      <c r="D1481" s="274">
        <f>IFERROR(VLOOKUP(C1481,'Data Lokasi'!C:D,2,0),"")</f>
        <v>8.73</v>
      </c>
      <c r="E1481" s="274" t="s">
        <v>2643</v>
      </c>
      <c r="F1481" s="274"/>
      <c r="G1481" s="274">
        <v>0.03</v>
      </c>
      <c r="H1481" s="274">
        <f>0.06+0.1</f>
        <v>0.16</v>
      </c>
      <c r="I1481" s="274"/>
      <c r="J1481" s="456">
        <f t="shared" si="46"/>
        <v>0.19</v>
      </c>
      <c r="K1481" s="583"/>
      <c r="L1481" s="268" t="s">
        <v>719</v>
      </c>
      <c r="M1481" s="268" t="s">
        <v>2634</v>
      </c>
      <c r="N1481" s="278">
        <f>IFERROR(INDEX('Data Lokasi'!S:S,MATCH('Input Real Tanam&amp;Petik Nanas'!C1481,'Data Lokasi'!C:C,0)),"")</f>
        <v>44600</v>
      </c>
      <c r="O1481" s="278"/>
      <c r="P1481" s="283">
        <f>IFERROR(INDEX('Data Lokasi'!V:V,MATCH(C1481,'Data Lokasi'!C:C,0)),"")</f>
        <v>0</v>
      </c>
      <c r="Q1481" s="304">
        <f t="shared" si="47"/>
        <v>0</v>
      </c>
      <c r="R1481" s="308">
        <v>1</v>
      </c>
    </row>
    <row r="1482" spans="2:18" ht="15" hidden="1" thickTop="1">
      <c r="B1482" s="269">
        <v>46271</v>
      </c>
      <c r="C1482" s="268" t="s">
        <v>540</v>
      </c>
      <c r="D1482" s="274">
        <f>IFERROR(VLOOKUP(C1482,'Data Lokasi'!C:D,2,0),"")</f>
        <v>9.9499999999999993</v>
      </c>
      <c r="E1482" s="274" t="s">
        <v>2643</v>
      </c>
      <c r="F1482" s="274"/>
      <c r="G1482" s="274"/>
      <c r="H1482" s="274"/>
      <c r="I1482" s="274">
        <v>2.48</v>
      </c>
      <c r="J1482" s="456">
        <f t="shared" si="46"/>
        <v>2.48</v>
      </c>
      <c r="K1482" s="583"/>
      <c r="L1482" s="268" t="s">
        <v>2625</v>
      </c>
      <c r="M1482" s="268" t="s">
        <v>2634</v>
      </c>
      <c r="N1482" s="278">
        <f>IFERROR(INDEX('Data Lokasi'!S:S,MATCH('Input Real Tanam&amp;Petik Nanas'!C1482,'Data Lokasi'!C:C,0)),"")</f>
        <v>44642</v>
      </c>
      <c r="O1482" s="278"/>
      <c r="P1482" s="283">
        <f>IFERROR(INDEX('Data Lokasi'!V:V,MATCH(C1482,'Data Lokasi'!C:C,0)),"")</f>
        <v>0</v>
      </c>
      <c r="Q1482" s="304">
        <f t="shared" si="47"/>
        <v>0</v>
      </c>
      <c r="R1482" s="308"/>
    </row>
    <row r="1483" spans="2:18" ht="15" hidden="1" thickTop="1">
      <c r="B1483" s="269">
        <v>46271</v>
      </c>
      <c r="C1483" s="268" t="s">
        <v>354</v>
      </c>
      <c r="D1483" s="274">
        <f>IFERROR(VLOOKUP(C1483,'Data Lokasi'!C:D,2,0),"")</f>
        <v>12.94</v>
      </c>
      <c r="E1483" s="274" t="s">
        <v>2643</v>
      </c>
      <c r="F1483" s="274"/>
      <c r="G1483" s="274"/>
      <c r="H1483" s="274">
        <f>0.02+0.07</f>
        <v>9.0000000000000011E-2</v>
      </c>
      <c r="I1483" s="274">
        <f>0.12+0.39</f>
        <v>0.51</v>
      </c>
      <c r="J1483" s="456">
        <f t="shared" si="46"/>
        <v>0.6</v>
      </c>
      <c r="K1483" s="583"/>
      <c r="L1483" s="268" t="s">
        <v>719</v>
      </c>
      <c r="M1483" s="268" t="s">
        <v>2634</v>
      </c>
      <c r="N1483" s="278">
        <f>IFERROR(INDEX('Data Lokasi'!S:S,MATCH('Input Real Tanam&amp;Petik Nanas'!C1483,'Data Lokasi'!C:C,0)),"")</f>
        <v>44279</v>
      </c>
      <c r="O1483" s="278"/>
      <c r="P1483" s="283">
        <f>IFERROR(INDEX('Data Lokasi'!V:V,MATCH(C1483,'Data Lokasi'!C:C,0)),"")</f>
        <v>0</v>
      </c>
      <c r="Q1483" s="304">
        <f t="shared" si="47"/>
        <v>0</v>
      </c>
      <c r="R1483" s="308"/>
    </row>
    <row r="1484" spans="2:18" ht="15" hidden="1" thickTop="1">
      <c r="B1484" s="269">
        <v>46271</v>
      </c>
      <c r="C1484" s="268" t="s">
        <v>492</v>
      </c>
      <c r="D1484" s="274">
        <f>IFERROR(VLOOKUP(C1484,'Data Lokasi'!C:D,2,0),"")</f>
        <v>9.2100000000000009</v>
      </c>
      <c r="E1484" s="274" t="s">
        <v>2643</v>
      </c>
      <c r="F1484" s="274"/>
      <c r="G1484" s="274">
        <f>0.006+0.08</f>
        <v>8.6000000000000007E-2</v>
      </c>
      <c r="H1484" s="274">
        <f>0.25+0.51</f>
        <v>0.76</v>
      </c>
      <c r="I1484" s="274"/>
      <c r="J1484" s="456">
        <f t="shared" si="46"/>
        <v>0.84599999999999997</v>
      </c>
      <c r="K1484" s="583"/>
      <c r="L1484" s="268" t="s">
        <v>719</v>
      </c>
      <c r="M1484" s="268" t="s">
        <v>2631</v>
      </c>
      <c r="N1484" s="278">
        <f>IFERROR(INDEX('Data Lokasi'!S:S,MATCH('Input Real Tanam&amp;Petik Nanas'!C1484,'Data Lokasi'!C:C,0)),"")</f>
        <v>44536</v>
      </c>
      <c r="O1484" s="278"/>
      <c r="P1484" s="283">
        <f>IFERROR(INDEX('Data Lokasi'!V:V,MATCH(C1484,'Data Lokasi'!C:C,0)),"")</f>
        <v>0</v>
      </c>
      <c r="Q1484" s="304">
        <f t="shared" si="47"/>
        <v>0</v>
      </c>
      <c r="R1484" s="308">
        <v>3</v>
      </c>
    </row>
    <row r="1485" spans="2:18" ht="15" hidden="1" thickTop="1">
      <c r="B1485" s="269">
        <v>46272</v>
      </c>
      <c r="C1485" s="268" t="s">
        <v>314</v>
      </c>
      <c r="D1485" s="274">
        <f>IFERROR(VLOOKUP(C1485,'Data Lokasi'!C:D,2,0),"")</f>
        <v>8.92</v>
      </c>
      <c r="E1485" s="274" t="s">
        <v>2643</v>
      </c>
      <c r="F1485" s="274"/>
      <c r="G1485" s="274"/>
      <c r="H1485" s="274">
        <v>0.03</v>
      </c>
      <c r="I1485" s="274">
        <f>0.11+0.24</f>
        <v>0.35</v>
      </c>
      <c r="J1485" s="456">
        <f t="shared" si="46"/>
        <v>0.38</v>
      </c>
      <c r="K1485" s="583"/>
      <c r="L1485" s="268" t="s">
        <v>719</v>
      </c>
      <c r="M1485" s="268" t="s">
        <v>2634</v>
      </c>
      <c r="N1485" s="278">
        <f>IFERROR(INDEX('Data Lokasi'!S:S,MATCH('Input Real Tanam&amp;Petik Nanas'!C1485,'Data Lokasi'!C:C,0)),"")</f>
        <v>44161</v>
      </c>
      <c r="O1485" s="278"/>
      <c r="P1485" s="283">
        <f>IFERROR(INDEX('Data Lokasi'!V:V,MATCH(C1485,'Data Lokasi'!C:C,0)),"")</f>
        <v>0</v>
      </c>
      <c r="Q1485" s="304">
        <f t="shared" si="47"/>
        <v>0</v>
      </c>
      <c r="R1485" s="308">
        <v>10</v>
      </c>
    </row>
    <row r="1486" spans="2:18" ht="15" hidden="1" thickTop="1">
      <c r="B1486" s="269">
        <v>46272</v>
      </c>
      <c r="C1486" s="268" t="s">
        <v>351</v>
      </c>
      <c r="D1486" s="274">
        <f>IFERROR(VLOOKUP(C1486,'Data Lokasi'!C:D,2,0),"")</f>
        <v>13.68</v>
      </c>
      <c r="E1486" s="274" t="s">
        <v>2643</v>
      </c>
      <c r="F1486" s="274"/>
      <c r="G1486" s="274"/>
      <c r="H1486" s="274"/>
      <c r="I1486" s="274">
        <v>1.8</v>
      </c>
      <c r="J1486" s="456">
        <f t="shared" si="46"/>
        <v>1.8</v>
      </c>
      <c r="K1486" s="583"/>
      <c r="L1486" s="268" t="s">
        <v>2625</v>
      </c>
      <c r="M1486" s="268" t="s">
        <v>2634</v>
      </c>
      <c r="N1486" s="278">
        <f>IFERROR(INDEX('Data Lokasi'!S:S,MATCH('Input Real Tanam&amp;Petik Nanas'!C1486,'Data Lokasi'!C:C,0)),"")</f>
        <v>44276</v>
      </c>
      <c r="O1486" s="278"/>
      <c r="P1486" s="283">
        <f>IFERROR(INDEX('Data Lokasi'!V:V,MATCH(C1486,'Data Lokasi'!C:C,0)),"")</f>
        <v>0</v>
      </c>
      <c r="Q1486" s="304">
        <f t="shared" si="47"/>
        <v>0</v>
      </c>
      <c r="R1486" s="308"/>
    </row>
    <row r="1487" spans="2:18" ht="15" hidden="1" thickTop="1">
      <c r="B1487" s="269">
        <v>46272</v>
      </c>
      <c r="C1487" s="268" t="s">
        <v>540</v>
      </c>
      <c r="D1487" s="274">
        <f>IFERROR(VLOOKUP(C1487,'Data Lokasi'!C:D,2,0),"")</f>
        <v>9.9499999999999993</v>
      </c>
      <c r="E1487" s="274" t="s">
        <v>2643</v>
      </c>
      <c r="F1487" s="274"/>
      <c r="G1487" s="274"/>
      <c r="H1487" s="274"/>
      <c r="I1487" s="274">
        <v>1.1499999999999999</v>
      </c>
      <c r="J1487" s="456">
        <f t="shared" si="46"/>
        <v>1.1499999999999999</v>
      </c>
      <c r="K1487" s="583"/>
      <c r="L1487" s="268" t="s">
        <v>2625</v>
      </c>
      <c r="M1487" s="268" t="s">
        <v>2634</v>
      </c>
      <c r="N1487" s="278">
        <f>IFERROR(INDEX('Data Lokasi'!S:S,MATCH('Input Real Tanam&amp;Petik Nanas'!C1487,'Data Lokasi'!C:C,0)),"")</f>
        <v>44642</v>
      </c>
      <c r="O1487" s="278"/>
      <c r="P1487" s="283">
        <f>IFERROR(INDEX('Data Lokasi'!V:V,MATCH(C1487,'Data Lokasi'!C:C,0)),"")</f>
        <v>0</v>
      </c>
      <c r="Q1487" s="304">
        <f t="shared" si="47"/>
        <v>0</v>
      </c>
      <c r="R1487" s="308"/>
    </row>
    <row r="1488" spans="2:18" ht="15" hidden="1" thickTop="1">
      <c r="B1488" s="269">
        <v>46272</v>
      </c>
      <c r="C1488" s="268" t="s">
        <v>498</v>
      </c>
      <c r="D1488" s="274">
        <f>IFERROR(VLOOKUP(C1488,'Data Lokasi'!C:D,2,0),"")</f>
        <v>7.82</v>
      </c>
      <c r="E1488" s="274" t="s">
        <v>2643</v>
      </c>
      <c r="F1488" s="274"/>
      <c r="G1488" s="274">
        <f>0.03+0.04</f>
        <v>7.0000000000000007E-2</v>
      </c>
      <c r="H1488" s="274">
        <f>0.12+0.13</f>
        <v>0.25</v>
      </c>
      <c r="I1488" s="274"/>
      <c r="J1488" s="456">
        <f t="shared" si="46"/>
        <v>0.32</v>
      </c>
      <c r="K1488" s="583"/>
      <c r="L1488" s="268" t="s">
        <v>719</v>
      </c>
      <c r="M1488" s="268" t="s">
        <v>2631</v>
      </c>
      <c r="N1488" s="278">
        <f>IFERROR(INDEX('Data Lokasi'!S:S,MATCH('Input Real Tanam&amp;Petik Nanas'!C1488,'Data Lokasi'!C:C,0)),"")</f>
        <v>44568</v>
      </c>
      <c r="O1488" s="278"/>
      <c r="P1488" s="283">
        <f>IFERROR(INDEX('Data Lokasi'!V:V,MATCH(C1488,'Data Lokasi'!C:C,0)),"")</f>
        <v>0</v>
      </c>
      <c r="Q1488" s="304">
        <f t="shared" si="47"/>
        <v>0</v>
      </c>
      <c r="R1488" s="308">
        <v>1</v>
      </c>
    </row>
    <row r="1489" spans="2:18" ht="15" hidden="1" thickTop="1">
      <c r="B1489" s="269">
        <v>46272</v>
      </c>
      <c r="C1489" s="268" t="s">
        <v>360</v>
      </c>
      <c r="D1489" s="274">
        <f>IFERROR(VLOOKUP(C1489,'Data Lokasi'!C:D,2,0),"")</f>
        <v>10.66</v>
      </c>
      <c r="E1489" s="274" t="s">
        <v>2643</v>
      </c>
      <c r="F1489" s="274"/>
      <c r="G1489" s="274"/>
      <c r="H1489" s="274">
        <f>0.03+0.06</f>
        <v>0.09</v>
      </c>
      <c r="I1489" s="274">
        <f>0.09+0.11</f>
        <v>0.2</v>
      </c>
      <c r="J1489" s="456">
        <f t="shared" si="46"/>
        <v>0.29000000000000004</v>
      </c>
      <c r="K1489" s="583"/>
      <c r="L1489" s="268" t="s">
        <v>719</v>
      </c>
      <c r="M1489" s="268" t="s">
        <v>2631</v>
      </c>
      <c r="N1489" s="278">
        <f>IFERROR(INDEX('Data Lokasi'!S:S,MATCH('Input Real Tanam&amp;Petik Nanas'!C1489,'Data Lokasi'!C:C,0)),"")</f>
        <v>44300</v>
      </c>
      <c r="O1489" s="278"/>
      <c r="P1489" s="283">
        <f>IFERROR(INDEX('Data Lokasi'!V:V,MATCH(C1489,'Data Lokasi'!C:C,0)),"")</f>
        <v>0</v>
      </c>
      <c r="Q1489" s="304">
        <f t="shared" si="47"/>
        <v>0</v>
      </c>
      <c r="R1489" s="308">
        <v>6</v>
      </c>
    </row>
    <row r="1490" spans="2:18" ht="15" thickTop="1">
      <c r="B1490" s="269">
        <v>46266</v>
      </c>
      <c r="C1490" s="268" t="s">
        <v>267</v>
      </c>
      <c r="D1490" s="274">
        <f>IFERROR(VLOOKUP(C1490,'Data Lokasi'!C:D,2,0),"")</f>
        <v>8.44</v>
      </c>
      <c r="E1490" s="274" t="s">
        <v>2642</v>
      </c>
      <c r="F1490" s="274"/>
      <c r="G1490" s="274"/>
      <c r="H1490" s="274"/>
      <c r="I1490" s="274">
        <v>1.46</v>
      </c>
      <c r="J1490" s="456">
        <f t="shared" si="46"/>
        <v>1.46</v>
      </c>
      <c r="K1490" s="583"/>
      <c r="L1490" s="268" t="s">
        <v>2625</v>
      </c>
      <c r="M1490" s="268" t="s">
        <v>2634</v>
      </c>
      <c r="N1490" s="278">
        <f>IFERROR(INDEX('Data Lokasi'!S:S,MATCH('Input Real Tanam&amp;Petik Nanas'!C1490,'Data Lokasi'!C:C,0)),"")</f>
        <v>44091</v>
      </c>
      <c r="O1490" s="278"/>
      <c r="P1490" s="283">
        <f>IFERROR(INDEX('Data Lokasi'!V:V,MATCH(C1490,'Data Lokasi'!C:C,0)),"")</f>
        <v>0</v>
      </c>
      <c r="Q1490" s="304">
        <f t="shared" si="47"/>
        <v>0</v>
      </c>
      <c r="R1490" s="308"/>
    </row>
    <row r="1491" spans="2:18">
      <c r="B1491" s="269">
        <v>46266</v>
      </c>
      <c r="C1491" s="268" t="s">
        <v>267</v>
      </c>
      <c r="D1491" s="274">
        <f>IFERROR(VLOOKUP(C1491,'Data Lokasi'!C:D,2,0),"")</f>
        <v>8.44</v>
      </c>
      <c r="E1491" s="274" t="s">
        <v>2642</v>
      </c>
      <c r="F1491" s="274"/>
      <c r="G1491" s="274"/>
      <c r="H1491" s="274">
        <v>0.12</v>
      </c>
      <c r="I1491" s="274"/>
      <c r="J1491" s="456">
        <f t="shared" si="46"/>
        <v>0.12</v>
      </c>
      <c r="K1491" s="583"/>
      <c r="L1491" s="268" t="s">
        <v>2625</v>
      </c>
      <c r="M1491" s="268" t="s">
        <v>2634</v>
      </c>
      <c r="N1491" s="278">
        <f>IFERROR(INDEX('Data Lokasi'!S:S,MATCH('Input Real Tanam&amp;Petik Nanas'!C1491,'Data Lokasi'!C:C,0)),"")</f>
        <v>44091</v>
      </c>
      <c r="O1491" s="278"/>
      <c r="P1491" s="283">
        <f>IFERROR(INDEX('Data Lokasi'!V:V,MATCH(C1491,'Data Lokasi'!C:C,0)),"")</f>
        <v>0</v>
      </c>
      <c r="Q1491" s="304">
        <f t="shared" si="47"/>
        <v>0</v>
      </c>
      <c r="R1491" s="308"/>
    </row>
    <row r="1492" spans="2:18">
      <c r="B1492" s="269">
        <v>46266</v>
      </c>
      <c r="C1492" s="268" t="s">
        <v>2646</v>
      </c>
      <c r="D1492" s="274">
        <f>IFERROR(VLOOKUP(C1492,'Data Lokasi'!C:D,2,0),"")</f>
        <v>8.41</v>
      </c>
      <c r="E1492" s="274" t="s">
        <v>2642</v>
      </c>
      <c r="F1492" s="274"/>
      <c r="G1492" s="274">
        <v>0.12</v>
      </c>
      <c r="H1492" s="274"/>
      <c r="I1492" s="274"/>
      <c r="J1492" s="456">
        <f t="shared" si="46"/>
        <v>0.12</v>
      </c>
      <c r="K1492" s="583"/>
      <c r="L1492" s="268" t="s">
        <v>719</v>
      </c>
      <c r="M1492" s="268" t="s">
        <v>2634</v>
      </c>
      <c r="N1492" s="278">
        <f>IFERROR(INDEX('Data Lokasi'!S:S,MATCH('Input Real Tanam&amp;Petik Nanas'!C1492,'Data Lokasi'!C:C,0)),"")</f>
        <v>46248</v>
      </c>
      <c r="O1492" s="278"/>
      <c r="P1492" s="283">
        <f>IFERROR(INDEX('Data Lokasi'!V:V,MATCH(C1492,'Data Lokasi'!C:C,0)),"")</f>
        <v>8.41</v>
      </c>
      <c r="Q1492" s="304">
        <f t="shared" si="47"/>
        <v>1</v>
      </c>
      <c r="R1492" s="308"/>
    </row>
    <row r="1493" spans="2:18">
      <c r="B1493" s="269">
        <v>46266</v>
      </c>
      <c r="C1493" s="268" t="s">
        <v>120</v>
      </c>
      <c r="D1493" s="274">
        <f>IFERROR(VLOOKUP(C1493,'Data Lokasi'!C:D,2,0),"")</f>
        <v>9.0399999999999991</v>
      </c>
      <c r="E1493" s="274" t="s">
        <v>2642</v>
      </c>
      <c r="F1493" s="274"/>
      <c r="G1493" s="274"/>
      <c r="H1493" s="274"/>
      <c r="I1493" s="274">
        <v>0.3</v>
      </c>
      <c r="J1493" s="456">
        <f t="shared" si="46"/>
        <v>0.3</v>
      </c>
      <c r="K1493" s="583"/>
      <c r="L1493" s="268" t="s">
        <v>2625</v>
      </c>
      <c r="M1493" s="268" t="s">
        <v>2631</v>
      </c>
      <c r="N1493" s="278">
        <f>IFERROR(INDEX('Data Lokasi'!S:S,MATCH('Input Real Tanam&amp;Petik Nanas'!C1493,'Data Lokasi'!C:C,0)),"")</f>
        <v>44184</v>
      </c>
      <c r="O1493" s="278"/>
      <c r="P1493" s="283">
        <f>IFERROR(INDEX('Data Lokasi'!V:V,MATCH(C1493,'Data Lokasi'!C:C,0)),"")</f>
        <v>0</v>
      </c>
      <c r="Q1493" s="304">
        <f t="shared" si="47"/>
        <v>0</v>
      </c>
      <c r="R1493" s="308"/>
    </row>
    <row r="1494" spans="2:18">
      <c r="B1494" s="269">
        <v>46266</v>
      </c>
      <c r="C1494" s="268" t="s">
        <v>710</v>
      </c>
      <c r="D1494" s="274">
        <f>IFERROR(VLOOKUP(C1494,'Data Lokasi'!C:D,2,0),"")</f>
        <v>8.3699999999999992</v>
      </c>
      <c r="E1494" s="274" t="s">
        <v>2642</v>
      </c>
      <c r="F1494" s="274"/>
      <c r="G1494" s="274"/>
      <c r="H1494" s="274"/>
      <c r="I1494" s="274">
        <v>7.0000000000000007E-2</v>
      </c>
      <c r="J1494" s="456">
        <f t="shared" si="46"/>
        <v>7.0000000000000007E-2</v>
      </c>
      <c r="K1494" s="583"/>
      <c r="L1494" s="268" t="s">
        <v>2625</v>
      </c>
      <c r="M1494" s="268" t="s">
        <v>2631</v>
      </c>
      <c r="N1494" s="278">
        <f>IFERROR(INDEX('Data Lokasi'!S:S,MATCH('Input Real Tanam&amp;Petik Nanas'!C1494,'Data Lokasi'!C:C,0)),"")</f>
        <v>45246</v>
      </c>
      <c r="O1494" s="278"/>
      <c r="P1494" s="283">
        <f>IFERROR(INDEX('Data Lokasi'!V:V,MATCH(C1494,'Data Lokasi'!C:C,0)),"")</f>
        <v>0</v>
      </c>
      <c r="Q1494" s="304">
        <f t="shared" si="47"/>
        <v>0</v>
      </c>
      <c r="R1494" s="308"/>
    </row>
    <row r="1495" spans="2:18">
      <c r="B1495" s="269">
        <v>46266</v>
      </c>
      <c r="C1495" s="268" t="s">
        <v>708</v>
      </c>
      <c r="D1495" s="274">
        <f>IFERROR(VLOOKUP(C1495,'Data Lokasi'!C:D,2,0),"")</f>
        <v>7.54</v>
      </c>
      <c r="E1495" s="274" t="s">
        <v>2642</v>
      </c>
      <c r="F1495" s="274"/>
      <c r="G1495" s="274"/>
      <c r="H1495" s="274"/>
      <c r="I1495" s="274">
        <v>0.14000000000000001</v>
      </c>
      <c r="J1495" s="456">
        <f t="shared" si="46"/>
        <v>0.14000000000000001</v>
      </c>
      <c r="K1495" s="583"/>
      <c r="L1495" s="268" t="s">
        <v>2625</v>
      </c>
      <c r="M1495" s="268" t="s">
        <v>2631</v>
      </c>
      <c r="N1495" s="278">
        <f>IFERROR(INDEX('Data Lokasi'!S:S,MATCH('Input Real Tanam&amp;Petik Nanas'!C1495,'Data Lokasi'!C:C,0)),"")</f>
        <v>45240</v>
      </c>
      <c r="O1495" s="278"/>
      <c r="P1495" s="283">
        <f>IFERROR(INDEX('Data Lokasi'!V:V,MATCH(C1495,'Data Lokasi'!C:C,0)),"")</f>
        <v>0</v>
      </c>
      <c r="Q1495" s="304">
        <f t="shared" si="47"/>
        <v>0</v>
      </c>
      <c r="R1495" s="308"/>
    </row>
    <row r="1496" spans="2:18">
      <c r="B1496" s="269">
        <v>46266</v>
      </c>
      <c r="C1496" s="268" t="s">
        <v>149</v>
      </c>
      <c r="D1496" s="274">
        <f>IFERROR(VLOOKUP(C1496,'Data Lokasi'!C:D,2,0),"")</f>
        <v>5.37</v>
      </c>
      <c r="E1496" s="274" t="s">
        <v>2642</v>
      </c>
      <c r="F1496" s="274"/>
      <c r="G1496" s="274"/>
      <c r="H1496" s="274"/>
      <c r="I1496" s="274">
        <v>0.08</v>
      </c>
      <c r="J1496" s="456">
        <f t="shared" ref="J1496:J1558" si="48">IF(SUM(F1496:I1496)=0,"",(SUM(F1496:I1496)))</f>
        <v>0.08</v>
      </c>
      <c r="K1496" s="583"/>
      <c r="L1496" s="268" t="s">
        <v>2625</v>
      </c>
      <c r="M1496" s="268" t="s">
        <v>2631</v>
      </c>
      <c r="N1496" s="278">
        <f>IFERROR(INDEX('Data Lokasi'!S:S,MATCH('Input Real Tanam&amp;Petik Nanas'!C1496,'Data Lokasi'!C:C,0)),"")</f>
        <v>45295</v>
      </c>
      <c r="O1496" s="278"/>
      <c r="P1496" s="283">
        <f>IFERROR(INDEX('Data Lokasi'!V:V,MATCH(C1496,'Data Lokasi'!C:C,0)),"")</f>
        <v>0</v>
      </c>
      <c r="Q1496" s="304">
        <f t="shared" ref="Q1496:Q1557" si="49">IF(ISERROR(P1496/D1496),"",(P1496/D1496))</f>
        <v>0</v>
      </c>
      <c r="R1496" s="308"/>
    </row>
    <row r="1497" spans="2:18">
      <c r="B1497" s="269">
        <v>46267</v>
      </c>
      <c r="C1497" s="268" t="s">
        <v>267</v>
      </c>
      <c r="D1497" s="274">
        <f>IFERROR(VLOOKUP(C1497,'Data Lokasi'!C:D,2,0),"")</f>
        <v>8.44</v>
      </c>
      <c r="E1497" s="274" t="s">
        <v>2642</v>
      </c>
      <c r="F1497" s="274"/>
      <c r="G1497" s="274"/>
      <c r="H1497" s="274"/>
      <c r="I1497" s="274">
        <v>1.73</v>
      </c>
      <c r="J1497" s="456">
        <f t="shared" si="48"/>
        <v>1.73</v>
      </c>
      <c r="K1497" s="583"/>
      <c r="L1497" s="268" t="s">
        <v>2625</v>
      </c>
      <c r="M1497" s="268" t="s">
        <v>2634</v>
      </c>
      <c r="N1497" s="278">
        <f>IFERROR(INDEX('Data Lokasi'!S:S,MATCH('Input Real Tanam&amp;Petik Nanas'!C1497,'Data Lokasi'!C:C,0)),"")</f>
        <v>44091</v>
      </c>
      <c r="O1497" s="278"/>
      <c r="P1497" s="283">
        <f>IFERROR(INDEX('Data Lokasi'!V:V,MATCH(C1497,'Data Lokasi'!C:C,0)),"")</f>
        <v>0</v>
      </c>
      <c r="Q1497" s="304">
        <f t="shared" si="49"/>
        <v>0</v>
      </c>
      <c r="R1497" s="308"/>
    </row>
    <row r="1498" spans="2:18">
      <c r="B1498" s="269">
        <v>46267</v>
      </c>
      <c r="C1498" s="268" t="s">
        <v>267</v>
      </c>
      <c r="D1498" s="274">
        <f>IFERROR(VLOOKUP(C1498,'Data Lokasi'!C:D,2,0),"")</f>
        <v>8.44</v>
      </c>
      <c r="E1498" s="274" t="s">
        <v>2642</v>
      </c>
      <c r="F1498" s="274"/>
      <c r="G1498" s="274"/>
      <c r="H1498" s="274">
        <v>0.32</v>
      </c>
      <c r="I1498" s="274"/>
      <c r="J1498" s="456">
        <f t="shared" si="48"/>
        <v>0.32</v>
      </c>
      <c r="K1498" s="583"/>
      <c r="L1498" s="268" t="s">
        <v>719</v>
      </c>
      <c r="M1498" s="268" t="s">
        <v>2634</v>
      </c>
      <c r="N1498" s="278">
        <f>IFERROR(INDEX('Data Lokasi'!S:S,MATCH('Input Real Tanam&amp;Petik Nanas'!C1498,'Data Lokasi'!C:C,0)),"")</f>
        <v>44091</v>
      </c>
      <c r="O1498" s="278"/>
      <c r="P1498" s="283">
        <f>IFERROR(INDEX('Data Lokasi'!V:V,MATCH(C1498,'Data Lokasi'!C:C,0)),"")</f>
        <v>0</v>
      </c>
      <c r="Q1498" s="304">
        <f t="shared" si="49"/>
        <v>0</v>
      </c>
      <c r="R1498" s="308"/>
    </row>
    <row r="1499" spans="2:18">
      <c r="B1499" s="269">
        <v>46267</v>
      </c>
      <c r="C1499" s="268" t="s">
        <v>2646</v>
      </c>
      <c r="D1499" s="274">
        <f>IFERROR(VLOOKUP(C1499,'Data Lokasi'!C:D,2,0),"")</f>
        <v>8.41</v>
      </c>
      <c r="E1499" s="274" t="s">
        <v>2642</v>
      </c>
      <c r="F1499" s="274"/>
      <c r="G1499" s="274">
        <v>0.06</v>
      </c>
      <c r="H1499" s="274">
        <v>0.11</v>
      </c>
      <c r="I1499" s="274"/>
      <c r="J1499" s="456">
        <f t="shared" si="48"/>
        <v>0.16999999999999998</v>
      </c>
      <c r="K1499" s="583"/>
      <c r="L1499" s="268" t="s">
        <v>719</v>
      </c>
      <c r="M1499" s="268" t="s">
        <v>2634</v>
      </c>
      <c r="N1499" s="278">
        <f>IFERROR(INDEX('Data Lokasi'!S:S,MATCH('Input Real Tanam&amp;Petik Nanas'!C1499,'Data Lokasi'!C:C,0)),"")</f>
        <v>46248</v>
      </c>
      <c r="O1499" s="278"/>
      <c r="P1499" s="283">
        <f>IFERROR(INDEX('Data Lokasi'!V:V,MATCH(C1499,'Data Lokasi'!C:C,0)),"")</f>
        <v>8.41</v>
      </c>
      <c r="Q1499" s="304">
        <f t="shared" si="49"/>
        <v>1</v>
      </c>
      <c r="R1499" s="308"/>
    </row>
    <row r="1500" spans="2:18">
      <c r="B1500" s="269">
        <v>46267</v>
      </c>
      <c r="C1500" s="268" t="s">
        <v>336</v>
      </c>
      <c r="D1500" s="274">
        <f>IFERROR(VLOOKUP(C1500,'Data Lokasi'!C:D,2,0),"")</f>
        <v>3.64</v>
      </c>
      <c r="E1500" s="274" t="s">
        <v>2642</v>
      </c>
      <c r="F1500" s="274"/>
      <c r="G1500" s="274"/>
      <c r="H1500" s="274"/>
      <c r="I1500" s="274">
        <v>0.08</v>
      </c>
      <c r="J1500" s="456">
        <f t="shared" si="48"/>
        <v>0.08</v>
      </c>
      <c r="K1500" s="583"/>
      <c r="L1500" s="268" t="s">
        <v>719</v>
      </c>
      <c r="M1500" s="268" t="s">
        <v>2634</v>
      </c>
      <c r="N1500" s="278">
        <f>IFERROR(INDEX('Data Lokasi'!S:S,MATCH('Input Real Tanam&amp;Petik Nanas'!C1500,'Data Lokasi'!C:C,0)),"")</f>
        <v>44231</v>
      </c>
      <c r="O1500" s="278"/>
      <c r="P1500" s="283">
        <f>IFERROR(INDEX('Data Lokasi'!V:V,MATCH(C1500,'Data Lokasi'!C:C,0)),"")</f>
        <v>0</v>
      </c>
      <c r="Q1500" s="304">
        <f t="shared" si="49"/>
        <v>0</v>
      </c>
      <c r="R1500" s="308"/>
    </row>
    <row r="1501" spans="2:18">
      <c r="B1501" s="269">
        <v>46267</v>
      </c>
      <c r="C1501" s="268" t="s">
        <v>233</v>
      </c>
      <c r="D1501" s="274">
        <f>IFERROR(VLOOKUP(C1501,'Data Lokasi'!C:D,2,0),"")</f>
        <v>10.3</v>
      </c>
      <c r="E1501" s="274" t="s">
        <v>2642</v>
      </c>
      <c r="F1501" s="274"/>
      <c r="G1501" s="274"/>
      <c r="H1501" s="274"/>
      <c r="I1501" s="274">
        <v>0.06</v>
      </c>
      <c r="J1501" s="456">
        <f t="shared" si="48"/>
        <v>0.06</v>
      </c>
      <c r="K1501" s="583"/>
      <c r="L1501" s="268" t="s">
        <v>2625</v>
      </c>
      <c r="M1501" s="268" t="s">
        <v>2634</v>
      </c>
      <c r="N1501" s="278">
        <f>IFERROR(INDEX('Data Lokasi'!S:S,MATCH('Input Real Tanam&amp;Petik Nanas'!C1501,'Data Lokasi'!C:C,0)),"")</f>
        <v>44024</v>
      </c>
      <c r="O1501" s="278"/>
      <c r="P1501" s="283">
        <f>IFERROR(INDEX('Data Lokasi'!V:V,MATCH(C1501,'Data Lokasi'!C:C,0)),"")</f>
        <v>0</v>
      </c>
      <c r="Q1501" s="304">
        <f t="shared" si="49"/>
        <v>0</v>
      </c>
      <c r="R1501" s="308"/>
    </row>
    <row r="1502" spans="2:18">
      <c r="B1502" s="269">
        <v>46267</v>
      </c>
      <c r="C1502" s="268" t="s">
        <v>692</v>
      </c>
      <c r="D1502" s="274">
        <f>IFERROR(VLOOKUP(C1502,'Data Lokasi'!C:D,2,0),"")</f>
        <v>3.93</v>
      </c>
      <c r="E1502" s="274" t="s">
        <v>2642</v>
      </c>
      <c r="F1502" s="274"/>
      <c r="G1502" s="274"/>
      <c r="H1502" s="274"/>
      <c r="I1502" s="274">
        <v>0.04</v>
      </c>
      <c r="J1502" s="456">
        <f t="shared" si="48"/>
        <v>0.04</v>
      </c>
      <c r="K1502" s="583"/>
      <c r="L1502" s="268" t="s">
        <v>2625</v>
      </c>
      <c r="M1502" s="268" t="s">
        <v>2634</v>
      </c>
      <c r="N1502" s="278">
        <f>IFERROR(INDEX('Data Lokasi'!S:S,MATCH('Input Real Tanam&amp;Petik Nanas'!C1502,'Data Lokasi'!C:C,0)),"")</f>
        <v>45111</v>
      </c>
      <c r="O1502" s="278"/>
      <c r="P1502" s="283">
        <f>IFERROR(INDEX('Data Lokasi'!V:V,MATCH(C1502,'Data Lokasi'!C:C,0)),"")</f>
        <v>0</v>
      </c>
      <c r="Q1502" s="304">
        <f t="shared" si="49"/>
        <v>0</v>
      </c>
      <c r="R1502" s="308"/>
    </row>
    <row r="1503" spans="2:18">
      <c r="B1503" s="269">
        <v>46267</v>
      </c>
      <c r="C1503" s="268" t="s">
        <v>120</v>
      </c>
      <c r="D1503" s="274">
        <f>IFERROR(VLOOKUP(C1503,'Data Lokasi'!C:D,2,0),"")</f>
        <v>9.0399999999999991</v>
      </c>
      <c r="E1503" s="274" t="s">
        <v>2642</v>
      </c>
      <c r="F1503" s="274"/>
      <c r="G1503" s="274"/>
      <c r="H1503" s="274"/>
      <c r="I1503" s="274">
        <v>0.16</v>
      </c>
      <c r="J1503" s="456">
        <f t="shared" si="48"/>
        <v>0.16</v>
      </c>
      <c r="K1503" s="583"/>
      <c r="L1503" s="268" t="s">
        <v>2625</v>
      </c>
      <c r="M1503" s="268" t="s">
        <v>2631</v>
      </c>
      <c r="N1503" s="278">
        <f>IFERROR(INDEX('Data Lokasi'!S:S,MATCH('Input Real Tanam&amp;Petik Nanas'!C1503,'Data Lokasi'!C:C,0)),"")</f>
        <v>44184</v>
      </c>
      <c r="O1503" s="278"/>
      <c r="P1503" s="283">
        <f>IFERROR(INDEX('Data Lokasi'!V:V,MATCH(C1503,'Data Lokasi'!C:C,0)),"")</f>
        <v>0</v>
      </c>
      <c r="Q1503" s="304">
        <f t="shared" si="49"/>
        <v>0</v>
      </c>
      <c r="R1503" s="308"/>
    </row>
    <row r="1504" spans="2:18">
      <c r="B1504" s="269">
        <v>46267</v>
      </c>
      <c r="C1504" s="268" t="s">
        <v>149</v>
      </c>
      <c r="D1504" s="274">
        <f>IFERROR(VLOOKUP(C1504,'Data Lokasi'!C:D,2,0),"")</f>
        <v>5.37</v>
      </c>
      <c r="E1504" s="274" t="s">
        <v>2642</v>
      </c>
      <c r="F1504" s="274"/>
      <c r="G1504" s="274"/>
      <c r="H1504" s="274"/>
      <c r="I1504" s="274">
        <v>0.15</v>
      </c>
      <c r="J1504" s="456">
        <f t="shared" si="48"/>
        <v>0.15</v>
      </c>
      <c r="K1504" s="583"/>
      <c r="L1504" s="268" t="s">
        <v>2625</v>
      </c>
      <c r="M1504" s="268" t="s">
        <v>2631</v>
      </c>
      <c r="N1504" s="278">
        <f>IFERROR(INDEX('Data Lokasi'!S:S,MATCH('Input Real Tanam&amp;Petik Nanas'!C1504,'Data Lokasi'!C:C,0)),"")</f>
        <v>45295</v>
      </c>
      <c r="O1504" s="278"/>
      <c r="P1504" s="283">
        <f>IFERROR(INDEX('Data Lokasi'!V:V,MATCH(C1504,'Data Lokasi'!C:C,0)),"")</f>
        <v>0</v>
      </c>
      <c r="Q1504" s="304">
        <f t="shared" si="49"/>
        <v>0</v>
      </c>
      <c r="R1504" s="308"/>
    </row>
    <row r="1505" spans="2:18">
      <c r="B1505" s="269">
        <v>46267</v>
      </c>
      <c r="C1505" s="268" t="s">
        <v>708</v>
      </c>
      <c r="D1505" s="274">
        <f>IFERROR(VLOOKUP(C1505,'Data Lokasi'!C:D,2,0),"")</f>
        <v>7.54</v>
      </c>
      <c r="E1505" s="274" t="s">
        <v>2642</v>
      </c>
      <c r="F1505" s="274"/>
      <c r="G1505" s="274"/>
      <c r="H1505" s="274"/>
      <c r="I1505" s="274">
        <v>0.17</v>
      </c>
      <c r="J1505" s="456">
        <f t="shared" si="48"/>
        <v>0.17</v>
      </c>
      <c r="K1505" s="583"/>
      <c r="L1505" s="268" t="s">
        <v>2625</v>
      </c>
      <c r="M1505" s="268" t="s">
        <v>2631</v>
      </c>
      <c r="N1505" s="278">
        <f>IFERROR(INDEX('Data Lokasi'!S:S,MATCH('Input Real Tanam&amp;Petik Nanas'!C1505,'Data Lokasi'!C:C,0)),"")</f>
        <v>45240</v>
      </c>
      <c r="O1505" s="278"/>
      <c r="P1505" s="283">
        <f>IFERROR(INDEX('Data Lokasi'!V:V,MATCH(C1505,'Data Lokasi'!C:C,0)),"")</f>
        <v>0</v>
      </c>
      <c r="Q1505" s="304">
        <f t="shared" si="49"/>
        <v>0</v>
      </c>
      <c r="R1505" s="308"/>
    </row>
    <row r="1506" spans="2:18">
      <c r="B1506" s="269">
        <v>46267</v>
      </c>
      <c r="C1506" s="268" t="s">
        <v>281</v>
      </c>
      <c r="D1506" s="274">
        <f>IFERROR(VLOOKUP(C1506,'Data Lokasi'!C:D,2,0),"")</f>
        <v>8.3000000000000007</v>
      </c>
      <c r="E1506" s="274" t="s">
        <v>2642</v>
      </c>
      <c r="F1506" s="274"/>
      <c r="G1506" s="274"/>
      <c r="H1506" s="274"/>
      <c r="I1506" s="274">
        <v>0.64</v>
      </c>
      <c r="J1506" s="456">
        <f t="shared" si="48"/>
        <v>0.64</v>
      </c>
      <c r="K1506" s="583"/>
      <c r="L1506" s="268" t="s">
        <v>2625</v>
      </c>
      <c r="M1506" s="268" t="s">
        <v>2631</v>
      </c>
      <c r="N1506" s="278">
        <f>IFERROR(INDEX('Data Lokasi'!S:S,MATCH('Input Real Tanam&amp;Petik Nanas'!C1506,'Data Lokasi'!C:C,0)),"")</f>
        <v>44105</v>
      </c>
      <c r="O1506" s="278"/>
      <c r="P1506" s="283">
        <f>IFERROR(INDEX('Data Lokasi'!V:V,MATCH(C1506,'Data Lokasi'!C:C,0)),"")</f>
        <v>0</v>
      </c>
      <c r="Q1506" s="304">
        <f t="shared" si="49"/>
        <v>0</v>
      </c>
      <c r="R1506" s="308"/>
    </row>
    <row r="1507" spans="2:18">
      <c r="B1507" s="269">
        <v>46267</v>
      </c>
      <c r="C1507" s="268" t="s">
        <v>244</v>
      </c>
      <c r="D1507" s="274">
        <f>IFERROR(VLOOKUP(C1507,'Data Lokasi'!C:D,2,0),"")</f>
        <v>11.05</v>
      </c>
      <c r="E1507" s="274" t="s">
        <v>2642</v>
      </c>
      <c r="F1507" s="274"/>
      <c r="G1507" s="274"/>
      <c r="H1507" s="274"/>
      <c r="I1507" s="274">
        <v>0.09</v>
      </c>
      <c r="J1507" s="456">
        <f t="shared" si="48"/>
        <v>0.09</v>
      </c>
      <c r="K1507" s="583"/>
      <c r="L1507" s="268" t="s">
        <v>2625</v>
      </c>
      <c r="M1507" s="268" t="s">
        <v>2631</v>
      </c>
      <c r="N1507" s="278">
        <f>IFERROR(INDEX('Data Lokasi'!S:S,MATCH('Input Real Tanam&amp;Petik Nanas'!C1507,'Data Lokasi'!C:C,0)),"")</f>
        <v>44025</v>
      </c>
      <c r="O1507" s="278"/>
      <c r="P1507" s="283">
        <f>IFERROR(INDEX('Data Lokasi'!V:V,MATCH(C1507,'Data Lokasi'!C:C,0)),"")</f>
        <v>0</v>
      </c>
      <c r="Q1507" s="304">
        <f t="shared" si="49"/>
        <v>0</v>
      </c>
      <c r="R1507" s="308"/>
    </row>
    <row r="1508" spans="2:18">
      <c r="B1508" s="269">
        <v>46268</v>
      </c>
      <c r="C1508" s="268" t="s">
        <v>267</v>
      </c>
      <c r="D1508" s="274">
        <f>IFERROR(VLOOKUP(C1508,'Data Lokasi'!C:D,2,0),"")</f>
        <v>8.44</v>
      </c>
      <c r="E1508" s="274" t="s">
        <v>2642</v>
      </c>
      <c r="F1508" s="274"/>
      <c r="G1508" s="274"/>
      <c r="H1508" s="274"/>
      <c r="I1508" s="274">
        <v>0.88</v>
      </c>
      <c r="J1508" s="456">
        <f t="shared" si="48"/>
        <v>0.88</v>
      </c>
      <c r="K1508" s="583"/>
      <c r="L1508" s="268" t="s">
        <v>2625</v>
      </c>
      <c r="M1508" s="268" t="s">
        <v>2634</v>
      </c>
      <c r="N1508" s="278">
        <f>IFERROR(INDEX('Data Lokasi'!S:S,MATCH('Input Real Tanam&amp;Petik Nanas'!C1508,'Data Lokasi'!C:C,0)),"")</f>
        <v>44091</v>
      </c>
      <c r="O1508" s="278"/>
      <c r="P1508" s="283">
        <f>IFERROR(INDEX('Data Lokasi'!V:V,MATCH(C1508,'Data Lokasi'!C:C,0)),"")</f>
        <v>0</v>
      </c>
      <c r="Q1508" s="304">
        <f t="shared" si="49"/>
        <v>0</v>
      </c>
      <c r="R1508" s="308"/>
    </row>
    <row r="1509" spans="2:18">
      <c r="B1509" s="269">
        <v>46268</v>
      </c>
      <c r="C1509" s="268" t="s">
        <v>267</v>
      </c>
      <c r="D1509" s="274">
        <f>IFERROR(VLOOKUP(C1509,'Data Lokasi'!C:D,2,0),"")</f>
        <v>8.44</v>
      </c>
      <c r="E1509" s="274" t="s">
        <v>2642</v>
      </c>
      <c r="F1509" s="274"/>
      <c r="G1509" s="274"/>
      <c r="H1509" s="274">
        <v>0.41</v>
      </c>
      <c r="I1509" s="274"/>
      <c r="J1509" s="456">
        <f t="shared" si="48"/>
        <v>0.41</v>
      </c>
      <c r="K1509" s="583"/>
      <c r="L1509" s="268" t="s">
        <v>719</v>
      </c>
      <c r="M1509" s="268" t="s">
        <v>2634</v>
      </c>
      <c r="N1509" s="278">
        <f>IFERROR(INDEX('Data Lokasi'!S:S,MATCH('Input Real Tanam&amp;Petik Nanas'!C1509,'Data Lokasi'!C:C,0)),"")</f>
        <v>44091</v>
      </c>
      <c r="O1509" s="278"/>
      <c r="P1509" s="283">
        <f>IFERROR(INDEX('Data Lokasi'!V:V,MATCH(C1509,'Data Lokasi'!C:C,0)),"")</f>
        <v>0</v>
      </c>
      <c r="Q1509" s="304">
        <f t="shared" si="49"/>
        <v>0</v>
      </c>
      <c r="R1509" s="308"/>
    </row>
    <row r="1510" spans="2:18">
      <c r="B1510" s="269">
        <v>46268</v>
      </c>
      <c r="C1510" s="268" t="s">
        <v>2646</v>
      </c>
      <c r="D1510" s="274">
        <f>IFERROR(VLOOKUP(C1510,'Data Lokasi'!C:D,2,0),"")</f>
        <v>8.41</v>
      </c>
      <c r="E1510" s="274" t="s">
        <v>2642</v>
      </c>
      <c r="F1510" s="274"/>
      <c r="G1510" s="274"/>
      <c r="H1510" s="274">
        <v>0.09</v>
      </c>
      <c r="I1510" s="274"/>
      <c r="J1510" s="456">
        <f t="shared" si="48"/>
        <v>0.09</v>
      </c>
      <c r="K1510" s="583"/>
      <c r="L1510" s="268" t="s">
        <v>719</v>
      </c>
      <c r="M1510" s="268" t="s">
        <v>2634</v>
      </c>
      <c r="N1510" s="278">
        <f>IFERROR(INDEX('Data Lokasi'!S:S,MATCH('Input Real Tanam&amp;Petik Nanas'!C1510,'Data Lokasi'!C:C,0)),"")</f>
        <v>46248</v>
      </c>
      <c r="O1510" s="278"/>
      <c r="P1510" s="283">
        <f>IFERROR(INDEX('Data Lokasi'!V:V,MATCH(C1510,'Data Lokasi'!C:C,0)),"")</f>
        <v>8.41</v>
      </c>
      <c r="Q1510" s="304">
        <f t="shared" si="49"/>
        <v>1</v>
      </c>
      <c r="R1510" s="308"/>
    </row>
    <row r="1511" spans="2:18">
      <c r="B1511" s="269">
        <v>46268</v>
      </c>
      <c r="C1511" s="268" t="s">
        <v>336</v>
      </c>
      <c r="D1511" s="274">
        <f>IFERROR(VLOOKUP(C1511,'Data Lokasi'!C:D,2,0),"")</f>
        <v>3.64</v>
      </c>
      <c r="E1511" s="274" t="s">
        <v>2642</v>
      </c>
      <c r="F1511" s="274"/>
      <c r="G1511" s="274"/>
      <c r="H1511" s="274"/>
      <c r="I1511" s="274">
        <v>0.28000000000000003</v>
      </c>
      <c r="J1511" s="456">
        <f t="shared" si="48"/>
        <v>0.28000000000000003</v>
      </c>
      <c r="K1511" s="583"/>
      <c r="L1511" s="268" t="s">
        <v>719</v>
      </c>
      <c r="M1511" s="268" t="s">
        <v>2634</v>
      </c>
      <c r="N1511" s="278">
        <f>IFERROR(INDEX('Data Lokasi'!S:S,MATCH('Input Real Tanam&amp;Petik Nanas'!C1511,'Data Lokasi'!C:C,0)),"")</f>
        <v>44231</v>
      </c>
      <c r="O1511" s="278"/>
      <c r="P1511" s="283">
        <f>IFERROR(INDEX('Data Lokasi'!V:V,MATCH(C1511,'Data Lokasi'!C:C,0)),"")</f>
        <v>0</v>
      </c>
      <c r="Q1511" s="304">
        <f t="shared" si="49"/>
        <v>0</v>
      </c>
      <c r="R1511" s="308"/>
    </row>
    <row r="1512" spans="2:18">
      <c r="B1512" s="269">
        <v>46268</v>
      </c>
      <c r="C1512" s="268" t="s">
        <v>680</v>
      </c>
      <c r="D1512" s="274">
        <f>IFERROR(VLOOKUP(C1512,'Data Lokasi'!C:D,2,0),"")</f>
        <v>5</v>
      </c>
      <c r="E1512" s="274" t="s">
        <v>2642</v>
      </c>
      <c r="F1512" s="274"/>
      <c r="G1512" s="274"/>
      <c r="H1512" s="274"/>
      <c r="I1512" s="274">
        <v>0.04</v>
      </c>
      <c r="J1512" s="456">
        <f t="shared" si="48"/>
        <v>0.04</v>
      </c>
      <c r="K1512" s="583"/>
      <c r="L1512" s="268" t="s">
        <v>2625</v>
      </c>
      <c r="M1512" s="268" t="s">
        <v>2634</v>
      </c>
      <c r="N1512" s="278">
        <f>IFERROR(INDEX('Data Lokasi'!S:S,MATCH('Input Real Tanam&amp;Petik Nanas'!C1512,'Data Lokasi'!C:C,0)),"")</f>
        <v>45093</v>
      </c>
      <c r="O1512" s="278"/>
      <c r="P1512" s="283">
        <f>IFERROR(INDEX('Data Lokasi'!V:V,MATCH(C1512,'Data Lokasi'!C:C,0)),"")</f>
        <v>0</v>
      </c>
      <c r="Q1512" s="304">
        <f t="shared" si="49"/>
        <v>0</v>
      </c>
      <c r="R1512" s="308"/>
    </row>
    <row r="1513" spans="2:18">
      <c r="B1513" s="269">
        <v>46268</v>
      </c>
      <c r="C1513" s="268" t="s">
        <v>692</v>
      </c>
      <c r="D1513" s="274">
        <f>IFERROR(VLOOKUP(C1513,'Data Lokasi'!C:D,2,0),"")</f>
        <v>3.93</v>
      </c>
      <c r="E1513" s="274" t="s">
        <v>2642</v>
      </c>
      <c r="F1513" s="274"/>
      <c r="G1513" s="274"/>
      <c r="H1513" s="274"/>
      <c r="I1513" s="274">
        <v>0.12</v>
      </c>
      <c r="J1513" s="456">
        <f t="shared" si="48"/>
        <v>0.12</v>
      </c>
      <c r="K1513" s="583"/>
      <c r="L1513" s="268" t="s">
        <v>2625</v>
      </c>
      <c r="M1513" s="268" t="s">
        <v>2634</v>
      </c>
      <c r="N1513" s="278">
        <f>IFERROR(INDEX('Data Lokasi'!S:S,MATCH('Input Real Tanam&amp;Petik Nanas'!C1513,'Data Lokasi'!C:C,0)),"")</f>
        <v>45111</v>
      </c>
      <c r="O1513" s="278"/>
      <c r="P1513" s="283">
        <f>IFERROR(INDEX('Data Lokasi'!V:V,MATCH(C1513,'Data Lokasi'!C:C,0)),"")</f>
        <v>0</v>
      </c>
      <c r="Q1513" s="304">
        <f t="shared" si="49"/>
        <v>0</v>
      </c>
      <c r="R1513" s="308"/>
    </row>
    <row r="1514" spans="2:18">
      <c r="B1514" s="269">
        <v>46268</v>
      </c>
      <c r="C1514" s="268" t="s">
        <v>120</v>
      </c>
      <c r="D1514" s="274">
        <f>IFERROR(VLOOKUP(C1514,'Data Lokasi'!C:D,2,0),"")</f>
        <v>9.0399999999999991</v>
      </c>
      <c r="E1514" s="274" t="s">
        <v>2642</v>
      </c>
      <c r="F1514" s="274"/>
      <c r="G1514" s="274"/>
      <c r="H1514" s="274"/>
      <c r="I1514" s="274">
        <v>0.08</v>
      </c>
      <c r="J1514" s="456">
        <f t="shared" si="48"/>
        <v>0.08</v>
      </c>
      <c r="K1514" s="583"/>
      <c r="L1514" s="268" t="s">
        <v>2625</v>
      </c>
      <c r="M1514" s="268" t="s">
        <v>2631</v>
      </c>
      <c r="N1514" s="278">
        <f>IFERROR(INDEX('Data Lokasi'!S:S,MATCH('Input Real Tanam&amp;Petik Nanas'!C1514,'Data Lokasi'!C:C,0)),"")</f>
        <v>44184</v>
      </c>
      <c r="O1514" s="278"/>
      <c r="P1514" s="283">
        <f>IFERROR(INDEX('Data Lokasi'!V:V,MATCH(C1514,'Data Lokasi'!C:C,0)),"")</f>
        <v>0</v>
      </c>
      <c r="Q1514" s="304">
        <f t="shared" si="49"/>
        <v>0</v>
      </c>
      <c r="R1514" s="308"/>
    </row>
    <row r="1515" spans="2:18">
      <c r="B1515" s="269">
        <v>46268</v>
      </c>
      <c r="C1515" s="268" t="s">
        <v>281</v>
      </c>
      <c r="D1515" s="274">
        <f>IFERROR(VLOOKUP(C1515,'Data Lokasi'!C:D,2,0),"")</f>
        <v>8.3000000000000007</v>
      </c>
      <c r="E1515" s="274" t="s">
        <v>2642</v>
      </c>
      <c r="F1515" s="274"/>
      <c r="G1515" s="274"/>
      <c r="H1515" s="274"/>
      <c r="I1515" s="274">
        <v>0.8</v>
      </c>
      <c r="J1515" s="456">
        <f t="shared" si="48"/>
        <v>0.8</v>
      </c>
      <c r="K1515" s="583"/>
      <c r="L1515" s="268" t="s">
        <v>2625</v>
      </c>
      <c r="M1515" s="268" t="s">
        <v>2631</v>
      </c>
      <c r="N1515" s="278">
        <f>IFERROR(INDEX('Data Lokasi'!S:S,MATCH('Input Real Tanam&amp;Petik Nanas'!C1515,'Data Lokasi'!C:C,0)),"")</f>
        <v>44105</v>
      </c>
      <c r="O1515" s="278"/>
      <c r="P1515" s="283">
        <f>IFERROR(INDEX('Data Lokasi'!V:V,MATCH(C1515,'Data Lokasi'!C:C,0)),"")</f>
        <v>0</v>
      </c>
      <c r="Q1515" s="304">
        <f t="shared" si="49"/>
        <v>0</v>
      </c>
      <c r="R1515" s="308"/>
    </row>
    <row r="1516" spans="2:18">
      <c r="B1516" s="269">
        <v>46268</v>
      </c>
      <c r="C1516" s="268" t="s">
        <v>149</v>
      </c>
      <c r="D1516" s="274">
        <f>IFERROR(VLOOKUP(C1516,'Data Lokasi'!C:D,2,0),"")</f>
        <v>5.37</v>
      </c>
      <c r="E1516" s="274" t="s">
        <v>2642</v>
      </c>
      <c r="F1516" s="274"/>
      <c r="G1516" s="274"/>
      <c r="H1516" s="274"/>
      <c r="I1516" s="274">
        <v>0.24</v>
      </c>
      <c r="J1516" s="456">
        <f t="shared" si="48"/>
        <v>0.24</v>
      </c>
      <c r="K1516" s="583"/>
      <c r="L1516" s="268" t="s">
        <v>2625</v>
      </c>
      <c r="M1516" s="268" t="s">
        <v>2631</v>
      </c>
      <c r="N1516" s="278">
        <f>IFERROR(INDEX('Data Lokasi'!S:S,MATCH('Input Real Tanam&amp;Petik Nanas'!C1516,'Data Lokasi'!C:C,0)),"")</f>
        <v>45295</v>
      </c>
      <c r="O1516" s="278"/>
      <c r="P1516" s="283">
        <f>IFERROR(INDEX('Data Lokasi'!V:V,MATCH(C1516,'Data Lokasi'!C:C,0)),"")</f>
        <v>0</v>
      </c>
      <c r="Q1516" s="304">
        <f t="shared" si="49"/>
        <v>0</v>
      </c>
      <c r="R1516" s="308"/>
    </row>
    <row r="1517" spans="2:18">
      <c r="B1517" s="269">
        <v>46269</v>
      </c>
      <c r="C1517" s="268" t="s">
        <v>281</v>
      </c>
      <c r="D1517" s="274">
        <f>IFERROR(VLOOKUP(C1517,'Data Lokasi'!C:D,2,0),"")</f>
        <v>8.3000000000000007</v>
      </c>
      <c r="E1517" s="274" t="s">
        <v>2642</v>
      </c>
      <c r="F1517" s="274"/>
      <c r="G1517" s="274"/>
      <c r="H1517" s="274"/>
      <c r="I1517" s="274">
        <v>0.18</v>
      </c>
      <c r="J1517" s="456">
        <f t="shared" si="48"/>
        <v>0.18</v>
      </c>
      <c r="K1517" s="583"/>
      <c r="L1517" s="268" t="s">
        <v>2625</v>
      </c>
      <c r="M1517" s="268" t="s">
        <v>2634</v>
      </c>
      <c r="N1517" s="278">
        <f>IFERROR(INDEX('Data Lokasi'!S:S,MATCH('Input Real Tanam&amp;Petik Nanas'!C1517,'Data Lokasi'!C:C,0)),"")</f>
        <v>44105</v>
      </c>
      <c r="O1517" s="278"/>
      <c r="P1517" s="283">
        <f>IFERROR(INDEX('Data Lokasi'!V:V,MATCH(C1517,'Data Lokasi'!C:C,0)),"")</f>
        <v>0</v>
      </c>
      <c r="Q1517" s="304">
        <f t="shared" si="49"/>
        <v>0</v>
      </c>
      <c r="R1517" s="308"/>
    </row>
    <row r="1518" spans="2:18">
      <c r="B1518" s="269">
        <v>46269</v>
      </c>
      <c r="C1518" s="268" t="s">
        <v>281</v>
      </c>
      <c r="D1518" s="274">
        <f>IFERROR(VLOOKUP(C1518,'Data Lokasi'!C:D,2,0),"")</f>
        <v>8.3000000000000007</v>
      </c>
      <c r="E1518" s="274" t="s">
        <v>2642</v>
      </c>
      <c r="F1518" s="274"/>
      <c r="G1518" s="274"/>
      <c r="H1518" s="274">
        <v>0.31</v>
      </c>
      <c r="I1518" s="274"/>
      <c r="J1518" s="456">
        <f t="shared" si="48"/>
        <v>0.31</v>
      </c>
      <c r="K1518" s="583"/>
      <c r="L1518" s="268" t="s">
        <v>719</v>
      </c>
      <c r="M1518" s="268" t="s">
        <v>2634</v>
      </c>
      <c r="N1518" s="278">
        <f>IFERROR(INDEX('Data Lokasi'!S:S,MATCH('Input Real Tanam&amp;Petik Nanas'!C1518,'Data Lokasi'!C:C,0)),"")</f>
        <v>44105</v>
      </c>
      <c r="O1518" s="278"/>
      <c r="P1518" s="283">
        <f>IFERROR(INDEX('Data Lokasi'!V:V,MATCH(C1518,'Data Lokasi'!C:C,0)),"")</f>
        <v>0</v>
      </c>
      <c r="Q1518" s="304">
        <f t="shared" si="49"/>
        <v>0</v>
      </c>
      <c r="R1518" s="308"/>
    </row>
    <row r="1519" spans="2:18">
      <c r="B1519" s="269">
        <v>46269</v>
      </c>
      <c r="C1519" s="268" t="s">
        <v>692</v>
      </c>
      <c r="D1519" s="274">
        <f>IFERROR(VLOOKUP(C1519,'Data Lokasi'!C:D,2,0),"")</f>
        <v>3.93</v>
      </c>
      <c r="E1519" s="274" t="s">
        <v>2642</v>
      </c>
      <c r="F1519" s="274"/>
      <c r="G1519" s="274"/>
      <c r="H1519" s="274"/>
      <c r="I1519" s="274">
        <v>0.08</v>
      </c>
      <c r="J1519" s="456">
        <f t="shared" si="48"/>
        <v>0.08</v>
      </c>
      <c r="K1519" s="583"/>
      <c r="L1519" s="268" t="s">
        <v>2625</v>
      </c>
      <c r="M1519" s="268" t="s">
        <v>2634</v>
      </c>
      <c r="N1519" s="278">
        <f>IFERROR(INDEX('Data Lokasi'!S:S,MATCH('Input Real Tanam&amp;Petik Nanas'!C1519,'Data Lokasi'!C:C,0)),"")</f>
        <v>45111</v>
      </c>
      <c r="O1519" s="278"/>
      <c r="P1519" s="283">
        <f>IFERROR(INDEX('Data Lokasi'!V:V,MATCH(C1519,'Data Lokasi'!C:C,0)),"")</f>
        <v>0</v>
      </c>
      <c r="Q1519" s="304">
        <f t="shared" si="49"/>
        <v>0</v>
      </c>
      <c r="R1519" s="308"/>
    </row>
    <row r="1520" spans="2:18">
      <c r="B1520" s="269">
        <v>46269</v>
      </c>
      <c r="C1520" s="268" t="s">
        <v>233</v>
      </c>
      <c r="D1520" s="274">
        <f>IFERROR(VLOOKUP(C1520,'Data Lokasi'!C:D,2,0),"")</f>
        <v>10.3</v>
      </c>
      <c r="E1520" s="274" t="s">
        <v>2642</v>
      </c>
      <c r="F1520" s="274"/>
      <c r="G1520" s="274"/>
      <c r="H1520" s="274"/>
      <c r="I1520" s="274">
        <v>0.05</v>
      </c>
      <c r="J1520" s="456">
        <f t="shared" si="48"/>
        <v>0.05</v>
      </c>
      <c r="K1520" s="583"/>
      <c r="L1520" s="268" t="s">
        <v>2625</v>
      </c>
      <c r="M1520" s="268" t="s">
        <v>2634</v>
      </c>
      <c r="N1520" s="278">
        <f>IFERROR(INDEX('Data Lokasi'!S:S,MATCH('Input Real Tanam&amp;Petik Nanas'!C1520,'Data Lokasi'!C:C,0)),"")</f>
        <v>44024</v>
      </c>
      <c r="O1520" s="278"/>
      <c r="P1520" s="283">
        <f>IFERROR(INDEX('Data Lokasi'!V:V,MATCH(C1520,'Data Lokasi'!C:C,0)),"")</f>
        <v>0</v>
      </c>
      <c r="Q1520" s="304">
        <f t="shared" si="49"/>
        <v>0</v>
      </c>
      <c r="R1520" s="308"/>
    </row>
    <row r="1521" spans="2:18">
      <c r="B1521" s="269">
        <v>46269</v>
      </c>
      <c r="C1521" s="268" t="s">
        <v>2692</v>
      </c>
      <c r="D1521" s="274">
        <f>IFERROR(VLOOKUP(C1521,'Data Lokasi'!C:D,2,0),"")</f>
        <v>8.9600000000000009</v>
      </c>
      <c r="E1521" s="274" t="s">
        <v>2642</v>
      </c>
      <c r="F1521" s="274"/>
      <c r="G1521" s="274"/>
      <c r="H1521" s="274"/>
      <c r="I1521" s="274">
        <v>0.19</v>
      </c>
      <c r="J1521" s="456">
        <f t="shared" si="48"/>
        <v>0.19</v>
      </c>
      <c r="K1521" s="583"/>
      <c r="L1521" s="268" t="s">
        <v>2625</v>
      </c>
      <c r="M1521" s="268" t="s">
        <v>2634</v>
      </c>
      <c r="N1521" s="278">
        <f>IFERROR(INDEX('Data Lokasi'!S:S,MATCH('Input Real Tanam&amp;Petik Nanas'!C1521,'Data Lokasi'!C:C,0)),"")</f>
        <v>46238</v>
      </c>
      <c r="O1521" s="278"/>
      <c r="P1521" s="283">
        <f>IFERROR(INDEX('Data Lokasi'!V:V,MATCH(C1521,'Data Lokasi'!C:C,0)),"")</f>
        <v>8.9600000000000009</v>
      </c>
      <c r="Q1521" s="304">
        <f t="shared" si="49"/>
        <v>1</v>
      </c>
      <c r="R1521" s="308"/>
    </row>
    <row r="1522" spans="2:18">
      <c r="B1522" s="269">
        <v>46269</v>
      </c>
      <c r="C1522" s="268" t="s">
        <v>267</v>
      </c>
      <c r="D1522" s="274">
        <f>IFERROR(VLOOKUP(C1522,'Data Lokasi'!C:D,2,0),"")</f>
        <v>8.44</v>
      </c>
      <c r="E1522" s="274" t="s">
        <v>2642</v>
      </c>
      <c r="F1522" s="274"/>
      <c r="G1522" s="274"/>
      <c r="H1522" s="274">
        <v>0.3</v>
      </c>
      <c r="I1522" s="274"/>
      <c r="J1522" s="456">
        <f t="shared" si="48"/>
        <v>0.3</v>
      </c>
      <c r="K1522" s="583"/>
      <c r="L1522" s="268" t="s">
        <v>719</v>
      </c>
      <c r="M1522" s="268" t="s">
        <v>2634</v>
      </c>
      <c r="N1522" s="278">
        <f>IFERROR(INDEX('Data Lokasi'!S:S,MATCH('Input Real Tanam&amp;Petik Nanas'!C1522,'Data Lokasi'!C:C,0)),"")</f>
        <v>44091</v>
      </c>
      <c r="O1522" s="278"/>
      <c r="P1522" s="283">
        <f>IFERROR(INDEX('Data Lokasi'!V:V,MATCH(C1522,'Data Lokasi'!C:C,0)),"")</f>
        <v>0</v>
      </c>
      <c r="Q1522" s="304">
        <f t="shared" si="49"/>
        <v>0</v>
      </c>
      <c r="R1522" s="308"/>
    </row>
    <row r="1523" spans="2:18">
      <c r="B1523" s="269">
        <v>46269</v>
      </c>
      <c r="C1523" s="268" t="s">
        <v>2646</v>
      </c>
      <c r="D1523" s="274">
        <f>IFERROR(VLOOKUP(C1523,'Data Lokasi'!C:D,2,0),"")</f>
        <v>8.41</v>
      </c>
      <c r="E1523" s="274" t="s">
        <v>2642</v>
      </c>
      <c r="F1523" s="274"/>
      <c r="G1523" s="274">
        <v>0.08</v>
      </c>
      <c r="H1523" s="274"/>
      <c r="I1523" s="274"/>
      <c r="J1523" s="456">
        <f t="shared" si="48"/>
        <v>0.08</v>
      </c>
      <c r="K1523" s="583"/>
      <c r="L1523" s="268" t="s">
        <v>719</v>
      </c>
      <c r="M1523" s="268" t="s">
        <v>2634</v>
      </c>
      <c r="N1523" s="278">
        <f>IFERROR(INDEX('Data Lokasi'!S:S,MATCH('Input Real Tanam&amp;Petik Nanas'!C1523,'Data Lokasi'!C:C,0)),"")</f>
        <v>46248</v>
      </c>
      <c r="O1523" s="278"/>
      <c r="P1523" s="283">
        <f>IFERROR(INDEX('Data Lokasi'!V:V,MATCH(C1523,'Data Lokasi'!C:C,0)),"")</f>
        <v>8.41</v>
      </c>
      <c r="Q1523" s="304">
        <f t="shared" si="49"/>
        <v>1</v>
      </c>
      <c r="R1523" s="308"/>
    </row>
    <row r="1524" spans="2:18">
      <c r="B1524" s="269">
        <v>46269</v>
      </c>
      <c r="C1524" s="268" t="s">
        <v>336</v>
      </c>
      <c r="D1524" s="274">
        <f>IFERROR(VLOOKUP(C1524,'Data Lokasi'!C:D,2,0),"")</f>
        <v>3.64</v>
      </c>
      <c r="E1524" s="274" t="s">
        <v>2642</v>
      </c>
      <c r="F1524" s="274"/>
      <c r="G1524" s="274"/>
      <c r="H1524" s="274"/>
      <c r="I1524" s="274">
        <v>0.45</v>
      </c>
      <c r="J1524" s="456">
        <f t="shared" si="48"/>
        <v>0.45</v>
      </c>
      <c r="K1524" s="583"/>
      <c r="L1524" s="268" t="s">
        <v>2625</v>
      </c>
      <c r="M1524" s="268" t="s">
        <v>2634</v>
      </c>
      <c r="N1524" s="278">
        <f>IFERROR(INDEX('Data Lokasi'!S:S,MATCH('Input Real Tanam&amp;Petik Nanas'!C1524,'Data Lokasi'!C:C,0)),"")</f>
        <v>44231</v>
      </c>
      <c r="O1524" s="278"/>
      <c r="P1524" s="283">
        <f>IFERROR(INDEX('Data Lokasi'!V:V,MATCH(C1524,'Data Lokasi'!C:C,0)),"")</f>
        <v>0</v>
      </c>
      <c r="Q1524" s="304">
        <f t="shared" si="49"/>
        <v>0</v>
      </c>
      <c r="R1524" s="308"/>
    </row>
    <row r="1525" spans="2:18">
      <c r="B1525" s="269">
        <v>46269</v>
      </c>
      <c r="C1525" s="317" t="s">
        <v>121</v>
      </c>
      <c r="D1525" s="274">
        <f>IFERROR(VLOOKUP(C1525,'Data Lokasi'!C:D,2,0),"")</f>
        <v>4.67</v>
      </c>
      <c r="E1525" s="274" t="s">
        <v>2642</v>
      </c>
      <c r="F1525" s="274"/>
      <c r="G1525" s="274"/>
      <c r="H1525" s="274"/>
      <c r="I1525" s="274">
        <v>0.46</v>
      </c>
      <c r="J1525" s="456">
        <f t="shared" si="48"/>
        <v>0.46</v>
      </c>
      <c r="K1525" s="583"/>
      <c r="L1525" s="268" t="s">
        <v>2625</v>
      </c>
      <c r="M1525" s="268" t="s">
        <v>2631</v>
      </c>
      <c r="N1525" s="278">
        <f>IFERROR(INDEX('Data Lokasi'!S:S,MATCH('Input Real Tanam&amp;Petik Nanas'!C1525,'Data Lokasi'!C:C,0)),"")</f>
        <v>45267</v>
      </c>
      <c r="O1525" s="278"/>
      <c r="P1525" s="283">
        <f>IFERROR(INDEX('Data Lokasi'!V:V,MATCH(C1525,'Data Lokasi'!C:C,0)),"")</f>
        <v>0</v>
      </c>
      <c r="Q1525" s="304">
        <f t="shared" si="49"/>
        <v>0</v>
      </c>
      <c r="R1525" s="308"/>
    </row>
    <row r="1526" spans="2:18">
      <c r="B1526" s="269">
        <v>46269</v>
      </c>
      <c r="C1526" s="268" t="s">
        <v>149</v>
      </c>
      <c r="D1526" s="274">
        <f>IFERROR(VLOOKUP(C1526,'Data Lokasi'!C:D,2,0),"")</f>
        <v>5.37</v>
      </c>
      <c r="E1526" s="274" t="s">
        <v>2642</v>
      </c>
      <c r="F1526" s="274"/>
      <c r="G1526" s="274"/>
      <c r="H1526" s="274"/>
      <c r="I1526" s="274">
        <v>0.24</v>
      </c>
      <c r="J1526" s="456">
        <f t="shared" si="48"/>
        <v>0.24</v>
      </c>
      <c r="K1526" s="583"/>
      <c r="L1526" s="268" t="s">
        <v>2625</v>
      </c>
      <c r="M1526" s="268" t="s">
        <v>2631</v>
      </c>
      <c r="N1526" s="278">
        <f>IFERROR(INDEX('Data Lokasi'!S:S,MATCH('Input Real Tanam&amp;Petik Nanas'!C1526,'Data Lokasi'!C:C,0)),"")</f>
        <v>45295</v>
      </c>
      <c r="O1526" s="278"/>
      <c r="P1526" s="283">
        <f>IFERROR(INDEX('Data Lokasi'!V:V,MATCH(C1526,'Data Lokasi'!C:C,0)),"")</f>
        <v>0</v>
      </c>
      <c r="Q1526" s="304">
        <f t="shared" si="49"/>
        <v>0</v>
      </c>
      <c r="R1526" s="308"/>
    </row>
    <row r="1527" spans="2:18">
      <c r="B1527" s="269">
        <v>46269</v>
      </c>
      <c r="C1527" s="268" t="s">
        <v>2126</v>
      </c>
      <c r="D1527" s="274">
        <f>IFERROR(VLOOKUP(C1527,'Data Lokasi'!C:D,2,0),"")</f>
        <v>4.7699999999999996</v>
      </c>
      <c r="E1527" s="274" t="s">
        <v>2642</v>
      </c>
      <c r="F1527" s="274"/>
      <c r="G1527" s="274"/>
      <c r="H1527" s="274"/>
      <c r="I1527" s="274">
        <v>1.19</v>
      </c>
      <c r="J1527" s="456">
        <f t="shared" si="48"/>
        <v>1.19</v>
      </c>
      <c r="K1527" s="583"/>
      <c r="L1527" s="268" t="s">
        <v>2625</v>
      </c>
      <c r="M1527" s="268" t="s">
        <v>2631</v>
      </c>
      <c r="N1527" s="278">
        <f>IFERROR(INDEX('Data Lokasi'!S:S,MATCH('Input Real Tanam&amp;Petik Nanas'!C1527,'Data Lokasi'!C:C,0)),"")</f>
        <v>46269</v>
      </c>
      <c r="O1527" s="278"/>
      <c r="P1527" s="283">
        <f>IFERROR(INDEX('Data Lokasi'!V:V,MATCH(C1527,'Data Lokasi'!C:C,0)),"")</f>
        <v>4.7699999999999996</v>
      </c>
      <c r="Q1527" s="304">
        <f t="shared" si="49"/>
        <v>1</v>
      </c>
      <c r="R1527" s="308"/>
    </row>
    <row r="1528" spans="2:18">
      <c r="B1528" s="269">
        <v>46269</v>
      </c>
      <c r="C1528" s="268" t="s">
        <v>2127</v>
      </c>
      <c r="D1528" s="274">
        <f>IFERROR(VLOOKUP(C1528,'Data Lokasi'!C:D,2,0),"")</f>
        <v>6.54</v>
      </c>
      <c r="E1528" s="274" t="s">
        <v>2642</v>
      </c>
      <c r="F1528" s="274"/>
      <c r="G1528" s="274"/>
      <c r="H1528" s="274"/>
      <c r="I1528" s="274">
        <v>0.42</v>
      </c>
      <c r="J1528" s="456">
        <f t="shared" si="48"/>
        <v>0.42</v>
      </c>
      <c r="K1528" s="583"/>
      <c r="L1528" s="268" t="s">
        <v>2625</v>
      </c>
      <c r="M1528" s="268" t="s">
        <v>2631</v>
      </c>
      <c r="N1528" s="278">
        <f>IFERROR(INDEX('Data Lokasi'!S:S,MATCH('Input Real Tanam&amp;Petik Nanas'!C1528,'Data Lokasi'!C:C,0)),"")</f>
        <v>46269</v>
      </c>
      <c r="O1528" s="278"/>
      <c r="P1528" s="283">
        <f>IFERROR(INDEX('Data Lokasi'!V:V,MATCH(C1528,'Data Lokasi'!C:C,0)),"")</f>
        <v>6.54</v>
      </c>
      <c r="Q1528" s="304">
        <f t="shared" si="49"/>
        <v>1</v>
      </c>
      <c r="R1528" s="308"/>
    </row>
    <row r="1529" spans="2:18">
      <c r="B1529" s="269">
        <v>46269</v>
      </c>
      <c r="C1529" s="268" t="s">
        <v>120</v>
      </c>
      <c r="D1529" s="274">
        <f>IFERROR(VLOOKUP(C1529,'Data Lokasi'!C:D,2,0),"")</f>
        <v>9.0399999999999991</v>
      </c>
      <c r="E1529" s="274" t="s">
        <v>2642</v>
      </c>
      <c r="F1529" s="274"/>
      <c r="G1529" s="274"/>
      <c r="H1529" s="274"/>
      <c r="I1529" s="274">
        <v>0.44</v>
      </c>
      <c r="J1529" s="456">
        <f t="shared" si="48"/>
        <v>0.44</v>
      </c>
      <c r="K1529" s="583"/>
      <c r="L1529" s="268" t="s">
        <v>2625</v>
      </c>
      <c r="M1529" s="268" t="s">
        <v>2631</v>
      </c>
      <c r="N1529" s="278">
        <f>IFERROR(INDEX('Data Lokasi'!S:S,MATCH('Input Real Tanam&amp;Petik Nanas'!C1529,'Data Lokasi'!C:C,0)),"")</f>
        <v>44184</v>
      </c>
      <c r="O1529" s="278"/>
      <c r="P1529" s="283">
        <f>IFERROR(INDEX('Data Lokasi'!V:V,MATCH(C1529,'Data Lokasi'!C:C,0)),"")</f>
        <v>0</v>
      </c>
      <c r="Q1529" s="304">
        <f t="shared" si="49"/>
        <v>0</v>
      </c>
      <c r="R1529" s="308"/>
    </row>
    <row r="1530" spans="2:18">
      <c r="B1530" s="269">
        <v>46270</v>
      </c>
      <c r="C1530" s="268" t="s">
        <v>281</v>
      </c>
      <c r="D1530" s="274">
        <f>IFERROR(VLOOKUP(C1530,'Data Lokasi'!C:D,2,0),"")</f>
        <v>8.3000000000000007</v>
      </c>
      <c r="E1530" s="274" t="s">
        <v>2642</v>
      </c>
      <c r="F1530" s="274"/>
      <c r="G1530" s="274"/>
      <c r="H1530" s="274"/>
      <c r="I1530" s="274">
        <v>0.87</v>
      </c>
      <c r="J1530" s="456">
        <f t="shared" si="48"/>
        <v>0.87</v>
      </c>
      <c r="K1530" s="583"/>
      <c r="L1530" s="268" t="s">
        <v>2625</v>
      </c>
      <c r="M1530" s="268" t="s">
        <v>2634</v>
      </c>
      <c r="N1530" s="278">
        <f>IFERROR(INDEX('Data Lokasi'!S:S,MATCH('Input Real Tanam&amp;Petik Nanas'!C1530,'Data Lokasi'!C:C,0)),"")</f>
        <v>44105</v>
      </c>
      <c r="O1530" s="278"/>
      <c r="P1530" s="283">
        <f>IFERROR(INDEX('Data Lokasi'!V:V,MATCH(C1530,'Data Lokasi'!C:C,0)),"")</f>
        <v>0</v>
      </c>
      <c r="Q1530" s="304">
        <f t="shared" si="49"/>
        <v>0</v>
      </c>
      <c r="R1530" s="308"/>
    </row>
    <row r="1531" spans="2:18">
      <c r="B1531" s="269">
        <v>46270</v>
      </c>
      <c r="C1531" s="268" t="s">
        <v>281</v>
      </c>
      <c r="D1531" s="274">
        <f>IFERROR(VLOOKUP(C1531,'Data Lokasi'!C:D,2,0),"")</f>
        <v>8.3000000000000007</v>
      </c>
      <c r="E1531" s="274" t="s">
        <v>2642</v>
      </c>
      <c r="F1531" s="274"/>
      <c r="G1531" s="274"/>
      <c r="H1531" s="274"/>
      <c r="I1531" s="274">
        <v>0.27</v>
      </c>
      <c r="J1531" s="456">
        <f t="shared" si="48"/>
        <v>0.27</v>
      </c>
      <c r="K1531" s="583"/>
      <c r="L1531" s="268" t="s">
        <v>719</v>
      </c>
      <c r="M1531" s="268" t="s">
        <v>2634</v>
      </c>
      <c r="N1531" s="278">
        <f>IFERROR(INDEX('Data Lokasi'!S:S,MATCH('Input Real Tanam&amp;Petik Nanas'!C1531,'Data Lokasi'!C:C,0)),"")</f>
        <v>44105</v>
      </c>
      <c r="O1531" s="278"/>
      <c r="P1531" s="283">
        <f>IFERROR(INDEX('Data Lokasi'!V:V,MATCH(C1531,'Data Lokasi'!C:C,0)),"")</f>
        <v>0</v>
      </c>
      <c r="Q1531" s="304">
        <f t="shared" si="49"/>
        <v>0</v>
      </c>
      <c r="R1531" s="308"/>
    </row>
    <row r="1532" spans="2:18">
      <c r="B1532" s="269">
        <v>46270</v>
      </c>
      <c r="C1532" s="268" t="s">
        <v>267</v>
      </c>
      <c r="D1532" s="274">
        <f>IFERROR(VLOOKUP(C1532,'Data Lokasi'!C:D,2,0),"")</f>
        <v>8.44</v>
      </c>
      <c r="E1532" s="274" t="s">
        <v>2642</v>
      </c>
      <c r="F1532" s="274"/>
      <c r="G1532" s="274"/>
      <c r="H1532" s="274">
        <v>0.02</v>
      </c>
      <c r="I1532" s="274"/>
      <c r="J1532" s="456">
        <f t="shared" si="48"/>
        <v>0.02</v>
      </c>
      <c r="K1532" s="583"/>
      <c r="L1532" s="268" t="s">
        <v>719</v>
      </c>
      <c r="M1532" s="268" t="s">
        <v>2634</v>
      </c>
      <c r="N1532" s="278">
        <f>IFERROR(INDEX('Data Lokasi'!S:S,MATCH('Input Real Tanam&amp;Petik Nanas'!C1532,'Data Lokasi'!C:C,0)),"")</f>
        <v>44091</v>
      </c>
      <c r="O1532" s="278"/>
      <c r="P1532" s="283">
        <f>IFERROR(INDEX('Data Lokasi'!V:V,MATCH(C1532,'Data Lokasi'!C:C,0)),"")</f>
        <v>0</v>
      </c>
      <c r="Q1532" s="304">
        <f t="shared" si="49"/>
        <v>0</v>
      </c>
      <c r="R1532" s="308"/>
    </row>
    <row r="1533" spans="2:18">
      <c r="B1533" s="269">
        <v>46270</v>
      </c>
      <c r="C1533" s="268" t="s">
        <v>2647</v>
      </c>
      <c r="D1533" s="274">
        <f>IFERROR(VLOOKUP(C1533,'Data Lokasi'!C:D,2,0),"")</f>
        <v>6.12</v>
      </c>
      <c r="E1533" s="274" t="s">
        <v>2642</v>
      </c>
      <c r="F1533" s="274"/>
      <c r="G1533" s="274"/>
      <c r="H1533" s="274">
        <v>0.05</v>
      </c>
      <c r="I1533" s="274"/>
      <c r="J1533" s="456">
        <f t="shared" si="48"/>
        <v>0.05</v>
      </c>
      <c r="K1533" s="583"/>
      <c r="L1533" s="268" t="s">
        <v>719</v>
      </c>
      <c r="M1533" s="268" t="s">
        <v>2634</v>
      </c>
      <c r="N1533" s="278">
        <f>IFERROR(INDEX('Data Lokasi'!S:S,MATCH('Input Real Tanam&amp;Petik Nanas'!C1533,'Data Lokasi'!C:C,0)),"")</f>
        <v>46237</v>
      </c>
      <c r="O1533" s="278"/>
      <c r="P1533" s="283">
        <f>IFERROR(INDEX('Data Lokasi'!V:V,MATCH(C1533,'Data Lokasi'!C:C,0)),"")</f>
        <v>6.12</v>
      </c>
      <c r="Q1533" s="304">
        <f t="shared" si="49"/>
        <v>1</v>
      </c>
      <c r="R1533" s="308"/>
    </row>
    <row r="1534" spans="2:18">
      <c r="B1534" s="269">
        <v>46270</v>
      </c>
      <c r="C1534" s="268" t="s">
        <v>336</v>
      </c>
      <c r="D1534" s="274">
        <f>IFERROR(VLOOKUP(C1534,'Data Lokasi'!C:D,2,0),"")</f>
        <v>3.64</v>
      </c>
      <c r="E1534" s="274" t="s">
        <v>2642</v>
      </c>
      <c r="F1534" s="274"/>
      <c r="G1534" s="274"/>
      <c r="H1534" s="274"/>
      <c r="I1534" s="274">
        <v>0.4</v>
      </c>
      <c r="J1534" s="456">
        <f t="shared" si="48"/>
        <v>0.4</v>
      </c>
      <c r="K1534" s="583"/>
      <c r="L1534" s="268" t="s">
        <v>2625</v>
      </c>
      <c r="M1534" s="268" t="s">
        <v>2634</v>
      </c>
      <c r="N1534" s="278">
        <f>IFERROR(INDEX('Data Lokasi'!S:S,MATCH('Input Real Tanam&amp;Petik Nanas'!C1534,'Data Lokasi'!C:C,0)),"")</f>
        <v>44231</v>
      </c>
      <c r="O1534" s="278"/>
      <c r="P1534" s="283">
        <f>IFERROR(INDEX('Data Lokasi'!V:V,MATCH(C1534,'Data Lokasi'!C:C,0)),"")</f>
        <v>0</v>
      </c>
      <c r="Q1534" s="304">
        <f t="shared" si="49"/>
        <v>0</v>
      </c>
      <c r="R1534" s="308"/>
    </row>
    <row r="1535" spans="2:18">
      <c r="B1535" s="269">
        <v>46270</v>
      </c>
      <c r="C1535" s="268" t="s">
        <v>2126</v>
      </c>
      <c r="D1535" s="274">
        <f>IFERROR(VLOOKUP(C1535,'Data Lokasi'!C:D,2,0),"")</f>
        <v>4.7699999999999996</v>
      </c>
      <c r="E1535" s="274" t="s">
        <v>2642</v>
      </c>
      <c r="F1535" s="274"/>
      <c r="G1535" s="274"/>
      <c r="H1535" s="274"/>
      <c r="I1535" s="274">
        <f>1.61</f>
        <v>1.61</v>
      </c>
      <c r="J1535" s="456">
        <f t="shared" si="48"/>
        <v>1.61</v>
      </c>
      <c r="K1535" s="583"/>
      <c r="L1535" s="268" t="s">
        <v>2625</v>
      </c>
      <c r="M1535" s="268" t="s">
        <v>2631</v>
      </c>
      <c r="N1535" s="278">
        <f>IFERROR(INDEX('Data Lokasi'!S:S,MATCH('Input Real Tanam&amp;Petik Nanas'!C1535,'Data Lokasi'!C:C,0)),"")</f>
        <v>46269</v>
      </c>
      <c r="O1535" s="278"/>
      <c r="P1535" s="283">
        <f>IFERROR(INDEX('Data Lokasi'!V:V,MATCH(C1535,'Data Lokasi'!C:C,0)),"")</f>
        <v>4.7699999999999996</v>
      </c>
      <c r="Q1535" s="304">
        <f t="shared" si="49"/>
        <v>1</v>
      </c>
      <c r="R1535" s="308"/>
    </row>
    <row r="1536" spans="2:18">
      <c r="B1536" s="269">
        <v>46270</v>
      </c>
      <c r="C1536" s="268" t="s">
        <v>2127</v>
      </c>
      <c r="D1536" s="274">
        <f>IFERROR(VLOOKUP(C1536,'Data Lokasi'!C:D,2,0),"")</f>
        <v>6.54</v>
      </c>
      <c r="E1536" s="274" t="s">
        <v>2642</v>
      </c>
      <c r="F1536" s="274"/>
      <c r="G1536" s="274"/>
      <c r="H1536" s="274"/>
      <c r="I1536" s="274">
        <v>0.98</v>
      </c>
      <c r="J1536" s="456">
        <f t="shared" si="48"/>
        <v>0.98</v>
      </c>
      <c r="K1536" s="583"/>
      <c r="L1536" s="268" t="s">
        <v>2625</v>
      </c>
      <c r="M1536" s="268" t="s">
        <v>2631</v>
      </c>
      <c r="N1536" s="278">
        <f>IFERROR(INDEX('Data Lokasi'!S:S,MATCH('Input Real Tanam&amp;Petik Nanas'!C1536,'Data Lokasi'!C:C,0)),"")</f>
        <v>46269</v>
      </c>
      <c r="O1536" s="278"/>
      <c r="P1536" s="283">
        <f>IFERROR(INDEX('Data Lokasi'!V:V,MATCH(C1536,'Data Lokasi'!C:C,0)),"")</f>
        <v>6.54</v>
      </c>
      <c r="Q1536" s="304">
        <f t="shared" si="49"/>
        <v>1</v>
      </c>
      <c r="R1536" s="308"/>
    </row>
    <row r="1537" spans="2:18">
      <c r="B1537" s="269">
        <v>46270</v>
      </c>
      <c r="C1537" s="268" t="s">
        <v>120</v>
      </c>
      <c r="D1537" s="274">
        <f>IFERROR(VLOOKUP(C1537,'Data Lokasi'!C:D,2,0),"")</f>
        <v>9.0399999999999991</v>
      </c>
      <c r="E1537" s="274" t="s">
        <v>2642</v>
      </c>
      <c r="F1537" s="274"/>
      <c r="G1537" s="274"/>
      <c r="H1537" s="274"/>
      <c r="I1537" s="274">
        <v>0.34</v>
      </c>
      <c r="J1537" s="456">
        <f t="shared" si="48"/>
        <v>0.34</v>
      </c>
      <c r="K1537" s="583"/>
      <c r="L1537" s="268" t="s">
        <v>2625</v>
      </c>
      <c r="M1537" s="268" t="s">
        <v>2631</v>
      </c>
      <c r="N1537" s="278">
        <f>IFERROR(INDEX('Data Lokasi'!S:S,MATCH('Input Real Tanam&amp;Petik Nanas'!C1537,'Data Lokasi'!C:C,0)),"")</f>
        <v>44184</v>
      </c>
      <c r="O1537" s="278"/>
      <c r="P1537" s="283">
        <f>IFERROR(INDEX('Data Lokasi'!V:V,MATCH(C1537,'Data Lokasi'!C:C,0)),"")</f>
        <v>0</v>
      </c>
      <c r="Q1537" s="304">
        <f t="shared" si="49"/>
        <v>0</v>
      </c>
      <c r="R1537" s="308"/>
    </row>
    <row r="1538" spans="2:18">
      <c r="B1538" s="269">
        <v>46271</v>
      </c>
      <c r="C1538" s="268" t="s">
        <v>281</v>
      </c>
      <c r="D1538" s="274">
        <f>IFERROR(VLOOKUP(C1538,'Data Lokasi'!C:D,2,0),"")</f>
        <v>8.3000000000000007</v>
      </c>
      <c r="E1538" s="274" t="s">
        <v>2642</v>
      </c>
      <c r="F1538" s="274"/>
      <c r="G1538" s="274"/>
      <c r="H1538" s="274"/>
      <c r="I1538" s="274">
        <v>0.33</v>
      </c>
      <c r="J1538" s="456">
        <f t="shared" si="48"/>
        <v>0.33</v>
      </c>
      <c r="K1538" s="583"/>
      <c r="L1538" s="268" t="s">
        <v>2625</v>
      </c>
      <c r="M1538" s="268" t="s">
        <v>2634</v>
      </c>
      <c r="N1538" s="278">
        <f>IFERROR(INDEX('Data Lokasi'!S:S,MATCH('Input Real Tanam&amp;Petik Nanas'!C1538,'Data Lokasi'!C:C,0)),"")</f>
        <v>44105</v>
      </c>
      <c r="O1538" s="278"/>
      <c r="P1538" s="283">
        <f>IFERROR(INDEX('Data Lokasi'!V:V,MATCH(C1538,'Data Lokasi'!C:C,0)),"")</f>
        <v>0</v>
      </c>
      <c r="Q1538" s="304">
        <f t="shared" si="49"/>
        <v>0</v>
      </c>
      <c r="R1538" s="308"/>
    </row>
    <row r="1539" spans="2:18">
      <c r="B1539" s="269">
        <v>46271</v>
      </c>
      <c r="C1539" s="268" t="s">
        <v>281</v>
      </c>
      <c r="D1539" s="274">
        <f>IFERROR(VLOOKUP(C1539,'Data Lokasi'!C:D,2,0),"")</f>
        <v>8.3000000000000007</v>
      </c>
      <c r="E1539" s="274" t="s">
        <v>2642</v>
      </c>
      <c r="F1539" s="274"/>
      <c r="G1539" s="274"/>
      <c r="H1539" s="274"/>
      <c r="I1539" s="274">
        <v>0.3</v>
      </c>
      <c r="J1539" s="456">
        <f t="shared" si="48"/>
        <v>0.3</v>
      </c>
      <c r="K1539" s="583"/>
      <c r="L1539" s="268" t="s">
        <v>719</v>
      </c>
      <c r="M1539" s="268" t="s">
        <v>2634</v>
      </c>
      <c r="N1539" s="278">
        <f>IFERROR(INDEX('Data Lokasi'!S:S,MATCH('Input Real Tanam&amp;Petik Nanas'!C1539,'Data Lokasi'!C:C,0)),"")</f>
        <v>44105</v>
      </c>
      <c r="O1539" s="278"/>
      <c r="P1539" s="283">
        <f>IFERROR(INDEX('Data Lokasi'!V:V,MATCH(C1539,'Data Lokasi'!C:C,0)),"")</f>
        <v>0</v>
      </c>
      <c r="Q1539" s="304">
        <f t="shared" si="49"/>
        <v>0</v>
      </c>
      <c r="R1539" s="308"/>
    </row>
    <row r="1540" spans="2:18">
      <c r="B1540" s="269">
        <v>46271</v>
      </c>
      <c r="C1540" s="268" t="s">
        <v>692</v>
      </c>
      <c r="D1540" s="274">
        <f>IFERROR(VLOOKUP(C1540,'Data Lokasi'!C:D,2,0),"")</f>
        <v>3.93</v>
      </c>
      <c r="E1540" s="274" t="s">
        <v>2642</v>
      </c>
      <c r="F1540" s="274"/>
      <c r="G1540" s="274"/>
      <c r="H1540" s="274"/>
      <c r="I1540" s="274">
        <v>7.0000000000000007E-2</v>
      </c>
      <c r="J1540" s="456">
        <f t="shared" si="48"/>
        <v>7.0000000000000007E-2</v>
      </c>
      <c r="K1540" s="583"/>
      <c r="L1540" s="268" t="s">
        <v>2625</v>
      </c>
      <c r="M1540" s="268" t="s">
        <v>2634</v>
      </c>
      <c r="N1540" s="278">
        <f>IFERROR(INDEX('Data Lokasi'!S:S,MATCH('Input Real Tanam&amp;Petik Nanas'!C1540,'Data Lokasi'!C:C,0)),"")</f>
        <v>45111</v>
      </c>
      <c r="O1540" s="278"/>
      <c r="P1540" s="283">
        <f>IFERROR(INDEX('Data Lokasi'!V:V,MATCH(C1540,'Data Lokasi'!C:C,0)),"")</f>
        <v>0</v>
      </c>
      <c r="Q1540" s="304">
        <f t="shared" si="49"/>
        <v>0</v>
      </c>
      <c r="R1540" s="308"/>
    </row>
    <row r="1541" spans="2:18">
      <c r="B1541" s="269">
        <v>46271</v>
      </c>
      <c r="C1541" s="268" t="s">
        <v>285</v>
      </c>
      <c r="D1541" s="274">
        <f>IFERROR(VLOOKUP(C1541,'Data Lokasi'!C:D,2,0),"")</f>
        <v>11.96</v>
      </c>
      <c r="E1541" s="274" t="s">
        <v>2642</v>
      </c>
      <c r="F1541" s="274"/>
      <c r="G1541" s="274"/>
      <c r="H1541" s="274"/>
      <c r="I1541" s="274">
        <v>0.5</v>
      </c>
      <c r="J1541" s="456">
        <f t="shared" si="48"/>
        <v>0.5</v>
      </c>
      <c r="K1541" s="583"/>
      <c r="L1541" s="268" t="s">
        <v>2625</v>
      </c>
      <c r="M1541" s="268" t="s">
        <v>2634</v>
      </c>
      <c r="N1541" s="278">
        <f>IFERROR(INDEX('Data Lokasi'!S:S,MATCH('Input Real Tanam&amp;Petik Nanas'!C1541,'Data Lokasi'!C:C,0)),"")</f>
        <v>44118</v>
      </c>
      <c r="O1541" s="278"/>
      <c r="P1541" s="283">
        <f>IFERROR(INDEX('Data Lokasi'!V:V,MATCH(C1541,'Data Lokasi'!C:C,0)),"")</f>
        <v>0</v>
      </c>
      <c r="Q1541" s="304">
        <f t="shared" si="49"/>
        <v>0</v>
      </c>
      <c r="R1541" s="308"/>
    </row>
    <row r="1542" spans="2:18">
      <c r="B1542" s="269">
        <v>46271</v>
      </c>
      <c r="C1542" s="268" t="s">
        <v>267</v>
      </c>
      <c r="D1542" s="274">
        <f>IFERROR(VLOOKUP(C1542,'Data Lokasi'!C:D,2,0),"")</f>
        <v>8.44</v>
      </c>
      <c r="E1542" s="274" t="s">
        <v>2642</v>
      </c>
      <c r="F1542" s="274"/>
      <c r="G1542" s="274"/>
      <c r="H1542" s="274">
        <v>0.22</v>
      </c>
      <c r="I1542" s="274"/>
      <c r="J1542" s="456">
        <f t="shared" si="48"/>
        <v>0.22</v>
      </c>
      <c r="K1542" s="583"/>
      <c r="L1542" s="268" t="s">
        <v>719</v>
      </c>
      <c r="M1542" s="268" t="s">
        <v>2634</v>
      </c>
      <c r="N1542" s="278">
        <f>IFERROR(INDEX('Data Lokasi'!S:S,MATCH('Input Real Tanam&amp;Petik Nanas'!C1542,'Data Lokasi'!C:C,0)),"")</f>
        <v>44091</v>
      </c>
      <c r="O1542" s="278"/>
      <c r="P1542" s="283">
        <f>IFERROR(INDEX('Data Lokasi'!V:V,MATCH(C1542,'Data Lokasi'!C:C,0)),"")</f>
        <v>0</v>
      </c>
      <c r="Q1542" s="304">
        <f t="shared" si="49"/>
        <v>0</v>
      </c>
      <c r="R1542" s="308"/>
    </row>
    <row r="1543" spans="2:18">
      <c r="B1543" s="269">
        <v>46271</v>
      </c>
      <c r="C1543" s="268" t="s">
        <v>336</v>
      </c>
      <c r="D1543" s="274">
        <f>IFERROR(VLOOKUP(C1543,'Data Lokasi'!C:D,2,0),"")</f>
        <v>3.64</v>
      </c>
      <c r="E1543" s="274" t="s">
        <v>2642</v>
      </c>
      <c r="F1543" s="274"/>
      <c r="G1543" s="274"/>
      <c r="H1543" s="274"/>
      <c r="I1543" s="274">
        <v>0.3</v>
      </c>
      <c r="J1543" s="456">
        <f t="shared" si="48"/>
        <v>0.3</v>
      </c>
      <c r="K1543" s="583"/>
      <c r="L1543" s="268" t="s">
        <v>2625</v>
      </c>
      <c r="M1543" s="268" t="s">
        <v>2634</v>
      </c>
      <c r="N1543" s="278">
        <f>IFERROR(INDEX('Data Lokasi'!S:S,MATCH('Input Real Tanam&amp;Petik Nanas'!C1543,'Data Lokasi'!C:C,0)),"")</f>
        <v>44231</v>
      </c>
      <c r="O1543" s="278"/>
      <c r="P1543" s="283">
        <f>IFERROR(INDEX('Data Lokasi'!V:V,MATCH(C1543,'Data Lokasi'!C:C,0)),"")</f>
        <v>0</v>
      </c>
      <c r="Q1543" s="304">
        <f t="shared" si="49"/>
        <v>0</v>
      </c>
      <c r="R1543" s="308"/>
    </row>
    <row r="1544" spans="2:18">
      <c r="B1544" s="269">
        <v>46271</v>
      </c>
      <c r="C1544" s="268" t="s">
        <v>2712</v>
      </c>
      <c r="D1544" s="274">
        <f>IFERROR(VLOOKUP(C1544,'Data Lokasi'!C:D,2,0),"")</f>
        <v>6.02</v>
      </c>
      <c r="E1544" s="274" t="s">
        <v>2642</v>
      </c>
      <c r="F1544" s="274"/>
      <c r="G1544" s="274"/>
      <c r="H1544" s="274">
        <v>0.67</v>
      </c>
      <c r="I1544" s="274"/>
      <c r="J1544" s="456">
        <f t="shared" si="48"/>
        <v>0.67</v>
      </c>
      <c r="K1544" s="583"/>
      <c r="L1544" s="268" t="s">
        <v>719</v>
      </c>
      <c r="M1544" s="268" t="s">
        <v>2631</v>
      </c>
      <c r="N1544" s="278">
        <f>IFERROR(INDEX('Data Lokasi'!S:S,MATCH('Input Real Tanam&amp;Petik Nanas'!C1544,'Data Lokasi'!C:C,0)),"")</f>
        <v>46271</v>
      </c>
      <c r="O1544" s="278"/>
      <c r="P1544" s="283">
        <f>IFERROR(INDEX('Data Lokasi'!V:V,MATCH(C1544,'Data Lokasi'!C:C,0)),"")</f>
        <v>6.0200000000000005</v>
      </c>
      <c r="Q1544" s="304">
        <f t="shared" si="49"/>
        <v>1.0000000000000002</v>
      </c>
      <c r="R1544" s="308"/>
    </row>
    <row r="1545" spans="2:18">
      <c r="B1545" s="269">
        <v>46271</v>
      </c>
      <c r="C1545" s="268" t="s">
        <v>2127</v>
      </c>
      <c r="D1545" s="274">
        <f>IFERROR(VLOOKUP(C1545,'Data Lokasi'!C:D,2,0),"")</f>
        <v>6.54</v>
      </c>
      <c r="E1545" s="274" t="s">
        <v>2642</v>
      </c>
      <c r="F1545" s="274"/>
      <c r="G1545" s="274"/>
      <c r="H1545" s="274"/>
      <c r="I1545" s="274">
        <v>1.26</v>
      </c>
      <c r="J1545" s="456">
        <f t="shared" si="48"/>
        <v>1.26</v>
      </c>
      <c r="K1545" s="583"/>
      <c r="L1545" s="268" t="s">
        <v>2625</v>
      </c>
      <c r="M1545" s="268" t="s">
        <v>2631</v>
      </c>
      <c r="N1545" s="278">
        <f>IFERROR(INDEX('Data Lokasi'!S:S,MATCH('Input Real Tanam&amp;Petik Nanas'!C1545,'Data Lokasi'!C:C,0)),"")</f>
        <v>46269</v>
      </c>
      <c r="O1545" s="278"/>
      <c r="P1545" s="283">
        <f>IFERROR(INDEX('Data Lokasi'!V:V,MATCH(C1545,'Data Lokasi'!C:C,0)),"")</f>
        <v>6.54</v>
      </c>
      <c r="Q1545" s="304">
        <f t="shared" si="49"/>
        <v>1</v>
      </c>
      <c r="R1545" s="308"/>
    </row>
    <row r="1546" spans="2:18">
      <c r="B1546" s="269">
        <v>46271</v>
      </c>
      <c r="C1546" s="268" t="s">
        <v>2126</v>
      </c>
      <c r="D1546" s="274">
        <f>IFERROR(VLOOKUP(C1546,'Data Lokasi'!C:D,2,0),"")</f>
        <v>4.7699999999999996</v>
      </c>
      <c r="E1546" s="274" t="s">
        <v>2642</v>
      </c>
      <c r="F1546" s="274"/>
      <c r="G1546" s="274"/>
      <c r="H1546" s="274">
        <v>0.95</v>
      </c>
      <c r="I1546" s="274"/>
      <c r="J1546" s="456">
        <f t="shared" si="48"/>
        <v>0.95</v>
      </c>
      <c r="K1546" s="583"/>
      <c r="L1546" s="268" t="s">
        <v>719</v>
      </c>
      <c r="M1546" s="268" t="s">
        <v>2631</v>
      </c>
      <c r="N1546" s="278">
        <f>IFERROR(INDEX('Data Lokasi'!S:S,MATCH('Input Real Tanam&amp;Petik Nanas'!C1546,'Data Lokasi'!C:C,0)),"")</f>
        <v>46269</v>
      </c>
      <c r="O1546" s="278"/>
      <c r="P1546" s="283">
        <f>IFERROR(INDEX('Data Lokasi'!V:V,MATCH(C1546,'Data Lokasi'!C:C,0)),"")</f>
        <v>4.7699999999999996</v>
      </c>
      <c r="Q1546" s="304">
        <f t="shared" si="49"/>
        <v>1</v>
      </c>
      <c r="R1546" s="308"/>
    </row>
    <row r="1547" spans="2:18">
      <c r="B1547" s="269">
        <v>46272</v>
      </c>
      <c r="C1547" s="268" t="s">
        <v>281</v>
      </c>
      <c r="D1547" s="274">
        <f>IFERROR(VLOOKUP(C1547,'Data Lokasi'!C:D,2,0),"")</f>
        <v>8.3000000000000007</v>
      </c>
      <c r="E1547" s="274" t="s">
        <v>2642</v>
      </c>
      <c r="F1547" s="274"/>
      <c r="G1547" s="274"/>
      <c r="H1547" s="274"/>
      <c r="I1547" s="274">
        <v>0.96</v>
      </c>
      <c r="J1547" s="456">
        <f t="shared" si="48"/>
        <v>0.96</v>
      </c>
      <c r="K1547" s="583"/>
      <c r="L1547" s="268" t="s">
        <v>2625</v>
      </c>
      <c r="M1547" s="268" t="s">
        <v>2634</v>
      </c>
      <c r="N1547" s="278">
        <f>IFERROR(INDEX('Data Lokasi'!S:S,MATCH('Input Real Tanam&amp;Petik Nanas'!C1547,'Data Lokasi'!C:C,0)),"")</f>
        <v>44105</v>
      </c>
      <c r="O1547" s="278"/>
      <c r="P1547" s="283">
        <f>IFERROR(INDEX('Data Lokasi'!V:V,MATCH(C1547,'Data Lokasi'!C:C,0)),"")</f>
        <v>0</v>
      </c>
      <c r="Q1547" s="304">
        <f t="shared" si="49"/>
        <v>0</v>
      </c>
      <c r="R1547" s="308"/>
    </row>
    <row r="1548" spans="2:18">
      <c r="B1548" s="269">
        <v>46272</v>
      </c>
      <c r="C1548" s="268" t="s">
        <v>281</v>
      </c>
      <c r="D1548" s="274">
        <f>IFERROR(VLOOKUP(C1548,'Data Lokasi'!C:D,2,0),"")</f>
        <v>8.3000000000000007</v>
      </c>
      <c r="E1548" s="274" t="s">
        <v>2642</v>
      </c>
      <c r="F1548" s="274"/>
      <c r="G1548" s="274"/>
      <c r="H1548" s="274"/>
      <c r="I1548" s="274">
        <v>0.1</v>
      </c>
      <c r="J1548" s="456">
        <f t="shared" si="48"/>
        <v>0.1</v>
      </c>
      <c r="K1548" s="583"/>
      <c r="L1548" s="268" t="s">
        <v>719</v>
      </c>
      <c r="M1548" s="268" t="s">
        <v>2634</v>
      </c>
      <c r="N1548" s="278">
        <f>IFERROR(INDEX('Data Lokasi'!S:S,MATCH('Input Real Tanam&amp;Petik Nanas'!C1548,'Data Lokasi'!C:C,0)),"")</f>
        <v>44105</v>
      </c>
      <c r="O1548" s="278"/>
      <c r="P1548" s="283">
        <f>IFERROR(INDEX('Data Lokasi'!V:V,MATCH(C1548,'Data Lokasi'!C:C,0)),"")</f>
        <v>0</v>
      </c>
      <c r="Q1548" s="304">
        <f t="shared" si="49"/>
        <v>0</v>
      </c>
      <c r="R1548" s="308"/>
    </row>
    <row r="1549" spans="2:18">
      <c r="B1549" s="269">
        <v>46272</v>
      </c>
      <c r="C1549" s="268" t="s">
        <v>680</v>
      </c>
      <c r="D1549" s="274">
        <f>IFERROR(VLOOKUP(C1549,'Data Lokasi'!C:D,2,0),"")</f>
        <v>5</v>
      </c>
      <c r="E1549" s="274" t="s">
        <v>2642</v>
      </c>
      <c r="F1549" s="274"/>
      <c r="G1549" s="274"/>
      <c r="H1549" s="274"/>
      <c r="I1549" s="274">
        <v>0.04</v>
      </c>
      <c r="J1549" s="456">
        <f t="shared" si="48"/>
        <v>0.04</v>
      </c>
      <c r="K1549" s="583"/>
      <c r="L1549" s="268" t="s">
        <v>2625</v>
      </c>
      <c r="M1549" s="268" t="s">
        <v>2634</v>
      </c>
      <c r="N1549" s="278">
        <f>IFERROR(INDEX('Data Lokasi'!S:S,MATCH('Input Real Tanam&amp;Petik Nanas'!C1549,'Data Lokasi'!C:C,0)),"")</f>
        <v>45093</v>
      </c>
      <c r="O1549" s="278"/>
      <c r="P1549" s="283">
        <f>IFERROR(INDEX('Data Lokasi'!V:V,MATCH(C1549,'Data Lokasi'!C:C,0)),"")</f>
        <v>0</v>
      </c>
      <c r="Q1549" s="304">
        <f t="shared" si="49"/>
        <v>0</v>
      </c>
      <c r="R1549" s="308"/>
    </row>
    <row r="1550" spans="2:18">
      <c r="B1550" s="269">
        <v>46272</v>
      </c>
      <c r="C1550" s="268" t="s">
        <v>285</v>
      </c>
      <c r="D1550" s="274">
        <f>IFERROR(VLOOKUP(C1550,'Data Lokasi'!C:D,2,0),"")</f>
        <v>11.96</v>
      </c>
      <c r="E1550" s="274" t="s">
        <v>2642</v>
      </c>
      <c r="F1550" s="274"/>
      <c r="G1550" s="274"/>
      <c r="H1550" s="274"/>
      <c r="I1550" s="274">
        <v>1.37</v>
      </c>
      <c r="J1550" s="456">
        <f t="shared" si="48"/>
        <v>1.37</v>
      </c>
      <c r="K1550" s="583"/>
      <c r="L1550" s="268" t="s">
        <v>2625</v>
      </c>
      <c r="M1550" s="268" t="s">
        <v>2634</v>
      </c>
      <c r="N1550" s="278">
        <f>IFERROR(INDEX('Data Lokasi'!S:S,MATCH('Input Real Tanam&amp;Petik Nanas'!C1550,'Data Lokasi'!C:C,0)),"")</f>
        <v>44118</v>
      </c>
      <c r="O1550" s="278"/>
      <c r="P1550" s="283">
        <f>IFERROR(INDEX('Data Lokasi'!V:V,MATCH(C1550,'Data Lokasi'!C:C,0)),"")</f>
        <v>0</v>
      </c>
      <c r="Q1550" s="304">
        <f t="shared" si="49"/>
        <v>0</v>
      </c>
      <c r="R1550" s="308"/>
    </row>
    <row r="1551" spans="2:18">
      <c r="B1551" s="269">
        <v>46272</v>
      </c>
      <c r="C1551" s="268" t="s">
        <v>267</v>
      </c>
      <c r="D1551" s="274">
        <f>IFERROR(VLOOKUP(C1551,'Data Lokasi'!C:D,2,0),"")</f>
        <v>8.44</v>
      </c>
      <c r="E1551" s="274" t="s">
        <v>2642</v>
      </c>
      <c r="F1551" s="274"/>
      <c r="G1551" s="274"/>
      <c r="H1551" s="274">
        <v>0.1</v>
      </c>
      <c r="I1551" s="274"/>
      <c r="J1551" s="456">
        <f t="shared" si="48"/>
        <v>0.1</v>
      </c>
      <c r="K1551" s="583"/>
      <c r="L1551" s="268" t="s">
        <v>719</v>
      </c>
      <c r="M1551" s="268" t="s">
        <v>2634</v>
      </c>
      <c r="N1551" s="278">
        <f>IFERROR(INDEX('Data Lokasi'!S:S,MATCH('Input Real Tanam&amp;Petik Nanas'!C1551,'Data Lokasi'!C:C,0)),"")</f>
        <v>44091</v>
      </c>
      <c r="O1551" s="278"/>
      <c r="P1551" s="283">
        <f>IFERROR(INDEX('Data Lokasi'!V:V,MATCH(C1551,'Data Lokasi'!C:C,0)),"")</f>
        <v>0</v>
      </c>
      <c r="Q1551" s="304">
        <f t="shared" si="49"/>
        <v>0</v>
      </c>
      <c r="R1551" s="308"/>
    </row>
    <row r="1552" spans="2:18">
      <c r="B1552" s="269">
        <v>46272</v>
      </c>
      <c r="C1552" s="268" t="s">
        <v>2646</v>
      </c>
      <c r="D1552" s="274">
        <f>IFERROR(VLOOKUP(C1552,'Data Lokasi'!C:D,2,0),"")</f>
        <v>8.41</v>
      </c>
      <c r="E1552" s="274" t="s">
        <v>2642</v>
      </c>
      <c r="F1552" s="274"/>
      <c r="G1552" s="274"/>
      <c r="H1552" s="274"/>
      <c r="I1552" s="274">
        <v>0.06</v>
      </c>
      <c r="J1552" s="456">
        <f t="shared" si="48"/>
        <v>0.06</v>
      </c>
      <c r="K1552" s="583"/>
      <c r="L1552" s="268" t="s">
        <v>2625</v>
      </c>
      <c r="M1552" s="268" t="s">
        <v>2634</v>
      </c>
      <c r="N1552" s="278">
        <f>IFERROR(INDEX('Data Lokasi'!S:S,MATCH('Input Real Tanam&amp;Petik Nanas'!C1552,'Data Lokasi'!C:C,0)),"")</f>
        <v>46248</v>
      </c>
      <c r="O1552" s="278"/>
      <c r="P1552" s="283">
        <f>IFERROR(INDEX('Data Lokasi'!V:V,MATCH(C1552,'Data Lokasi'!C:C,0)),"")</f>
        <v>8.41</v>
      </c>
      <c r="Q1552" s="304">
        <f t="shared" si="49"/>
        <v>1</v>
      </c>
      <c r="R1552" s="308"/>
    </row>
    <row r="1553" spans="2:18">
      <c r="B1553" s="269">
        <v>46272</v>
      </c>
      <c r="C1553" s="268" t="s">
        <v>2647</v>
      </c>
      <c r="D1553" s="274">
        <f>IFERROR(VLOOKUP(C1553,'Data Lokasi'!C:D,2,0),"")</f>
        <v>6.12</v>
      </c>
      <c r="E1553" s="274" t="s">
        <v>2642</v>
      </c>
      <c r="F1553" s="274"/>
      <c r="G1553" s="274"/>
      <c r="H1553" s="274">
        <v>0.01</v>
      </c>
      <c r="I1553" s="274"/>
      <c r="J1553" s="456">
        <f t="shared" si="48"/>
        <v>0.01</v>
      </c>
      <c r="K1553" s="583"/>
      <c r="L1553" s="268" t="s">
        <v>719</v>
      </c>
      <c r="M1553" s="268" t="s">
        <v>2634</v>
      </c>
      <c r="N1553" s="278">
        <f>IFERROR(INDEX('Data Lokasi'!S:S,MATCH('Input Real Tanam&amp;Petik Nanas'!C1553,'Data Lokasi'!C:C,0)),"")</f>
        <v>46237</v>
      </c>
      <c r="O1553" s="278"/>
      <c r="P1553" s="283">
        <f>IFERROR(INDEX('Data Lokasi'!V:V,MATCH(C1553,'Data Lokasi'!C:C,0)),"")</f>
        <v>6.12</v>
      </c>
      <c r="Q1553" s="304">
        <f t="shared" si="49"/>
        <v>1</v>
      </c>
      <c r="R1553" s="308"/>
    </row>
    <row r="1554" spans="2:18">
      <c r="B1554" s="269">
        <v>46273</v>
      </c>
      <c r="C1554" s="268" t="s">
        <v>2712</v>
      </c>
      <c r="D1554" s="274">
        <f>IFERROR(VLOOKUP(C1554,'Data Lokasi'!C:D,2,0),"")</f>
        <v>6.02</v>
      </c>
      <c r="E1554" s="274" t="s">
        <v>2642</v>
      </c>
      <c r="F1554" s="274"/>
      <c r="G1554" s="274">
        <v>0.65</v>
      </c>
      <c r="H1554" s="274"/>
      <c r="I1554" s="274"/>
      <c r="J1554" s="456">
        <f t="shared" si="48"/>
        <v>0.65</v>
      </c>
      <c r="K1554" s="583"/>
      <c r="L1554" s="268" t="s">
        <v>719</v>
      </c>
      <c r="M1554" s="268" t="s">
        <v>2631</v>
      </c>
      <c r="N1554" s="278">
        <f>IFERROR(INDEX('Data Lokasi'!S:S,MATCH('Input Real Tanam&amp;Petik Nanas'!C1554,'Data Lokasi'!C:C,0)),"")</f>
        <v>46271</v>
      </c>
      <c r="O1554" s="278"/>
      <c r="P1554" s="283">
        <f>IFERROR(INDEX('Data Lokasi'!V:V,MATCH(C1554,'Data Lokasi'!C:C,0)),"")</f>
        <v>6.0200000000000005</v>
      </c>
      <c r="Q1554" s="304">
        <f t="shared" si="49"/>
        <v>1.0000000000000002</v>
      </c>
      <c r="R1554" s="308"/>
    </row>
    <row r="1555" spans="2:18">
      <c r="B1555" s="269">
        <v>46273</v>
      </c>
      <c r="C1555" s="268" t="s">
        <v>2127</v>
      </c>
      <c r="D1555" s="274">
        <f>IFERROR(VLOOKUP(C1555,'Data Lokasi'!C:D,2,0),"")</f>
        <v>6.54</v>
      </c>
      <c r="E1555" s="274" t="s">
        <v>2642</v>
      </c>
      <c r="F1555" s="274"/>
      <c r="G1555" s="274"/>
      <c r="H1555" s="274"/>
      <c r="I1555" s="274">
        <v>0.2</v>
      </c>
      <c r="J1555" s="456">
        <f t="shared" si="48"/>
        <v>0.2</v>
      </c>
      <c r="K1555" s="583"/>
      <c r="L1555" s="268" t="s">
        <v>2625</v>
      </c>
      <c r="M1555" s="268" t="s">
        <v>2631</v>
      </c>
      <c r="N1555" s="278">
        <f>IFERROR(INDEX('Data Lokasi'!S:S,MATCH('Input Real Tanam&amp;Petik Nanas'!C1555,'Data Lokasi'!C:C,0)),"")</f>
        <v>46269</v>
      </c>
      <c r="O1555" s="278"/>
      <c r="P1555" s="283">
        <f>IFERROR(INDEX('Data Lokasi'!V:V,MATCH(C1555,'Data Lokasi'!C:C,0)),"")</f>
        <v>6.54</v>
      </c>
      <c r="Q1555" s="304">
        <f t="shared" si="49"/>
        <v>1</v>
      </c>
      <c r="R1555" s="308"/>
    </row>
    <row r="1556" spans="2:18">
      <c r="B1556" s="269">
        <v>46273</v>
      </c>
      <c r="C1556" s="268" t="s">
        <v>2126</v>
      </c>
      <c r="D1556" s="274">
        <f>IFERROR(VLOOKUP(C1556,'Data Lokasi'!C:D,2,0),"")</f>
        <v>4.7699999999999996</v>
      </c>
      <c r="E1556" s="274" t="s">
        <v>2642</v>
      </c>
      <c r="F1556" s="274"/>
      <c r="G1556" s="274"/>
      <c r="H1556" s="274"/>
      <c r="I1556" s="274">
        <v>0.18</v>
      </c>
      <c r="J1556" s="456">
        <f t="shared" si="48"/>
        <v>0.18</v>
      </c>
      <c r="K1556" s="583"/>
      <c r="L1556" s="268" t="s">
        <v>2625</v>
      </c>
      <c r="M1556" s="268" t="s">
        <v>2631</v>
      </c>
      <c r="N1556" s="278">
        <f>IFERROR(INDEX('Data Lokasi'!S:S,MATCH('Input Real Tanam&amp;Petik Nanas'!C1556,'Data Lokasi'!C:C,0)),"")</f>
        <v>46269</v>
      </c>
      <c r="O1556" s="278"/>
      <c r="P1556" s="283">
        <f>IFERROR(INDEX('Data Lokasi'!V:V,MATCH(C1556,'Data Lokasi'!C:C,0)),"")</f>
        <v>4.7699999999999996</v>
      </c>
      <c r="Q1556" s="304">
        <f t="shared" si="49"/>
        <v>1</v>
      </c>
      <c r="R1556" s="308"/>
    </row>
    <row r="1557" spans="2:18">
      <c r="B1557" s="269">
        <v>46273</v>
      </c>
      <c r="C1557" s="268" t="s">
        <v>710</v>
      </c>
      <c r="D1557" s="274">
        <f>IFERROR(VLOOKUP(C1557,'Data Lokasi'!C:D,2,0),"")</f>
        <v>8.3699999999999992</v>
      </c>
      <c r="E1557" s="274" t="s">
        <v>2642</v>
      </c>
      <c r="F1557" s="274"/>
      <c r="G1557" s="274"/>
      <c r="H1557" s="274"/>
      <c r="I1557" s="274">
        <v>0.05</v>
      </c>
      <c r="J1557" s="456">
        <f t="shared" si="48"/>
        <v>0.05</v>
      </c>
      <c r="K1557" s="583"/>
      <c r="L1557" s="268" t="s">
        <v>2625</v>
      </c>
      <c r="M1557" s="268" t="s">
        <v>2631</v>
      </c>
      <c r="N1557" s="278">
        <f>IFERROR(INDEX('Data Lokasi'!S:S,MATCH('Input Real Tanam&amp;Petik Nanas'!C1557,'Data Lokasi'!C:C,0)),"")</f>
        <v>45246</v>
      </c>
      <c r="O1557" s="278"/>
      <c r="P1557" s="283">
        <f>IFERROR(INDEX('Data Lokasi'!V:V,MATCH(C1557,'Data Lokasi'!C:C,0)),"")</f>
        <v>0</v>
      </c>
      <c r="Q1557" s="304">
        <f t="shared" si="49"/>
        <v>0</v>
      </c>
      <c r="R1557" s="308"/>
    </row>
    <row r="1558" spans="2:18">
      <c r="B1558" s="269">
        <v>46273</v>
      </c>
      <c r="C1558" s="268" t="s">
        <v>120</v>
      </c>
      <c r="D1558" s="274">
        <f>IFERROR(VLOOKUP(C1558,'Data Lokasi'!C:D,2,0),"")</f>
        <v>9.0399999999999991</v>
      </c>
      <c r="E1558" s="274" t="s">
        <v>2642</v>
      </c>
      <c r="F1558" s="274"/>
      <c r="G1558" s="274"/>
      <c r="H1558" s="274"/>
      <c r="I1558" s="274">
        <v>0.36</v>
      </c>
      <c r="J1558" s="456">
        <f t="shared" si="48"/>
        <v>0.36</v>
      </c>
      <c r="K1558" s="583"/>
      <c r="L1558" s="268" t="s">
        <v>2625</v>
      </c>
      <c r="M1558" s="268" t="s">
        <v>2631</v>
      </c>
      <c r="N1558" s="278">
        <f>IFERROR(INDEX('Data Lokasi'!S:S,MATCH('Input Real Tanam&amp;Petik Nanas'!C1558,'Data Lokasi'!C:C,0)),"")</f>
        <v>44184</v>
      </c>
      <c r="O1558" s="278"/>
      <c r="P1558" s="283">
        <f>IFERROR(INDEX('Data Lokasi'!V:V,MATCH(C1558,'Data Lokasi'!C:C,0)),"")</f>
        <v>0</v>
      </c>
      <c r="Q1558" s="304">
        <f t="shared" ref="Q1558" si="50">IF(ISERROR(P1558/D1558),"",(P1558/D1558))</f>
        <v>0</v>
      </c>
      <c r="R1558" s="308"/>
    </row>
    <row r="1559" spans="2:18" hidden="1">
      <c r="B1559" s="269">
        <v>46273</v>
      </c>
      <c r="C1559" s="268" t="s">
        <v>498</v>
      </c>
      <c r="D1559" s="274">
        <f>IFERROR(VLOOKUP(C1559,'Data Lokasi'!C:D,2,0),"")</f>
        <v>7.82</v>
      </c>
      <c r="E1559" s="274" t="s">
        <v>2643</v>
      </c>
      <c r="F1559" s="274"/>
      <c r="G1559" s="274">
        <v>0.08</v>
      </c>
      <c r="H1559" s="274">
        <f>0.12+0.13</f>
        <v>0.25</v>
      </c>
      <c r="I1559" s="274"/>
      <c r="J1559" s="456">
        <f t="shared" ref="J1559:J1620" si="51">IF(SUM(F1559:I1559)=0,"",(SUM(F1559:I1559)))</f>
        <v>0.33</v>
      </c>
      <c r="K1559" s="583"/>
      <c r="L1559" s="268" t="s">
        <v>719</v>
      </c>
      <c r="M1559" s="268" t="s">
        <v>2631</v>
      </c>
      <c r="N1559" s="278">
        <f>IFERROR(INDEX('Data Lokasi'!S:S,MATCH('Input Real Tanam&amp;Petik Nanas'!C1559,'Data Lokasi'!C:C,0)),"")</f>
        <v>44568</v>
      </c>
      <c r="O1559" s="278"/>
      <c r="P1559" s="283">
        <f>IFERROR(INDEX('Data Lokasi'!V:V,MATCH(C1559,'Data Lokasi'!C:C,0)),"")</f>
        <v>0</v>
      </c>
      <c r="Q1559" s="304">
        <f t="shared" ref="Q1559:Q1620" si="52">IF(ISERROR(P1559/D1559),"",(P1559/D1559))</f>
        <v>0</v>
      </c>
      <c r="R1559" s="308">
        <v>1</v>
      </c>
    </row>
    <row r="1560" spans="2:18" hidden="1">
      <c r="B1560" s="269">
        <v>46273</v>
      </c>
      <c r="C1560" s="268" t="s">
        <v>337</v>
      </c>
      <c r="D1560" s="274">
        <f>IFERROR(VLOOKUP(C1560,'Data Lokasi'!C:D,2,0),"")</f>
        <v>9.17</v>
      </c>
      <c r="E1560" s="274" t="s">
        <v>2643</v>
      </c>
      <c r="F1560" s="274"/>
      <c r="G1560" s="274"/>
      <c r="H1560" s="274">
        <v>0.02</v>
      </c>
      <c r="I1560" s="274">
        <v>0.08</v>
      </c>
      <c r="J1560" s="456">
        <f t="shared" si="51"/>
        <v>0.1</v>
      </c>
      <c r="K1560" s="583"/>
      <c r="L1560" s="268" t="s">
        <v>719</v>
      </c>
      <c r="M1560" s="268" t="s">
        <v>2631</v>
      </c>
      <c r="N1560" s="278">
        <f>IFERROR(INDEX('Data Lokasi'!S:S,MATCH('Input Real Tanam&amp;Petik Nanas'!C1560,'Data Lokasi'!C:C,0)),"")</f>
        <v>44250</v>
      </c>
      <c r="O1560" s="278"/>
      <c r="P1560" s="283">
        <f>IFERROR(INDEX('Data Lokasi'!V:V,MATCH(C1560,'Data Lokasi'!C:C,0)),"")</f>
        <v>0</v>
      </c>
      <c r="Q1560" s="304">
        <f t="shared" si="52"/>
        <v>0</v>
      </c>
      <c r="R1560" s="308">
        <v>7</v>
      </c>
    </row>
    <row r="1561" spans="2:18" hidden="1">
      <c r="B1561" s="269">
        <v>46273</v>
      </c>
      <c r="C1561" s="268" t="s">
        <v>360</v>
      </c>
      <c r="D1561" s="274">
        <f>IFERROR(VLOOKUP(C1561,'Data Lokasi'!C:D,2,0),"")</f>
        <v>10.66</v>
      </c>
      <c r="E1561" s="274" t="s">
        <v>2643</v>
      </c>
      <c r="F1561" s="274"/>
      <c r="G1561" s="274"/>
      <c r="H1561" s="274">
        <v>0.03</v>
      </c>
      <c r="I1561" s="274">
        <v>0.08</v>
      </c>
      <c r="J1561" s="456">
        <f t="shared" si="51"/>
        <v>0.11</v>
      </c>
      <c r="K1561" s="583"/>
      <c r="L1561" s="268" t="s">
        <v>719</v>
      </c>
      <c r="M1561" s="268" t="s">
        <v>2631</v>
      </c>
      <c r="N1561" s="278">
        <f>IFERROR(INDEX('Data Lokasi'!S:S,MATCH('Input Real Tanam&amp;Petik Nanas'!C1561,'Data Lokasi'!C:C,0)),"")</f>
        <v>44300</v>
      </c>
      <c r="O1561" s="278"/>
      <c r="P1561" s="283">
        <f>IFERROR(INDEX('Data Lokasi'!V:V,MATCH(C1561,'Data Lokasi'!C:C,0)),"")</f>
        <v>0</v>
      </c>
      <c r="Q1561" s="304">
        <f t="shared" si="52"/>
        <v>0</v>
      </c>
      <c r="R1561" s="308">
        <v>6</v>
      </c>
    </row>
    <row r="1562" spans="2:18" hidden="1">
      <c r="B1562" s="269">
        <v>46273</v>
      </c>
      <c r="C1562" s="268" t="s">
        <v>351</v>
      </c>
      <c r="D1562" s="274">
        <f>IFERROR(VLOOKUP(C1562,'Data Lokasi'!C:D,2,0),"")</f>
        <v>13.68</v>
      </c>
      <c r="E1562" s="274" t="s">
        <v>2643</v>
      </c>
      <c r="F1562" s="274"/>
      <c r="G1562" s="274"/>
      <c r="H1562" s="274"/>
      <c r="I1562" s="274">
        <v>4.51</v>
      </c>
      <c r="J1562" s="456">
        <f t="shared" si="51"/>
        <v>4.51</v>
      </c>
      <c r="K1562" s="583"/>
      <c r="L1562" s="268" t="s">
        <v>2625</v>
      </c>
      <c r="M1562" s="268" t="s">
        <v>2634</v>
      </c>
      <c r="N1562" s="278">
        <f>IFERROR(INDEX('Data Lokasi'!S:S,MATCH('Input Real Tanam&amp;Petik Nanas'!C1562,'Data Lokasi'!C:C,0)),"")</f>
        <v>44276</v>
      </c>
      <c r="O1562" s="278"/>
      <c r="P1562" s="283">
        <f>IFERROR(INDEX('Data Lokasi'!V:V,MATCH(C1562,'Data Lokasi'!C:C,0)),"")</f>
        <v>0</v>
      </c>
      <c r="Q1562" s="304">
        <f t="shared" si="52"/>
        <v>0</v>
      </c>
      <c r="R1562" s="308"/>
    </row>
    <row r="1563" spans="2:18" hidden="1">
      <c r="B1563" s="269">
        <v>46273</v>
      </c>
      <c r="C1563" s="268" t="s">
        <v>517</v>
      </c>
      <c r="D1563" s="274">
        <f>IFERROR(VLOOKUP(C1563,'Data Lokasi'!C:D,2,0),"")</f>
        <v>3.59</v>
      </c>
      <c r="E1563" s="274" t="s">
        <v>2643</v>
      </c>
      <c r="F1563" s="274"/>
      <c r="G1563" s="274">
        <f>0.001+0.004</f>
        <v>5.0000000000000001E-3</v>
      </c>
      <c r="H1563" s="274">
        <v>0.01</v>
      </c>
      <c r="I1563" s="274"/>
      <c r="J1563" s="456">
        <f t="shared" si="51"/>
        <v>1.4999999999999999E-2</v>
      </c>
      <c r="K1563" s="583"/>
      <c r="L1563" s="268" t="s">
        <v>719</v>
      </c>
      <c r="M1563" s="268" t="s">
        <v>2631</v>
      </c>
      <c r="N1563" s="278">
        <f>IFERROR(INDEX('Data Lokasi'!S:S,MATCH('Input Real Tanam&amp;Petik Nanas'!C1563,'Data Lokasi'!C:C,0)),"")</f>
        <v>44615</v>
      </c>
      <c r="O1563" s="278"/>
      <c r="P1563" s="283">
        <f>IFERROR(INDEX('Data Lokasi'!V:V,MATCH(C1563,'Data Lokasi'!C:C,0)),"")</f>
        <v>0</v>
      </c>
      <c r="Q1563" s="304">
        <f t="shared" si="52"/>
        <v>0</v>
      </c>
      <c r="R1563" s="308">
        <v>2</v>
      </c>
    </row>
    <row r="1564" spans="2:18" hidden="1">
      <c r="B1564" s="269">
        <v>46273</v>
      </c>
      <c r="C1564" s="268" t="s">
        <v>1781</v>
      </c>
      <c r="D1564" s="274">
        <f>IFERROR(VLOOKUP(C1564,'Data Lokasi'!C:D,2,0),"")</f>
        <v>6.83</v>
      </c>
      <c r="E1564" s="274" t="s">
        <v>2643</v>
      </c>
      <c r="F1564" s="274"/>
      <c r="G1564" s="274"/>
      <c r="H1564" s="274"/>
      <c r="I1564" s="274">
        <v>0.14000000000000001</v>
      </c>
      <c r="J1564" s="456">
        <f t="shared" si="51"/>
        <v>0.14000000000000001</v>
      </c>
      <c r="K1564" s="583"/>
      <c r="L1564" s="268" t="s">
        <v>2625</v>
      </c>
      <c r="M1564" s="268" t="s">
        <v>2631</v>
      </c>
      <c r="N1564" s="278">
        <f>IFERROR(INDEX('Data Lokasi'!S:S,MATCH('Input Real Tanam&amp;Petik Nanas'!C1564,'Data Lokasi'!C:C,0)),"")</f>
        <v>45683</v>
      </c>
      <c r="O1564" s="278"/>
      <c r="P1564" s="283">
        <f>IFERROR(INDEX('Data Lokasi'!V:V,MATCH(C1564,'Data Lokasi'!C:C,0)),"")</f>
        <v>0</v>
      </c>
      <c r="Q1564" s="304">
        <f t="shared" si="52"/>
        <v>0</v>
      </c>
      <c r="R1564" s="308"/>
    </row>
    <row r="1565" spans="2:18" hidden="1">
      <c r="B1565" s="269">
        <v>46273</v>
      </c>
      <c r="C1565" s="268" t="s">
        <v>2306</v>
      </c>
      <c r="D1565" s="274">
        <f>IFERROR(VLOOKUP(C1565,'Data Lokasi'!C:D,2,0),"")</f>
        <v>5.87</v>
      </c>
      <c r="E1565" s="274" t="s">
        <v>2643</v>
      </c>
      <c r="F1565" s="274"/>
      <c r="G1565" s="274"/>
      <c r="H1565" s="274"/>
      <c r="I1565" s="274">
        <v>0.27</v>
      </c>
      <c r="J1565" s="456">
        <f t="shared" si="51"/>
        <v>0.27</v>
      </c>
      <c r="K1565" s="583"/>
      <c r="L1565" s="268" t="s">
        <v>2625</v>
      </c>
      <c r="M1565" s="268" t="s">
        <v>2631</v>
      </c>
      <c r="N1565" s="278">
        <f>IFERROR(INDEX('Data Lokasi'!S:S,MATCH('Input Real Tanam&amp;Petik Nanas'!C1565,'Data Lokasi'!C:C,0)),"")</f>
        <v>45762</v>
      </c>
      <c r="O1565" s="278"/>
      <c r="P1565" s="283">
        <f>IFERROR(INDEX('Data Lokasi'!V:V,MATCH(C1565,'Data Lokasi'!C:C,0)),"")</f>
        <v>0</v>
      </c>
      <c r="Q1565" s="304">
        <f t="shared" si="52"/>
        <v>0</v>
      </c>
      <c r="R1565" s="308"/>
    </row>
    <row r="1566" spans="2:18">
      <c r="B1566" s="269">
        <v>46273</v>
      </c>
      <c r="C1566" s="268" t="s">
        <v>281</v>
      </c>
      <c r="D1566" s="274">
        <f>IFERROR(VLOOKUP(C1566,'Data Lokasi'!C:D,2,0),"")</f>
        <v>8.3000000000000007</v>
      </c>
      <c r="E1566" s="274" t="s">
        <v>2642</v>
      </c>
      <c r="F1566" s="274"/>
      <c r="G1566" s="274"/>
      <c r="H1566" s="274"/>
      <c r="I1566" s="274">
        <v>0.47</v>
      </c>
      <c r="J1566" s="456">
        <f t="shared" si="51"/>
        <v>0.47</v>
      </c>
      <c r="K1566" s="583"/>
      <c r="L1566" s="268" t="s">
        <v>2625</v>
      </c>
      <c r="M1566" s="268" t="s">
        <v>2634</v>
      </c>
      <c r="N1566" s="278">
        <f>IFERROR(INDEX('Data Lokasi'!S:S,MATCH('Input Real Tanam&amp;Petik Nanas'!C1566,'Data Lokasi'!C:C,0)),"")</f>
        <v>44105</v>
      </c>
      <c r="O1566" s="278"/>
      <c r="P1566" s="283">
        <f>IFERROR(INDEX('Data Lokasi'!V:V,MATCH(C1566,'Data Lokasi'!C:C,0)),"")</f>
        <v>0</v>
      </c>
      <c r="Q1566" s="304">
        <f t="shared" si="52"/>
        <v>0</v>
      </c>
      <c r="R1566" s="308"/>
    </row>
    <row r="1567" spans="2:18">
      <c r="B1567" s="269">
        <v>46273</v>
      </c>
      <c r="C1567" s="268" t="s">
        <v>281</v>
      </c>
      <c r="D1567" s="274">
        <f>IFERROR(VLOOKUP(C1567,'Data Lokasi'!C:D,2,0),"")</f>
        <v>8.3000000000000007</v>
      </c>
      <c r="E1567" s="274" t="s">
        <v>2642</v>
      </c>
      <c r="F1567" s="274"/>
      <c r="G1567" s="274"/>
      <c r="H1567" s="274"/>
      <c r="I1567" s="274">
        <v>0.56000000000000005</v>
      </c>
      <c r="J1567" s="456">
        <f t="shared" si="51"/>
        <v>0.56000000000000005</v>
      </c>
      <c r="K1567" s="583"/>
      <c r="L1567" s="268" t="s">
        <v>719</v>
      </c>
      <c r="M1567" s="268" t="s">
        <v>2634</v>
      </c>
      <c r="N1567" s="278">
        <f>IFERROR(INDEX('Data Lokasi'!S:S,MATCH('Input Real Tanam&amp;Petik Nanas'!C1567,'Data Lokasi'!C:C,0)),"")</f>
        <v>44105</v>
      </c>
      <c r="O1567" s="278"/>
      <c r="P1567" s="283">
        <f>IFERROR(INDEX('Data Lokasi'!V:V,MATCH(C1567,'Data Lokasi'!C:C,0)),"")</f>
        <v>0</v>
      </c>
      <c r="Q1567" s="304">
        <f t="shared" si="52"/>
        <v>0</v>
      </c>
      <c r="R1567" s="308"/>
    </row>
    <row r="1568" spans="2:18">
      <c r="B1568" s="269">
        <v>46273</v>
      </c>
      <c r="C1568" s="268" t="s">
        <v>233</v>
      </c>
      <c r="D1568" s="274">
        <f>IFERROR(VLOOKUP(C1568,'Data Lokasi'!C:D,2,0),"")</f>
        <v>10.3</v>
      </c>
      <c r="E1568" s="274" t="s">
        <v>2642</v>
      </c>
      <c r="F1568" s="274"/>
      <c r="G1568" s="274"/>
      <c r="H1568" s="274"/>
      <c r="I1568" s="274">
        <v>0.03</v>
      </c>
      <c r="J1568" s="456">
        <f t="shared" si="51"/>
        <v>0.03</v>
      </c>
      <c r="K1568" s="583"/>
      <c r="L1568" s="268" t="s">
        <v>2625</v>
      </c>
      <c r="M1568" s="268" t="s">
        <v>2634</v>
      </c>
      <c r="N1568" s="278">
        <f>IFERROR(INDEX('Data Lokasi'!S:S,MATCH('Input Real Tanam&amp;Petik Nanas'!C1568,'Data Lokasi'!C:C,0)),"")</f>
        <v>44024</v>
      </c>
      <c r="O1568" s="278"/>
      <c r="P1568" s="283">
        <f>IFERROR(INDEX('Data Lokasi'!V:V,MATCH(C1568,'Data Lokasi'!C:C,0)),"")</f>
        <v>0</v>
      </c>
      <c r="Q1568" s="304">
        <f t="shared" si="52"/>
        <v>0</v>
      </c>
      <c r="R1568" s="308"/>
    </row>
    <row r="1569" spans="2:18">
      <c r="B1569" s="269">
        <v>46273</v>
      </c>
      <c r="C1569" s="268" t="s">
        <v>285</v>
      </c>
      <c r="D1569" s="274">
        <f>IFERROR(VLOOKUP(C1569,'Data Lokasi'!C:D,2,0),"")</f>
        <v>11.96</v>
      </c>
      <c r="E1569" s="274" t="s">
        <v>2642</v>
      </c>
      <c r="F1569" s="274"/>
      <c r="G1569" s="274"/>
      <c r="H1569" s="274"/>
      <c r="I1569" s="274">
        <v>1.36</v>
      </c>
      <c r="J1569" s="456">
        <f t="shared" si="51"/>
        <v>1.36</v>
      </c>
      <c r="K1569" s="583"/>
      <c r="L1569" s="268" t="s">
        <v>2625</v>
      </c>
      <c r="M1569" s="268" t="s">
        <v>2634</v>
      </c>
      <c r="N1569" s="278">
        <f>IFERROR(INDEX('Data Lokasi'!S:S,MATCH('Input Real Tanam&amp;Petik Nanas'!C1569,'Data Lokasi'!C:C,0)),"")</f>
        <v>44118</v>
      </c>
      <c r="O1569" s="278"/>
      <c r="P1569" s="283">
        <f>IFERROR(INDEX('Data Lokasi'!V:V,MATCH(C1569,'Data Lokasi'!C:C,0)),"")</f>
        <v>0</v>
      </c>
      <c r="Q1569" s="304">
        <f t="shared" si="52"/>
        <v>0</v>
      </c>
      <c r="R1569" s="308"/>
    </row>
    <row r="1570" spans="2:18">
      <c r="B1570" s="269">
        <v>46273</v>
      </c>
      <c r="C1570" s="268" t="s">
        <v>267</v>
      </c>
      <c r="D1570" s="274">
        <f>IFERROR(VLOOKUP(C1570,'Data Lokasi'!C:D,2,0),"")</f>
        <v>8.44</v>
      </c>
      <c r="E1570" s="274" t="s">
        <v>2642</v>
      </c>
      <c r="F1570" s="274"/>
      <c r="G1570" s="274"/>
      <c r="H1570" s="274">
        <v>0.04</v>
      </c>
      <c r="I1570" s="274"/>
      <c r="J1570" s="456">
        <f t="shared" si="51"/>
        <v>0.04</v>
      </c>
      <c r="K1570" s="583"/>
      <c r="L1570" s="268" t="s">
        <v>719</v>
      </c>
      <c r="M1570" s="268" t="s">
        <v>2634</v>
      </c>
      <c r="N1570" s="278">
        <f>IFERROR(INDEX('Data Lokasi'!S:S,MATCH('Input Real Tanam&amp;Petik Nanas'!C1570,'Data Lokasi'!C:C,0)),"")</f>
        <v>44091</v>
      </c>
      <c r="O1570" s="278"/>
      <c r="P1570" s="283">
        <f>IFERROR(INDEX('Data Lokasi'!V:V,MATCH(C1570,'Data Lokasi'!C:C,0)),"")</f>
        <v>0</v>
      </c>
      <c r="Q1570" s="304">
        <f t="shared" si="52"/>
        <v>0</v>
      </c>
      <c r="R1570" s="308"/>
    </row>
    <row r="1571" spans="2:18">
      <c r="B1571" s="269">
        <v>46273</v>
      </c>
      <c r="C1571" s="268" t="s">
        <v>2691</v>
      </c>
      <c r="D1571" s="274">
        <f>IFERROR(VLOOKUP(C1571,'Data Lokasi'!C:D,2,0),"")</f>
        <v>5.37</v>
      </c>
      <c r="E1571" s="274" t="s">
        <v>2642</v>
      </c>
      <c r="F1571" s="274"/>
      <c r="G1571" s="274"/>
      <c r="H1571" s="274"/>
      <c r="I1571" s="274">
        <v>0.1</v>
      </c>
      <c r="J1571" s="456">
        <f t="shared" si="51"/>
        <v>0.1</v>
      </c>
      <c r="K1571" s="583"/>
      <c r="L1571" s="268" t="s">
        <v>2625</v>
      </c>
      <c r="M1571" s="268" t="s">
        <v>2634</v>
      </c>
      <c r="N1571" s="278">
        <f>IFERROR(INDEX('Data Lokasi'!S:S,MATCH('Input Real Tanam&amp;Petik Nanas'!C1571,'Data Lokasi'!C:C,0)),"")</f>
        <v>46236</v>
      </c>
      <c r="O1571" s="278"/>
      <c r="P1571" s="283">
        <f>IFERROR(INDEX('Data Lokasi'!V:V,MATCH(C1571,'Data Lokasi'!C:C,0)),"")</f>
        <v>5.37</v>
      </c>
      <c r="Q1571" s="304">
        <f t="shared" si="52"/>
        <v>1</v>
      </c>
      <c r="R1571" s="308"/>
    </row>
    <row r="1572" spans="2:18">
      <c r="B1572" s="269">
        <v>46273</v>
      </c>
      <c r="C1572" s="268" t="s">
        <v>2692</v>
      </c>
      <c r="D1572" s="274">
        <f>IFERROR(VLOOKUP(C1572,'Data Lokasi'!C:D,2,0),"")</f>
        <v>8.9600000000000009</v>
      </c>
      <c r="E1572" s="274" t="s">
        <v>2642</v>
      </c>
      <c r="F1572" s="274"/>
      <c r="G1572" s="274"/>
      <c r="H1572" s="274"/>
      <c r="I1572" s="274">
        <v>0.24</v>
      </c>
      <c r="J1572" s="456">
        <f t="shared" si="51"/>
        <v>0.24</v>
      </c>
      <c r="K1572" s="583"/>
      <c r="L1572" s="268" t="s">
        <v>2625</v>
      </c>
      <c r="M1572" s="268" t="s">
        <v>2634</v>
      </c>
      <c r="N1572" s="278">
        <f>IFERROR(INDEX('Data Lokasi'!S:S,MATCH('Input Real Tanam&amp;Petik Nanas'!C1572,'Data Lokasi'!C:C,0)),"")</f>
        <v>46238</v>
      </c>
      <c r="O1572" s="278"/>
      <c r="P1572" s="283">
        <f>IFERROR(INDEX('Data Lokasi'!V:V,MATCH(C1572,'Data Lokasi'!C:C,0)),"")</f>
        <v>8.9600000000000009</v>
      </c>
      <c r="Q1572" s="304">
        <f t="shared" si="52"/>
        <v>1</v>
      </c>
      <c r="R1572" s="308"/>
    </row>
    <row r="1573" spans="2:18" hidden="1">
      <c r="B1573" s="269">
        <v>46274</v>
      </c>
      <c r="C1573" s="268" t="s">
        <v>498</v>
      </c>
      <c r="D1573" s="274">
        <f>IFERROR(VLOOKUP(C1573,'Data Lokasi'!C:D,2,0),"")</f>
        <v>7.82</v>
      </c>
      <c r="E1573" s="274" t="s">
        <v>2643</v>
      </c>
      <c r="F1573" s="274"/>
      <c r="G1573" s="274">
        <v>0.05</v>
      </c>
      <c r="H1573" s="274">
        <f>0.08+0.1</f>
        <v>0.18</v>
      </c>
      <c r="I1573" s="274"/>
      <c r="J1573" s="456">
        <f t="shared" si="51"/>
        <v>0.22999999999999998</v>
      </c>
      <c r="K1573" s="583"/>
      <c r="L1573" s="268" t="s">
        <v>719</v>
      </c>
      <c r="M1573" s="268" t="s">
        <v>2631</v>
      </c>
      <c r="N1573" s="278">
        <f>IFERROR(INDEX('Data Lokasi'!S:S,MATCH('Input Real Tanam&amp;Petik Nanas'!C1573,'Data Lokasi'!C:C,0)),"")</f>
        <v>44568</v>
      </c>
      <c r="O1573" s="278"/>
      <c r="P1573" s="283">
        <f>IFERROR(INDEX('Data Lokasi'!V:V,MATCH(C1573,'Data Lokasi'!C:C,0)),"")</f>
        <v>0</v>
      </c>
      <c r="Q1573" s="304">
        <f t="shared" si="52"/>
        <v>0</v>
      </c>
      <c r="R1573" s="308">
        <v>1</v>
      </c>
    </row>
    <row r="1574" spans="2:18" hidden="1">
      <c r="B1574" s="269">
        <v>46274</v>
      </c>
      <c r="C1574" s="268" t="s">
        <v>337</v>
      </c>
      <c r="D1574" s="274">
        <f>IFERROR(VLOOKUP(C1574,'Data Lokasi'!C:D,2,0),"")</f>
        <v>9.17</v>
      </c>
      <c r="E1574" s="274" t="s">
        <v>2643</v>
      </c>
      <c r="F1574" s="274"/>
      <c r="G1574" s="274"/>
      <c r="H1574" s="274">
        <v>0.08</v>
      </c>
      <c r="I1574" s="274">
        <f>0.09+0.22</f>
        <v>0.31</v>
      </c>
      <c r="J1574" s="456">
        <f t="shared" si="51"/>
        <v>0.39</v>
      </c>
      <c r="K1574" s="583"/>
      <c r="L1574" s="268" t="s">
        <v>719</v>
      </c>
      <c r="M1574" s="268" t="s">
        <v>2631</v>
      </c>
      <c r="N1574" s="278">
        <f>IFERROR(INDEX('Data Lokasi'!S:S,MATCH('Input Real Tanam&amp;Petik Nanas'!C1574,'Data Lokasi'!C:C,0)),"")</f>
        <v>44250</v>
      </c>
      <c r="O1574" s="278"/>
      <c r="P1574" s="283">
        <f>IFERROR(INDEX('Data Lokasi'!V:V,MATCH(C1574,'Data Lokasi'!C:C,0)),"")</f>
        <v>0</v>
      </c>
      <c r="Q1574" s="304">
        <f t="shared" si="52"/>
        <v>0</v>
      </c>
      <c r="R1574" s="308">
        <v>7</v>
      </c>
    </row>
    <row r="1575" spans="2:18" hidden="1">
      <c r="B1575" s="269">
        <v>46274</v>
      </c>
      <c r="C1575" s="268" t="s">
        <v>476</v>
      </c>
      <c r="D1575" s="274">
        <f>IFERROR(VLOOKUP(C1575,'Data Lokasi'!C:D,2,0),"")</f>
        <v>5.26</v>
      </c>
      <c r="E1575" s="274" t="s">
        <v>2643</v>
      </c>
      <c r="F1575" s="274"/>
      <c r="G1575" s="274"/>
      <c r="H1575" s="274">
        <f>0.01+0.16</f>
        <v>0.17</v>
      </c>
      <c r="I1575" s="274">
        <f>0.21+0.22</f>
        <v>0.43</v>
      </c>
      <c r="J1575" s="456">
        <f t="shared" si="51"/>
        <v>0.6</v>
      </c>
      <c r="K1575" s="583"/>
      <c r="L1575" s="268" t="s">
        <v>719</v>
      </c>
      <c r="M1575" s="268" t="s">
        <v>2634</v>
      </c>
      <c r="N1575" s="278">
        <f>IFERROR(INDEX('Data Lokasi'!S:S,MATCH('Input Real Tanam&amp;Petik Nanas'!C1575,'Data Lokasi'!C:C,0)),"")</f>
        <v>44487</v>
      </c>
      <c r="O1575" s="278"/>
      <c r="P1575" s="283">
        <f>IFERROR(INDEX('Data Lokasi'!V:V,MATCH(C1575,'Data Lokasi'!C:C,0)),"")</f>
        <v>0</v>
      </c>
      <c r="Q1575" s="304">
        <f t="shared" si="52"/>
        <v>0</v>
      </c>
      <c r="R1575" s="308">
        <v>10</v>
      </c>
    </row>
    <row r="1576" spans="2:18" hidden="1">
      <c r="B1576" s="269">
        <v>46274</v>
      </c>
      <c r="C1576" s="268" t="s">
        <v>351</v>
      </c>
      <c r="D1576" s="274">
        <f>IFERROR(VLOOKUP(C1576,'Data Lokasi'!C:D,2,0),"")</f>
        <v>13.68</v>
      </c>
      <c r="E1576" s="274" t="s">
        <v>2643</v>
      </c>
      <c r="F1576" s="274"/>
      <c r="G1576" s="274"/>
      <c r="H1576" s="274"/>
      <c r="I1576" s="274">
        <v>1.0900000000000001</v>
      </c>
      <c r="J1576" s="456">
        <f t="shared" si="51"/>
        <v>1.0900000000000001</v>
      </c>
      <c r="K1576" s="583"/>
      <c r="L1576" s="268" t="s">
        <v>2625</v>
      </c>
      <c r="M1576" s="268" t="s">
        <v>2634</v>
      </c>
      <c r="N1576" s="278">
        <f>IFERROR(INDEX('Data Lokasi'!S:S,MATCH('Input Real Tanam&amp;Petik Nanas'!C1576,'Data Lokasi'!C:C,0)),"")</f>
        <v>44276</v>
      </c>
      <c r="O1576" s="278"/>
      <c r="P1576" s="283">
        <f>IFERROR(INDEX('Data Lokasi'!V:V,MATCH(C1576,'Data Lokasi'!C:C,0)),"")</f>
        <v>0</v>
      </c>
      <c r="Q1576" s="304">
        <f t="shared" si="52"/>
        <v>0</v>
      </c>
      <c r="R1576" s="308"/>
    </row>
    <row r="1577" spans="2:18" hidden="1">
      <c r="B1577" s="269">
        <v>46274</v>
      </c>
      <c r="C1577" s="268" t="s">
        <v>159</v>
      </c>
      <c r="D1577" s="274">
        <f>IFERROR(VLOOKUP(C1577,'Data Lokasi'!C:D,2,0),"")</f>
        <v>6.74</v>
      </c>
      <c r="E1577" s="274" t="s">
        <v>2643</v>
      </c>
      <c r="F1577" s="274"/>
      <c r="G1577" s="274"/>
      <c r="H1577" s="274"/>
      <c r="I1577" s="274">
        <v>0.82</v>
      </c>
      <c r="J1577" s="456">
        <f t="shared" si="51"/>
        <v>0.82</v>
      </c>
      <c r="K1577" s="583"/>
      <c r="L1577" s="268" t="s">
        <v>2625</v>
      </c>
      <c r="M1577" s="268" t="s">
        <v>2634</v>
      </c>
      <c r="N1577" s="278">
        <f>IFERROR(INDEX('Data Lokasi'!S:S,MATCH('Input Real Tanam&amp;Petik Nanas'!C1577,'Data Lokasi'!C:C,0)),"")</f>
        <v>45320</v>
      </c>
      <c r="O1577" s="278"/>
      <c r="P1577" s="283">
        <f>IFERROR(INDEX('Data Lokasi'!V:V,MATCH(C1577,'Data Lokasi'!C:C,0)),"")</f>
        <v>0</v>
      </c>
      <c r="Q1577" s="304">
        <f t="shared" si="52"/>
        <v>0</v>
      </c>
      <c r="R1577" s="308"/>
    </row>
    <row r="1578" spans="2:18" hidden="1">
      <c r="B1578" s="269">
        <v>46274</v>
      </c>
      <c r="C1578" s="268" t="s">
        <v>158</v>
      </c>
      <c r="D1578" s="274">
        <f>IFERROR(VLOOKUP(C1578,'Data Lokasi'!C:D,2,0),"")</f>
        <v>14.84</v>
      </c>
      <c r="E1578" s="274" t="s">
        <v>2643</v>
      </c>
      <c r="F1578" s="274"/>
      <c r="G1578" s="274"/>
      <c r="H1578" s="274"/>
      <c r="I1578" s="274">
        <v>0.55000000000000004</v>
      </c>
      <c r="J1578" s="456">
        <f t="shared" si="51"/>
        <v>0.55000000000000004</v>
      </c>
      <c r="K1578" s="583"/>
      <c r="L1578" s="268" t="s">
        <v>2625</v>
      </c>
      <c r="M1578" s="268" t="s">
        <v>2634</v>
      </c>
      <c r="N1578" s="278">
        <f>IFERROR(INDEX('Data Lokasi'!S:S,MATCH('Input Real Tanam&amp;Petik Nanas'!C1578,'Data Lokasi'!C:C,0)),"")</f>
        <v>44176</v>
      </c>
      <c r="O1578" s="278"/>
      <c r="P1578" s="283">
        <f>IFERROR(INDEX('Data Lokasi'!V:V,MATCH(C1578,'Data Lokasi'!C:C,0)),"")</f>
        <v>0</v>
      </c>
      <c r="Q1578" s="304">
        <f t="shared" si="52"/>
        <v>0</v>
      </c>
      <c r="R1578" s="308"/>
    </row>
    <row r="1579" spans="2:18" hidden="1">
      <c r="B1579" s="269">
        <v>46274</v>
      </c>
      <c r="C1579" s="268" t="s">
        <v>538</v>
      </c>
      <c r="D1579" s="274">
        <f>IFERROR(VLOOKUP(C1579,'Data Lokasi'!C:D,2,0),"")</f>
        <v>5.3</v>
      </c>
      <c r="E1579" s="274" t="s">
        <v>2643</v>
      </c>
      <c r="F1579" s="274"/>
      <c r="G1579" s="274"/>
      <c r="H1579" s="274"/>
      <c r="I1579" s="274">
        <v>2.99</v>
      </c>
      <c r="J1579" s="456">
        <f t="shared" si="51"/>
        <v>2.99</v>
      </c>
      <c r="K1579" s="583"/>
      <c r="L1579" s="268" t="s">
        <v>2625</v>
      </c>
      <c r="M1579" s="268" t="s">
        <v>2631</v>
      </c>
      <c r="N1579" s="278">
        <f>IFERROR(INDEX('Data Lokasi'!S:S,MATCH('Input Real Tanam&amp;Petik Nanas'!C1579,'Data Lokasi'!C:C,0)),"")</f>
        <v>44643</v>
      </c>
      <c r="O1579" s="278"/>
      <c r="P1579" s="283">
        <f>IFERROR(INDEX('Data Lokasi'!V:V,MATCH(C1579,'Data Lokasi'!C:C,0)),"")</f>
        <v>0</v>
      </c>
      <c r="Q1579" s="304">
        <f t="shared" si="52"/>
        <v>0</v>
      </c>
      <c r="R1579" s="308"/>
    </row>
    <row r="1580" spans="2:18">
      <c r="B1580" s="269">
        <v>46274</v>
      </c>
      <c r="C1580" s="268" t="s">
        <v>285</v>
      </c>
      <c r="D1580" s="274">
        <f>IFERROR(VLOOKUP(C1580,'Data Lokasi'!C:D,2,0),"")</f>
        <v>11.96</v>
      </c>
      <c r="E1580" s="274" t="s">
        <v>2642</v>
      </c>
      <c r="F1580" s="274"/>
      <c r="G1580" s="274"/>
      <c r="H1580" s="274"/>
      <c r="I1580" s="274">
        <v>1.59</v>
      </c>
      <c r="J1580" s="456">
        <f t="shared" si="51"/>
        <v>1.59</v>
      </c>
      <c r="K1580" s="583"/>
      <c r="L1580" s="268" t="s">
        <v>2625</v>
      </c>
      <c r="M1580" s="268" t="s">
        <v>2634</v>
      </c>
      <c r="N1580" s="278">
        <f>IFERROR(INDEX('Data Lokasi'!S:S,MATCH('Input Real Tanam&amp;Petik Nanas'!C1580,'Data Lokasi'!C:C,0)),"")</f>
        <v>44118</v>
      </c>
      <c r="O1580" s="278"/>
      <c r="P1580" s="283">
        <f>IFERROR(INDEX('Data Lokasi'!V:V,MATCH(C1580,'Data Lokasi'!C:C,0)),"")</f>
        <v>0</v>
      </c>
      <c r="Q1580" s="304">
        <f t="shared" si="52"/>
        <v>0</v>
      </c>
      <c r="R1580" s="308"/>
    </row>
    <row r="1581" spans="2:18">
      <c r="B1581" s="269">
        <v>46274</v>
      </c>
      <c r="C1581" s="268" t="s">
        <v>267</v>
      </c>
      <c r="D1581" s="274">
        <f>IFERROR(VLOOKUP(C1581,'Data Lokasi'!C:D,2,0),"")</f>
        <v>8.44</v>
      </c>
      <c r="E1581" s="274" t="s">
        <v>2642</v>
      </c>
      <c r="F1581" s="274"/>
      <c r="G1581" s="274"/>
      <c r="H1581" s="274">
        <v>0.1</v>
      </c>
      <c r="I1581" s="274"/>
      <c r="J1581" s="456">
        <f t="shared" si="51"/>
        <v>0.1</v>
      </c>
      <c r="K1581" s="583"/>
      <c r="L1581" s="268" t="s">
        <v>719</v>
      </c>
      <c r="M1581" s="268" t="s">
        <v>2634</v>
      </c>
      <c r="N1581" s="278">
        <f>IFERROR(INDEX('Data Lokasi'!S:S,MATCH('Input Real Tanam&amp;Petik Nanas'!C1581,'Data Lokasi'!C:C,0)),"")</f>
        <v>44091</v>
      </c>
      <c r="O1581" s="278"/>
      <c r="P1581" s="283">
        <f>IFERROR(INDEX('Data Lokasi'!V:V,MATCH(C1581,'Data Lokasi'!C:C,0)),"")</f>
        <v>0</v>
      </c>
      <c r="Q1581" s="304">
        <f t="shared" si="52"/>
        <v>0</v>
      </c>
      <c r="R1581" s="308"/>
    </row>
    <row r="1582" spans="2:18">
      <c r="B1582" s="269">
        <v>46274</v>
      </c>
      <c r="C1582" s="268" t="s">
        <v>692</v>
      </c>
      <c r="D1582" s="274">
        <f>IFERROR(VLOOKUP(C1582,'Data Lokasi'!C:D,2,0),"")</f>
        <v>3.93</v>
      </c>
      <c r="E1582" s="274" t="s">
        <v>2642</v>
      </c>
      <c r="F1582" s="274"/>
      <c r="G1582" s="274"/>
      <c r="H1582" s="274"/>
      <c r="I1582" s="274">
        <v>0.1</v>
      </c>
      <c r="J1582" s="456">
        <f t="shared" si="51"/>
        <v>0.1</v>
      </c>
      <c r="K1582" s="583"/>
      <c r="L1582" s="268" t="s">
        <v>2625</v>
      </c>
      <c r="M1582" s="268" t="s">
        <v>2634</v>
      </c>
      <c r="N1582" s="278">
        <f>IFERROR(INDEX('Data Lokasi'!S:S,MATCH('Input Real Tanam&amp;Petik Nanas'!C1582,'Data Lokasi'!C:C,0)),"")</f>
        <v>45111</v>
      </c>
      <c r="O1582" s="278"/>
      <c r="P1582" s="283">
        <f>IFERROR(INDEX('Data Lokasi'!V:V,MATCH(C1582,'Data Lokasi'!C:C,0)),"")</f>
        <v>0</v>
      </c>
      <c r="Q1582" s="304">
        <f t="shared" si="52"/>
        <v>0</v>
      </c>
      <c r="R1582" s="308"/>
    </row>
    <row r="1583" spans="2:18">
      <c r="B1583" s="269">
        <v>46274</v>
      </c>
      <c r="C1583" s="268" t="s">
        <v>281</v>
      </c>
      <c r="D1583" s="274">
        <f>IFERROR(VLOOKUP(C1583,'Data Lokasi'!C:D,2,0),"")</f>
        <v>8.3000000000000007</v>
      </c>
      <c r="E1583" s="274" t="s">
        <v>2642</v>
      </c>
      <c r="F1583" s="274"/>
      <c r="G1583" s="274"/>
      <c r="H1583" s="274"/>
      <c r="I1583" s="274">
        <v>0.38</v>
      </c>
      <c r="J1583" s="456">
        <f t="shared" si="51"/>
        <v>0.38</v>
      </c>
      <c r="K1583" s="583"/>
      <c r="L1583" s="268" t="s">
        <v>2625</v>
      </c>
      <c r="M1583" s="268" t="s">
        <v>2634</v>
      </c>
      <c r="N1583" s="278">
        <f>IFERROR(INDEX('Data Lokasi'!S:S,MATCH('Input Real Tanam&amp;Petik Nanas'!C1583,'Data Lokasi'!C:C,0)),"")</f>
        <v>44105</v>
      </c>
      <c r="O1583" s="278"/>
      <c r="P1583" s="283">
        <f>IFERROR(INDEX('Data Lokasi'!V:V,MATCH(C1583,'Data Lokasi'!C:C,0)),"")</f>
        <v>0</v>
      </c>
      <c r="Q1583" s="304">
        <f t="shared" si="52"/>
        <v>0</v>
      </c>
      <c r="R1583" s="308"/>
    </row>
    <row r="1584" spans="2:18">
      <c r="B1584" s="269">
        <v>46274</v>
      </c>
      <c r="C1584" s="268" t="s">
        <v>281</v>
      </c>
      <c r="D1584" s="274">
        <f>IFERROR(VLOOKUP(C1584,'Data Lokasi'!C:D,2,0),"")</f>
        <v>8.3000000000000007</v>
      </c>
      <c r="E1584" s="274" t="s">
        <v>2642</v>
      </c>
      <c r="F1584" s="274"/>
      <c r="G1584" s="274"/>
      <c r="H1584" s="274"/>
      <c r="I1584" s="274">
        <v>0.08</v>
      </c>
      <c r="J1584" s="456">
        <f t="shared" si="51"/>
        <v>0.08</v>
      </c>
      <c r="K1584" s="583"/>
      <c r="L1584" s="268" t="s">
        <v>719</v>
      </c>
      <c r="M1584" s="268" t="s">
        <v>2634</v>
      </c>
      <c r="N1584" s="278">
        <f>IFERROR(INDEX('Data Lokasi'!S:S,MATCH('Input Real Tanam&amp;Petik Nanas'!C1584,'Data Lokasi'!C:C,0)),"")</f>
        <v>44105</v>
      </c>
      <c r="O1584" s="278"/>
      <c r="P1584" s="283">
        <f>IFERROR(INDEX('Data Lokasi'!V:V,MATCH(C1584,'Data Lokasi'!C:C,0)),"")</f>
        <v>0</v>
      </c>
      <c r="Q1584" s="304">
        <f t="shared" si="52"/>
        <v>0</v>
      </c>
      <c r="R1584" s="308"/>
    </row>
    <row r="1585" spans="2:18">
      <c r="B1585" s="269">
        <v>46274</v>
      </c>
      <c r="C1585" s="268" t="s">
        <v>273</v>
      </c>
      <c r="D1585" s="274">
        <f>IFERROR(VLOOKUP(C1585,'Data Lokasi'!C:D,2,0),"")</f>
        <v>4.9000000000000004</v>
      </c>
      <c r="E1585" s="274" t="s">
        <v>2642</v>
      </c>
      <c r="F1585" s="274"/>
      <c r="G1585" s="274"/>
      <c r="H1585" s="274"/>
      <c r="I1585" s="274">
        <v>0.61</v>
      </c>
      <c r="J1585" s="456">
        <f t="shared" si="51"/>
        <v>0.61</v>
      </c>
      <c r="K1585" s="583"/>
      <c r="L1585" s="268" t="s">
        <v>2625</v>
      </c>
      <c r="M1585" s="268" t="s">
        <v>2634</v>
      </c>
      <c r="N1585" s="278">
        <f>IFERROR(INDEX('Data Lokasi'!S:S,MATCH('Input Real Tanam&amp;Petik Nanas'!C1585,'Data Lokasi'!C:C,0)),"")</f>
        <v>44103</v>
      </c>
      <c r="O1585" s="278"/>
      <c r="P1585" s="283">
        <f>IFERROR(INDEX('Data Lokasi'!V:V,MATCH(C1585,'Data Lokasi'!C:C,0)),"")</f>
        <v>0</v>
      </c>
      <c r="Q1585" s="304">
        <f t="shared" si="52"/>
        <v>0</v>
      </c>
      <c r="R1585" s="308"/>
    </row>
    <row r="1586" spans="2:18">
      <c r="B1586" s="269">
        <v>46274</v>
      </c>
      <c r="C1586" s="268" t="s">
        <v>2692</v>
      </c>
      <c r="D1586" s="274">
        <f>IFERROR(VLOOKUP(C1586,'Data Lokasi'!C:D,2,0),"")</f>
        <v>8.9600000000000009</v>
      </c>
      <c r="E1586" s="274" t="s">
        <v>2642</v>
      </c>
      <c r="F1586" s="274"/>
      <c r="G1586" s="274"/>
      <c r="H1586" s="274"/>
      <c r="I1586" s="274">
        <v>0.08</v>
      </c>
      <c r="J1586" s="456">
        <f t="shared" si="51"/>
        <v>0.08</v>
      </c>
      <c r="K1586" s="583"/>
      <c r="L1586" s="268" t="s">
        <v>2625</v>
      </c>
      <c r="M1586" s="268" t="s">
        <v>2634</v>
      </c>
      <c r="N1586" s="278">
        <f>IFERROR(INDEX('Data Lokasi'!S:S,MATCH('Input Real Tanam&amp;Petik Nanas'!C1586,'Data Lokasi'!C:C,0)),"")</f>
        <v>46238</v>
      </c>
      <c r="O1586" s="278"/>
      <c r="P1586" s="283">
        <f>IFERROR(INDEX('Data Lokasi'!V:V,MATCH(C1586,'Data Lokasi'!C:C,0)),"")</f>
        <v>8.9600000000000009</v>
      </c>
      <c r="Q1586" s="304">
        <f t="shared" si="52"/>
        <v>1</v>
      </c>
      <c r="R1586" s="308"/>
    </row>
    <row r="1587" spans="2:18">
      <c r="B1587" s="269">
        <v>46274</v>
      </c>
      <c r="C1587" s="268" t="s">
        <v>234</v>
      </c>
      <c r="D1587" s="274">
        <f>IFERROR(VLOOKUP(C1587,'Data Lokasi'!C:D,2,0),"")</f>
        <v>5.85</v>
      </c>
      <c r="E1587" s="274" t="s">
        <v>2642</v>
      </c>
      <c r="F1587" s="274"/>
      <c r="G1587" s="274"/>
      <c r="H1587" s="274"/>
      <c r="I1587" s="274">
        <v>0.03</v>
      </c>
      <c r="J1587" s="456">
        <f t="shared" si="51"/>
        <v>0.03</v>
      </c>
      <c r="K1587" s="583"/>
      <c r="L1587" s="268" t="s">
        <v>2625</v>
      </c>
      <c r="M1587" s="268" t="s">
        <v>2634</v>
      </c>
      <c r="N1587" s="278">
        <f>IFERROR(INDEX('Data Lokasi'!S:S,MATCH('Input Real Tanam&amp;Petik Nanas'!C1587,'Data Lokasi'!C:C,0)),"")</f>
        <v>44038</v>
      </c>
      <c r="O1587" s="278"/>
      <c r="P1587" s="283">
        <f>IFERROR(INDEX('Data Lokasi'!V:V,MATCH(C1587,'Data Lokasi'!C:C,0)),"")</f>
        <v>0</v>
      </c>
      <c r="Q1587" s="304">
        <f t="shared" si="52"/>
        <v>0</v>
      </c>
      <c r="R1587" s="308"/>
    </row>
    <row r="1588" spans="2:18">
      <c r="B1588" s="269">
        <v>46274</v>
      </c>
      <c r="C1588" s="268" t="s">
        <v>2712</v>
      </c>
      <c r="D1588" s="274">
        <f>IFERROR(VLOOKUP(C1588,'Data Lokasi'!C:D,2,0),"")</f>
        <v>6.02</v>
      </c>
      <c r="E1588" s="274" t="s">
        <v>2642</v>
      </c>
      <c r="F1588" s="274"/>
      <c r="G1588" s="274">
        <v>0.59</v>
      </c>
      <c r="H1588" s="274"/>
      <c r="I1588" s="274"/>
      <c r="J1588" s="456">
        <f t="shared" si="51"/>
        <v>0.59</v>
      </c>
      <c r="K1588" s="583"/>
      <c r="L1588" s="268" t="s">
        <v>719</v>
      </c>
      <c r="M1588" s="268" t="s">
        <v>2631</v>
      </c>
      <c r="N1588" s="278">
        <f>IFERROR(INDEX('Data Lokasi'!S:S,MATCH('Input Real Tanam&amp;Petik Nanas'!C1588,'Data Lokasi'!C:C,0)),"")</f>
        <v>46271</v>
      </c>
      <c r="O1588" s="278"/>
      <c r="P1588" s="283">
        <f>IFERROR(INDEX('Data Lokasi'!V:V,MATCH(C1588,'Data Lokasi'!C:C,0)),"")</f>
        <v>6.0200000000000005</v>
      </c>
      <c r="Q1588" s="304">
        <f t="shared" si="52"/>
        <v>1.0000000000000002</v>
      </c>
      <c r="R1588" s="308"/>
    </row>
    <row r="1589" spans="2:18">
      <c r="B1589" s="269">
        <v>46274</v>
      </c>
      <c r="C1589" s="268" t="s">
        <v>2126</v>
      </c>
      <c r="D1589" s="274">
        <f>IFERROR(VLOOKUP(C1589,'Data Lokasi'!C:D,2,0),"")</f>
        <v>4.7699999999999996</v>
      </c>
      <c r="E1589" s="274" t="s">
        <v>2642</v>
      </c>
      <c r="F1589" s="274"/>
      <c r="G1589" s="274"/>
      <c r="H1589" s="274"/>
      <c r="I1589" s="274">
        <v>0.21</v>
      </c>
      <c r="J1589" s="456">
        <f t="shared" si="51"/>
        <v>0.21</v>
      </c>
      <c r="K1589" s="583"/>
      <c r="L1589" s="268" t="s">
        <v>2625</v>
      </c>
      <c r="M1589" s="268" t="s">
        <v>2631</v>
      </c>
      <c r="N1589" s="278">
        <f>IFERROR(INDEX('Data Lokasi'!S:S,MATCH('Input Real Tanam&amp;Petik Nanas'!C1589,'Data Lokasi'!C:C,0)),"")</f>
        <v>46269</v>
      </c>
      <c r="O1589" s="278"/>
      <c r="P1589" s="283">
        <f>IFERROR(INDEX('Data Lokasi'!V:V,MATCH(C1589,'Data Lokasi'!C:C,0)),"")</f>
        <v>4.7699999999999996</v>
      </c>
      <c r="Q1589" s="304">
        <f t="shared" si="52"/>
        <v>1</v>
      </c>
      <c r="R1589" s="308"/>
    </row>
    <row r="1590" spans="2:18">
      <c r="B1590" s="269">
        <v>46274</v>
      </c>
      <c r="C1590" s="268" t="s">
        <v>2127</v>
      </c>
      <c r="D1590" s="274">
        <f>IFERROR(VLOOKUP(C1590,'Data Lokasi'!C:D,2,0),"")</f>
        <v>6.54</v>
      </c>
      <c r="E1590" s="274" t="s">
        <v>2642</v>
      </c>
      <c r="F1590" s="274"/>
      <c r="G1590" s="274"/>
      <c r="H1590" s="274"/>
      <c r="I1590" s="274">
        <v>0.18</v>
      </c>
      <c r="J1590" s="456">
        <f t="shared" si="51"/>
        <v>0.18</v>
      </c>
      <c r="K1590" s="583"/>
      <c r="L1590" s="268" t="s">
        <v>2625</v>
      </c>
      <c r="M1590" s="268" t="s">
        <v>2631</v>
      </c>
      <c r="N1590" s="278">
        <f>IFERROR(INDEX('Data Lokasi'!S:S,MATCH('Input Real Tanam&amp;Petik Nanas'!C1590,'Data Lokasi'!C:C,0)),"")</f>
        <v>46269</v>
      </c>
      <c r="O1590" s="278"/>
      <c r="P1590" s="283">
        <f>IFERROR(INDEX('Data Lokasi'!V:V,MATCH(C1590,'Data Lokasi'!C:C,0)),"")</f>
        <v>6.54</v>
      </c>
      <c r="Q1590" s="304">
        <f t="shared" si="52"/>
        <v>1</v>
      </c>
      <c r="R1590" s="308"/>
    </row>
    <row r="1591" spans="2:18" hidden="1">
      <c r="B1591" s="269">
        <v>46275</v>
      </c>
      <c r="C1591" s="268" t="s">
        <v>337</v>
      </c>
      <c r="D1591" s="274">
        <f>IFERROR(VLOOKUP(C1591,'Data Lokasi'!C:D,2,0),"")</f>
        <v>9.17</v>
      </c>
      <c r="E1591" s="274" t="s">
        <v>2643</v>
      </c>
      <c r="F1591" s="274"/>
      <c r="G1591" s="274"/>
      <c r="H1591" s="274">
        <v>0.06</v>
      </c>
      <c r="I1591" s="274">
        <f>0.09+0.24</f>
        <v>0.32999999999999996</v>
      </c>
      <c r="J1591" s="456">
        <f t="shared" si="51"/>
        <v>0.38999999999999996</v>
      </c>
      <c r="K1591" s="583"/>
      <c r="L1591" s="268" t="s">
        <v>719</v>
      </c>
      <c r="M1591" s="268" t="s">
        <v>2631</v>
      </c>
      <c r="N1591" s="278">
        <f>IFERROR(INDEX('Data Lokasi'!S:S,MATCH('Input Real Tanam&amp;Petik Nanas'!C1591,'Data Lokasi'!C:C,0)),"")</f>
        <v>44250</v>
      </c>
      <c r="O1591" s="278"/>
      <c r="P1591" s="283">
        <f>IFERROR(INDEX('Data Lokasi'!V:V,MATCH(C1591,'Data Lokasi'!C:C,0)),"")</f>
        <v>0</v>
      </c>
      <c r="Q1591" s="304">
        <f t="shared" si="52"/>
        <v>0</v>
      </c>
      <c r="R1591" s="308">
        <v>7</v>
      </c>
    </row>
    <row r="1592" spans="2:18" hidden="1">
      <c r="B1592" s="269">
        <v>46275</v>
      </c>
      <c r="C1592" s="268" t="s">
        <v>2558</v>
      </c>
      <c r="D1592" s="274">
        <f>IFERROR(VLOOKUP(C1592,'Data Lokasi'!C:D,2,0),"")</f>
        <v>5.27</v>
      </c>
      <c r="E1592" s="274" t="s">
        <v>2643</v>
      </c>
      <c r="F1592" s="274"/>
      <c r="G1592" s="274"/>
      <c r="H1592" s="274"/>
      <c r="I1592" s="274">
        <v>1.2</v>
      </c>
      <c r="J1592" s="456">
        <f t="shared" si="51"/>
        <v>1.2</v>
      </c>
      <c r="K1592" s="583"/>
      <c r="L1592" s="268" t="s">
        <v>2625</v>
      </c>
      <c r="M1592" s="268" t="s">
        <v>2634</v>
      </c>
      <c r="N1592" s="278">
        <f>IFERROR(INDEX('Data Lokasi'!S:S,MATCH('Input Real Tanam&amp;Petik Nanas'!C1592,'Data Lokasi'!C:C,0)),"")</f>
        <v>45712</v>
      </c>
      <c r="O1592" s="278"/>
      <c r="P1592" s="283">
        <f>IFERROR(INDEX('Data Lokasi'!V:V,MATCH(C1592,'Data Lokasi'!C:C,0)),"")</f>
        <v>0</v>
      </c>
      <c r="Q1592" s="304">
        <f t="shared" si="52"/>
        <v>0</v>
      </c>
      <c r="R1592" s="308"/>
    </row>
    <row r="1593" spans="2:18" hidden="1">
      <c r="B1593" s="269">
        <v>46275</v>
      </c>
      <c r="C1593" s="268" t="s">
        <v>520</v>
      </c>
      <c r="D1593" s="274">
        <f>IFERROR(VLOOKUP(C1593,'Data Lokasi'!C:D,2,0),"")</f>
        <v>9.1</v>
      </c>
      <c r="E1593" s="274" t="s">
        <v>2643</v>
      </c>
      <c r="F1593" s="274"/>
      <c r="G1593" s="274"/>
      <c r="H1593" s="274"/>
      <c r="I1593" s="274">
        <v>3.21</v>
      </c>
      <c r="J1593" s="456">
        <f t="shared" si="51"/>
        <v>3.21</v>
      </c>
      <c r="K1593" s="583"/>
      <c r="L1593" s="268" t="s">
        <v>2625</v>
      </c>
      <c r="M1593" s="268" t="s">
        <v>2631</v>
      </c>
      <c r="N1593" s="278">
        <f>IFERROR(INDEX('Data Lokasi'!S:S,MATCH('Input Real Tanam&amp;Petik Nanas'!C1593,'Data Lokasi'!C:C,0)),"")</f>
        <v>44613</v>
      </c>
      <c r="O1593" s="278"/>
      <c r="P1593" s="283">
        <f>IFERROR(INDEX('Data Lokasi'!V:V,MATCH(C1593,'Data Lokasi'!C:C,0)),"")</f>
        <v>0</v>
      </c>
      <c r="Q1593" s="304">
        <f t="shared" si="52"/>
        <v>0</v>
      </c>
      <c r="R1593" s="308"/>
    </row>
    <row r="1594" spans="2:18" hidden="1">
      <c r="B1594" s="269">
        <v>46275</v>
      </c>
      <c r="C1594" s="268" t="s">
        <v>476</v>
      </c>
      <c r="D1594" s="274">
        <f>IFERROR(VLOOKUP(C1594,'Data Lokasi'!C:D,2,0),"")</f>
        <v>5.26</v>
      </c>
      <c r="E1594" s="274" t="s">
        <v>2643</v>
      </c>
      <c r="F1594" s="274"/>
      <c r="G1594" s="274"/>
      <c r="H1594" s="274"/>
      <c r="I1594" s="274">
        <f>0.3+0.45</f>
        <v>0.75</v>
      </c>
      <c r="J1594" s="456">
        <f t="shared" si="51"/>
        <v>0.75</v>
      </c>
      <c r="K1594" s="583"/>
      <c r="L1594" s="268" t="s">
        <v>719</v>
      </c>
      <c r="M1594" s="268" t="s">
        <v>2634</v>
      </c>
      <c r="N1594" s="278">
        <f>IFERROR(INDEX('Data Lokasi'!S:S,MATCH('Input Real Tanam&amp;Petik Nanas'!C1594,'Data Lokasi'!C:C,0)),"")</f>
        <v>44487</v>
      </c>
      <c r="O1594" s="278"/>
      <c r="P1594" s="283">
        <f>IFERROR(INDEX('Data Lokasi'!V:V,MATCH(C1594,'Data Lokasi'!C:C,0)),"")</f>
        <v>0</v>
      </c>
      <c r="Q1594" s="304">
        <f t="shared" si="52"/>
        <v>0</v>
      </c>
      <c r="R1594" s="308">
        <v>10</v>
      </c>
    </row>
    <row r="1595" spans="2:18" hidden="1">
      <c r="B1595" s="269">
        <v>46275</v>
      </c>
      <c r="C1595" s="268" t="s">
        <v>351</v>
      </c>
      <c r="D1595" s="274">
        <f>IFERROR(VLOOKUP(C1595,'Data Lokasi'!C:D,2,0),"")</f>
        <v>13.68</v>
      </c>
      <c r="E1595" s="274" t="s">
        <v>2643</v>
      </c>
      <c r="F1595" s="274"/>
      <c r="G1595" s="274"/>
      <c r="H1595" s="274"/>
      <c r="I1595" s="274">
        <v>0.57999999999999996</v>
      </c>
      <c r="J1595" s="456">
        <f t="shared" si="51"/>
        <v>0.57999999999999996</v>
      </c>
      <c r="K1595" s="583"/>
      <c r="L1595" s="268" t="s">
        <v>2625</v>
      </c>
      <c r="M1595" s="268" t="s">
        <v>2634</v>
      </c>
      <c r="N1595" s="278">
        <f>IFERROR(INDEX('Data Lokasi'!S:S,MATCH('Input Real Tanam&amp;Petik Nanas'!C1595,'Data Lokasi'!C:C,0)),"")</f>
        <v>44276</v>
      </c>
      <c r="O1595" s="278"/>
      <c r="P1595" s="283">
        <f>IFERROR(INDEX('Data Lokasi'!V:V,MATCH(C1595,'Data Lokasi'!C:C,0)),"")</f>
        <v>0</v>
      </c>
      <c r="Q1595" s="304">
        <f t="shared" si="52"/>
        <v>0</v>
      </c>
      <c r="R1595" s="308"/>
    </row>
    <row r="1596" spans="2:18" hidden="1">
      <c r="B1596" s="269">
        <v>46275</v>
      </c>
      <c r="C1596" s="268" t="s">
        <v>520</v>
      </c>
      <c r="D1596" s="274">
        <f>IFERROR(VLOOKUP(C1596,'Data Lokasi'!C:D,2,0),"")</f>
        <v>9.1</v>
      </c>
      <c r="E1596" s="274" t="s">
        <v>2643</v>
      </c>
      <c r="F1596" s="274"/>
      <c r="G1596" s="274"/>
      <c r="H1596" s="274"/>
      <c r="I1596" s="274">
        <v>0.63</v>
      </c>
      <c r="J1596" s="456">
        <f t="shared" si="51"/>
        <v>0.63</v>
      </c>
      <c r="K1596" s="583"/>
      <c r="L1596" s="268" t="s">
        <v>2625</v>
      </c>
      <c r="M1596" s="268" t="s">
        <v>2634</v>
      </c>
      <c r="N1596" s="278">
        <f>IFERROR(INDEX('Data Lokasi'!S:S,MATCH('Input Real Tanam&amp;Petik Nanas'!C1596,'Data Lokasi'!C:C,0)),"")</f>
        <v>44613</v>
      </c>
      <c r="O1596" s="278"/>
      <c r="P1596" s="283">
        <f>IFERROR(INDEX('Data Lokasi'!V:V,MATCH(C1596,'Data Lokasi'!C:C,0)),"")</f>
        <v>0</v>
      </c>
      <c r="Q1596" s="304">
        <f t="shared" si="52"/>
        <v>0</v>
      </c>
      <c r="R1596" s="308"/>
    </row>
    <row r="1597" spans="2:18">
      <c r="B1597" s="269">
        <v>46275</v>
      </c>
      <c r="C1597" s="268" t="s">
        <v>2712</v>
      </c>
      <c r="D1597" s="274">
        <f>IFERROR(VLOOKUP(C1597,'Data Lokasi'!C:D,2,0),"")</f>
        <v>6.02</v>
      </c>
      <c r="E1597" s="274" t="s">
        <v>2642</v>
      </c>
      <c r="F1597" s="274"/>
      <c r="G1597" s="274">
        <f>0.15+0.24</f>
        <v>0.39</v>
      </c>
      <c r="H1597" s="274">
        <v>0.33</v>
      </c>
      <c r="I1597" s="274"/>
      <c r="J1597" s="456">
        <f t="shared" si="51"/>
        <v>0.72</v>
      </c>
      <c r="K1597" s="583"/>
      <c r="L1597" s="268" t="s">
        <v>719</v>
      </c>
      <c r="M1597" s="268" t="s">
        <v>2631</v>
      </c>
      <c r="N1597" s="278">
        <f>IFERROR(INDEX('Data Lokasi'!S:S,MATCH('Input Real Tanam&amp;Petik Nanas'!C1597,'Data Lokasi'!C:C,0)),"")</f>
        <v>46271</v>
      </c>
      <c r="O1597" s="278"/>
      <c r="P1597" s="283">
        <f>IFERROR(INDEX('Data Lokasi'!V:V,MATCH(C1597,'Data Lokasi'!C:C,0)),"")</f>
        <v>6.0200000000000005</v>
      </c>
      <c r="Q1597" s="304">
        <f t="shared" si="52"/>
        <v>1.0000000000000002</v>
      </c>
      <c r="R1597" s="308"/>
    </row>
    <row r="1598" spans="2:18">
      <c r="B1598" s="269">
        <v>46275</v>
      </c>
      <c r="C1598" s="268" t="s">
        <v>120</v>
      </c>
      <c r="D1598" s="274">
        <f>IFERROR(VLOOKUP(C1598,'Data Lokasi'!C:D,2,0),"")</f>
        <v>9.0399999999999991</v>
      </c>
      <c r="E1598" s="274" t="s">
        <v>2642</v>
      </c>
      <c r="F1598" s="274"/>
      <c r="G1598" s="274"/>
      <c r="H1598" s="274"/>
      <c r="I1598" s="274">
        <v>0.08</v>
      </c>
      <c r="J1598" s="456">
        <f t="shared" si="51"/>
        <v>0.08</v>
      </c>
      <c r="K1598" s="583"/>
      <c r="L1598" s="268" t="s">
        <v>2625</v>
      </c>
      <c r="M1598" s="268" t="s">
        <v>2631</v>
      </c>
      <c r="N1598" s="278">
        <f>IFERROR(INDEX('Data Lokasi'!S:S,MATCH('Input Real Tanam&amp;Petik Nanas'!C1598,'Data Lokasi'!C:C,0)),"")</f>
        <v>44184</v>
      </c>
      <c r="O1598" s="278"/>
      <c r="P1598" s="283">
        <f>IFERROR(INDEX('Data Lokasi'!V:V,MATCH(C1598,'Data Lokasi'!C:C,0)),"")</f>
        <v>0</v>
      </c>
      <c r="Q1598" s="304">
        <f t="shared" si="52"/>
        <v>0</v>
      </c>
      <c r="R1598" s="308"/>
    </row>
    <row r="1599" spans="2:18">
      <c r="B1599" s="269">
        <v>46275</v>
      </c>
      <c r="C1599" s="268" t="s">
        <v>2127</v>
      </c>
      <c r="D1599" s="274">
        <f>IFERROR(VLOOKUP(C1599,'Data Lokasi'!C:D,2,0),"")</f>
        <v>6.54</v>
      </c>
      <c r="E1599" s="274" t="s">
        <v>2642</v>
      </c>
      <c r="F1599" s="274"/>
      <c r="G1599" s="274"/>
      <c r="H1599" s="274"/>
      <c r="I1599" s="274">
        <v>0.08</v>
      </c>
      <c r="J1599" s="456">
        <f t="shared" si="51"/>
        <v>0.08</v>
      </c>
      <c r="K1599" s="583"/>
      <c r="L1599" s="268" t="s">
        <v>2625</v>
      </c>
      <c r="M1599" s="268" t="s">
        <v>2631</v>
      </c>
      <c r="N1599" s="278">
        <f>IFERROR(INDEX('Data Lokasi'!S:S,MATCH('Input Real Tanam&amp;Petik Nanas'!C1599,'Data Lokasi'!C:C,0)),"")</f>
        <v>46269</v>
      </c>
      <c r="O1599" s="278"/>
      <c r="P1599" s="283">
        <f>IFERROR(INDEX('Data Lokasi'!V:V,MATCH(C1599,'Data Lokasi'!C:C,0)),"")</f>
        <v>6.54</v>
      </c>
      <c r="Q1599" s="304">
        <f t="shared" si="52"/>
        <v>1</v>
      </c>
      <c r="R1599" s="308"/>
    </row>
    <row r="1600" spans="2:18">
      <c r="B1600" s="269">
        <v>46275</v>
      </c>
      <c r="C1600" s="268" t="s">
        <v>2126</v>
      </c>
      <c r="D1600" s="274">
        <f>IFERROR(VLOOKUP(C1600,'Data Lokasi'!C:D,2,0),"")</f>
        <v>4.7699999999999996</v>
      </c>
      <c r="E1600" s="274" t="s">
        <v>2642</v>
      </c>
      <c r="F1600" s="274"/>
      <c r="G1600" s="274"/>
      <c r="H1600" s="274"/>
      <c r="I1600" s="274">
        <v>0.16</v>
      </c>
      <c r="J1600" s="456">
        <f t="shared" si="51"/>
        <v>0.16</v>
      </c>
      <c r="K1600" s="583"/>
      <c r="L1600" s="268" t="s">
        <v>2625</v>
      </c>
      <c r="M1600" s="268" t="s">
        <v>2631</v>
      </c>
      <c r="N1600" s="278">
        <f>IFERROR(INDEX('Data Lokasi'!S:S,MATCH('Input Real Tanam&amp;Petik Nanas'!C1600,'Data Lokasi'!C:C,0)),"")</f>
        <v>46269</v>
      </c>
      <c r="O1600" s="278"/>
      <c r="P1600" s="283">
        <f>IFERROR(INDEX('Data Lokasi'!V:V,MATCH(C1600,'Data Lokasi'!C:C,0)),"")</f>
        <v>4.7699999999999996</v>
      </c>
      <c r="Q1600" s="304">
        <f t="shared" si="52"/>
        <v>1</v>
      </c>
      <c r="R1600" s="308"/>
    </row>
    <row r="1601" spans="2:18">
      <c r="B1601" s="269">
        <v>46275</v>
      </c>
      <c r="C1601" s="268" t="s">
        <v>149</v>
      </c>
      <c r="D1601" s="274">
        <f>IFERROR(VLOOKUP(C1601,'Data Lokasi'!C:D,2,0),"")</f>
        <v>5.37</v>
      </c>
      <c r="E1601" s="274" t="s">
        <v>2642</v>
      </c>
      <c r="F1601" s="274"/>
      <c r="G1601" s="274"/>
      <c r="H1601" s="274"/>
      <c r="I1601" s="274">
        <v>0.05</v>
      </c>
      <c r="J1601" s="456">
        <f t="shared" si="51"/>
        <v>0.05</v>
      </c>
      <c r="K1601" s="583"/>
      <c r="L1601" s="268" t="s">
        <v>2625</v>
      </c>
      <c r="M1601" s="268" t="s">
        <v>2631</v>
      </c>
      <c r="N1601" s="278">
        <f>IFERROR(INDEX('Data Lokasi'!S:S,MATCH('Input Real Tanam&amp;Petik Nanas'!C1601,'Data Lokasi'!C:C,0)),"")</f>
        <v>45295</v>
      </c>
      <c r="O1601" s="278"/>
      <c r="P1601" s="283">
        <f>IFERROR(INDEX('Data Lokasi'!V:V,MATCH(C1601,'Data Lokasi'!C:C,0)),"")</f>
        <v>0</v>
      </c>
      <c r="Q1601" s="304">
        <f t="shared" si="52"/>
        <v>0</v>
      </c>
      <c r="R1601" s="308"/>
    </row>
    <row r="1602" spans="2:18">
      <c r="B1602" s="269">
        <v>46275</v>
      </c>
      <c r="C1602" s="268" t="s">
        <v>281</v>
      </c>
      <c r="D1602" s="274">
        <f>IFERROR(VLOOKUP(C1602,'Data Lokasi'!C:D,2,0),"")</f>
        <v>8.3000000000000007</v>
      </c>
      <c r="E1602" s="274" t="s">
        <v>2642</v>
      </c>
      <c r="F1602" s="274"/>
      <c r="G1602" s="274"/>
      <c r="H1602" s="274"/>
      <c r="I1602" s="274">
        <v>7.0000000000000007E-2</v>
      </c>
      <c r="J1602" s="456">
        <f t="shared" si="51"/>
        <v>7.0000000000000007E-2</v>
      </c>
      <c r="K1602" s="583"/>
      <c r="L1602" s="268" t="s">
        <v>2625</v>
      </c>
      <c r="M1602" s="268" t="s">
        <v>2634</v>
      </c>
      <c r="N1602" s="278">
        <f>IFERROR(INDEX('Data Lokasi'!S:S,MATCH('Input Real Tanam&amp;Petik Nanas'!C1602,'Data Lokasi'!C:C,0)),"")</f>
        <v>44105</v>
      </c>
      <c r="O1602" s="278"/>
      <c r="P1602" s="283">
        <f>IFERROR(INDEX('Data Lokasi'!V:V,MATCH(C1602,'Data Lokasi'!C:C,0)),"")</f>
        <v>0</v>
      </c>
      <c r="Q1602" s="304">
        <f t="shared" si="52"/>
        <v>0</v>
      </c>
      <c r="R1602" s="308"/>
    </row>
    <row r="1603" spans="2:18">
      <c r="B1603" s="269">
        <v>46275</v>
      </c>
      <c r="C1603" s="268" t="s">
        <v>281</v>
      </c>
      <c r="D1603" s="274">
        <f>IFERROR(VLOOKUP(C1603,'Data Lokasi'!C:D,2,0),"")</f>
        <v>8.3000000000000007</v>
      </c>
      <c r="E1603" s="274" t="s">
        <v>2642</v>
      </c>
      <c r="F1603" s="274"/>
      <c r="G1603" s="274"/>
      <c r="H1603" s="274"/>
      <c r="I1603" s="274">
        <v>0.18</v>
      </c>
      <c r="J1603" s="456">
        <f t="shared" si="51"/>
        <v>0.18</v>
      </c>
      <c r="K1603" s="583"/>
      <c r="L1603" s="268" t="s">
        <v>719</v>
      </c>
      <c r="M1603" s="268" t="s">
        <v>2634</v>
      </c>
      <c r="N1603" s="278">
        <f>IFERROR(INDEX('Data Lokasi'!S:S,MATCH('Input Real Tanam&amp;Petik Nanas'!C1603,'Data Lokasi'!C:C,0)),"")</f>
        <v>44105</v>
      </c>
      <c r="O1603" s="278"/>
      <c r="P1603" s="283">
        <f>IFERROR(INDEX('Data Lokasi'!V:V,MATCH(C1603,'Data Lokasi'!C:C,0)),"")</f>
        <v>0</v>
      </c>
      <c r="Q1603" s="304">
        <f t="shared" si="52"/>
        <v>0</v>
      </c>
      <c r="R1603" s="308"/>
    </row>
    <row r="1604" spans="2:18">
      <c r="B1604" s="269">
        <v>46275</v>
      </c>
      <c r="C1604" s="268" t="s">
        <v>273</v>
      </c>
      <c r="D1604" s="274">
        <f>IFERROR(VLOOKUP(C1604,'Data Lokasi'!C:D,2,0),"")</f>
        <v>4.9000000000000004</v>
      </c>
      <c r="E1604" s="274" t="s">
        <v>2642</v>
      </c>
      <c r="F1604" s="274"/>
      <c r="G1604" s="274"/>
      <c r="H1604" s="274"/>
      <c r="I1604" s="274">
        <v>1.42</v>
      </c>
      <c r="J1604" s="456">
        <f t="shared" si="51"/>
        <v>1.42</v>
      </c>
      <c r="K1604" s="583"/>
      <c r="L1604" s="268" t="s">
        <v>2625</v>
      </c>
      <c r="M1604" s="268" t="s">
        <v>2634</v>
      </c>
      <c r="N1604" s="278">
        <f>IFERROR(INDEX('Data Lokasi'!S:S,MATCH('Input Real Tanam&amp;Petik Nanas'!C1604,'Data Lokasi'!C:C,0)),"")</f>
        <v>44103</v>
      </c>
      <c r="O1604" s="278"/>
      <c r="P1604" s="283">
        <f>IFERROR(INDEX('Data Lokasi'!V:V,MATCH(C1604,'Data Lokasi'!C:C,0)),"")</f>
        <v>0</v>
      </c>
      <c r="Q1604" s="304">
        <f t="shared" si="52"/>
        <v>0</v>
      </c>
      <c r="R1604" s="308"/>
    </row>
    <row r="1605" spans="2:18">
      <c r="B1605" s="269">
        <v>46275</v>
      </c>
      <c r="C1605" s="268" t="s">
        <v>267</v>
      </c>
      <c r="D1605" s="274">
        <f>IFERROR(VLOOKUP(C1605,'Data Lokasi'!C:D,2,0),"")</f>
        <v>8.44</v>
      </c>
      <c r="E1605" s="274" t="s">
        <v>2642</v>
      </c>
      <c r="F1605" s="274"/>
      <c r="G1605" s="274"/>
      <c r="H1605" s="274"/>
      <c r="I1605" s="274">
        <f>0.13-0.05</f>
        <v>0.08</v>
      </c>
      <c r="J1605" s="456">
        <f t="shared" si="51"/>
        <v>0.08</v>
      </c>
      <c r="K1605" s="583"/>
      <c r="L1605" s="268" t="s">
        <v>2625</v>
      </c>
      <c r="M1605" s="268" t="s">
        <v>2634</v>
      </c>
      <c r="N1605" s="278">
        <f>IFERROR(INDEX('Data Lokasi'!S:S,MATCH('Input Real Tanam&amp;Petik Nanas'!C1605,'Data Lokasi'!C:C,0)),"")</f>
        <v>44091</v>
      </c>
      <c r="O1605" s="278"/>
      <c r="P1605" s="283">
        <f>IFERROR(INDEX('Data Lokasi'!V:V,MATCH(C1605,'Data Lokasi'!C:C,0)),"")</f>
        <v>0</v>
      </c>
      <c r="Q1605" s="304">
        <f t="shared" si="52"/>
        <v>0</v>
      </c>
      <c r="R1605" s="308"/>
    </row>
    <row r="1606" spans="2:18">
      <c r="B1606" s="269">
        <v>46275</v>
      </c>
      <c r="C1606" s="268" t="s">
        <v>2692</v>
      </c>
      <c r="D1606" s="274">
        <f>IFERROR(VLOOKUP(C1606,'Data Lokasi'!C:D,2,0),"")</f>
        <v>8.9600000000000009</v>
      </c>
      <c r="E1606" s="274" t="s">
        <v>2642</v>
      </c>
      <c r="F1606" s="274"/>
      <c r="G1606" s="274"/>
      <c r="H1606" s="274"/>
      <c r="I1606" s="274">
        <v>0.05</v>
      </c>
      <c r="J1606" s="456">
        <f t="shared" si="51"/>
        <v>0.05</v>
      </c>
      <c r="K1606" s="583"/>
      <c r="L1606" s="268" t="s">
        <v>2625</v>
      </c>
      <c r="M1606" s="268" t="s">
        <v>2634</v>
      </c>
      <c r="N1606" s="278">
        <f>IFERROR(INDEX('Data Lokasi'!S:S,MATCH('Input Real Tanam&amp;Petik Nanas'!C1606,'Data Lokasi'!C:C,0)),"")</f>
        <v>46238</v>
      </c>
      <c r="O1606" s="278"/>
      <c r="P1606" s="283">
        <f>IFERROR(INDEX('Data Lokasi'!V:V,MATCH(C1606,'Data Lokasi'!C:C,0)),"")</f>
        <v>8.9600000000000009</v>
      </c>
      <c r="Q1606" s="304">
        <f t="shared" si="52"/>
        <v>1</v>
      </c>
      <c r="R1606" s="308"/>
    </row>
    <row r="1607" spans="2:18">
      <c r="B1607" s="269">
        <v>46275</v>
      </c>
      <c r="C1607" s="268" t="s">
        <v>692</v>
      </c>
      <c r="D1607" s="274">
        <f>IFERROR(VLOOKUP(C1607,'Data Lokasi'!C:D,2,0),"")</f>
        <v>3.93</v>
      </c>
      <c r="E1607" s="274" t="s">
        <v>2642</v>
      </c>
      <c r="F1607" s="274"/>
      <c r="G1607" s="274"/>
      <c r="H1607" s="274"/>
      <c r="I1607" s="274">
        <v>0.03</v>
      </c>
      <c r="J1607" s="456">
        <f t="shared" si="51"/>
        <v>0.03</v>
      </c>
      <c r="K1607" s="583"/>
      <c r="L1607" s="268" t="s">
        <v>2625</v>
      </c>
      <c r="M1607" s="268" t="s">
        <v>2634</v>
      </c>
      <c r="N1607" s="278">
        <f>IFERROR(INDEX('Data Lokasi'!S:S,MATCH('Input Real Tanam&amp;Petik Nanas'!C1607,'Data Lokasi'!C:C,0)),"")</f>
        <v>45111</v>
      </c>
      <c r="O1607" s="278"/>
      <c r="P1607" s="283">
        <f>IFERROR(INDEX('Data Lokasi'!V:V,MATCH(C1607,'Data Lokasi'!C:C,0)),"")</f>
        <v>0</v>
      </c>
      <c r="Q1607" s="304">
        <f t="shared" si="52"/>
        <v>0</v>
      </c>
      <c r="R1607" s="308"/>
    </row>
    <row r="1608" spans="2:18">
      <c r="B1608" s="269">
        <v>46275</v>
      </c>
      <c r="C1608" s="268" t="s">
        <v>2646</v>
      </c>
      <c r="D1608" s="274">
        <f>IFERROR(VLOOKUP(C1608,'Data Lokasi'!C:D,2,0),"")</f>
        <v>8.41</v>
      </c>
      <c r="E1608" s="274" t="s">
        <v>2642</v>
      </c>
      <c r="F1608" s="274"/>
      <c r="G1608" s="274"/>
      <c r="H1608" s="274">
        <v>0.02</v>
      </c>
      <c r="I1608" s="274"/>
      <c r="J1608" s="456">
        <f t="shared" si="51"/>
        <v>0.02</v>
      </c>
      <c r="K1608" s="583"/>
      <c r="L1608" s="268" t="s">
        <v>2625</v>
      </c>
      <c r="M1608" s="268" t="s">
        <v>2634</v>
      </c>
      <c r="N1608" s="278">
        <f>IFERROR(INDEX('Data Lokasi'!S:S,MATCH('Input Real Tanam&amp;Petik Nanas'!C1608,'Data Lokasi'!C:C,0)),"")</f>
        <v>46248</v>
      </c>
      <c r="O1608" s="278"/>
      <c r="P1608" s="283">
        <f>IFERROR(INDEX('Data Lokasi'!V:V,MATCH(C1608,'Data Lokasi'!C:C,0)),"")</f>
        <v>8.41</v>
      </c>
      <c r="Q1608" s="304">
        <f t="shared" si="52"/>
        <v>1</v>
      </c>
      <c r="R1608" s="308"/>
    </row>
    <row r="1609" spans="2:18">
      <c r="B1609" s="269">
        <v>46275</v>
      </c>
      <c r="C1609" s="268" t="s">
        <v>285</v>
      </c>
      <c r="D1609" s="274">
        <f>IFERROR(VLOOKUP(C1609,'Data Lokasi'!C:D,2,0),"")</f>
        <v>11.96</v>
      </c>
      <c r="E1609" s="274" t="s">
        <v>2642</v>
      </c>
      <c r="F1609" s="274"/>
      <c r="G1609" s="274"/>
      <c r="H1609" s="274"/>
      <c r="I1609" s="274">
        <v>1.38</v>
      </c>
      <c r="J1609" s="456">
        <f t="shared" si="51"/>
        <v>1.38</v>
      </c>
      <c r="K1609" s="583"/>
      <c r="L1609" s="268" t="s">
        <v>2625</v>
      </c>
      <c r="M1609" s="268" t="s">
        <v>2634</v>
      </c>
      <c r="N1609" s="278">
        <f>IFERROR(INDEX('Data Lokasi'!S:S,MATCH('Input Real Tanam&amp;Petik Nanas'!C1609,'Data Lokasi'!C:C,0)),"")</f>
        <v>44118</v>
      </c>
      <c r="O1609" s="278"/>
      <c r="P1609" s="283">
        <f>IFERROR(INDEX('Data Lokasi'!V:V,MATCH(C1609,'Data Lokasi'!C:C,0)),"")</f>
        <v>0</v>
      </c>
      <c r="Q1609" s="304">
        <f t="shared" si="52"/>
        <v>0</v>
      </c>
      <c r="R1609" s="308"/>
    </row>
    <row r="1610" spans="2:18">
      <c r="B1610" s="269">
        <v>46276</v>
      </c>
      <c r="C1610" s="268" t="s">
        <v>281</v>
      </c>
      <c r="D1610" s="274">
        <f>IFERROR(VLOOKUP(C1610,'Data Lokasi'!C:D,2,0),"")</f>
        <v>8.3000000000000007</v>
      </c>
      <c r="E1610" s="274" t="s">
        <v>2642</v>
      </c>
      <c r="F1610" s="274"/>
      <c r="G1610" s="274"/>
      <c r="H1610" s="274"/>
      <c r="I1610" s="274">
        <v>0.02</v>
      </c>
      <c r="J1610" s="456">
        <f t="shared" si="51"/>
        <v>0.02</v>
      </c>
      <c r="K1610" s="583"/>
      <c r="L1610" s="268" t="s">
        <v>2625</v>
      </c>
      <c r="M1610" s="268" t="s">
        <v>2634</v>
      </c>
      <c r="N1610" s="278">
        <f>IFERROR(INDEX('Data Lokasi'!S:S,MATCH('Input Real Tanam&amp;Petik Nanas'!C1610,'Data Lokasi'!C:C,0)),"")</f>
        <v>44105</v>
      </c>
      <c r="O1610" s="278"/>
      <c r="P1610" s="283">
        <f>IFERROR(INDEX('Data Lokasi'!V:V,MATCH(C1610,'Data Lokasi'!C:C,0)),"")</f>
        <v>0</v>
      </c>
      <c r="Q1610" s="304">
        <f t="shared" si="52"/>
        <v>0</v>
      </c>
      <c r="R1610" s="308"/>
    </row>
    <row r="1611" spans="2:18">
      <c r="B1611" s="269">
        <v>46276</v>
      </c>
      <c r="C1611" s="268" t="s">
        <v>281</v>
      </c>
      <c r="D1611" s="274">
        <f>IFERROR(VLOOKUP(C1611,'Data Lokasi'!C:D,2,0),"")</f>
        <v>8.3000000000000007</v>
      </c>
      <c r="E1611" s="274" t="s">
        <v>2642</v>
      </c>
      <c r="F1611" s="274"/>
      <c r="G1611" s="274"/>
      <c r="H1611" s="274"/>
      <c r="I1611" s="274">
        <v>0.27</v>
      </c>
      <c r="J1611" s="456">
        <f t="shared" si="51"/>
        <v>0.27</v>
      </c>
      <c r="K1611" s="583"/>
      <c r="L1611" s="268" t="s">
        <v>719</v>
      </c>
      <c r="M1611" s="268" t="s">
        <v>2634</v>
      </c>
      <c r="N1611" s="278">
        <f>IFERROR(INDEX('Data Lokasi'!S:S,MATCH('Input Real Tanam&amp;Petik Nanas'!C1611,'Data Lokasi'!C:C,0)),"")</f>
        <v>44105</v>
      </c>
      <c r="O1611" s="278"/>
      <c r="P1611" s="283">
        <f>IFERROR(INDEX('Data Lokasi'!V:V,MATCH(C1611,'Data Lokasi'!C:C,0)),"")</f>
        <v>0</v>
      </c>
      <c r="Q1611" s="304">
        <f t="shared" si="52"/>
        <v>0</v>
      </c>
      <c r="R1611" s="308"/>
    </row>
    <row r="1612" spans="2:18">
      <c r="B1612" s="269">
        <v>46276</v>
      </c>
      <c r="C1612" s="268" t="s">
        <v>273</v>
      </c>
      <c r="D1612" s="274">
        <f>IFERROR(VLOOKUP(C1612,'Data Lokasi'!C:D,2,0),"")</f>
        <v>4.9000000000000004</v>
      </c>
      <c r="E1612" s="274" t="s">
        <v>2642</v>
      </c>
      <c r="F1612" s="274"/>
      <c r="G1612" s="274"/>
      <c r="H1612" s="274"/>
      <c r="I1612" s="274">
        <v>1.55</v>
      </c>
      <c r="J1612" s="456">
        <f t="shared" si="51"/>
        <v>1.55</v>
      </c>
      <c r="K1612" s="583"/>
      <c r="L1612" s="268" t="s">
        <v>2625</v>
      </c>
      <c r="M1612" s="268" t="s">
        <v>2634</v>
      </c>
      <c r="N1612" s="278">
        <f>IFERROR(INDEX('Data Lokasi'!S:S,MATCH('Input Real Tanam&amp;Petik Nanas'!C1612,'Data Lokasi'!C:C,0)),"")</f>
        <v>44103</v>
      </c>
      <c r="O1612" s="278"/>
      <c r="P1612" s="283">
        <f>IFERROR(INDEX('Data Lokasi'!V:V,MATCH(C1612,'Data Lokasi'!C:C,0)),"")</f>
        <v>0</v>
      </c>
      <c r="Q1612" s="304">
        <f t="shared" si="52"/>
        <v>0</v>
      </c>
      <c r="R1612" s="308"/>
    </row>
    <row r="1613" spans="2:18">
      <c r="B1613" s="269">
        <v>46276</v>
      </c>
      <c r="C1613" s="268" t="s">
        <v>285</v>
      </c>
      <c r="D1613" s="274">
        <f>IFERROR(VLOOKUP(C1613,'Data Lokasi'!C:D,2,0),"")</f>
        <v>11.96</v>
      </c>
      <c r="E1613" s="274" t="s">
        <v>2642</v>
      </c>
      <c r="F1613" s="274"/>
      <c r="G1613" s="274"/>
      <c r="H1613" s="274"/>
      <c r="I1613" s="274">
        <v>1.92</v>
      </c>
      <c r="J1613" s="456">
        <f t="shared" si="51"/>
        <v>1.92</v>
      </c>
      <c r="K1613" s="583"/>
      <c r="L1613" s="268" t="s">
        <v>2625</v>
      </c>
      <c r="M1613" s="268" t="s">
        <v>2634</v>
      </c>
      <c r="N1613" s="278">
        <f>IFERROR(INDEX('Data Lokasi'!S:S,MATCH('Input Real Tanam&amp;Petik Nanas'!C1613,'Data Lokasi'!C:C,0)),"")</f>
        <v>44118</v>
      </c>
      <c r="O1613" s="278"/>
      <c r="P1613" s="283">
        <f>IFERROR(INDEX('Data Lokasi'!V:V,MATCH(C1613,'Data Lokasi'!C:C,0)),"")</f>
        <v>0</v>
      </c>
      <c r="Q1613" s="304">
        <f t="shared" si="52"/>
        <v>0</v>
      </c>
      <c r="R1613" s="308"/>
    </row>
    <row r="1614" spans="2:18">
      <c r="B1614" s="269">
        <v>46276</v>
      </c>
      <c r="C1614" s="268" t="s">
        <v>279</v>
      </c>
      <c r="D1614" s="274">
        <f>IFERROR(VLOOKUP(C1614,'Data Lokasi'!C:D,2,0),"")</f>
        <v>5.05</v>
      </c>
      <c r="E1614" s="274" t="s">
        <v>2642</v>
      </c>
      <c r="F1614" s="274"/>
      <c r="G1614" s="274"/>
      <c r="H1614" s="274"/>
      <c r="I1614" s="274">
        <v>0.85</v>
      </c>
      <c r="J1614" s="456">
        <f t="shared" si="51"/>
        <v>0.85</v>
      </c>
      <c r="K1614" s="583"/>
      <c r="L1614" s="268" t="s">
        <v>2625</v>
      </c>
      <c r="M1614" s="268" t="s">
        <v>2631</v>
      </c>
      <c r="N1614" s="278">
        <f>IFERROR(INDEX('Data Lokasi'!S:S,MATCH('Input Real Tanam&amp;Petik Nanas'!C1614,'Data Lokasi'!C:C,0)),"")</f>
        <v>46276</v>
      </c>
      <c r="O1614" s="278"/>
      <c r="P1614" s="283">
        <f>IFERROR(INDEX('Data Lokasi'!V:V,MATCH(C1614,'Data Lokasi'!C:C,0)),"")</f>
        <v>5.05</v>
      </c>
      <c r="Q1614" s="304">
        <f t="shared" si="52"/>
        <v>1</v>
      </c>
      <c r="R1614" s="308"/>
    </row>
    <row r="1615" spans="2:18">
      <c r="B1615" s="269">
        <v>46276</v>
      </c>
      <c r="C1615" s="268" t="s">
        <v>2127</v>
      </c>
      <c r="D1615" s="274">
        <f>IFERROR(VLOOKUP(C1615,'Data Lokasi'!C:D,2,0),"")</f>
        <v>6.54</v>
      </c>
      <c r="E1615" s="274" t="s">
        <v>2642</v>
      </c>
      <c r="F1615" s="274"/>
      <c r="G1615" s="274"/>
      <c r="H1615" s="274"/>
      <c r="I1615" s="274">
        <v>0.37</v>
      </c>
      <c r="J1615" s="456">
        <f t="shared" si="51"/>
        <v>0.37</v>
      </c>
      <c r="K1615" s="583"/>
      <c r="L1615" s="268" t="s">
        <v>2625</v>
      </c>
      <c r="M1615" s="268" t="s">
        <v>2631</v>
      </c>
      <c r="N1615" s="278">
        <f>IFERROR(INDEX('Data Lokasi'!S:S,MATCH('Input Real Tanam&amp;Petik Nanas'!C1615,'Data Lokasi'!C:C,0)),"")</f>
        <v>46269</v>
      </c>
      <c r="O1615" s="278"/>
      <c r="P1615" s="283">
        <f>IFERROR(INDEX('Data Lokasi'!V:V,MATCH(C1615,'Data Lokasi'!C:C,0)),"")</f>
        <v>6.54</v>
      </c>
      <c r="Q1615" s="304">
        <f t="shared" si="52"/>
        <v>1</v>
      </c>
      <c r="R1615" s="308"/>
    </row>
    <row r="1616" spans="2:18" hidden="1">
      <c r="B1616" s="269">
        <v>46276</v>
      </c>
      <c r="C1616" s="268" t="s">
        <v>2558</v>
      </c>
      <c r="D1616" s="274">
        <f>IFERROR(VLOOKUP(C1616,'Data Lokasi'!C:D,2,0),"")</f>
        <v>5.27</v>
      </c>
      <c r="E1616" s="274" t="s">
        <v>2643</v>
      </c>
      <c r="F1616" s="274"/>
      <c r="G1616" s="274"/>
      <c r="H1616" s="274"/>
      <c r="I1616" s="274">
        <v>1.51</v>
      </c>
      <c r="J1616" s="456">
        <f t="shared" si="51"/>
        <v>1.51</v>
      </c>
      <c r="K1616" s="583"/>
      <c r="L1616" s="268" t="s">
        <v>2625</v>
      </c>
      <c r="M1616" s="268" t="s">
        <v>2634</v>
      </c>
      <c r="N1616" s="278">
        <f>IFERROR(INDEX('Data Lokasi'!S:S,MATCH('Input Real Tanam&amp;Petik Nanas'!C1616,'Data Lokasi'!C:C,0)),"")</f>
        <v>45712</v>
      </c>
      <c r="O1616" s="278"/>
      <c r="P1616" s="283">
        <f>IFERROR(INDEX('Data Lokasi'!V:V,MATCH(C1616,'Data Lokasi'!C:C,0)),"")</f>
        <v>0</v>
      </c>
      <c r="Q1616" s="304">
        <f t="shared" si="52"/>
        <v>0</v>
      </c>
      <c r="R1616" s="308"/>
    </row>
    <row r="1617" spans="2:18" hidden="1">
      <c r="B1617" s="269">
        <v>46276</v>
      </c>
      <c r="C1617" s="268" t="s">
        <v>465</v>
      </c>
      <c r="D1617" s="274">
        <f>IFERROR(VLOOKUP(C1617,'Data Lokasi'!C:D,2,0),"")</f>
        <v>11.63</v>
      </c>
      <c r="E1617" s="274" t="s">
        <v>2643</v>
      </c>
      <c r="F1617" s="274"/>
      <c r="G1617" s="274">
        <v>0.02</v>
      </c>
      <c r="H1617" s="274">
        <f>0.11+0.38</f>
        <v>0.49</v>
      </c>
      <c r="I1617" s="274"/>
      <c r="J1617" s="456">
        <f t="shared" si="51"/>
        <v>0.51</v>
      </c>
      <c r="K1617" s="583"/>
      <c r="L1617" s="268" t="s">
        <v>719</v>
      </c>
      <c r="M1617" s="268" t="s">
        <v>2631</v>
      </c>
      <c r="N1617" s="278">
        <f>IFERROR(INDEX('Data Lokasi'!S:S,MATCH('Input Real Tanam&amp;Petik Nanas'!C1617,'Data Lokasi'!C:C,0)),"")</f>
        <v>44477</v>
      </c>
      <c r="O1617" s="278"/>
      <c r="P1617" s="283">
        <f>IFERROR(INDEX('Data Lokasi'!V:V,MATCH(C1617,'Data Lokasi'!C:C,0)),"")</f>
        <v>0</v>
      </c>
      <c r="Q1617" s="304">
        <f t="shared" si="52"/>
        <v>0</v>
      </c>
      <c r="R1617" s="308">
        <v>4</v>
      </c>
    </row>
    <row r="1618" spans="2:18" hidden="1">
      <c r="B1618" s="269">
        <v>46276</v>
      </c>
      <c r="C1618" s="268" t="s">
        <v>476</v>
      </c>
      <c r="D1618" s="274">
        <f>IFERROR(VLOOKUP(C1618,'Data Lokasi'!C:D,2,0),"")</f>
        <v>5.26</v>
      </c>
      <c r="E1618" s="274" t="s">
        <v>2643</v>
      </c>
      <c r="F1618" s="274"/>
      <c r="G1618" s="274"/>
      <c r="H1618" s="274"/>
      <c r="I1618" s="274">
        <f>0.04+0.06</f>
        <v>0.1</v>
      </c>
      <c r="J1618" s="456">
        <f t="shared" si="51"/>
        <v>0.1</v>
      </c>
      <c r="K1618" s="583"/>
      <c r="L1618" s="268" t="s">
        <v>719</v>
      </c>
      <c r="M1618" s="268" t="s">
        <v>2634</v>
      </c>
      <c r="N1618" s="278">
        <f>IFERROR(INDEX('Data Lokasi'!S:S,MATCH('Input Real Tanam&amp;Petik Nanas'!C1618,'Data Lokasi'!C:C,0)),"")</f>
        <v>44487</v>
      </c>
      <c r="O1618" s="278"/>
      <c r="P1618" s="283">
        <f>IFERROR(INDEX('Data Lokasi'!V:V,MATCH(C1618,'Data Lokasi'!C:C,0)),"")</f>
        <v>0</v>
      </c>
      <c r="Q1618" s="304">
        <f t="shared" si="52"/>
        <v>0</v>
      </c>
      <c r="R1618" s="308">
        <v>10</v>
      </c>
    </row>
    <row r="1619" spans="2:18" hidden="1">
      <c r="B1619" s="269">
        <v>46276</v>
      </c>
      <c r="C1619" s="268" t="s">
        <v>346</v>
      </c>
      <c r="D1619" s="274">
        <f>IFERROR(VLOOKUP(C1619,'Data Lokasi'!C:D,2,0),"")</f>
        <v>5.62</v>
      </c>
      <c r="E1619" s="274" t="s">
        <v>2643</v>
      </c>
      <c r="F1619" s="274"/>
      <c r="G1619" s="274"/>
      <c r="H1619" s="274"/>
      <c r="I1619" s="274">
        <f>0.08+0.18</f>
        <v>0.26</v>
      </c>
      <c r="J1619" s="456">
        <f t="shared" si="51"/>
        <v>0.26</v>
      </c>
      <c r="K1619" s="583"/>
      <c r="L1619" s="268" t="s">
        <v>719</v>
      </c>
      <c r="M1619" s="268" t="s">
        <v>2634</v>
      </c>
      <c r="N1619" s="278">
        <f>IFERROR(INDEX('Data Lokasi'!S:S,MATCH('Input Real Tanam&amp;Petik Nanas'!C1619,'Data Lokasi'!C:C,0)),"")</f>
        <v>44258</v>
      </c>
      <c r="O1619" s="278"/>
      <c r="P1619" s="283">
        <f>IFERROR(INDEX('Data Lokasi'!V:V,MATCH(C1619,'Data Lokasi'!C:C,0)),"")</f>
        <v>0</v>
      </c>
      <c r="Q1619" s="304">
        <f t="shared" si="52"/>
        <v>0</v>
      </c>
      <c r="R1619" s="308">
        <v>11</v>
      </c>
    </row>
    <row r="1620" spans="2:18" hidden="1">
      <c r="B1620" s="269">
        <v>46276</v>
      </c>
      <c r="C1620" s="268" t="s">
        <v>139</v>
      </c>
      <c r="D1620" s="274">
        <f>IFERROR(VLOOKUP(C1620,'Data Lokasi'!C:D,2,0),"")</f>
        <v>12.26</v>
      </c>
      <c r="E1620" s="274" t="s">
        <v>2643</v>
      </c>
      <c r="F1620" s="274"/>
      <c r="G1620" s="274"/>
      <c r="H1620" s="274"/>
      <c r="I1620" s="274">
        <v>0.95</v>
      </c>
      <c r="J1620" s="456">
        <f t="shared" si="51"/>
        <v>0.95</v>
      </c>
      <c r="K1620" s="583"/>
      <c r="L1620" s="268" t="s">
        <v>2625</v>
      </c>
      <c r="M1620" s="268" t="s">
        <v>2634</v>
      </c>
      <c r="N1620" s="278">
        <f>IFERROR(INDEX('Data Lokasi'!S:S,MATCH('Input Real Tanam&amp;Petik Nanas'!C1620,'Data Lokasi'!C:C,0)),"")</f>
        <v>44233</v>
      </c>
      <c r="O1620" s="278"/>
      <c r="P1620" s="283">
        <f>IFERROR(INDEX('Data Lokasi'!V:V,MATCH(C1620,'Data Lokasi'!C:C,0)),"")</f>
        <v>0</v>
      </c>
      <c r="Q1620" s="304">
        <f t="shared" si="52"/>
        <v>0</v>
      </c>
      <c r="R1620" s="308"/>
    </row>
    <row r="1621" spans="2:18">
      <c r="B1621" s="269">
        <v>46277</v>
      </c>
      <c r="C1621" s="268" t="s">
        <v>281</v>
      </c>
      <c r="D1621" s="274">
        <f>IFERROR(VLOOKUP(C1621,'Data Lokasi'!C:D,2,0),"")</f>
        <v>8.3000000000000007</v>
      </c>
      <c r="E1621" s="274" t="s">
        <v>2642</v>
      </c>
      <c r="F1621" s="274"/>
      <c r="G1621" s="274"/>
      <c r="H1621" s="274"/>
      <c r="I1621" s="274">
        <v>0.5</v>
      </c>
      <c r="J1621" s="456">
        <f t="shared" ref="J1621:J1684" si="53">IF(SUM(F1621:I1621)=0,"",(SUM(F1621:I1621)))</f>
        <v>0.5</v>
      </c>
      <c r="K1621" s="583"/>
      <c r="L1621" s="268" t="s">
        <v>719</v>
      </c>
      <c r="M1621" s="268" t="s">
        <v>2634</v>
      </c>
      <c r="N1621" s="278">
        <f>IFERROR(INDEX('Data Lokasi'!S:S,MATCH('Input Real Tanam&amp;Petik Nanas'!C1621,'Data Lokasi'!C:C,0)),"")</f>
        <v>44105</v>
      </c>
      <c r="O1621" s="278"/>
      <c r="P1621" s="283">
        <f>IFERROR(INDEX('Data Lokasi'!V:V,MATCH(C1621,'Data Lokasi'!C:C,0)),"")</f>
        <v>0</v>
      </c>
      <c r="Q1621" s="304">
        <f t="shared" ref="Q1621:Q1684" si="54">IF(ISERROR(P1621/D1621),"",(P1621/D1621))</f>
        <v>0</v>
      </c>
      <c r="R1621" s="308"/>
    </row>
    <row r="1622" spans="2:18">
      <c r="B1622" s="269">
        <v>46277</v>
      </c>
      <c r="C1622" s="268" t="s">
        <v>273</v>
      </c>
      <c r="D1622" s="274">
        <f>IFERROR(VLOOKUP(C1622,'Data Lokasi'!C:D,2,0),"")</f>
        <v>4.9000000000000004</v>
      </c>
      <c r="E1622" s="274" t="s">
        <v>2642</v>
      </c>
      <c r="F1622" s="274"/>
      <c r="G1622" s="274"/>
      <c r="H1622" s="274"/>
      <c r="I1622" s="274">
        <v>0.4</v>
      </c>
      <c r="J1622" s="456">
        <f t="shared" si="53"/>
        <v>0.4</v>
      </c>
      <c r="K1622" s="583"/>
      <c r="L1622" s="268" t="s">
        <v>2625</v>
      </c>
      <c r="M1622" s="268" t="s">
        <v>2634</v>
      </c>
      <c r="N1622" s="278">
        <f>IFERROR(INDEX('Data Lokasi'!S:S,MATCH('Input Real Tanam&amp;Petik Nanas'!C1622,'Data Lokasi'!C:C,0)),"")</f>
        <v>44103</v>
      </c>
      <c r="O1622" s="278"/>
      <c r="P1622" s="283">
        <f>IFERROR(INDEX('Data Lokasi'!V:V,MATCH(C1622,'Data Lokasi'!C:C,0)),"")</f>
        <v>0</v>
      </c>
      <c r="Q1622" s="304">
        <f t="shared" si="54"/>
        <v>0</v>
      </c>
      <c r="R1622" s="308"/>
    </row>
    <row r="1623" spans="2:18">
      <c r="B1623" s="269">
        <v>46277</v>
      </c>
      <c r="C1623" s="268" t="s">
        <v>234</v>
      </c>
      <c r="D1623" s="274">
        <f>IFERROR(VLOOKUP(C1623,'Data Lokasi'!C:D,2,0),"")</f>
        <v>5.85</v>
      </c>
      <c r="E1623" s="274" t="s">
        <v>2642</v>
      </c>
      <c r="F1623" s="274"/>
      <c r="G1623" s="274"/>
      <c r="H1623" s="274"/>
      <c r="I1623" s="274">
        <v>0.03</v>
      </c>
      <c r="J1623" s="456">
        <f t="shared" si="53"/>
        <v>0.03</v>
      </c>
      <c r="K1623" s="583"/>
      <c r="L1623" s="268" t="s">
        <v>2625</v>
      </c>
      <c r="M1623" s="268" t="s">
        <v>2634</v>
      </c>
      <c r="N1623" s="278">
        <f>IFERROR(INDEX('Data Lokasi'!S:S,MATCH('Input Real Tanam&amp;Petik Nanas'!C1623,'Data Lokasi'!C:C,0)),"")</f>
        <v>44038</v>
      </c>
      <c r="O1623" s="278"/>
      <c r="P1623" s="283">
        <f>IFERROR(INDEX('Data Lokasi'!V:V,MATCH(C1623,'Data Lokasi'!C:C,0)),"")</f>
        <v>0</v>
      </c>
      <c r="Q1623" s="304">
        <f t="shared" si="54"/>
        <v>0</v>
      </c>
      <c r="R1623" s="308"/>
    </row>
    <row r="1624" spans="2:18">
      <c r="B1624" s="269">
        <v>46277</v>
      </c>
      <c r="C1624" s="268" t="s">
        <v>285</v>
      </c>
      <c r="D1624" s="274">
        <f>IFERROR(VLOOKUP(C1624,'Data Lokasi'!C:D,2,0),"")</f>
        <v>11.96</v>
      </c>
      <c r="E1624" s="274" t="s">
        <v>2642</v>
      </c>
      <c r="F1624" s="274"/>
      <c r="G1624" s="274"/>
      <c r="H1624" s="274"/>
      <c r="I1624" s="274">
        <v>1.8</v>
      </c>
      <c r="J1624" s="456">
        <f t="shared" si="53"/>
        <v>1.8</v>
      </c>
      <c r="K1624" s="583"/>
      <c r="L1624" s="268" t="s">
        <v>2625</v>
      </c>
      <c r="M1624" s="268" t="s">
        <v>2634</v>
      </c>
      <c r="N1624" s="278">
        <f>IFERROR(INDEX('Data Lokasi'!S:S,MATCH('Input Real Tanam&amp;Petik Nanas'!C1624,'Data Lokasi'!C:C,0)),"")</f>
        <v>44118</v>
      </c>
      <c r="O1624" s="278"/>
      <c r="P1624" s="283">
        <f>IFERROR(INDEX('Data Lokasi'!V:V,MATCH(C1624,'Data Lokasi'!C:C,0)),"")</f>
        <v>0</v>
      </c>
      <c r="Q1624" s="304">
        <f t="shared" si="54"/>
        <v>0</v>
      </c>
      <c r="R1624" s="308"/>
    </row>
    <row r="1625" spans="2:18">
      <c r="B1625" s="269">
        <v>46277</v>
      </c>
      <c r="C1625" s="268" t="s">
        <v>279</v>
      </c>
      <c r="D1625" s="274">
        <f>IFERROR(VLOOKUP(C1625,'Data Lokasi'!C:D,2,0),"")</f>
        <v>5.05</v>
      </c>
      <c r="E1625" s="274" t="s">
        <v>2642</v>
      </c>
      <c r="F1625" s="274"/>
      <c r="G1625" s="274"/>
      <c r="H1625" s="274"/>
      <c r="I1625" s="274">
        <v>1.1200000000000001</v>
      </c>
      <c r="J1625" s="456">
        <f t="shared" si="53"/>
        <v>1.1200000000000001</v>
      </c>
      <c r="K1625" s="583"/>
      <c r="L1625" s="268" t="s">
        <v>2625</v>
      </c>
      <c r="M1625" s="268" t="s">
        <v>2631</v>
      </c>
      <c r="N1625" s="278">
        <f>IFERROR(INDEX('Data Lokasi'!S:S,MATCH('Input Real Tanam&amp;Petik Nanas'!C1625,'Data Lokasi'!C:C,0)),"")</f>
        <v>46276</v>
      </c>
      <c r="O1625" s="278"/>
      <c r="P1625" s="283">
        <f>IFERROR(INDEX('Data Lokasi'!V:V,MATCH(C1625,'Data Lokasi'!C:C,0)),"")</f>
        <v>5.05</v>
      </c>
      <c r="Q1625" s="304">
        <f t="shared" si="54"/>
        <v>1</v>
      </c>
      <c r="R1625" s="308"/>
    </row>
    <row r="1626" spans="2:18">
      <c r="B1626" s="269">
        <v>46277</v>
      </c>
      <c r="C1626" s="268" t="s">
        <v>2712</v>
      </c>
      <c r="D1626" s="274">
        <f>IFERROR(VLOOKUP(C1626,'Data Lokasi'!C:D,2,0),"")</f>
        <v>6.02</v>
      </c>
      <c r="E1626" s="274" t="s">
        <v>2642</v>
      </c>
      <c r="F1626" s="274"/>
      <c r="G1626" s="274">
        <v>0.42</v>
      </c>
      <c r="H1626" s="274"/>
      <c r="I1626" s="274"/>
      <c r="J1626" s="456">
        <f t="shared" si="53"/>
        <v>0.42</v>
      </c>
      <c r="K1626" s="583"/>
      <c r="L1626" s="268" t="s">
        <v>719</v>
      </c>
      <c r="M1626" s="268" t="s">
        <v>2631</v>
      </c>
      <c r="N1626" s="278">
        <f>IFERROR(INDEX('Data Lokasi'!S:S,MATCH('Input Real Tanam&amp;Petik Nanas'!C1626,'Data Lokasi'!C:C,0)),"")</f>
        <v>46271</v>
      </c>
      <c r="O1626" s="278"/>
      <c r="P1626" s="283">
        <f>IFERROR(INDEX('Data Lokasi'!V:V,MATCH(C1626,'Data Lokasi'!C:C,0)),"")</f>
        <v>6.0200000000000005</v>
      </c>
      <c r="Q1626" s="304">
        <f t="shared" si="54"/>
        <v>1.0000000000000002</v>
      </c>
      <c r="R1626" s="308"/>
    </row>
    <row r="1627" spans="2:18">
      <c r="B1627" s="269">
        <v>46277</v>
      </c>
      <c r="C1627" s="268" t="s">
        <v>120</v>
      </c>
      <c r="D1627" s="274">
        <f>IFERROR(VLOOKUP(C1627,'Data Lokasi'!C:D,2,0),"")</f>
        <v>9.0399999999999991</v>
      </c>
      <c r="E1627" s="274" t="s">
        <v>2642</v>
      </c>
      <c r="F1627" s="274"/>
      <c r="G1627" s="274"/>
      <c r="H1627" s="274"/>
      <c r="I1627" s="274">
        <v>0.09</v>
      </c>
      <c r="J1627" s="456">
        <f t="shared" si="53"/>
        <v>0.09</v>
      </c>
      <c r="K1627" s="583"/>
      <c r="L1627" s="268" t="s">
        <v>2625</v>
      </c>
      <c r="M1627" s="268" t="s">
        <v>2631</v>
      </c>
      <c r="N1627" s="278">
        <f>IFERROR(INDEX('Data Lokasi'!S:S,MATCH('Input Real Tanam&amp;Petik Nanas'!C1627,'Data Lokasi'!C:C,0)),"")</f>
        <v>44184</v>
      </c>
      <c r="O1627" s="278"/>
      <c r="P1627" s="283">
        <f>IFERROR(INDEX('Data Lokasi'!V:V,MATCH(C1627,'Data Lokasi'!C:C,0)),"")</f>
        <v>0</v>
      </c>
      <c r="Q1627" s="304">
        <f t="shared" si="54"/>
        <v>0</v>
      </c>
      <c r="R1627" s="308"/>
    </row>
    <row r="1628" spans="2:18">
      <c r="B1628" s="269">
        <v>46277</v>
      </c>
      <c r="C1628" s="268" t="s">
        <v>149</v>
      </c>
      <c r="D1628" s="274">
        <f>IFERROR(VLOOKUP(C1628,'Data Lokasi'!C:D,2,0),"")</f>
        <v>5.37</v>
      </c>
      <c r="E1628" s="274" t="s">
        <v>2642</v>
      </c>
      <c r="F1628" s="274"/>
      <c r="G1628" s="274"/>
      <c r="H1628" s="274"/>
      <c r="I1628" s="274">
        <v>0.5</v>
      </c>
      <c r="J1628" s="456">
        <f t="shared" si="53"/>
        <v>0.5</v>
      </c>
      <c r="K1628" s="583"/>
      <c r="L1628" s="268" t="s">
        <v>2625</v>
      </c>
      <c r="M1628" s="268" t="s">
        <v>2631</v>
      </c>
      <c r="N1628" s="278">
        <f>IFERROR(INDEX('Data Lokasi'!S:S,MATCH('Input Real Tanam&amp;Petik Nanas'!C1628,'Data Lokasi'!C:C,0)),"")</f>
        <v>45295</v>
      </c>
      <c r="O1628" s="278"/>
      <c r="P1628" s="283">
        <f>IFERROR(INDEX('Data Lokasi'!V:V,MATCH(C1628,'Data Lokasi'!C:C,0)),"")</f>
        <v>0</v>
      </c>
      <c r="Q1628" s="304">
        <f t="shared" si="54"/>
        <v>0</v>
      </c>
      <c r="R1628" s="308"/>
    </row>
    <row r="1629" spans="2:18">
      <c r="B1629" s="269">
        <v>46278</v>
      </c>
      <c r="C1629" s="268" t="s">
        <v>281</v>
      </c>
      <c r="D1629" s="274">
        <f>IFERROR(VLOOKUP(C1629,'Data Lokasi'!C:D,2,0),"")</f>
        <v>8.3000000000000007</v>
      </c>
      <c r="E1629" s="274" t="s">
        <v>2642</v>
      </c>
      <c r="F1629" s="274"/>
      <c r="G1629" s="274"/>
      <c r="H1629" s="274"/>
      <c r="I1629" s="274">
        <v>0.56999999999999995</v>
      </c>
      <c r="J1629" s="456">
        <f t="shared" si="53"/>
        <v>0.56999999999999995</v>
      </c>
      <c r="K1629" s="583"/>
      <c r="L1629" s="268" t="s">
        <v>719</v>
      </c>
      <c r="M1629" s="268" t="s">
        <v>2634</v>
      </c>
      <c r="N1629" s="278">
        <f>IFERROR(INDEX('Data Lokasi'!S:S,MATCH('Input Real Tanam&amp;Petik Nanas'!C1629,'Data Lokasi'!C:C,0)),"")</f>
        <v>44105</v>
      </c>
      <c r="O1629" s="278"/>
      <c r="P1629" s="283">
        <f>IFERROR(INDEX('Data Lokasi'!V:V,MATCH(C1629,'Data Lokasi'!C:C,0)),"")</f>
        <v>0</v>
      </c>
      <c r="Q1629" s="304">
        <f t="shared" si="54"/>
        <v>0</v>
      </c>
      <c r="R1629" s="308"/>
    </row>
    <row r="1630" spans="2:18">
      <c r="B1630" s="269">
        <v>46278</v>
      </c>
      <c r="C1630" s="268" t="s">
        <v>273</v>
      </c>
      <c r="D1630" s="274">
        <f>IFERROR(VLOOKUP(C1630,'Data Lokasi'!C:D,2,0),"")</f>
        <v>4.9000000000000004</v>
      </c>
      <c r="E1630" s="274" t="s">
        <v>2642</v>
      </c>
      <c r="F1630" s="274"/>
      <c r="G1630" s="274"/>
      <c r="H1630" s="274"/>
      <c r="I1630" s="274">
        <v>0.27</v>
      </c>
      <c r="J1630" s="456">
        <f t="shared" si="53"/>
        <v>0.27</v>
      </c>
      <c r="K1630" s="583"/>
      <c r="L1630" s="268" t="s">
        <v>2625</v>
      </c>
      <c r="M1630" s="268" t="s">
        <v>2634</v>
      </c>
      <c r="N1630" s="278">
        <f>IFERROR(INDEX('Data Lokasi'!S:S,MATCH('Input Real Tanam&amp;Petik Nanas'!C1630,'Data Lokasi'!C:C,0)),"")</f>
        <v>44103</v>
      </c>
      <c r="O1630" s="278"/>
      <c r="P1630" s="283">
        <f>IFERROR(INDEX('Data Lokasi'!V:V,MATCH(C1630,'Data Lokasi'!C:C,0)),"")</f>
        <v>0</v>
      </c>
      <c r="Q1630" s="304">
        <f t="shared" si="54"/>
        <v>0</v>
      </c>
      <c r="R1630" s="308"/>
    </row>
    <row r="1631" spans="2:18">
      <c r="B1631" s="269">
        <v>46278</v>
      </c>
      <c r="C1631" s="268" t="s">
        <v>278</v>
      </c>
      <c r="D1631" s="274">
        <f>IFERROR(VLOOKUP(C1631,'Data Lokasi'!C:D,2,0),"")</f>
        <v>6.78</v>
      </c>
      <c r="E1631" s="274" t="s">
        <v>2642</v>
      </c>
      <c r="F1631" s="274"/>
      <c r="G1631" s="274"/>
      <c r="H1631" s="274"/>
      <c r="I1631" s="274">
        <v>1.19</v>
      </c>
      <c r="J1631" s="456">
        <f t="shared" si="53"/>
        <v>1.19</v>
      </c>
      <c r="K1631" s="583"/>
      <c r="L1631" s="268" t="s">
        <v>2625</v>
      </c>
      <c r="M1631" s="268" t="s">
        <v>2634</v>
      </c>
      <c r="N1631" s="278">
        <f>IFERROR(INDEX('Data Lokasi'!S:S,MATCH('Input Real Tanam&amp;Petik Nanas'!C1631,'Data Lokasi'!C:C,0)),"")</f>
        <v>44101</v>
      </c>
      <c r="O1631" s="278"/>
      <c r="P1631" s="283">
        <f>IFERROR(INDEX('Data Lokasi'!V:V,MATCH(C1631,'Data Lokasi'!C:C,0)),"")</f>
        <v>0</v>
      </c>
      <c r="Q1631" s="304">
        <f t="shared" si="54"/>
        <v>0</v>
      </c>
      <c r="R1631" s="308"/>
    </row>
    <row r="1632" spans="2:18">
      <c r="B1632" s="269">
        <v>46278</v>
      </c>
      <c r="C1632" s="268" t="s">
        <v>285</v>
      </c>
      <c r="D1632" s="274">
        <f>IFERROR(VLOOKUP(C1632,'Data Lokasi'!C:D,2,0),"")</f>
        <v>11.96</v>
      </c>
      <c r="E1632" s="274" t="s">
        <v>2642</v>
      </c>
      <c r="F1632" s="274"/>
      <c r="G1632" s="274"/>
      <c r="H1632" s="274"/>
      <c r="I1632" s="274">
        <v>1.53</v>
      </c>
      <c r="J1632" s="456">
        <f t="shared" si="53"/>
        <v>1.53</v>
      </c>
      <c r="K1632" s="583"/>
      <c r="L1632" s="268" t="s">
        <v>2625</v>
      </c>
      <c r="M1632" s="268" t="s">
        <v>2634</v>
      </c>
      <c r="N1632" s="278">
        <f>IFERROR(INDEX('Data Lokasi'!S:S,MATCH('Input Real Tanam&amp;Petik Nanas'!C1632,'Data Lokasi'!C:C,0)),"")</f>
        <v>44118</v>
      </c>
      <c r="O1632" s="278"/>
      <c r="P1632" s="283">
        <f>IFERROR(INDEX('Data Lokasi'!V:V,MATCH(C1632,'Data Lokasi'!C:C,0)),"")</f>
        <v>0</v>
      </c>
      <c r="Q1632" s="304">
        <f t="shared" si="54"/>
        <v>0</v>
      </c>
      <c r="R1632" s="308"/>
    </row>
    <row r="1633" spans="2:18">
      <c r="B1633" s="269">
        <v>46278</v>
      </c>
      <c r="C1633" s="268" t="s">
        <v>2712</v>
      </c>
      <c r="D1633" s="274">
        <f>IFERROR(VLOOKUP(C1633,'Data Lokasi'!C:D,2,0),"")</f>
        <v>6.02</v>
      </c>
      <c r="E1633" s="274" t="s">
        <v>2642</v>
      </c>
      <c r="F1633" s="274"/>
      <c r="G1633" s="274"/>
      <c r="H1633" s="274">
        <v>0.46</v>
      </c>
      <c r="I1633" s="274"/>
      <c r="J1633" s="456">
        <f t="shared" si="53"/>
        <v>0.46</v>
      </c>
      <c r="K1633" s="583"/>
      <c r="L1633" s="268" t="s">
        <v>719</v>
      </c>
      <c r="M1633" s="268" t="s">
        <v>2631</v>
      </c>
      <c r="N1633" s="278">
        <f>IFERROR(INDEX('Data Lokasi'!S:S,MATCH('Input Real Tanam&amp;Petik Nanas'!C1633,'Data Lokasi'!C:C,0)),"")</f>
        <v>46271</v>
      </c>
      <c r="O1633" s="278"/>
      <c r="P1633" s="283">
        <f>IFERROR(INDEX('Data Lokasi'!V:V,MATCH(C1633,'Data Lokasi'!C:C,0)),"")</f>
        <v>6.0200000000000005</v>
      </c>
      <c r="Q1633" s="304">
        <f t="shared" si="54"/>
        <v>1.0000000000000002</v>
      </c>
      <c r="R1633" s="308"/>
    </row>
    <row r="1634" spans="2:18">
      <c r="B1634" s="269">
        <v>46278</v>
      </c>
      <c r="C1634" s="268" t="s">
        <v>2127</v>
      </c>
      <c r="D1634" s="274">
        <f>IFERROR(VLOOKUP(C1634,'Data Lokasi'!C:D,2,0),"")</f>
        <v>6.54</v>
      </c>
      <c r="E1634" s="274" t="s">
        <v>2642</v>
      </c>
      <c r="F1634" s="274"/>
      <c r="G1634" s="274"/>
      <c r="H1634" s="274"/>
      <c r="I1634" s="274">
        <v>0.76</v>
      </c>
      <c r="J1634" s="456">
        <f t="shared" si="53"/>
        <v>0.76</v>
      </c>
      <c r="K1634" s="583"/>
      <c r="L1634" s="268" t="s">
        <v>2625</v>
      </c>
      <c r="M1634" s="268" t="s">
        <v>2631</v>
      </c>
      <c r="N1634" s="278">
        <f>IFERROR(INDEX('Data Lokasi'!S:S,MATCH('Input Real Tanam&amp;Petik Nanas'!C1634,'Data Lokasi'!C:C,0)),"")</f>
        <v>46269</v>
      </c>
      <c r="O1634" s="278"/>
      <c r="P1634" s="283">
        <f>IFERROR(INDEX('Data Lokasi'!V:V,MATCH(C1634,'Data Lokasi'!C:C,0)),"")</f>
        <v>6.54</v>
      </c>
      <c r="Q1634" s="304">
        <f t="shared" si="54"/>
        <v>1</v>
      </c>
      <c r="R1634" s="308"/>
    </row>
    <row r="1635" spans="2:18">
      <c r="B1635" s="269">
        <v>46278</v>
      </c>
      <c r="C1635" s="268" t="s">
        <v>279</v>
      </c>
      <c r="D1635" s="274">
        <f>IFERROR(VLOOKUP(C1635,'Data Lokasi'!C:D,2,0),"")</f>
        <v>5.05</v>
      </c>
      <c r="E1635" s="274" t="s">
        <v>2642</v>
      </c>
      <c r="F1635" s="274"/>
      <c r="G1635" s="274"/>
      <c r="H1635" s="274"/>
      <c r="I1635" s="274">
        <v>1.03</v>
      </c>
      <c r="J1635" s="456">
        <f t="shared" si="53"/>
        <v>1.03</v>
      </c>
      <c r="K1635" s="583"/>
      <c r="L1635" s="268" t="s">
        <v>2625</v>
      </c>
      <c r="M1635" s="268" t="s">
        <v>2631</v>
      </c>
      <c r="N1635" s="278">
        <f>IFERROR(INDEX('Data Lokasi'!S:S,MATCH('Input Real Tanam&amp;Petik Nanas'!C1635,'Data Lokasi'!C:C,0)),"")</f>
        <v>46276</v>
      </c>
      <c r="O1635" s="278"/>
      <c r="P1635" s="283">
        <f>IFERROR(INDEX('Data Lokasi'!V:V,MATCH(C1635,'Data Lokasi'!C:C,0)),"")</f>
        <v>5.05</v>
      </c>
      <c r="Q1635" s="304">
        <f t="shared" si="54"/>
        <v>1</v>
      </c>
      <c r="R1635" s="308"/>
    </row>
    <row r="1636" spans="2:18">
      <c r="B1636" s="269">
        <v>46278</v>
      </c>
      <c r="C1636" s="268" t="s">
        <v>278</v>
      </c>
      <c r="D1636" s="274">
        <f>IFERROR(VLOOKUP(C1636,'Data Lokasi'!C:D,2,0),"")</f>
        <v>6.78</v>
      </c>
      <c r="E1636" s="274" t="s">
        <v>2642</v>
      </c>
      <c r="F1636" s="274"/>
      <c r="G1636" s="274"/>
      <c r="H1636" s="274"/>
      <c r="I1636" s="274">
        <v>0.91</v>
      </c>
      <c r="J1636" s="456">
        <f t="shared" si="53"/>
        <v>0.91</v>
      </c>
      <c r="K1636" s="583"/>
      <c r="L1636" s="268" t="s">
        <v>2625</v>
      </c>
      <c r="M1636" s="268" t="s">
        <v>2631</v>
      </c>
      <c r="N1636" s="278">
        <f>IFERROR(INDEX('Data Lokasi'!S:S,MATCH('Input Real Tanam&amp;Petik Nanas'!C1636,'Data Lokasi'!C:C,0)),"")</f>
        <v>44101</v>
      </c>
      <c r="O1636" s="278"/>
      <c r="P1636" s="283">
        <f>IFERROR(INDEX('Data Lokasi'!V:V,MATCH(C1636,'Data Lokasi'!C:C,0)),"")</f>
        <v>0</v>
      </c>
      <c r="Q1636" s="304">
        <f t="shared" si="54"/>
        <v>0</v>
      </c>
      <c r="R1636" s="308"/>
    </row>
    <row r="1637" spans="2:18" hidden="1">
      <c r="B1637" s="269">
        <v>46277</v>
      </c>
      <c r="C1637" s="268" t="s">
        <v>339</v>
      </c>
      <c r="D1637" s="274">
        <f>IFERROR(VLOOKUP(C1637,'Data Lokasi'!C:D,2,0),"")</f>
        <v>7.68</v>
      </c>
      <c r="E1637" s="274" t="s">
        <v>2643</v>
      </c>
      <c r="F1637" s="274"/>
      <c r="G1637" s="274"/>
      <c r="H1637" s="274">
        <v>0.01</v>
      </c>
      <c r="I1637" s="274">
        <f>0.22+0.31</f>
        <v>0.53</v>
      </c>
      <c r="J1637" s="456">
        <f t="shared" si="53"/>
        <v>0.54</v>
      </c>
      <c r="K1637" s="583"/>
      <c r="L1637" s="268" t="s">
        <v>719</v>
      </c>
      <c r="M1637" s="268" t="s">
        <v>2634</v>
      </c>
      <c r="N1637" s="278">
        <f>IFERROR(INDEX('Data Lokasi'!S:S,MATCH('Input Real Tanam&amp;Petik Nanas'!C1637,'Data Lokasi'!C:C,0)),"")</f>
        <v>44252</v>
      </c>
      <c r="O1637" s="278"/>
      <c r="P1637" s="283">
        <f>IFERROR(INDEX('Data Lokasi'!V:V,MATCH(C1637,'Data Lokasi'!C:C,0)),"")</f>
        <v>0</v>
      </c>
      <c r="Q1637" s="304">
        <f t="shared" si="54"/>
        <v>0</v>
      </c>
      <c r="R1637" s="308">
        <v>10</v>
      </c>
    </row>
    <row r="1638" spans="2:18" hidden="1">
      <c r="B1638" s="269">
        <v>46277</v>
      </c>
      <c r="C1638" s="268" t="s">
        <v>324</v>
      </c>
      <c r="D1638" s="274">
        <f>IFERROR(VLOOKUP(C1638,'Data Lokasi'!C:D,2,0),"")</f>
        <v>10.16</v>
      </c>
      <c r="E1638" s="274" t="s">
        <v>2643</v>
      </c>
      <c r="F1638" s="274"/>
      <c r="G1638" s="274"/>
      <c r="H1638" s="274"/>
      <c r="I1638" s="274">
        <v>1.1499999999999999</v>
      </c>
      <c r="J1638" s="456">
        <f t="shared" si="53"/>
        <v>1.1499999999999999</v>
      </c>
      <c r="K1638" s="583"/>
      <c r="L1638" s="268" t="s">
        <v>2625</v>
      </c>
      <c r="M1638" s="268" t="s">
        <v>2634</v>
      </c>
      <c r="N1638" s="278">
        <f>IFERROR(INDEX('Data Lokasi'!S:S,MATCH('Input Real Tanam&amp;Petik Nanas'!C1638,'Data Lokasi'!C:C,0)),"")</f>
        <v>44222</v>
      </c>
      <c r="O1638" s="278"/>
      <c r="P1638" s="283">
        <f>IFERROR(INDEX('Data Lokasi'!V:V,MATCH(C1638,'Data Lokasi'!C:C,0)),"")</f>
        <v>0</v>
      </c>
      <c r="Q1638" s="304">
        <f t="shared" si="54"/>
        <v>0</v>
      </c>
      <c r="R1638" s="308"/>
    </row>
    <row r="1639" spans="2:18" hidden="1">
      <c r="B1639" s="269">
        <v>46277</v>
      </c>
      <c r="C1639" s="268" t="s">
        <v>465</v>
      </c>
      <c r="D1639" s="274">
        <f>IFERROR(VLOOKUP(C1639,'Data Lokasi'!C:D,2,0),"")</f>
        <v>11.63</v>
      </c>
      <c r="E1639" s="274" t="s">
        <v>2643</v>
      </c>
      <c r="F1639" s="274"/>
      <c r="G1639" s="274">
        <v>0.02</v>
      </c>
      <c r="H1639" s="274">
        <f>0.12+0.33</f>
        <v>0.45</v>
      </c>
      <c r="I1639" s="274"/>
      <c r="J1639" s="456">
        <f t="shared" si="53"/>
        <v>0.47000000000000003</v>
      </c>
      <c r="K1639" s="583"/>
      <c r="L1639" s="268" t="s">
        <v>719</v>
      </c>
      <c r="M1639" s="268" t="s">
        <v>2631</v>
      </c>
      <c r="N1639" s="278">
        <f>IFERROR(INDEX('Data Lokasi'!S:S,MATCH('Input Real Tanam&amp;Petik Nanas'!C1639,'Data Lokasi'!C:C,0)),"")</f>
        <v>44477</v>
      </c>
      <c r="O1639" s="278"/>
      <c r="P1639" s="283">
        <f>IFERROR(INDEX('Data Lokasi'!V:V,MATCH(C1639,'Data Lokasi'!C:C,0)),"")</f>
        <v>0</v>
      </c>
      <c r="Q1639" s="304">
        <f t="shared" si="54"/>
        <v>0</v>
      </c>
      <c r="R1639" s="308">
        <v>4</v>
      </c>
    </row>
    <row r="1640" spans="2:18" hidden="1">
      <c r="B1640" s="269">
        <v>46278</v>
      </c>
      <c r="C1640" s="268" t="s">
        <v>465</v>
      </c>
      <c r="D1640" s="274">
        <f>IFERROR(VLOOKUP(C1640,'Data Lokasi'!C:D,2,0),"")</f>
        <v>11.63</v>
      </c>
      <c r="E1640" s="274" t="s">
        <v>2643</v>
      </c>
      <c r="F1640" s="274"/>
      <c r="G1640" s="274">
        <v>0.04</v>
      </c>
      <c r="H1640" s="274">
        <f>0.03+0.04</f>
        <v>7.0000000000000007E-2</v>
      </c>
      <c r="I1640" s="274"/>
      <c r="J1640" s="456">
        <f t="shared" si="53"/>
        <v>0.11000000000000001</v>
      </c>
      <c r="K1640" s="583"/>
      <c r="L1640" s="268" t="s">
        <v>719</v>
      </c>
      <c r="M1640" s="268" t="s">
        <v>2631</v>
      </c>
      <c r="N1640" s="278">
        <f>IFERROR(INDEX('Data Lokasi'!S:S,MATCH('Input Real Tanam&amp;Petik Nanas'!C1640,'Data Lokasi'!C:C,0)),"")</f>
        <v>44477</v>
      </c>
      <c r="O1640" s="278"/>
      <c r="P1640" s="283">
        <f>IFERROR(INDEX('Data Lokasi'!V:V,MATCH(C1640,'Data Lokasi'!C:C,0)),"")</f>
        <v>0</v>
      </c>
      <c r="Q1640" s="304">
        <f t="shared" si="54"/>
        <v>0</v>
      </c>
      <c r="R1640" s="308">
        <v>4</v>
      </c>
    </row>
    <row r="1641" spans="2:18" hidden="1">
      <c r="B1641" s="269">
        <v>46278</v>
      </c>
      <c r="C1641" s="268" t="s">
        <v>514</v>
      </c>
      <c r="D1641" s="274">
        <f>IFERROR(VLOOKUP(C1641,'Data Lokasi'!C:D,2,0),"")</f>
        <v>9.68</v>
      </c>
      <c r="E1641" s="274" t="s">
        <v>2643</v>
      </c>
      <c r="F1641" s="274"/>
      <c r="G1641" s="274">
        <f>0.03+0.04</f>
        <v>7.0000000000000007E-2</v>
      </c>
      <c r="H1641" s="274">
        <f>0.08+0.19</f>
        <v>0.27</v>
      </c>
      <c r="I1641" s="274"/>
      <c r="J1641" s="456">
        <f t="shared" si="53"/>
        <v>0.34</v>
      </c>
      <c r="K1641" s="583"/>
      <c r="L1641" s="268" t="s">
        <v>719</v>
      </c>
      <c r="M1641" s="268" t="s">
        <v>2631</v>
      </c>
      <c r="N1641" s="278">
        <f>IFERROR(INDEX('Data Lokasi'!S:S,MATCH('Input Real Tanam&amp;Petik Nanas'!C1641,'Data Lokasi'!C:C,0)),"")</f>
        <v>44578</v>
      </c>
      <c r="O1641" s="278"/>
      <c r="P1641" s="283">
        <f>IFERROR(INDEX('Data Lokasi'!V:V,MATCH(C1641,'Data Lokasi'!C:C,0)),"")</f>
        <v>0</v>
      </c>
      <c r="Q1641" s="304">
        <f t="shared" si="54"/>
        <v>0</v>
      </c>
      <c r="R1641" s="308">
        <v>1</v>
      </c>
    </row>
    <row r="1642" spans="2:18" hidden="1">
      <c r="B1642" s="269">
        <v>46278</v>
      </c>
      <c r="C1642" s="268" t="s">
        <v>160</v>
      </c>
      <c r="D1642" s="274">
        <f>IFERROR(VLOOKUP(C1642,'Data Lokasi'!C:D,2,0),"")</f>
        <v>10.18</v>
      </c>
      <c r="E1642" s="274" t="s">
        <v>2643</v>
      </c>
      <c r="F1642" s="274"/>
      <c r="G1642" s="274"/>
      <c r="H1642" s="274"/>
      <c r="I1642" s="274">
        <v>2.87</v>
      </c>
      <c r="J1642" s="456">
        <f t="shared" si="53"/>
        <v>2.87</v>
      </c>
      <c r="K1642" s="583"/>
      <c r="L1642" s="268" t="s">
        <v>2625</v>
      </c>
      <c r="M1642" s="268" t="s">
        <v>2634</v>
      </c>
      <c r="N1642" s="278">
        <f>IFERROR(INDEX('Data Lokasi'!S:S,MATCH('Input Real Tanam&amp;Petik Nanas'!C1642,'Data Lokasi'!C:C,0)),"")</f>
        <v>44112</v>
      </c>
      <c r="O1642" s="278"/>
      <c r="P1642" s="283">
        <f>IFERROR(INDEX('Data Lokasi'!V:V,MATCH(C1642,'Data Lokasi'!C:C,0)),"")</f>
        <v>0</v>
      </c>
      <c r="Q1642" s="304">
        <f t="shared" si="54"/>
        <v>0</v>
      </c>
      <c r="R1642" s="308"/>
    </row>
    <row r="1643" spans="2:18" hidden="1">
      <c r="B1643" s="269">
        <v>46278</v>
      </c>
      <c r="C1643" s="268" t="s">
        <v>339</v>
      </c>
      <c r="D1643" s="274">
        <f>IFERROR(VLOOKUP(C1643,'Data Lokasi'!C:D,2,0),"")</f>
        <v>7.68</v>
      </c>
      <c r="E1643" s="274" t="s">
        <v>2643</v>
      </c>
      <c r="F1643" s="274"/>
      <c r="G1643" s="274"/>
      <c r="H1643" s="274">
        <v>0.01</v>
      </c>
      <c r="I1643" s="274">
        <f>0.1+0.19</f>
        <v>0.29000000000000004</v>
      </c>
      <c r="J1643" s="456">
        <f t="shared" si="53"/>
        <v>0.30000000000000004</v>
      </c>
      <c r="K1643" s="583"/>
      <c r="L1643" s="268" t="s">
        <v>719</v>
      </c>
      <c r="M1643" s="268" t="s">
        <v>2634</v>
      </c>
      <c r="N1643" s="278">
        <f>IFERROR(INDEX('Data Lokasi'!S:S,MATCH('Input Real Tanam&amp;Petik Nanas'!C1643,'Data Lokasi'!C:C,0)),"")</f>
        <v>44252</v>
      </c>
      <c r="O1643" s="278"/>
      <c r="P1643" s="283">
        <f>IFERROR(INDEX('Data Lokasi'!V:V,MATCH(C1643,'Data Lokasi'!C:C,0)),"")</f>
        <v>0</v>
      </c>
      <c r="Q1643" s="304">
        <f t="shared" si="54"/>
        <v>0</v>
      </c>
      <c r="R1643" s="308">
        <v>10</v>
      </c>
    </row>
    <row r="1644" spans="2:18" hidden="1">
      <c r="B1644" s="269">
        <v>46278</v>
      </c>
      <c r="C1644" s="268" t="s">
        <v>324</v>
      </c>
      <c r="D1644" s="274">
        <f>IFERROR(VLOOKUP(C1644,'Data Lokasi'!C:D,2,0),"")</f>
        <v>10.16</v>
      </c>
      <c r="E1644" s="274" t="s">
        <v>2643</v>
      </c>
      <c r="F1644" s="274"/>
      <c r="G1644" s="274"/>
      <c r="H1644" s="274"/>
      <c r="I1644" s="274">
        <v>0.34</v>
      </c>
      <c r="J1644" s="456">
        <f t="shared" si="53"/>
        <v>0.34</v>
      </c>
      <c r="K1644" s="583"/>
      <c r="L1644" s="268" t="s">
        <v>2625</v>
      </c>
      <c r="M1644" s="268" t="s">
        <v>2634</v>
      </c>
      <c r="N1644" s="278">
        <f>IFERROR(INDEX('Data Lokasi'!S:S,MATCH('Input Real Tanam&amp;Petik Nanas'!C1644,'Data Lokasi'!C:C,0)),"")</f>
        <v>44222</v>
      </c>
      <c r="O1644" s="278"/>
      <c r="P1644" s="283">
        <f>IFERROR(INDEX('Data Lokasi'!V:V,MATCH(C1644,'Data Lokasi'!C:C,0)),"")</f>
        <v>0</v>
      </c>
      <c r="Q1644" s="304">
        <f t="shared" si="54"/>
        <v>0</v>
      </c>
      <c r="R1644" s="308"/>
    </row>
    <row r="1645" spans="2:18" hidden="1">
      <c r="B1645" s="269">
        <v>46278</v>
      </c>
      <c r="C1645" s="268" t="s">
        <v>1008</v>
      </c>
      <c r="D1645" s="274">
        <f>IFERROR(VLOOKUP(C1645,'Data Lokasi'!C:D,2,0),"")</f>
        <v>3.23</v>
      </c>
      <c r="E1645" s="274" t="s">
        <v>2643</v>
      </c>
      <c r="F1645" s="274"/>
      <c r="G1645" s="274"/>
      <c r="H1645" s="274"/>
      <c r="I1645" s="274">
        <v>0.57999999999999996</v>
      </c>
      <c r="J1645" s="456">
        <f t="shared" si="53"/>
        <v>0.57999999999999996</v>
      </c>
      <c r="K1645" s="583"/>
      <c r="L1645" s="268" t="s">
        <v>2625</v>
      </c>
      <c r="M1645" s="268" t="s">
        <v>2634</v>
      </c>
      <c r="N1645" s="278">
        <f>IFERROR(INDEX('Data Lokasi'!S:S,MATCH('Input Real Tanam&amp;Petik Nanas'!C1645,'Data Lokasi'!C:C,0)),"")</f>
        <v>45426</v>
      </c>
      <c r="O1645" s="278"/>
      <c r="P1645" s="283">
        <f>IFERROR(INDEX('Data Lokasi'!V:V,MATCH(C1645,'Data Lokasi'!C:C,0)),"")</f>
        <v>0</v>
      </c>
      <c r="Q1645" s="304">
        <f t="shared" si="54"/>
        <v>0</v>
      </c>
      <c r="R1645" s="308"/>
    </row>
    <row r="1646" spans="2:18">
      <c r="B1646" s="269">
        <v>46279</v>
      </c>
      <c r="C1646" s="268" t="s">
        <v>2712</v>
      </c>
      <c r="D1646" s="274">
        <f>IFERROR(VLOOKUP(C1646,'Data Lokasi'!C:D,2,0),"")</f>
        <v>6.02</v>
      </c>
      <c r="E1646" s="274" t="s">
        <v>2642</v>
      </c>
      <c r="F1646" s="274"/>
      <c r="G1646" s="274">
        <f>0.08+0.31</f>
        <v>0.39</v>
      </c>
      <c r="H1646" s="274"/>
      <c r="I1646" s="274"/>
      <c r="J1646" s="456">
        <f t="shared" si="53"/>
        <v>0.39</v>
      </c>
      <c r="K1646" s="583"/>
      <c r="L1646" s="268" t="s">
        <v>719</v>
      </c>
      <c r="M1646" s="268" t="s">
        <v>2631</v>
      </c>
      <c r="N1646" s="278">
        <f>IFERROR(INDEX('Data Lokasi'!S:S,MATCH('Input Real Tanam&amp;Petik Nanas'!C1646,'Data Lokasi'!C:C,0)),"")</f>
        <v>46271</v>
      </c>
      <c r="O1646" s="278"/>
      <c r="P1646" s="283">
        <f>IFERROR(INDEX('Data Lokasi'!V:V,MATCH(C1646,'Data Lokasi'!C:C,0)),"")</f>
        <v>6.0200000000000005</v>
      </c>
      <c r="Q1646" s="304">
        <f t="shared" si="54"/>
        <v>1.0000000000000002</v>
      </c>
      <c r="R1646" s="308"/>
    </row>
    <row r="1647" spans="2:18">
      <c r="B1647" s="269">
        <v>46279</v>
      </c>
      <c r="C1647" s="268" t="s">
        <v>279</v>
      </c>
      <c r="D1647" s="274">
        <f>IFERROR(VLOOKUP(C1647,'Data Lokasi'!C:D,2,0),"")</f>
        <v>5.05</v>
      </c>
      <c r="E1647" s="274" t="s">
        <v>2642</v>
      </c>
      <c r="F1647" s="274"/>
      <c r="G1647" s="274"/>
      <c r="H1647" s="274"/>
      <c r="I1647" s="274">
        <v>1.1000000000000001</v>
      </c>
      <c r="J1647" s="456">
        <f t="shared" si="53"/>
        <v>1.1000000000000001</v>
      </c>
      <c r="K1647" s="583"/>
      <c r="L1647" s="268" t="s">
        <v>2625</v>
      </c>
      <c r="M1647" s="268" t="s">
        <v>2631</v>
      </c>
      <c r="N1647" s="278">
        <f>IFERROR(INDEX('Data Lokasi'!S:S,MATCH('Input Real Tanam&amp;Petik Nanas'!C1647,'Data Lokasi'!C:C,0)),"")</f>
        <v>46276</v>
      </c>
      <c r="O1647" s="278"/>
      <c r="P1647" s="283">
        <f>IFERROR(INDEX('Data Lokasi'!V:V,MATCH(C1647,'Data Lokasi'!C:C,0)),"")</f>
        <v>5.05</v>
      </c>
      <c r="Q1647" s="304">
        <f t="shared" si="54"/>
        <v>1</v>
      </c>
      <c r="R1647" s="308"/>
    </row>
    <row r="1648" spans="2:18">
      <c r="B1648" s="269">
        <v>46279</v>
      </c>
      <c r="C1648" s="268" t="s">
        <v>278</v>
      </c>
      <c r="D1648" s="274">
        <f>IFERROR(VLOOKUP(C1648,'Data Lokasi'!C:D,2,0),"")</f>
        <v>6.78</v>
      </c>
      <c r="E1648" s="274" t="s">
        <v>2642</v>
      </c>
      <c r="F1648" s="274"/>
      <c r="G1648" s="274"/>
      <c r="H1648" s="274"/>
      <c r="I1648" s="274">
        <v>0.57999999999999996</v>
      </c>
      <c r="J1648" s="456">
        <f t="shared" si="53"/>
        <v>0.57999999999999996</v>
      </c>
      <c r="K1648" s="583"/>
      <c r="L1648" s="268" t="s">
        <v>2625</v>
      </c>
      <c r="M1648" s="268" t="s">
        <v>2631</v>
      </c>
      <c r="N1648" s="278">
        <f>IFERROR(INDEX('Data Lokasi'!S:S,MATCH('Input Real Tanam&amp;Petik Nanas'!C1648,'Data Lokasi'!C:C,0)),"")</f>
        <v>44101</v>
      </c>
      <c r="O1648" s="278"/>
      <c r="P1648" s="283">
        <f>IFERROR(INDEX('Data Lokasi'!V:V,MATCH(C1648,'Data Lokasi'!C:C,0)),"")</f>
        <v>0</v>
      </c>
      <c r="Q1648" s="304">
        <f t="shared" si="54"/>
        <v>0</v>
      </c>
      <c r="R1648" s="308"/>
    </row>
    <row r="1649" spans="2:18">
      <c r="B1649" s="269">
        <v>46279</v>
      </c>
      <c r="C1649" s="268" t="s">
        <v>2127</v>
      </c>
      <c r="D1649" s="274">
        <f>IFERROR(VLOOKUP(C1649,'Data Lokasi'!C:D,2,0),"")</f>
        <v>6.54</v>
      </c>
      <c r="E1649" s="274" t="s">
        <v>2642</v>
      </c>
      <c r="F1649" s="274"/>
      <c r="G1649" s="274"/>
      <c r="H1649" s="274"/>
      <c r="I1649" s="274">
        <v>0.25</v>
      </c>
      <c r="J1649" s="456">
        <f t="shared" si="53"/>
        <v>0.25</v>
      </c>
      <c r="K1649" s="583"/>
      <c r="L1649" s="268" t="s">
        <v>2625</v>
      </c>
      <c r="M1649" s="268" t="s">
        <v>2631</v>
      </c>
      <c r="N1649" s="278">
        <f>IFERROR(INDEX('Data Lokasi'!S:S,MATCH('Input Real Tanam&amp;Petik Nanas'!C1649,'Data Lokasi'!C:C,0)),"")</f>
        <v>46269</v>
      </c>
      <c r="O1649" s="278"/>
      <c r="P1649" s="283">
        <f>IFERROR(INDEX('Data Lokasi'!V:V,MATCH(C1649,'Data Lokasi'!C:C,0)),"")</f>
        <v>6.54</v>
      </c>
      <c r="Q1649" s="304">
        <f t="shared" si="54"/>
        <v>1</v>
      </c>
      <c r="R1649" s="308"/>
    </row>
    <row r="1650" spans="2:18">
      <c r="B1650" s="269">
        <v>46279</v>
      </c>
      <c r="C1650" s="268" t="s">
        <v>2126</v>
      </c>
      <c r="D1650" s="274">
        <f>IFERROR(VLOOKUP(C1650,'Data Lokasi'!C:D,2,0),"")</f>
        <v>4.7699999999999996</v>
      </c>
      <c r="E1650" s="274" t="s">
        <v>2642</v>
      </c>
      <c r="F1650" s="274"/>
      <c r="G1650" s="274"/>
      <c r="H1650" s="274"/>
      <c r="I1650" s="274">
        <v>0.27</v>
      </c>
      <c r="J1650" s="456">
        <f t="shared" si="53"/>
        <v>0.27</v>
      </c>
      <c r="K1650" s="583"/>
      <c r="L1650" s="268" t="s">
        <v>2625</v>
      </c>
      <c r="M1650" s="268" t="s">
        <v>2631</v>
      </c>
      <c r="N1650" s="278">
        <f>IFERROR(INDEX('Data Lokasi'!S:S,MATCH('Input Real Tanam&amp;Petik Nanas'!C1650,'Data Lokasi'!C:C,0)),"")</f>
        <v>46269</v>
      </c>
      <c r="O1650" s="278"/>
      <c r="P1650" s="283">
        <f>IFERROR(INDEX('Data Lokasi'!V:V,MATCH(C1650,'Data Lokasi'!C:C,0)),"")</f>
        <v>4.7699999999999996</v>
      </c>
      <c r="Q1650" s="304">
        <f t="shared" si="54"/>
        <v>1</v>
      </c>
      <c r="R1650" s="308"/>
    </row>
    <row r="1651" spans="2:18">
      <c r="B1651" s="269">
        <v>46279</v>
      </c>
      <c r="C1651" s="268" t="s">
        <v>281</v>
      </c>
      <c r="D1651" s="274">
        <f>IFERROR(VLOOKUP(C1651,'Data Lokasi'!C:D,2,0),"")</f>
        <v>8.3000000000000007</v>
      </c>
      <c r="E1651" s="274" t="s">
        <v>2642</v>
      </c>
      <c r="F1651" s="274"/>
      <c r="G1651" s="274"/>
      <c r="H1651" s="274"/>
      <c r="I1651" s="274">
        <v>0.1</v>
      </c>
      <c r="J1651" s="456">
        <f t="shared" si="53"/>
        <v>0.1</v>
      </c>
      <c r="K1651" s="583"/>
      <c r="L1651" s="268" t="s">
        <v>719</v>
      </c>
      <c r="M1651" s="268" t="s">
        <v>2634</v>
      </c>
      <c r="N1651" s="278">
        <f>IFERROR(INDEX('Data Lokasi'!S:S,MATCH('Input Real Tanam&amp;Petik Nanas'!C1651,'Data Lokasi'!C:C,0)),"")</f>
        <v>44105</v>
      </c>
      <c r="O1651" s="278"/>
      <c r="P1651" s="283">
        <f>IFERROR(INDEX('Data Lokasi'!V:V,MATCH(C1651,'Data Lokasi'!C:C,0)),"")</f>
        <v>0</v>
      </c>
      <c r="Q1651" s="304">
        <f t="shared" si="54"/>
        <v>0</v>
      </c>
      <c r="R1651" s="308"/>
    </row>
    <row r="1652" spans="2:18">
      <c r="B1652" s="269">
        <v>46279</v>
      </c>
      <c r="C1652" s="268" t="s">
        <v>273</v>
      </c>
      <c r="D1652" s="274">
        <f>IFERROR(VLOOKUP(C1652,'Data Lokasi'!C:D,2,0),"")</f>
        <v>4.9000000000000004</v>
      </c>
      <c r="E1652" s="274" t="s">
        <v>2642</v>
      </c>
      <c r="F1652" s="274"/>
      <c r="G1652" s="274"/>
      <c r="H1652" s="274"/>
      <c r="I1652" s="274">
        <v>0.04</v>
      </c>
      <c r="J1652" s="456">
        <f t="shared" si="53"/>
        <v>0.04</v>
      </c>
      <c r="K1652" s="583"/>
      <c r="L1652" s="268" t="s">
        <v>2625</v>
      </c>
      <c r="M1652" s="268" t="s">
        <v>2634</v>
      </c>
      <c r="N1652" s="278">
        <f>IFERROR(INDEX('Data Lokasi'!S:S,MATCH('Input Real Tanam&amp;Petik Nanas'!C1652,'Data Lokasi'!C:C,0)),"")</f>
        <v>44103</v>
      </c>
      <c r="O1652" s="278"/>
      <c r="P1652" s="283">
        <f>IFERROR(INDEX('Data Lokasi'!V:V,MATCH(C1652,'Data Lokasi'!C:C,0)),"")</f>
        <v>0</v>
      </c>
      <c r="Q1652" s="304">
        <f t="shared" si="54"/>
        <v>0</v>
      </c>
      <c r="R1652" s="308"/>
    </row>
    <row r="1653" spans="2:18">
      <c r="B1653" s="269">
        <v>46279</v>
      </c>
      <c r="C1653" s="268" t="s">
        <v>278</v>
      </c>
      <c r="D1653" s="274">
        <f>IFERROR(VLOOKUP(C1653,'Data Lokasi'!C:D,2,0),"")</f>
        <v>6.78</v>
      </c>
      <c r="E1653" s="274" t="s">
        <v>2642</v>
      </c>
      <c r="F1653" s="274"/>
      <c r="G1653" s="274"/>
      <c r="H1653" s="274"/>
      <c r="I1653" s="274">
        <v>1.04</v>
      </c>
      <c r="J1653" s="456">
        <f t="shared" si="53"/>
        <v>1.04</v>
      </c>
      <c r="K1653" s="583"/>
      <c r="L1653" s="268" t="s">
        <v>2625</v>
      </c>
      <c r="M1653" s="268" t="s">
        <v>2634</v>
      </c>
      <c r="N1653" s="278">
        <f>IFERROR(INDEX('Data Lokasi'!S:S,MATCH('Input Real Tanam&amp;Petik Nanas'!C1653,'Data Lokasi'!C:C,0)),"")</f>
        <v>44101</v>
      </c>
      <c r="O1653" s="278"/>
      <c r="P1653" s="283">
        <f>IFERROR(INDEX('Data Lokasi'!V:V,MATCH(C1653,'Data Lokasi'!C:C,0)),"")</f>
        <v>0</v>
      </c>
      <c r="Q1653" s="304">
        <f t="shared" si="54"/>
        <v>0</v>
      </c>
      <c r="R1653" s="308"/>
    </row>
    <row r="1654" spans="2:18">
      <c r="B1654" s="269">
        <v>46279</v>
      </c>
      <c r="C1654" s="268" t="s">
        <v>285</v>
      </c>
      <c r="D1654" s="274">
        <f>IFERROR(VLOOKUP(C1654,'Data Lokasi'!C:D,2,0),"")</f>
        <v>11.96</v>
      </c>
      <c r="E1654" s="274" t="s">
        <v>2642</v>
      </c>
      <c r="F1654" s="274"/>
      <c r="G1654" s="274"/>
      <c r="H1654" s="274"/>
      <c r="I1654" s="274">
        <v>0.68</v>
      </c>
      <c r="J1654" s="456">
        <f t="shared" si="53"/>
        <v>0.68</v>
      </c>
      <c r="K1654" s="583"/>
      <c r="L1654" s="268" t="s">
        <v>2625</v>
      </c>
      <c r="M1654" s="268" t="s">
        <v>2634</v>
      </c>
      <c r="N1654" s="278">
        <f>IFERROR(INDEX('Data Lokasi'!S:S,MATCH('Input Real Tanam&amp;Petik Nanas'!C1654,'Data Lokasi'!C:C,0)),"")</f>
        <v>44118</v>
      </c>
      <c r="O1654" s="278"/>
      <c r="P1654" s="283">
        <f>IFERROR(INDEX('Data Lokasi'!V:V,MATCH(C1654,'Data Lokasi'!C:C,0)),"")</f>
        <v>0</v>
      </c>
      <c r="Q1654" s="304">
        <f t="shared" si="54"/>
        <v>0</v>
      </c>
      <c r="R1654" s="308"/>
    </row>
    <row r="1655" spans="2:18" hidden="1">
      <c r="B1655" s="269">
        <v>46279</v>
      </c>
      <c r="C1655" s="268" t="s">
        <v>425</v>
      </c>
      <c r="D1655" s="274">
        <f>IFERROR(VLOOKUP(C1655,'Data Lokasi'!C:D,2,0),"")</f>
        <v>8.85</v>
      </c>
      <c r="E1655" s="274" t="s">
        <v>2643</v>
      </c>
      <c r="F1655" s="274"/>
      <c r="G1655" s="274"/>
      <c r="H1655" s="274"/>
      <c r="I1655" s="274">
        <v>0.02</v>
      </c>
      <c r="J1655" s="456">
        <f t="shared" si="53"/>
        <v>0.02</v>
      </c>
      <c r="K1655" s="583"/>
      <c r="L1655" s="268" t="s">
        <v>719</v>
      </c>
      <c r="M1655" s="268" t="s">
        <v>2631</v>
      </c>
      <c r="N1655" s="278">
        <f>IFERROR(INDEX('Data Lokasi'!S:S,MATCH('Input Real Tanam&amp;Petik Nanas'!C1655,'Data Lokasi'!C:C,0)),"")</f>
        <v>44389</v>
      </c>
      <c r="O1655" s="278"/>
      <c r="P1655" s="283">
        <f>IFERROR(INDEX('Data Lokasi'!V:V,MATCH(C1655,'Data Lokasi'!C:C,0)),"")</f>
        <v>0</v>
      </c>
      <c r="Q1655" s="304">
        <f t="shared" si="54"/>
        <v>0</v>
      </c>
      <c r="R1655" s="308">
        <v>6</v>
      </c>
    </row>
    <row r="1656" spans="2:18" hidden="1">
      <c r="B1656" s="269">
        <v>46279</v>
      </c>
      <c r="C1656" s="268" t="s">
        <v>514</v>
      </c>
      <c r="D1656" s="274">
        <f>IFERROR(VLOOKUP(C1656,'Data Lokasi'!C:D,2,0),"")</f>
        <v>9.68</v>
      </c>
      <c r="E1656" s="274" t="s">
        <v>2643</v>
      </c>
      <c r="F1656" s="274"/>
      <c r="G1656" s="274">
        <v>0.02</v>
      </c>
      <c r="H1656" s="274">
        <f>0.02+0.04</f>
        <v>0.06</v>
      </c>
      <c r="I1656" s="274"/>
      <c r="J1656" s="456">
        <f t="shared" si="53"/>
        <v>0.08</v>
      </c>
      <c r="K1656" s="583"/>
      <c r="L1656" s="268" t="s">
        <v>719</v>
      </c>
      <c r="M1656" s="268" t="s">
        <v>2631</v>
      </c>
      <c r="N1656" s="278">
        <f>IFERROR(INDEX('Data Lokasi'!S:S,MATCH('Input Real Tanam&amp;Petik Nanas'!C1656,'Data Lokasi'!C:C,0)),"")</f>
        <v>44578</v>
      </c>
      <c r="O1656" s="278"/>
      <c r="P1656" s="283">
        <f>IFERROR(INDEX('Data Lokasi'!V:V,MATCH(C1656,'Data Lokasi'!C:C,0)),"")</f>
        <v>0</v>
      </c>
      <c r="Q1656" s="304">
        <f t="shared" si="54"/>
        <v>0</v>
      </c>
      <c r="R1656" s="308">
        <v>1</v>
      </c>
    </row>
    <row r="1657" spans="2:18" hidden="1">
      <c r="B1657" s="269">
        <v>46279</v>
      </c>
      <c r="C1657" s="268" t="s">
        <v>554</v>
      </c>
      <c r="D1657" s="274">
        <f>IFERROR(VLOOKUP(C1657,'Data Lokasi'!C:D,2,0),"")</f>
        <v>5.62</v>
      </c>
      <c r="E1657" s="274" t="s">
        <v>2643</v>
      </c>
      <c r="F1657" s="274"/>
      <c r="G1657" s="274">
        <v>0.02</v>
      </c>
      <c r="H1657" s="274">
        <f>0.12+0.25</f>
        <v>0.37</v>
      </c>
      <c r="I1657" s="274"/>
      <c r="J1657" s="456">
        <f t="shared" si="53"/>
        <v>0.39</v>
      </c>
      <c r="K1657" s="583"/>
      <c r="L1657" s="268" t="s">
        <v>719</v>
      </c>
      <c r="M1657" s="268" t="s">
        <v>2634</v>
      </c>
      <c r="N1657" s="278">
        <f>IFERROR(INDEX('Data Lokasi'!S:S,MATCH('Input Real Tanam&amp;Petik Nanas'!C1657,'Data Lokasi'!C:C,0)),"")</f>
        <v>44655</v>
      </c>
      <c r="O1657" s="278"/>
      <c r="P1657" s="283">
        <f>IFERROR(INDEX('Data Lokasi'!V:V,MATCH(C1657,'Data Lokasi'!C:C,0)),"")</f>
        <v>0</v>
      </c>
      <c r="Q1657" s="304">
        <f t="shared" si="54"/>
        <v>0</v>
      </c>
      <c r="R1657" s="308">
        <v>4</v>
      </c>
    </row>
    <row r="1658" spans="2:18" hidden="1">
      <c r="B1658" s="269">
        <v>46279</v>
      </c>
      <c r="C1658" s="268" t="s">
        <v>1008</v>
      </c>
      <c r="D1658" s="274">
        <f>IFERROR(VLOOKUP(C1658,'Data Lokasi'!C:D,2,0),"")</f>
        <v>3.23</v>
      </c>
      <c r="E1658" s="274" t="s">
        <v>2643</v>
      </c>
      <c r="F1658" s="274"/>
      <c r="G1658" s="274"/>
      <c r="H1658" s="274"/>
      <c r="I1658" s="274">
        <v>0.74</v>
      </c>
      <c r="J1658" s="456">
        <f t="shared" si="53"/>
        <v>0.74</v>
      </c>
      <c r="K1658" s="583"/>
      <c r="L1658" s="268" t="s">
        <v>2625</v>
      </c>
      <c r="M1658" s="268" t="s">
        <v>2634</v>
      </c>
      <c r="N1658" s="278">
        <f>IFERROR(INDEX('Data Lokasi'!S:S,MATCH('Input Real Tanam&amp;Petik Nanas'!C1658,'Data Lokasi'!C:C,0)),"")</f>
        <v>45426</v>
      </c>
      <c r="O1658" s="278"/>
      <c r="P1658" s="283">
        <f>IFERROR(INDEX('Data Lokasi'!V:V,MATCH(C1658,'Data Lokasi'!C:C,0)),"")</f>
        <v>0</v>
      </c>
      <c r="Q1658" s="304">
        <f t="shared" si="54"/>
        <v>0</v>
      </c>
      <c r="R1658" s="308"/>
    </row>
    <row r="1659" spans="2:18">
      <c r="B1659" s="269">
        <v>46280</v>
      </c>
      <c r="C1659" s="268" t="s">
        <v>278</v>
      </c>
      <c r="D1659" s="274">
        <f>IFERROR(VLOOKUP(C1659,'Data Lokasi'!C:D,2,0),"")</f>
        <v>6.78</v>
      </c>
      <c r="E1659" s="274" t="s">
        <v>2642</v>
      </c>
      <c r="F1659" s="274"/>
      <c r="G1659" s="274"/>
      <c r="H1659" s="274"/>
      <c r="I1659" s="274">
        <v>0.81</v>
      </c>
      <c r="J1659" s="456">
        <f t="shared" si="53"/>
        <v>0.81</v>
      </c>
      <c r="K1659" s="583"/>
      <c r="L1659" s="268" t="s">
        <v>2625</v>
      </c>
      <c r="M1659" s="268" t="s">
        <v>2631</v>
      </c>
      <c r="N1659" s="278">
        <f>IFERROR(INDEX('Data Lokasi'!S:S,MATCH('Input Real Tanam&amp;Petik Nanas'!C1659,'Data Lokasi'!C:C,0)),"")</f>
        <v>44101</v>
      </c>
      <c r="O1659" s="278"/>
      <c r="P1659" s="283">
        <f>IFERROR(INDEX('Data Lokasi'!V:V,MATCH(C1659,'Data Lokasi'!C:C,0)),"")</f>
        <v>0</v>
      </c>
      <c r="Q1659" s="304">
        <f t="shared" si="54"/>
        <v>0</v>
      </c>
      <c r="R1659" s="308"/>
    </row>
    <row r="1660" spans="2:18">
      <c r="B1660" s="269">
        <v>46280</v>
      </c>
      <c r="C1660" s="268" t="s">
        <v>279</v>
      </c>
      <c r="D1660" s="274">
        <f>IFERROR(VLOOKUP(C1660,'Data Lokasi'!C:D,2,0),"")</f>
        <v>5.05</v>
      </c>
      <c r="E1660" s="274" t="s">
        <v>2642</v>
      </c>
      <c r="F1660" s="274"/>
      <c r="G1660" s="274"/>
      <c r="H1660" s="274"/>
      <c r="I1660" s="274">
        <v>0.15</v>
      </c>
      <c r="J1660" s="456">
        <f t="shared" si="53"/>
        <v>0.15</v>
      </c>
      <c r="K1660" s="583"/>
      <c r="L1660" s="268" t="s">
        <v>2625</v>
      </c>
      <c r="M1660" s="268" t="s">
        <v>2631</v>
      </c>
      <c r="N1660" s="278">
        <f>IFERROR(INDEX('Data Lokasi'!S:S,MATCH('Input Real Tanam&amp;Petik Nanas'!C1660,'Data Lokasi'!C:C,0)),"")</f>
        <v>46276</v>
      </c>
      <c r="O1660" s="278"/>
      <c r="P1660" s="283">
        <f>IFERROR(INDEX('Data Lokasi'!V:V,MATCH(C1660,'Data Lokasi'!C:C,0)),"")</f>
        <v>5.05</v>
      </c>
      <c r="Q1660" s="304">
        <f t="shared" si="54"/>
        <v>1</v>
      </c>
      <c r="R1660" s="308"/>
    </row>
    <row r="1661" spans="2:18">
      <c r="B1661" s="269">
        <v>46280</v>
      </c>
      <c r="C1661" s="268" t="s">
        <v>2712</v>
      </c>
      <c r="D1661" s="274">
        <f>IFERROR(VLOOKUP(C1661,'Data Lokasi'!C:D,2,0),"")</f>
        <v>6.02</v>
      </c>
      <c r="E1661" s="274" t="s">
        <v>2642</v>
      </c>
      <c r="F1661" s="274"/>
      <c r="G1661" s="274">
        <f>0.24+1.02</f>
        <v>1.26</v>
      </c>
      <c r="H1661" s="274"/>
      <c r="I1661" s="274"/>
      <c r="J1661" s="456">
        <f t="shared" si="53"/>
        <v>1.26</v>
      </c>
      <c r="K1661" s="583"/>
      <c r="L1661" s="268" t="s">
        <v>719</v>
      </c>
      <c r="M1661" s="268" t="s">
        <v>2631</v>
      </c>
      <c r="N1661" s="278">
        <f>IFERROR(INDEX('Data Lokasi'!S:S,MATCH('Input Real Tanam&amp;Petik Nanas'!C1661,'Data Lokasi'!C:C,0)),"")</f>
        <v>46271</v>
      </c>
      <c r="O1661" s="278"/>
      <c r="P1661" s="283">
        <f>IFERROR(INDEX('Data Lokasi'!V:V,MATCH(C1661,'Data Lokasi'!C:C,0)),"")</f>
        <v>6.0200000000000005</v>
      </c>
      <c r="Q1661" s="304">
        <f t="shared" si="54"/>
        <v>1.0000000000000002</v>
      </c>
      <c r="R1661" s="308"/>
    </row>
    <row r="1662" spans="2:18">
      <c r="B1662" s="269">
        <v>46280</v>
      </c>
      <c r="C1662" s="268" t="s">
        <v>2127</v>
      </c>
      <c r="D1662" s="274">
        <f>IFERROR(VLOOKUP(C1662,'Data Lokasi'!C:D,2,0),"")</f>
        <v>6.54</v>
      </c>
      <c r="E1662" s="274" t="s">
        <v>2642</v>
      </c>
      <c r="F1662" s="274"/>
      <c r="G1662" s="274"/>
      <c r="H1662" s="274"/>
      <c r="I1662" s="274">
        <f>0.27+0.24</f>
        <v>0.51</v>
      </c>
      <c r="J1662" s="456">
        <f t="shared" si="53"/>
        <v>0.51</v>
      </c>
      <c r="K1662" s="583"/>
      <c r="L1662" s="268" t="s">
        <v>2625</v>
      </c>
      <c r="M1662" s="268" t="s">
        <v>2631</v>
      </c>
      <c r="N1662" s="278">
        <f>IFERROR(INDEX('Data Lokasi'!S:S,MATCH('Input Real Tanam&amp;Petik Nanas'!C1662,'Data Lokasi'!C:C,0)),"")</f>
        <v>46269</v>
      </c>
      <c r="O1662" s="278"/>
      <c r="P1662" s="283">
        <f>IFERROR(INDEX('Data Lokasi'!V:V,MATCH(C1662,'Data Lokasi'!C:C,0)),"")</f>
        <v>6.54</v>
      </c>
      <c r="Q1662" s="304">
        <f t="shared" si="54"/>
        <v>1</v>
      </c>
      <c r="R1662" s="308"/>
    </row>
    <row r="1663" spans="2:18">
      <c r="B1663" s="269">
        <v>46280</v>
      </c>
      <c r="C1663" s="268" t="s">
        <v>149</v>
      </c>
      <c r="D1663" s="274">
        <f>IFERROR(VLOOKUP(C1663,'Data Lokasi'!C:D,2,0),"")</f>
        <v>5.37</v>
      </c>
      <c r="E1663" s="274" t="s">
        <v>2642</v>
      </c>
      <c r="F1663" s="274"/>
      <c r="G1663" s="274"/>
      <c r="H1663" s="274"/>
      <c r="I1663" s="274">
        <v>0.04</v>
      </c>
      <c r="J1663" s="456">
        <f t="shared" ref="J1663" si="55">IF(SUM(F1663:I1663)=0,"",(SUM(F1663:I1663)))</f>
        <v>0.04</v>
      </c>
      <c r="K1663" s="583"/>
      <c r="L1663" s="268" t="s">
        <v>2625</v>
      </c>
      <c r="M1663" s="268" t="s">
        <v>2631</v>
      </c>
      <c r="N1663" s="278">
        <f>IFERROR(INDEX('Data Lokasi'!S:S,MATCH('Input Real Tanam&amp;Petik Nanas'!C1663,'Data Lokasi'!C:C,0)),"")</f>
        <v>45295</v>
      </c>
      <c r="O1663" s="278"/>
      <c r="P1663" s="283">
        <f>IFERROR(INDEX('Data Lokasi'!V:V,MATCH(C1663,'Data Lokasi'!C:C,0)),"")</f>
        <v>0</v>
      </c>
      <c r="Q1663" s="304">
        <f t="shared" ref="Q1663" si="56">IF(ISERROR(P1663/D1663),"",(P1663/D1663))</f>
        <v>0</v>
      </c>
      <c r="R1663" s="308"/>
    </row>
    <row r="1664" spans="2:18">
      <c r="B1664" s="269">
        <v>46280</v>
      </c>
      <c r="C1664" s="268" t="s">
        <v>281</v>
      </c>
      <c r="D1664" s="274">
        <f>IFERROR(VLOOKUP(C1664,'Data Lokasi'!C:D,2,0),"")</f>
        <v>8.3000000000000007</v>
      </c>
      <c r="E1664" s="274" t="s">
        <v>2642</v>
      </c>
      <c r="F1664" s="274"/>
      <c r="G1664" s="274"/>
      <c r="H1664" s="274"/>
      <c r="I1664" s="274">
        <v>0.09</v>
      </c>
      <c r="J1664" s="456">
        <f t="shared" si="53"/>
        <v>0.09</v>
      </c>
      <c r="K1664" s="583"/>
      <c r="L1664" s="268" t="s">
        <v>2625</v>
      </c>
      <c r="M1664" s="268" t="s">
        <v>2634</v>
      </c>
      <c r="N1664" s="278">
        <f>IFERROR(INDEX('Data Lokasi'!S:S,MATCH('Input Real Tanam&amp;Petik Nanas'!C1664,'Data Lokasi'!C:C,0)),"")</f>
        <v>44105</v>
      </c>
      <c r="O1664" s="278"/>
      <c r="P1664" s="283">
        <f>IFERROR(INDEX('Data Lokasi'!V:V,MATCH(C1664,'Data Lokasi'!C:C,0)),"")</f>
        <v>0</v>
      </c>
      <c r="Q1664" s="304">
        <f t="shared" si="54"/>
        <v>0</v>
      </c>
      <c r="R1664" s="308"/>
    </row>
    <row r="1665" spans="2:18">
      <c r="B1665" s="269">
        <v>46280</v>
      </c>
      <c r="C1665" s="268" t="s">
        <v>281</v>
      </c>
      <c r="D1665" s="274">
        <f>IFERROR(VLOOKUP(C1665,'Data Lokasi'!C:D,2,0),"")</f>
        <v>8.3000000000000007</v>
      </c>
      <c r="E1665" s="274" t="s">
        <v>2642</v>
      </c>
      <c r="F1665" s="274"/>
      <c r="G1665" s="274"/>
      <c r="H1665" s="274"/>
      <c r="I1665" s="274">
        <v>0.16</v>
      </c>
      <c r="J1665" s="456">
        <f t="shared" si="53"/>
        <v>0.16</v>
      </c>
      <c r="K1665" s="583"/>
      <c r="L1665" s="268" t="s">
        <v>719</v>
      </c>
      <c r="M1665" s="268" t="s">
        <v>2634</v>
      </c>
      <c r="N1665" s="278">
        <f>IFERROR(INDEX('Data Lokasi'!S:S,MATCH('Input Real Tanam&amp;Petik Nanas'!C1665,'Data Lokasi'!C:C,0)),"")</f>
        <v>44105</v>
      </c>
      <c r="O1665" s="278"/>
      <c r="P1665" s="283">
        <f>IFERROR(INDEX('Data Lokasi'!V:V,MATCH(C1665,'Data Lokasi'!C:C,0)),"")</f>
        <v>0</v>
      </c>
      <c r="Q1665" s="304">
        <f t="shared" si="54"/>
        <v>0</v>
      </c>
      <c r="R1665" s="308"/>
    </row>
    <row r="1666" spans="2:18">
      <c r="B1666" s="269">
        <v>46280</v>
      </c>
      <c r="C1666" s="268" t="s">
        <v>336</v>
      </c>
      <c r="D1666" s="274">
        <f>IFERROR(VLOOKUP(C1666,'Data Lokasi'!C:D,2,0),"")</f>
        <v>3.64</v>
      </c>
      <c r="E1666" s="274" t="s">
        <v>2642</v>
      </c>
      <c r="F1666" s="274"/>
      <c r="G1666" s="274"/>
      <c r="H1666" s="274"/>
      <c r="I1666" s="274">
        <v>0.04</v>
      </c>
      <c r="J1666" s="456">
        <f t="shared" si="53"/>
        <v>0.04</v>
      </c>
      <c r="K1666" s="583"/>
      <c r="L1666" s="268" t="s">
        <v>2625</v>
      </c>
      <c r="M1666" s="268" t="s">
        <v>2634</v>
      </c>
      <c r="N1666" s="278">
        <f>IFERROR(INDEX('Data Lokasi'!S:S,MATCH('Input Real Tanam&amp;Petik Nanas'!C1666,'Data Lokasi'!C:C,0)),"")</f>
        <v>44231</v>
      </c>
      <c r="O1666" s="278"/>
      <c r="P1666" s="283">
        <f>IFERROR(INDEX('Data Lokasi'!V:V,MATCH(C1666,'Data Lokasi'!C:C,0)),"")</f>
        <v>0</v>
      </c>
      <c r="Q1666" s="304">
        <f t="shared" si="54"/>
        <v>0</v>
      </c>
      <c r="R1666" s="308"/>
    </row>
    <row r="1667" spans="2:18">
      <c r="B1667" s="269">
        <v>46280</v>
      </c>
      <c r="C1667" s="268" t="s">
        <v>278</v>
      </c>
      <c r="D1667" s="274">
        <f>IFERROR(VLOOKUP(C1667,'Data Lokasi'!C:D,2,0),"")</f>
        <v>6.78</v>
      </c>
      <c r="E1667" s="274" t="s">
        <v>2642</v>
      </c>
      <c r="F1667" s="274"/>
      <c r="G1667" s="274"/>
      <c r="H1667" s="274"/>
      <c r="I1667" s="274">
        <v>1.38</v>
      </c>
      <c r="J1667" s="456">
        <f t="shared" si="53"/>
        <v>1.38</v>
      </c>
      <c r="K1667" s="583"/>
      <c r="L1667" s="268" t="s">
        <v>2625</v>
      </c>
      <c r="M1667" s="268" t="s">
        <v>2634</v>
      </c>
      <c r="N1667" s="278">
        <f>IFERROR(INDEX('Data Lokasi'!S:S,MATCH('Input Real Tanam&amp;Petik Nanas'!C1667,'Data Lokasi'!C:C,0)),"")</f>
        <v>44101</v>
      </c>
      <c r="O1667" s="278"/>
      <c r="P1667" s="283">
        <f>IFERROR(INDEX('Data Lokasi'!V:V,MATCH(C1667,'Data Lokasi'!C:C,0)),"")</f>
        <v>0</v>
      </c>
      <c r="Q1667" s="304">
        <f t="shared" si="54"/>
        <v>0</v>
      </c>
      <c r="R1667" s="308"/>
    </row>
    <row r="1668" spans="2:18">
      <c r="B1668" s="269">
        <v>46280</v>
      </c>
      <c r="C1668" s="268" t="s">
        <v>285</v>
      </c>
      <c r="D1668" s="274">
        <f>IFERROR(VLOOKUP(C1668,'Data Lokasi'!C:D,2,0),"")</f>
        <v>11.96</v>
      </c>
      <c r="E1668" s="274" t="s">
        <v>2642</v>
      </c>
      <c r="F1668" s="274"/>
      <c r="G1668" s="274"/>
      <c r="H1668" s="274"/>
      <c r="I1668" s="274">
        <v>0.14000000000000001</v>
      </c>
      <c r="J1668" s="456">
        <f t="shared" si="53"/>
        <v>0.14000000000000001</v>
      </c>
      <c r="K1668" s="583"/>
      <c r="L1668" s="268" t="s">
        <v>2625</v>
      </c>
      <c r="M1668" s="268" t="s">
        <v>2634</v>
      </c>
      <c r="N1668" s="278">
        <f>IFERROR(INDEX('Data Lokasi'!S:S,MATCH('Input Real Tanam&amp;Petik Nanas'!C1668,'Data Lokasi'!C:C,0)),"")</f>
        <v>44118</v>
      </c>
      <c r="O1668" s="278"/>
      <c r="P1668" s="283">
        <f>IFERROR(INDEX('Data Lokasi'!V:V,MATCH(C1668,'Data Lokasi'!C:C,0)),"")</f>
        <v>0</v>
      </c>
      <c r="Q1668" s="304">
        <f t="shared" si="54"/>
        <v>0</v>
      </c>
      <c r="R1668" s="308"/>
    </row>
    <row r="1669" spans="2:18" hidden="1">
      <c r="B1669" s="269">
        <v>46280</v>
      </c>
      <c r="C1669" s="268" t="s">
        <v>396</v>
      </c>
      <c r="D1669" s="274">
        <f>IFERROR(VLOOKUP(C1669,'Data Lokasi'!C:D,2,0),"")</f>
        <v>8.1300000000000008</v>
      </c>
      <c r="E1669" s="274" t="s">
        <v>2643</v>
      </c>
      <c r="F1669" s="274"/>
      <c r="G1669" s="274"/>
      <c r="H1669" s="274"/>
      <c r="I1669" s="274">
        <v>1.36</v>
      </c>
      <c r="J1669" s="456">
        <f t="shared" si="53"/>
        <v>1.36</v>
      </c>
      <c r="K1669" s="583"/>
      <c r="L1669" s="268" t="s">
        <v>2625</v>
      </c>
      <c r="M1669" s="268" t="s">
        <v>2634</v>
      </c>
      <c r="N1669" s="278">
        <f>IFERROR(INDEX('Data Lokasi'!S:S,MATCH('Input Real Tanam&amp;Petik Nanas'!C1669,'Data Lokasi'!C:C,0)),"")</f>
        <v>44358</v>
      </c>
      <c r="O1669" s="278"/>
      <c r="P1669" s="283">
        <f>IFERROR(INDEX('Data Lokasi'!V:V,MATCH(C1669,'Data Lokasi'!C:C,0)),"")</f>
        <v>0</v>
      </c>
      <c r="Q1669" s="304">
        <f t="shared" si="54"/>
        <v>0</v>
      </c>
      <c r="R1669" s="308"/>
    </row>
    <row r="1670" spans="2:18" hidden="1">
      <c r="B1670" s="269">
        <v>46280</v>
      </c>
      <c r="C1670" s="268" t="s">
        <v>381</v>
      </c>
      <c r="D1670" s="274">
        <f>IFERROR(VLOOKUP(C1670,'Data Lokasi'!C:D,2,0),"")</f>
        <v>8.18</v>
      </c>
      <c r="E1670" s="274" t="s">
        <v>2643</v>
      </c>
      <c r="F1670" s="274"/>
      <c r="G1670" s="274"/>
      <c r="H1670" s="274">
        <f>0.14+0.18</f>
        <v>0.32</v>
      </c>
      <c r="I1670" s="274"/>
      <c r="J1670" s="456">
        <f t="shared" si="53"/>
        <v>0.32</v>
      </c>
      <c r="K1670" s="583"/>
      <c r="L1670" s="268" t="s">
        <v>719</v>
      </c>
      <c r="M1670" s="268" t="s">
        <v>2634</v>
      </c>
      <c r="N1670" s="278">
        <f>IFERROR(INDEX('Data Lokasi'!S:S,MATCH('Input Real Tanam&amp;Petik Nanas'!C1670,'Data Lokasi'!C:C,0)),"")</f>
        <v>44335</v>
      </c>
      <c r="O1670" s="278"/>
      <c r="P1670" s="283">
        <f>IFERROR(INDEX('Data Lokasi'!V:V,MATCH(C1670,'Data Lokasi'!C:C,0)),"")</f>
        <v>0</v>
      </c>
      <c r="Q1670" s="304">
        <f t="shared" si="54"/>
        <v>0</v>
      </c>
      <c r="R1670" s="308">
        <v>10</v>
      </c>
    </row>
    <row r="1671" spans="2:18" hidden="1">
      <c r="B1671" s="269">
        <v>46280</v>
      </c>
      <c r="C1671" s="268" t="s">
        <v>554</v>
      </c>
      <c r="D1671" s="274">
        <f>IFERROR(VLOOKUP(C1671,'Data Lokasi'!C:D,2,0),"")</f>
        <v>5.62</v>
      </c>
      <c r="E1671" s="274" t="s">
        <v>2643</v>
      </c>
      <c r="F1671" s="274"/>
      <c r="G1671" s="274">
        <v>0.04</v>
      </c>
      <c r="H1671" s="274">
        <f>0.12+0.22</f>
        <v>0.33999999999999997</v>
      </c>
      <c r="I1671" s="274"/>
      <c r="J1671" s="456">
        <f t="shared" si="53"/>
        <v>0.37999999999999995</v>
      </c>
      <c r="K1671" s="583"/>
      <c r="L1671" s="268" t="s">
        <v>719</v>
      </c>
      <c r="M1671" s="268" t="s">
        <v>2634</v>
      </c>
      <c r="N1671" s="278">
        <f>IFERROR(INDEX('Data Lokasi'!S:S,MATCH('Input Real Tanam&amp;Petik Nanas'!C1671,'Data Lokasi'!C:C,0)),"")</f>
        <v>44655</v>
      </c>
      <c r="O1671" s="278"/>
      <c r="P1671" s="283">
        <f>IFERROR(INDEX('Data Lokasi'!V:V,MATCH(C1671,'Data Lokasi'!C:C,0)),"")</f>
        <v>0</v>
      </c>
      <c r="Q1671" s="304">
        <f t="shared" si="54"/>
        <v>0</v>
      </c>
      <c r="R1671" s="308">
        <v>4</v>
      </c>
    </row>
    <row r="1672" spans="2:18" hidden="1">
      <c r="B1672" s="269">
        <v>46280</v>
      </c>
      <c r="C1672" s="268" t="s">
        <v>425</v>
      </c>
      <c r="D1672" s="274">
        <f>IFERROR(VLOOKUP(C1672,'Data Lokasi'!C:D,2,0),"")</f>
        <v>8.85</v>
      </c>
      <c r="E1672" s="274" t="s">
        <v>2643</v>
      </c>
      <c r="F1672" s="274"/>
      <c r="G1672" s="274"/>
      <c r="H1672" s="274">
        <v>0.02</v>
      </c>
      <c r="I1672" s="274">
        <v>0.13</v>
      </c>
      <c r="J1672" s="456">
        <f t="shared" si="53"/>
        <v>0.15</v>
      </c>
      <c r="K1672" s="583"/>
      <c r="L1672" s="268" t="s">
        <v>719</v>
      </c>
      <c r="M1672" s="268" t="s">
        <v>2631</v>
      </c>
      <c r="N1672" s="278">
        <f>IFERROR(INDEX('Data Lokasi'!S:S,MATCH('Input Real Tanam&amp;Petik Nanas'!C1672,'Data Lokasi'!C:C,0)),"")</f>
        <v>44389</v>
      </c>
      <c r="O1672" s="278"/>
      <c r="P1672" s="283">
        <f>IFERROR(INDEX('Data Lokasi'!V:V,MATCH(C1672,'Data Lokasi'!C:C,0)),"")</f>
        <v>0</v>
      </c>
      <c r="Q1672" s="304">
        <f t="shared" si="54"/>
        <v>0</v>
      </c>
      <c r="R1672" s="308">
        <v>6</v>
      </c>
    </row>
    <row r="1673" spans="2:18" hidden="1">
      <c r="B1673" s="269">
        <v>46280</v>
      </c>
      <c r="C1673" s="268" t="s">
        <v>1699</v>
      </c>
      <c r="D1673" s="274">
        <f>IFERROR(VLOOKUP(C1673,'Data Lokasi'!C:D,2,0),"")</f>
        <v>6.26</v>
      </c>
      <c r="E1673" s="274" t="s">
        <v>2643</v>
      </c>
      <c r="F1673" s="274"/>
      <c r="G1673" s="274"/>
      <c r="H1673" s="274"/>
      <c r="I1673" s="274">
        <v>2.12</v>
      </c>
      <c r="J1673" s="456">
        <f t="shared" si="53"/>
        <v>2.12</v>
      </c>
      <c r="K1673" s="583"/>
      <c r="L1673" s="268" t="s">
        <v>2625</v>
      </c>
      <c r="M1673" s="268" t="s">
        <v>2631</v>
      </c>
      <c r="N1673" s="278">
        <f>IFERROR(INDEX('Data Lokasi'!S:S,MATCH('Input Real Tanam&amp;Petik Nanas'!C1673,'Data Lokasi'!C:C,0)),"")</f>
        <v>45409</v>
      </c>
      <c r="O1673" s="278"/>
      <c r="P1673" s="283">
        <f>IFERROR(INDEX('Data Lokasi'!V:V,MATCH(C1673,'Data Lokasi'!C:C,0)),"")</f>
        <v>0</v>
      </c>
      <c r="Q1673" s="304">
        <f t="shared" si="54"/>
        <v>0</v>
      </c>
      <c r="R1673" s="308"/>
    </row>
    <row r="1674" spans="2:18">
      <c r="B1674" s="269">
        <v>46281</v>
      </c>
      <c r="C1674" s="268" t="s">
        <v>2127</v>
      </c>
      <c r="D1674" s="274">
        <f>IFERROR(VLOOKUP(C1674,'Data Lokasi'!C:D,2,0),"")</f>
        <v>6.54</v>
      </c>
      <c r="E1674" s="274" t="s">
        <v>2642</v>
      </c>
      <c r="F1674" s="274"/>
      <c r="G1674" s="274"/>
      <c r="H1674" s="274"/>
      <c r="I1674" s="274">
        <v>0.69</v>
      </c>
      <c r="J1674" s="456">
        <f t="shared" si="53"/>
        <v>0.69</v>
      </c>
      <c r="K1674" s="583"/>
      <c r="L1674" s="268" t="s">
        <v>2625</v>
      </c>
      <c r="M1674" s="268" t="s">
        <v>2631</v>
      </c>
      <c r="N1674" s="278">
        <f>IFERROR(INDEX('Data Lokasi'!S:S,MATCH('Input Real Tanam&amp;Petik Nanas'!C1674,'Data Lokasi'!C:C,0)),"")</f>
        <v>46269</v>
      </c>
      <c r="O1674" s="278"/>
      <c r="P1674" s="283">
        <f>IFERROR(INDEX('Data Lokasi'!V:V,MATCH(C1674,'Data Lokasi'!C:C,0)),"")</f>
        <v>6.54</v>
      </c>
      <c r="Q1674" s="304">
        <f t="shared" si="54"/>
        <v>1</v>
      </c>
      <c r="R1674" s="308"/>
    </row>
    <row r="1675" spans="2:18">
      <c r="B1675" s="269">
        <v>46281</v>
      </c>
      <c r="C1675" s="268" t="s">
        <v>148</v>
      </c>
      <c r="D1675" s="274">
        <f>IFERROR(VLOOKUP(C1675,'Data Lokasi'!C:D,2,0),"")</f>
        <v>8.76</v>
      </c>
      <c r="E1675" s="274" t="s">
        <v>2642</v>
      </c>
      <c r="F1675" s="274"/>
      <c r="G1675" s="274"/>
      <c r="H1675" s="274"/>
      <c r="I1675" s="274">
        <v>0.44</v>
      </c>
      <c r="J1675" s="456">
        <f t="shared" si="53"/>
        <v>0.44</v>
      </c>
      <c r="K1675" s="583"/>
      <c r="L1675" s="268" t="s">
        <v>2625</v>
      </c>
      <c r="M1675" s="268" t="s">
        <v>2631</v>
      </c>
      <c r="N1675" s="278">
        <f>IFERROR(INDEX('Data Lokasi'!S:S,MATCH('Input Real Tanam&amp;Petik Nanas'!C1675,'Data Lokasi'!C:C,0)),"")</f>
        <v>46281</v>
      </c>
      <c r="O1675" s="278"/>
      <c r="P1675" s="283">
        <f>IFERROR(INDEX('Data Lokasi'!V:V,MATCH(C1675,'Data Lokasi'!C:C,0)),"")</f>
        <v>8.76</v>
      </c>
      <c r="Q1675" s="304">
        <f t="shared" si="54"/>
        <v>1</v>
      </c>
      <c r="R1675" s="308"/>
    </row>
    <row r="1676" spans="2:18">
      <c r="B1676" s="269">
        <v>46281</v>
      </c>
      <c r="C1676" s="268" t="s">
        <v>281</v>
      </c>
      <c r="D1676" s="274">
        <f>IFERROR(VLOOKUP(C1676,'Data Lokasi'!C:D,2,0),"")</f>
        <v>8.3000000000000007</v>
      </c>
      <c r="E1676" s="274" t="s">
        <v>2642</v>
      </c>
      <c r="F1676" s="274"/>
      <c r="G1676" s="274"/>
      <c r="H1676" s="274"/>
      <c r="I1676" s="274">
        <v>0.12</v>
      </c>
      <c r="J1676" s="456">
        <f t="shared" si="53"/>
        <v>0.12</v>
      </c>
      <c r="K1676" s="583"/>
      <c r="L1676" s="268" t="s">
        <v>2625</v>
      </c>
      <c r="M1676" s="268" t="s">
        <v>2634</v>
      </c>
      <c r="N1676" s="278">
        <f>IFERROR(INDEX('Data Lokasi'!S:S,MATCH('Input Real Tanam&amp;Petik Nanas'!C1676,'Data Lokasi'!C:C,0)),"")</f>
        <v>44105</v>
      </c>
      <c r="O1676" s="278"/>
      <c r="P1676" s="283">
        <f>IFERROR(INDEX('Data Lokasi'!V:V,MATCH(C1676,'Data Lokasi'!C:C,0)),"")</f>
        <v>0</v>
      </c>
      <c r="Q1676" s="304">
        <f t="shared" si="54"/>
        <v>0</v>
      </c>
      <c r="R1676" s="308"/>
    </row>
    <row r="1677" spans="2:18">
      <c r="B1677" s="269">
        <v>46281</v>
      </c>
      <c r="C1677" s="268" t="s">
        <v>267</v>
      </c>
      <c r="D1677" s="274">
        <f>IFERROR(VLOOKUP(C1677,'Data Lokasi'!C:D,2,0),"")</f>
        <v>8.44</v>
      </c>
      <c r="E1677" s="274" t="s">
        <v>2642</v>
      </c>
      <c r="F1677" s="274"/>
      <c r="G1677" s="274"/>
      <c r="H1677" s="274"/>
      <c r="I1677" s="274">
        <v>0.03</v>
      </c>
      <c r="J1677" s="456">
        <f t="shared" si="53"/>
        <v>0.03</v>
      </c>
      <c r="K1677" s="583"/>
      <c r="L1677" s="268" t="s">
        <v>2625</v>
      </c>
      <c r="M1677" s="268" t="s">
        <v>2634</v>
      </c>
      <c r="N1677" s="278">
        <f>IFERROR(INDEX('Data Lokasi'!S:S,MATCH('Input Real Tanam&amp;Petik Nanas'!C1677,'Data Lokasi'!C:C,0)),"")</f>
        <v>44091</v>
      </c>
      <c r="O1677" s="278"/>
      <c r="P1677" s="283">
        <f>IFERROR(INDEX('Data Lokasi'!V:V,MATCH(C1677,'Data Lokasi'!C:C,0)),"")</f>
        <v>0</v>
      </c>
      <c r="Q1677" s="304">
        <f t="shared" si="54"/>
        <v>0</v>
      </c>
      <c r="R1677" s="308"/>
    </row>
    <row r="1678" spans="2:18">
      <c r="B1678" s="269">
        <v>46281</v>
      </c>
      <c r="C1678" s="268" t="s">
        <v>278</v>
      </c>
      <c r="D1678" s="274">
        <f>IFERROR(VLOOKUP(C1678,'Data Lokasi'!C:D,2,0),"")</f>
        <v>6.78</v>
      </c>
      <c r="E1678" s="274" t="s">
        <v>2642</v>
      </c>
      <c r="F1678" s="274"/>
      <c r="G1678" s="274"/>
      <c r="H1678" s="274"/>
      <c r="I1678" s="274">
        <v>0.23</v>
      </c>
      <c r="J1678" s="456">
        <f t="shared" si="53"/>
        <v>0.23</v>
      </c>
      <c r="K1678" s="583"/>
      <c r="L1678" s="268" t="s">
        <v>2625</v>
      </c>
      <c r="M1678" s="268" t="s">
        <v>2634</v>
      </c>
      <c r="N1678" s="278">
        <f>IFERROR(INDEX('Data Lokasi'!S:S,MATCH('Input Real Tanam&amp;Petik Nanas'!C1678,'Data Lokasi'!C:C,0)),"")</f>
        <v>44101</v>
      </c>
      <c r="O1678" s="278"/>
      <c r="P1678" s="283">
        <f>IFERROR(INDEX('Data Lokasi'!V:V,MATCH(C1678,'Data Lokasi'!C:C,0)),"")</f>
        <v>0</v>
      </c>
      <c r="Q1678" s="304">
        <f t="shared" si="54"/>
        <v>0</v>
      </c>
      <c r="R1678" s="308"/>
    </row>
    <row r="1679" spans="2:18">
      <c r="B1679" s="269">
        <v>46281</v>
      </c>
      <c r="C1679" s="268" t="s">
        <v>285</v>
      </c>
      <c r="D1679" s="274">
        <f>IFERROR(VLOOKUP(C1679,'Data Lokasi'!C:D,2,0),"")</f>
        <v>11.96</v>
      </c>
      <c r="E1679" s="274" t="s">
        <v>2642</v>
      </c>
      <c r="F1679" s="274"/>
      <c r="G1679" s="274"/>
      <c r="H1679" s="274"/>
      <c r="I1679" s="274">
        <v>0.25</v>
      </c>
      <c r="J1679" s="456">
        <f t="shared" si="53"/>
        <v>0.25</v>
      </c>
      <c r="K1679" s="583"/>
      <c r="L1679" s="268" t="s">
        <v>2625</v>
      </c>
      <c r="M1679" s="268" t="s">
        <v>2634</v>
      </c>
      <c r="N1679" s="278">
        <f>IFERROR(INDEX('Data Lokasi'!S:S,MATCH('Input Real Tanam&amp;Petik Nanas'!C1679,'Data Lokasi'!C:C,0)),"")</f>
        <v>44118</v>
      </c>
      <c r="O1679" s="278"/>
      <c r="P1679" s="283">
        <f>IFERROR(INDEX('Data Lokasi'!V:V,MATCH(C1679,'Data Lokasi'!C:C,0)),"")</f>
        <v>0</v>
      </c>
      <c r="Q1679" s="304">
        <f t="shared" si="54"/>
        <v>0</v>
      </c>
      <c r="R1679" s="308"/>
    </row>
    <row r="1680" spans="2:18" hidden="1">
      <c r="B1680" s="269">
        <v>46281</v>
      </c>
      <c r="C1680" s="268" t="s">
        <v>524</v>
      </c>
      <c r="D1680" s="274">
        <f>IFERROR(VLOOKUP(C1680,'Data Lokasi'!C:D,2,0),"")</f>
        <v>5.37</v>
      </c>
      <c r="E1680" s="274" t="s">
        <v>2643</v>
      </c>
      <c r="F1680" s="274"/>
      <c r="G1680" s="274"/>
      <c r="H1680" s="274"/>
      <c r="I1680" s="274">
        <v>1.62</v>
      </c>
      <c r="J1680" s="456">
        <f t="shared" si="53"/>
        <v>1.62</v>
      </c>
      <c r="K1680" s="583"/>
      <c r="L1680" s="268" t="s">
        <v>2625</v>
      </c>
      <c r="M1680" s="268" t="s">
        <v>2631</v>
      </c>
      <c r="N1680" s="278">
        <f>IFERROR(INDEX('Data Lokasi'!S:S,MATCH('Input Real Tanam&amp;Petik Nanas'!C1680,'Data Lokasi'!C:C,0)),"")</f>
        <v>44624</v>
      </c>
      <c r="O1680" s="278"/>
      <c r="P1680" s="283">
        <f>IFERROR(INDEX('Data Lokasi'!V:V,MATCH(C1680,'Data Lokasi'!C:C,0)),"")</f>
        <v>0</v>
      </c>
      <c r="Q1680" s="304">
        <f t="shared" si="54"/>
        <v>0</v>
      </c>
      <c r="R1680" s="308"/>
    </row>
    <row r="1681" spans="2:18" hidden="1">
      <c r="B1681" s="269">
        <v>46281</v>
      </c>
      <c r="C1681" s="268" t="s">
        <v>1699</v>
      </c>
      <c r="D1681" s="274">
        <f>IFERROR(VLOOKUP(C1681,'Data Lokasi'!C:D,2,0),"")</f>
        <v>6.26</v>
      </c>
      <c r="E1681" s="274" t="s">
        <v>2643</v>
      </c>
      <c r="F1681" s="274"/>
      <c r="G1681" s="274"/>
      <c r="H1681" s="274"/>
      <c r="I1681" s="274">
        <v>0.54</v>
      </c>
      <c r="J1681" s="456">
        <f t="shared" si="53"/>
        <v>0.54</v>
      </c>
      <c r="K1681" s="583"/>
      <c r="L1681" s="268" t="s">
        <v>2625</v>
      </c>
      <c r="M1681" s="268" t="s">
        <v>2631</v>
      </c>
      <c r="N1681" s="278">
        <f>IFERROR(INDEX('Data Lokasi'!S:S,MATCH('Input Real Tanam&amp;Petik Nanas'!C1681,'Data Lokasi'!C:C,0)),"")</f>
        <v>45409</v>
      </c>
      <c r="O1681" s="278"/>
      <c r="P1681" s="283">
        <f>IFERROR(INDEX('Data Lokasi'!V:V,MATCH(C1681,'Data Lokasi'!C:C,0)),"")</f>
        <v>0</v>
      </c>
      <c r="Q1681" s="304">
        <f t="shared" si="54"/>
        <v>0</v>
      </c>
      <c r="R1681" s="308"/>
    </row>
    <row r="1682" spans="2:18" hidden="1">
      <c r="B1682" s="269">
        <v>46281</v>
      </c>
      <c r="C1682" s="268" t="s">
        <v>2547</v>
      </c>
      <c r="D1682" s="274">
        <f>IFERROR(VLOOKUP(C1682,'Data Lokasi'!C:D,2,0),"")</f>
        <v>4.97</v>
      </c>
      <c r="E1682" s="274" t="s">
        <v>2643</v>
      </c>
      <c r="F1682" s="274">
        <v>0.01</v>
      </c>
      <c r="G1682" s="274">
        <v>0.1</v>
      </c>
      <c r="H1682" s="274">
        <f>0.1+0.03</f>
        <v>0.13</v>
      </c>
      <c r="I1682" s="274"/>
      <c r="J1682" s="456">
        <f t="shared" si="53"/>
        <v>0.24</v>
      </c>
      <c r="K1682" s="583"/>
      <c r="L1682" s="268" t="s">
        <v>719</v>
      </c>
      <c r="M1682" s="268" t="s">
        <v>2631</v>
      </c>
      <c r="N1682" s="278">
        <f>IFERROR(INDEX('Data Lokasi'!S:S,MATCH('Input Real Tanam&amp;Petik Nanas'!C1682,'Data Lokasi'!C:C,0)),"")</f>
        <v>45595</v>
      </c>
      <c r="O1682" s="278"/>
      <c r="P1682" s="283">
        <f>IFERROR(INDEX('Data Lokasi'!V:V,MATCH(C1682,'Data Lokasi'!C:C,0)),"")</f>
        <v>0</v>
      </c>
      <c r="Q1682" s="304">
        <f t="shared" si="54"/>
        <v>0</v>
      </c>
      <c r="R1682" s="308">
        <v>2</v>
      </c>
    </row>
    <row r="1683" spans="2:18" hidden="1">
      <c r="B1683" s="269">
        <v>46281</v>
      </c>
      <c r="C1683" s="268" t="s">
        <v>381</v>
      </c>
      <c r="D1683" s="274">
        <f>IFERROR(VLOOKUP(C1683,'Data Lokasi'!C:D,2,0),"")</f>
        <v>8.18</v>
      </c>
      <c r="E1683" s="274" t="s">
        <v>2643</v>
      </c>
      <c r="F1683" s="274"/>
      <c r="G1683" s="274"/>
      <c r="H1683" s="274">
        <f>0.01+0.13</f>
        <v>0.14000000000000001</v>
      </c>
      <c r="I1683" s="274">
        <v>0.23</v>
      </c>
      <c r="J1683" s="456">
        <f t="shared" si="53"/>
        <v>0.37</v>
      </c>
      <c r="K1683" s="583"/>
      <c r="L1683" s="268" t="s">
        <v>719</v>
      </c>
      <c r="M1683" s="268" t="s">
        <v>2634</v>
      </c>
      <c r="N1683" s="278">
        <f>IFERROR(INDEX('Data Lokasi'!S:S,MATCH('Input Real Tanam&amp;Petik Nanas'!C1683,'Data Lokasi'!C:C,0)),"")</f>
        <v>44335</v>
      </c>
      <c r="O1683" s="278"/>
      <c r="P1683" s="283">
        <f>IFERROR(INDEX('Data Lokasi'!V:V,MATCH(C1683,'Data Lokasi'!C:C,0)),"")</f>
        <v>0</v>
      </c>
      <c r="Q1683" s="304">
        <f t="shared" si="54"/>
        <v>0</v>
      </c>
      <c r="R1683" s="308">
        <v>10</v>
      </c>
    </row>
    <row r="1684" spans="2:18" hidden="1">
      <c r="B1684" s="269">
        <v>46281</v>
      </c>
      <c r="C1684" s="268" t="s">
        <v>409</v>
      </c>
      <c r="D1684" s="274">
        <f>IFERROR(VLOOKUP(C1684,'Data Lokasi'!C:D,2,0),"")</f>
        <v>8.83</v>
      </c>
      <c r="E1684" s="274" t="s">
        <v>2643</v>
      </c>
      <c r="F1684" s="274"/>
      <c r="G1684" s="274">
        <v>0.02</v>
      </c>
      <c r="H1684" s="274">
        <f>0.05+0.26</f>
        <v>0.31</v>
      </c>
      <c r="I1684" s="274"/>
      <c r="J1684" s="456">
        <f t="shared" si="53"/>
        <v>0.33</v>
      </c>
      <c r="K1684" s="583"/>
      <c r="L1684" s="268" t="s">
        <v>719</v>
      </c>
      <c r="M1684" s="268" t="s">
        <v>2634</v>
      </c>
      <c r="N1684" s="278">
        <f>IFERROR(INDEX('Data Lokasi'!S:S,MATCH('Input Real Tanam&amp;Petik Nanas'!C1684,'Data Lokasi'!C:C,0)),"")</f>
        <v>44365</v>
      </c>
      <c r="O1684" s="278"/>
      <c r="P1684" s="283">
        <f>IFERROR(INDEX('Data Lokasi'!V:V,MATCH(C1684,'Data Lokasi'!C:C,0)),"")</f>
        <v>0</v>
      </c>
      <c r="Q1684" s="304">
        <f t="shared" si="54"/>
        <v>0</v>
      </c>
      <c r="R1684" s="308">
        <v>8</v>
      </c>
    </row>
    <row r="1685" spans="2:18" hidden="1">
      <c r="B1685" s="269">
        <v>46281</v>
      </c>
      <c r="C1685" s="268" t="s">
        <v>396</v>
      </c>
      <c r="D1685" s="274">
        <f>IFERROR(VLOOKUP(C1685,'Data Lokasi'!C:D,2,0),"")</f>
        <v>8.1300000000000008</v>
      </c>
      <c r="E1685" s="274" t="s">
        <v>2643</v>
      </c>
      <c r="F1685" s="274"/>
      <c r="G1685" s="274"/>
      <c r="H1685" s="274"/>
      <c r="I1685" s="274">
        <v>0.91</v>
      </c>
      <c r="J1685" s="456">
        <f t="shared" ref="J1685:J1748" si="57">IF(SUM(F1685:I1685)=0,"",(SUM(F1685:I1685)))</f>
        <v>0.91</v>
      </c>
      <c r="K1685" s="583"/>
      <c r="L1685" s="268" t="s">
        <v>2625</v>
      </c>
      <c r="M1685" s="268" t="s">
        <v>2634</v>
      </c>
      <c r="N1685" s="278">
        <f>IFERROR(INDEX('Data Lokasi'!S:S,MATCH('Input Real Tanam&amp;Petik Nanas'!C1685,'Data Lokasi'!C:C,0)),"")</f>
        <v>44358</v>
      </c>
      <c r="O1685" s="278"/>
      <c r="P1685" s="283">
        <f>IFERROR(INDEX('Data Lokasi'!V:V,MATCH(C1685,'Data Lokasi'!C:C,0)),"")</f>
        <v>0</v>
      </c>
      <c r="Q1685" s="304">
        <f t="shared" ref="Q1685:Q1748" si="58">IF(ISERROR(P1685/D1685),"",(P1685/D1685))</f>
        <v>0</v>
      </c>
      <c r="R1685" s="308"/>
    </row>
    <row r="1686" spans="2:18">
      <c r="B1686" s="269">
        <v>46282</v>
      </c>
      <c r="C1686" s="268" t="s">
        <v>281</v>
      </c>
      <c r="D1686" s="274">
        <f>IFERROR(VLOOKUP(C1686,'Data Lokasi'!C:D,2,0),"")</f>
        <v>8.3000000000000007</v>
      </c>
      <c r="E1686" s="274" t="s">
        <v>2642</v>
      </c>
      <c r="F1686" s="274"/>
      <c r="G1686" s="274"/>
      <c r="H1686" s="274"/>
      <c r="I1686" s="274">
        <v>0.1</v>
      </c>
      <c r="J1686" s="456">
        <f t="shared" si="57"/>
        <v>0.1</v>
      </c>
      <c r="K1686" s="583"/>
      <c r="L1686" s="268" t="s">
        <v>719</v>
      </c>
      <c r="M1686" s="268" t="s">
        <v>2634</v>
      </c>
      <c r="N1686" s="278">
        <f>IFERROR(INDEX('Data Lokasi'!S:S,MATCH('Input Real Tanam&amp;Petik Nanas'!C1686,'Data Lokasi'!C:C,0)),"")</f>
        <v>44105</v>
      </c>
      <c r="O1686" s="278"/>
      <c r="P1686" s="283">
        <f>IFERROR(INDEX('Data Lokasi'!V:V,MATCH(C1686,'Data Lokasi'!C:C,0)),"")</f>
        <v>0</v>
      </c>
      <c r="Q1686" s="304">
        <f t="shared" si="58"/>
        <v>0</v>
      </c>
      <c r="R1686" s="308"/>
    </row>
    <row r="1687" spans="2:18">
      <c r="B1687" s="269">
        <v>46282</v>
      </c>
      <c r="C1687" s="268" t="s">
        <v>267</v>
      </c>
      <c r="D1687" s="274">
        <f>IFERROR(VLOOKUP(C1687,'Data Lokasi'!C:D,2,0),"")</f>
        <v>8.44</v>
      </c>
      <c r="E1687" s="274" t="s">
        <v>2642</v>
      </c>
      <c r="F1687" s="274"/>
      <c r="G1687" s="274"/>
      <c r="H1687" s="274"/>
      <c r="I1687" s="274">
        <v>0.06</v>
      </c>
      <c r="J1687" s="456">
        <f t="shared" si="57"/>
        <v>0.06</v>
      </c>
      <c r="K1687" s="583"/>
      <c r="L1687" s="268" t="s">
        <v>2625</v>
      </c>
      <c r="M1687" s="268" t="s">
        <v>2634</v>
      </c>
      <c r="N1687" s="278">
        <f>IFERROR(INDEX('Data Lokasi'!S:S,MATCH('Input Real Tanam&amp;Petik Nanas'!C1687,'Data Lokasi'!C:C,0)),"")</f>
        <v>44091</v>
      </c>
      <c r="O1687" s="278"/>
      <c r="P1687" s="283">
        <f>IFERROR(INDEX('Data Lokasi'!V:V,MATCH(C1687,'Data Lokasi'!C:C,0)),"")</f>
        <v>0</v>
      </c>
      <c r="Q1687" s="304">
        <f t="shared" si="58"/>
        <v>0</v>
      </c>
      <c r="R1687" s="308"/>
    </row>
    <row r="1688" spans="2:18">
      <c r="B1688" s="269">
        <v>46282</v>
      </c>
      <c r="C1688" s="268" t="s">
        <v>336</v>
      </c>
      <c r="D1688" s="274">
        <f>IFERROR(VLOOKUP(C1688,'Data Lokasi'!C:D,2,0),"")</f>
        <v>3.64</v>
      </c>
      <c r="E1688" s="274" t="s">
        <v>2642</v>
      </c>
      <c r="F1688" s="274"/>
      <c r="G1688" s="274"/>
      <c r="H1688" s="274"/>
      <c r="I1688" s="274">
        <v>0.01</v>
      </c>
      <c r="J1688" s="456">
        <f t="shared" si="57"/>
        <v>0.01</v>
      </c>
      <c r="K1688" s="583"/>
      <c r="L1688" s="268" t="s">
        <v>2625</v>
      </c>
      <c r="M1688" s="268" t="s">
        <v>2634</v>
      </c>
      <c r="N1688" s="278">
        <f>IFERROR(INDEX('Data Lokasi'!S:S,MATCH('Input Real Tanam&amp;Petik Nanas'!C1688,'Data Lokasi'!C:C,0)),"")</f>
        <v>44231</v>
      </c>
      <c r="O1688" s="278"/>
      <c r="P1688" s="283">
        <f>IFERROR(INDEX('Data Lokasi'!V:V,MATCH(C1688,'Data Lokasi'!C:C,0)),"")</f>
        <v>0</v>
      </c>
      <c r="Q1688" s="304">
        <f t="shared" si="58"/>
        <v>0</v>
      </c>
      <c r="R1688" s="308"/>
    </row>
    <row r="1689" spans="2:18">
      <c r="B1689" s="269">
        <v>46282</v>
      </c>
      <c r="C1689" s="268" t="s">
        <v>148</v>
      </c>
      <c r="D1689" s="274">
        <f>IFERROR(VLOOKUP(C1689,'Data Lokasi'!C:D,2,0),"")</f>
        <v>8.76</v>
      </c>
      <c r="E1689" s="274" t="s">
        <v>2642</v>
      </c>
      <c r="F1689" s="274"/>
      <c r="G1689" s="274"/>
      <c r="H1689" s="274"/>
      <c r="I1689" s="274">
        <v>1.9</v>
      </c>
      <c r="J1689" s="456">
        <f t="shared" si="57"/>
        <v>1.9</v>
      </c>
      <c r="K1689" s="583"/>
      <c r="L1689" s="268" t="s">
        <v>2625</v>
      </c>
      <c r="M1689" s="268" t="s">
        <v>2631</v>
      </c>
      <c r="N1689" s="278">
        <f>IFERROR(INDEX('Data Lokasi'!S:S,MATCH('Input Real Tanam&amp;Petik Nanas'!C1689,'Data Lokasi'!C:C,0)),"")</f>
        <v>46281</v>
      </c>
      <c r="O1689" s="278"/>
      <c r="P1689" s="283">
        <f>IFERROR(INDEX('Data Lokasi'!V:V,MATCH(C1689,'Data Lokasi'!C:C,0)),"")</f>
        <v>8.76</v>
      </c>
      <c r="Q1689" s="304">
        <f t="shared" si="58"/>
        <v>1</v>
      </c>
      <c r="R1689" s="308"/>
    </row>
    <row r="1690" spans="2:18">
      <c r="B1690" s="269">
        <v>46282</v>
      </c>
      <c r="C1690" s="268" t="s">
        <v>2712</v>
      </c>
      <c r="D1690" s="274">
        <f>IFERROR(VLOOKUP(C1690,'Data Lokasi'!C:D,2,0),"")</f>
        <v>6.02</v>
      </c>
      <c r="E1690" s="274" t="s">
        <v>2642</v>
      </c>
      <c r="F1690" s="274"/>
      <c r="G1690" s="274">
        <v>0.15</v>
      </c>
      <c r="H1690" s="274"/>
      <c r="I1690" s="274"/>
      <c r="J1690" s="456">
        <f t="shared" si="57"/>
        <v>0.15</v>
      </c>
      <c r="K1690" s="583"/>
      <c r="L1690" s="268" t="s">
        <v>719</v>
      </c>
      <c r="M1690" s="268" t="s">
        <v>2631</v>
      </c>
      <c r="N1690" s="278">
        <f>IFERROR(INDEX('Data Lokasi'!S:S,MATCH('Input Real Tanam&amp;Petik Nanas'!C1690,'Data Lokasi'!C:C,0)),"")</f>
        <v>46271</v>
      </c>
      <c r="O1690" s="278"/>
      <c r="P1690" s="283">
        <f>IFERROR(INDEX('Data Lokasi'!V:V,MATCH(C1690,'Data Lokasi'!C:C,0)),"")</f>
        <v>6.0200000000000005</v>
      </c>
      <c r="Q1690" s="304">
        <f t="shared" si="58"/>
        <v>1.0000000000000002</v>
      </c>
      <c r="R1690" s="308"/>
    </row>
    <row r="1691" spans="2:18">
      <c r="B1691" s="269">
        <v>46282</v>
      </c>
      <c r="C1691" s="268" t="s">
        <v>2127</v>
      </c>
      <c r="D1691" s="274">
        <f>IFERROR(VLOOKUP(C1691,'Data Lokasi'!C:D,2,0),"")</f>
        <v>6.54</v>
      </c>
      <c r="E1691" s="274" t="s">
        <v>2642</v>
      </c>
      <c r="F1691" s="274"/>
      <c r="G1691" s="274"/>
      <c r="H1691" s="274"/>
      <c r="I1691" s="274">
        <v>0.59</v>
      </c>
      <c r="J1691" s="456">
        <f t="shared" si="57"/>
        <v>0.59</v>
      </c>
      <c r="K1691" s="583"/>
      <c r="L1691" s="268" t="s">
        <v>2625</v>
      </c>
      <c r="M1691" s="268" t="s">
        <v>2631</v>
      </c>
      <c r="N1691" s="278">
        <f>IFERROR(INDEX('Data Lokasi'!S:S,MATCH('Input Real Tanam&amp;Petik Nanas'!C1691,'Data Lokasi'!C:C,0)),"")</f>
        <v>46269</v>
      </c>
      <c r="O1691" s="278"/>
      <c r="P1691" s="283">
        <f>IFERROR(INDEX('Data Lokasi'!V:V,MATCH(C1691,'Data Lokasi'!C:C,0)),"")</f>
        <v>6.54</v>
      </c>
      <c r="Q1691" s="304">
        <f t="shared" si="58"/>
        <v>1</v>
      </c>
      <c r="R1691" s="308"/>
    </row>
    <row r="1692" spans="2:18">
      <c r="B1692" s="269">
        <v>46282</v>
      </c>
      <c r="C1692" s="268" t="s">
        <v>2126</v>
      </c>
      <c r="D1692" s="274">
        <f>IFERROR(VLOOKUP(C1692,'Data Lokasi'!C:D,2,0),"")</f>
        <v>4.7699999999999996</v>
      </c>
      <c r="E1692" s="274" t="s">
        <v>2642</v>
      </c>
      <c r="F1692" s="274"/>
      <c r="G1692" s="274"/>
      <c r="H1692" s="274"/>
      <c r="I1692" s="274">
        <v>0.2</v>
      </c>
      <c r="J1692" s="456">
        <f t="shared" si="57"/>
        <v>0.2</v>
      </c>
      <c r="K1692" s="583"/>
      <c r="L1692" s="268" t="s">
        <v>2625</v>
      </c>
      <c r="M1692" s="268" t="s">
        <v>2631</v>
      </c>
      <c r="N1692" s="278">
        <f>IFERROR(INDEX('Data Lokasi'!S:S,MATCH('Input Real Tanam&amp;Petik Nanas'!C1692,'Data Lokasi'!C:C,0)),"")</f>
        <v>46269</v>
      </c>
      <c r="O1692" s="278"/>
      <c r="P1692" s="283">
        <f>IFERROR(INDEX('Data Lokasi'!V:V,MATCH(C1692,'Data Lokasi'!C:C,0)),"")</f>
        <v>4.7699999999999996</v>
      </c>
      <c r="Q1692" s="304">
        <f t="shared" si="58"/>
        <v>1</v>
      </c>
      <c r="R1692" s="308"/>
    </row>
    <row r="1693" spans="2:18" hidden="1">
      <c r="B1693" s="269">
        <v>46282</v>
      </c>
      <c r="C1693" s="268" t="s">
        <v>381</v>
      </c>
      <c r="D1693" s="274">
        <f>IFERROR(VLOOKUP(C1693,'Data Lokasi'!C:D,2,0),"")</f>
        <v>8.18</v>
      </c>
      <c r="E1693" s="274" t="s">
        <v>2643</v>
      </c>
      <c r="F1693" s="274"/>
      <c r="G1693" s="274"/>
      <c r="H1693" s="274">
        <v>0.03</v>
      </c>
      <c r="I1693" s="274"/>
      <c r="J1693" s="456">
        <f t="shared" si="57"/>
        <v>0.03</v>
      </c>
      <c r="K1693" s="583"/>
      <c r="L1693" s="268" t="s">
        <v>719</v>
      </c>
      <c r="M1693" s="268" t="s">
        <v>2634</v>
      </c>
      <c r="N1693" s="278">
        <f>IFERROR(INDEX('Data Lokasi'!S:S,MATCH('Input Real Tanam&amp;Petik Nanas'!C1693,'Data Lokasi'!C:C,0)),"")</f>
        <v>44335</v>
      </c>
      <c r="O1693" s="278"/>
      <c r="P1693" s="283">
        <f>IFERROR(INDEX('Data Lokasi'!V:V,MATCH(C1693,'Data Lokasi'!C:C,0)),"")</f>
        <v>0</v>
      </c>
      <c r="Q1693" s="304">
        <f t="shared" si="58"/>
        <v>0</v>
      </c>
      <c r="R1693" s="308">
        <v>10</v>
      </c>
    </row>
    <row r="1694" spans="2:18" hidden="1">
      <c r="B1694" s="269">
        <v>46282</v>
      </c>
      <c r="C1694" s="268" t="s">
        <v>409</v>
      </c>
      <c r="D1694" s="274">
        <f>IFERROR(VLOOKUP(C1694,'Data Lokasi'!C:D,2,0),"")</f>
        <v>8.83</v>
      </c>
      <c r="E1694" s="274" t="s">
        <v>2643</v>
      </c>
      <c r="F1694" s="274"/>
      <c r="G1694" s="274">
        <v>0.03</v>
      </c>
      <c r="H1694" s="274">
        <f>0.06+0.17</f>
        <v>0.23</v>
      </c>
      <c r="I1694" s="274"/>
      <c r="J1694" s="456">
        <f t="shared" si="57"/>
        <v>0.26</v>
      </c>
      <c r="K1694" s="583"/>
      <c r="L1694" s="268" t="s">
        <v>719</v>
      </c>
      <c r="M1694" s="268" t="s">
        <v>2634</v>
      </c>
      <c r="N1694" s="278">
        <f>IFERROR(INDEX('Data Lokasi'!S:S,MATCH('Input Real Tanam&amp;Petik Nanas'!C1694,'Data Lokasi'!C:C,0)),"")</f>
        <v>44365</v>
      </c>
      <c r="O1694" s="278"/>
      <c r="P1694" s="283">
        <f>IFERROR(INDEX('Data Lokasi'!V:V,MATCH(C1694,'Data Lokasi'!C:C,0)),"")</f>
        <v>0</v>
      </c>
      <c r="Q1694" s="304">
        <f t="shared" si="58"/>
        <v>0</v>
      </c>
      <c r="R1694" s="308">
        <v>8</v>
      </c>
    </row>
    <row r="1695" spans="2:18" hidden="1">
      <c r="B1695" s="269">
        <v>46282</v>
      </c>
      <c r="C1695" s="268" t="s">
        <v>171</v>
      </c>
      <c r="D1695" s="274">
        <f>IFERROR(VLOOKUP(C1695,'Data Lokasi'!C:D,2,0),"")</f>
        <v>5.38</v>
      </c>
      <c r="E1695" s="274" t="s">
        <v>2643</v>
      </c>
      <c r="F1695" s="274"/>
      <c r="G1695" s="274"/>
      <c r="H1695" s="274">
        <v>0.03</v>
      </c>
      <c r="I1695" s="274">
        <f>0.1+0.2</f>
        <v>0.30000000000000004</v>
      </c>
      <c r="J1695" s="456">
        <f t="shared" si="57"/>
        <v>0.33000000000000007</v>
      </c>
      <c r="K1695" s="583"/>
      <c r="L1695" s="268" t="s">
        <v>719</v>
      </c>
      <c r="M1695" s="268" t="s">
        <v>2634</v>
      </c>
      <c r="N1695" s="278">
        <f>IFERROR(INDEX('Data Lokasi'!S:S,MATCH('Input Real Tanam&amp;Petik Nanas'!C1695,'Data Lokasi'!C:C,0)),"")</f>
        <v>43919</v>
      </c>
      <c r="O1695" s="278"/>
      <c r="P1695" s="283">
        <f>IFERROR(INDEX('Data Lokasi'!V:V,MATCH(C1695,'Data Lokasi'!C:C,0)),"")</f>
        <v>0</v>
      </c>
      <c r="Q1695" s="304">
        <f t="shared" si="58"/>
        <v>0</v>
      </c>
      <c r="R1695" s="308">
        <v>6</v>
      </c>
    </row>
    <row r="1696" spans="2:18" hidden="1">
      <c r="B1696" s="269">
        <v>46282</v>
      </c>
      <c r="C1696" s="268" t="s">
        <v>524</v>
      </c>
      <c r="D1696" s="274">
        <f>IFERROR(VLOOKUP(C1696,'Data Lokasi'!C:D,2,0),"")</f>
        <v>5.37</v>
      </c>
      <c r="E1696" s="274" t="s">
        <v>2643</v>
      </c>
      <c r="F1696" s="274"/>
      <c r="G1696" s="274"/>
      <c r="H1696" s="274"/>
      <c r="I1696" s="274">
        <v>1.37</v>
      </c>
      <c r="J1696" s="456">
        <f t="shared" si="57"/>
        <v>1.37</v>
      </c>
      <c r="K1696" s="583"/>
      <c r="L1696" s="268" t="s">
        <v>2625</v>
      </c>
      <c r="M1696" s="268" t="s">
        <v>2631</v>
      </c>
      <c r="N1696" s="278">
        <f>IFERROR(INDEX('Data Lokasi'!S:S,MATCH('Input Real Tanam&amp;Petik Nanas'!C1696,'Data Lokasi'!C:C,0)),"")</f>
        <v>44624</v>
      </c>
      <c r="O1696" s="278"/>
      <c r="P1696" s="283">
        <f>IFERROR(INDEX('Data Lokasi'!V:V,MATCH(C1696,'Data Lokasi'!C:C,0)),"")</f>
        <v>0</v>
      </c>
      <c r="Q1696" s="304">
        <f t="shared" si="58"/>
        <v>0</v>
      </c>
      <c r="R1696" s="308"/>
    </row>
    <row r="1697" spans="2:18" hidden="1">
      <c r="B1697" s="269">
        <v>46282</v>
      </c>
      <c r="C1697" s="268" t="s">
        <v>536</v>
      </c>
      <c r="D1697" s="274">
        <f>IFERROR(VLOOKUP(C1697,'Data Lokasi'!C:D,2,0),"")</f>
        <v>7.75</v>
      </c>
      <c r="E1697" s="274" t="s">
        <v>2643</v>
      </c>
      <c r="F1697" s="274"/>
      <c r="G1697" s="274"/>
      <c r="H1697" s="274"/>
      <c r="I1697" s="274">
        <v>1.38</v>
      </c>
      <c r="J1697" s="456">
        <f t="shared" si="57"/>
        <v>1.38</v>
      </c>
      <c r="K1697" s="583"/>
      <c r="L1697" s="268" t="s">
        <v>2625</v>
      </c>
      <c r="M1697" s="268" t="s">
        <v>2631</v>
      </c>
      <c r="N1697" s="278">
        <f>IFERROR(INDEX('Data Lokasi'!S:S,MATCH('Input Real Tanam&amp;Petik Nanas'!C1697,'Data Lokasi'!C:C,0)),"")</f>
        <v>44637</v>
      </c>
      <c r="O1697" s="278"/>
      <c r="P1697" s="283">
        <f>IFERROR(INDEX('Data Lokasi'!V:V,MATCH(C1697,'Data Lokasi'!C:C,0)),"")</f>
        <v>0</v>
      </c>
      <c r="Q1697" s="304">
        <f t="shared" si="58"/>
        <v>0</v>
      </c>
      <c r="R1697" s="308"/>
    </row>
    <row r="1698" spans="2:18" hidden="1">
      <c r="B1698" s="269">
        <v>46282</v>
      </c>
      <c r="C1698" s="268" t="s">
        <v>425</v>
      </c>
      <c r="D1698" s="274">
        <f>IFERROR(VLOOKUP(C1698,'Data Lokasi'!C:D,2,0),"")</f>
        <v>8.85</v>
      </c>
      <c r="E1698" s="274" t="s">
        <v>2643</v>
      </c>
      <c r="F1698" s="274"/>
      <c r="G1698" s="274"/>
      <c r="H1698" s="274">
        <v>0.02</v>
      </c>
      <c r="I1698" s="274">
        <f>0.06+0.15</f>
        <v>0.21</v>
      </c>
      <c r="J1698" s="456">
        <f t="shared" si="57"/>
        <v>0.22999999999999998</v>
      </c>
      <c r="K1698" s="583"/>
      <c r="L1698" s="268" t="s">
        <v>719</v>
      </c>
      <c r="M1698" s="268" t="s">
        <v>2631</v>
      </c>
      <c r="N1698" s="278">
        <f>IFERROR(INDEX('Data Lokasi'!S:S,MATCH('Input Real Tanam&amp;Petik Nanas'!C1698,'Data Lokasi'!C:C,0)),"")</f>
        <v>44389</v>
      </c>
      <c r="O1698" s="278"/>
      <c r="P1698" s="283">
        <f>IFERROR(INDEX('Data Lokasi'!V:V,MATCH(C1698,'Data Lokasi'!C:C,0)),"")</f>
        <v>0</v>
      </c>
      <c r="Q1698" s="304">
        <f t="shared" si="58"/>
        <v>0</v>
      </c>
      <c r="R1698" s="308">
        <v>6</v>
      </c>
    </row>
    <row r="1699" spans="2:18">
      <c r="B1699" s="269">
        <v>46283</v>
      </c>
      <c r="C1699" s="268" t="s">
        <v>148</v>
      </c>
      <c r="D1699" s="274">
        <f>IFERROR(VLOOKUP(C1699,'Data Lokasi'!C:D,2,0),"")</f>
        <v>8.76</v>
      </c>
      <c r="E1699" s="274" t="s">
        <v>2642</v>
      </c>
      <c r="F1699" s="274"/>
      <c r="G1699" s="274"/>
      <c r="H1699" s="274">
        <v>1.97</v>
      </c>
      <c r="I1699" s="274"/>
      <c r="J1699" s="456">
        <f t="shared" si="57"/>
        <v>1.97</v>
      </c>
      <c r="K1699" s="583"/>
      <c r="L1699" s="268" t="s">
        <v>719</v>
      </c>
      <c r="M1699" s="268" t="s">
        <v>2631</v>
      </c>
      <c r="N1699" s="278">
        <f>IFERROR(INDEX('Data Lokasi'!S:S,MATCH('Input Real Tanam&amp;Petik Nanas'!C1699,'Data Lokasi'!C:C,0)),"")</f>
        <v>46281</v>
      </c>
      <c r="O1699" s="278"/>
      <c r="P1699" s="283">
        <f>IFERROR(INDEX('Data Lokasi'!V:V,MATCH(C1699,'Data Lokasi'!C:C,0)),"")</f>
        <v>8.76</v>
      </c>
      <c r="Q1699" s="304">
        <f t="shared" si="58"/>
        <v>1</v>
      </c>
      <c r="R1699" s="308"/>
    </row>
    <row r="1700" spans="2:18">
      <c r="B1700" s="269">
        <v>46283</v>
      </c>
      <c r="C1700" s="268" t="s">
        <v>2712</v>
      </c>
      <c r="D1700" s="274">
        <f>IFERROR(VLOOKUP(C1700,'Data Lokasi'!C:D,2,0),"")</f>
        <v>6.02</v>
      </c>
      <c r="E1700" s="274" t="s">
        <v>2642</v>
      </c>
      <c r="F1700" s="274"/>
      <c r="G1700" s="274">
        <v>0.28000000000000003</v>
      </c>
      <c r="H1700" s="274"/>
      <c r="I1700" s="274"/>
      <c r="J1700" s="456">
        <f t="shared" si="57"/>
        <v>0.28000000000000003</v>
      </c>
      <c r="K1700" s="583"/>
      <c r="L1700" s="268" t="s">
        <v>719</v>
      </c>
      <c r="M1700" s="268" t="s">
        <v>2631</v>
      </c>
      <c r="N1700" s="278">
        <f>IFERROR(INDEX('Data Lokasi'!S:S,MATCH('Input Real Tanam&amp;Petik Nanas'!C1700,'Data Lokasi'!C:C,0)),"")</f>
        <v>46271</v>
      </c>
      <c r="O1700" s="278"/>
      <c r="P1700" s="283">
        <f>IFERROR(INDEX('Data Lokasi'!V:V,MATCH(C1700,'Data Lokasi'!C:C,0)),"")</f>
        <v>6.0200000000000005</v>
      </c>
      <c r="Q1700" s="304">
        <f t="shared" si="58"/>
        <v>1.0000000000000002</v>
      </c>
      <c r="R1700" s="308"/>
    </row>
    <row r="1701" spans="2:18">
      <c r="B1701" s="269">
        <v>46283</v>
      </c>
      <c r="C1701" s="268" t="s">
        <v>2127</v>
      </c>
      <c r="D1701" s="274">
        <f>IFERROR(VLOOKUP(C1701,'Data Lokasi'!C:D,2,0),"")</f>
        <v>6.54</v>
      </c>
      <c r="E1701" s="274" t="s">
        <v>2642</v>
      </c>
      <c r="F1701" s="274"/>
      <c r="G1701" s="274"/>
      <c r="H1701" s="274"/>
      <c r="I1701" s="274">
        <v>0.06</v>
      </c>
      <c r="J1701" s="456">
        <f t="shared" si="57"/>
        <v>0.06</v>
      </c>
      <c r="K1701" s="583"/>
      <c r="L1701" s="268" t="s">
        <v>2625</v>
      </c>
      <c r="M1701" s="268" t="s">
        <v>2631</v>
      </c>
      <c r="N1701" s="278">
        <f>IFERROR(INDEX('Data Lokasi'!S:S,MATCH('Input Real Tanam&amp;Petik Nanas'!C1701,'Data Lokasi'!C:C,0)),"")</f>
        <v>46269</v>
      </c>
      <c r="O1701" s="278"/>
      <c r="P1701" s="283">
        <f>IFERROR(INDEX('Data Lokasi'!V:V,MATCH(C1701,'Data Lokasi'!C:C,0)),"")</f>
        <v>6.54</v>
      </c>
      <c r="Q1701" s="304">
        <f t="shared" si="58"/>
        <v>1</v>
      </c>
      <c r="R1701" s="308"/>
    </row>
    <row r="1702" spans="2:18">
      <c r="B1702" s="269">
        <v>46283</v>
      </c>
      <c r="C1702" s="268" t="s">
        <v>281</v>
      </c>
      <c r="D1702" s="274">
        <f>IFERROR(VLOOKUP(C1702,'Data Lokasi'!C:D,2,0),"")</f>
        <v>8.3000000000000007</v>
      </c>
      <c r="E1702" s="274" t="s">
        <v>2642</v>
      </c>
      <c r="F1702" s="274"/>
      <c r="G1702" s="274"/>
      <c r="H1702" s="274"/>
      <c r="I1702" s="274">
        <v>0.2</v>
      </c>
      <c r="J1702" s="456">
        <f t="shared" si="57"/>
        <v>0.2</v>
      </c>
      <c r="K1702" s="583"/>
      <c r="L1702" s="268" t="s">
        <v>2625</v>
      </c>
      <c r="M1702" s="268" t="s">
        <v>2634</v>
      </c>
      <c r="N1702" s="278">
        <f>IFERROR(INDEX('Data Lokasi'!S:S,MATCH('Input Real Tanam&amp;Petik Nanas'!C1702,'Data Lokasi'!C:C,0)),"")</f>
        <v>44105</v>
      </c>
      <c r="O1702" s="278"/>
      <c r="P1702" s="283">
        <f>IFERROR(INDEX('Data Lokasi'!V:V,MATCH(C1702,'Data Lokasi'!C:C,0)),"")</f>
        <v>0</v>
      </c>
      <c r="Q1702" s="304">
        <f t="shared" si="58"/>
        <v>0</v>
      </c>
      <c r="R1702" s="308"/>
    </row>
    <row r="1703" spans="2:18" hidden="1">
      <c r="B1703" s="269">
        <v>46283</v>
      </c>
      <c r="C1703" s="268" t="s">
        <v>21</v>
      </c>
      <c r="D1703" s="274">
        <f>IFERROR(VLOOKUP(C1703,'Data Lokasi'!C:D,2,0),"")</f>
        <v>6.57</v>
      </c>
      <c r="E1703" s="274" t="s">
        <v>2643</v>
      </c>
      <c r="F1703" s="274"/>
      <c r="G1703" s="274"/>
      <c r="H1703" s="274"/>
      <c r="I1703" s="274">
        <v>1.64</v>
      </c>
      <c r="J1703" s="456">
        <f t="shared" si="57"/>
        <v>1.64</v>
      </c>
      <c r="K1703" s="583"/>
      <c r="L1703" s="268" t="s">
        <v>2625</v>
      </c>
      <c r="M1703" s="268" t="s">
        <v>2631</v>
      </c>
      <c r="N1703" s="278">
        <f>IFERROR(INDEX('Data Lokasi'!S:S,MATCH('Input Real Tanam&amp;Petik Nanas'!C1703,'Data Lokasi'!C:C,0)),"")</f>
        <v>44732</v>
      </c>
      <c r="O1703" s="278"/>
      <c r="P1703" s="283">
        <f>IFERROR(INDEX('Data Lokasi'!V:V,MATCH(C1703,'Data Lokasi'!C:C,0)),"")</f>
        <v>0</v>
      </c>
      <c r="Q1703" s="304">
        <f t="shared" si="58"/>
        <v>0</v>
      </c>
      <c r="R1703" s="308"/>
    </row>
    <row r="1704" spans="2:18" hidden="1">
      <c r="B1704" s="269">
        <v>46283</v>
      </c>
      <c r="C1704" s="268" t="s">
        <v>536</v>
      </c>
      <c r="D1704" s="274">
        <f>IFERROR(VLOOKUP(C1704,'Data Lokasi'!C:D,2,0),"")</f>
        <v>7.75</v>
      </c>
      <c r="E1704" s="274" t="s">
        <v>2643</v>
      </c>
      <c r="F1704" s="274"/>
      <c r="G1704" s="274"/>
      <c r="H1704" s="274"/>
      <c r="I1704" s="274">
        <v>1.97</v>
      </c>
      <c r="J1704" s="456">
        <f t="shared" si="57"/>
        <v>1.97</v>
      </c>
      <c r="K1704" s="583"/>
      <c r="L1704" s="268" t="s">
        <v>2625</v>
      </c>
      <c r="M1704" s="268" t="s">
        <v>2631</v>
      </c>
      <c r="N1704" s="278">
        <f>IFERROR(INDEX('Data Lokasi'!S:S,MATCH('Input Real Tanam&amp;Petik Nanas'!C1704,'Data Lokasi'!C:C,0)),"")</f>
        <v>44637</v>
      </c>
      <c r="O1704" s="278"/>
      <c r="P1704" s="283">
        <f>IFERROR(INDEX('Data Lokasi'!V:V,MATCH(C1704,'Data Lokasi'!C:C,0)),"")</f>
        <v>0</v>
      </c>
      <c r="Q1704" s="304">
        <f t="shared" si="58"/>
        <v>0</v>
      </c>
      <c r="R1704" s="308"/>
    </row>
    <row r="1705" spans="2:18" hidden="1">
      <c r="B1705" s="269">
        <v>46283</v>
      </c>
      <c r="C1705" s="268" t="s">
        <v>425</v>
      </c>
      <c r="D1705" s="274">
        <f>IFERROR(VLOOKUP(C1705,'Data Lokasi'!C:D,2,0),"")</f>
        <v>8.85</v>
      </c>
      <c r="E1705" s="274" t="s">
        <v>2643</v>
      </c>
      <c r="F1705" s="274"/>
      <c r="G1705" s="274"/>
      <c r="H1705" s="274">
        <v>0.03</v>
      </c>
      <c r="I1705" s="274">
        <f>0.05+0.08</f>
        <v>0.13</v>
      </c>
      <c r="J1705" s="456">
        <f t="shared" si="57"/>
        <v>0.16</v>
      </c>
      <c r="K1705" s="583"/>
      <c r="L1705" s="268" t="s">
        <v>719</v>
      </c>
      <c r="M1705" s="268" t="s">
        <v>2631</v>
      </c>
      <c r="N1705" s="278">
        <f>IFERROR(INDEX('Data Lokasi'!S:S,MATCH('Input Real Tanam&amp;Petik Nanas'!C1705,'Data Lokasi'!C:C,0)),"")</f>
        <v>44389</v>
      </c>
      <c r="O1705" s="278"/>
      <c r="P1705" s="283">
        <f>IFERROR(INDEX('Data Lokasi'!V:V,MATCH(C1705,'Data Lokasi'!C:C,0)),"")</f>
        <v>0</v>
      </c>
      <c r="Q1705" s="304">
        <f t="shared" si="58"/>
        <v>0</v>
      </c>
      <c r="R1705" s="308">
        <v>6</v>
      </c>
    </row>
    <row r="1706" spans="2:18" hidden="1">
      <c r="B1706" s="269">
        <v>46283</v>
      </c>
      <c r="C1706" s="268" t="s">
        <v>432</v>
      </c>
      <c r="D1706" s="274">
        <f>IFERROR(VLOOKUP(C1706,'Data Lokasi'!C:D,2,0),"")</f>
        <v>9.9</v>
      </c>
      <c r="E1706" s="274" t="s">
        <v>2643</v>
      </c>
      <c r="F1706" s="274"/>
      <c r="G1706" s="274">
        <f>0.04+0.09</f>
        <v>0.13</v>
      </c>
      <c r="H1706" s="274">
        <f>0.08+0.12</f>
        <v>0.2</v>
      </c>
      <c r="I1706" s="274"/>
      <c r="J1706" s="456">
        <f t="shared" si="57"/>
        <v>0.33</v>
      </c>
      <c r="K1706" s="583"/>
      <c r="L1706" s="268" t="s">
        <v>719</v>
      </c>
      <c r="M1706" s="268" t="s">
        <v>2634</v>
      </c>
      <c r="N1706" s="278">
        <f>IFERROR(INDEX('Data Lokasi'!S:S,MATCH('Input Real Tanam&amp;Petik Nanas'!C1706,'Data Lokasi'!C:C,0)),"")</f>
        <v>44394</v>
      </c>
      <c r="O1706" s="278"/>
      <c r="P1706" s="283">
        <f>IFERROR(INDEX('Data Lokasi'!V:V,MATCH(C1706,'Data Lokasi'!C:C,0)),"")</f>
        <v>0</v>
      </c>
      <c r="Q1706" s="304">
        <f t="shared" si="58"/>
        <v>0</v>
      </c>
      <c r="R1706" s="308">
        <v>2</v>
      </c>
    </row>
    <row r="1707" spans="2:18" hidden="1">
      <c r="B1707" s="269">
        <v>46283</v>
      </c>
      <c r="C1707" s="268" t="s">
        <v>409</v>
      </c>
      <c r="D1707" s="274">
        <f>IFERROR(VLOOKUP(C1707,'Data Lokasi'!C:D,2,0),"")</f>
        <v>8.83</v>
      </c>
      <c r="E1707" s="274" t="s">
        <v>2643</v>
      </c>
      <c r="F1707" s="274"/>
      <c r="G1707" s="274">
        <v>0.03</v>
      </c>
      <c r="H1707" s="274">
        <f>0.07+0.25</f>
        <v>0.32</v>
      </c>
      <c r="I1707" s="274"/>
      <c r="J1707" s="456">
        <f t="shared" si="57"/>
        <v>0.35</v>
      </c>
      <c r="K1707" s="583"/>
      <c r="L1707" s="268" t="s">
        <v>719</v>
      </c>
      <c r="M1707" s="268" t="s">
        <v>2634</v>
      </c>
      <c r="N1707" s="278">
        <f>IFERROR(INDEX('Data Lokasi'!S:S,MATCH('Input Real Tanam&amp;Petik Nanas'!C1707,'Data Lokasi'!C:C,0)),"")</f>
        <v>44365</v>
      </c>
      <c r="O1707" s="278"/>
      <c r="P1707" s="283">
        <f>IFERROR(INDEX('Data Lokasi'!V:V,MATCH(C1707,'Data Lokasi'!C:C,0)),"")</f>
        <v>0</v>
      </c>
      <c r="Q1707" s="304">
        <f t="shared" si="58"/>
        <v>0</v>
      </c>
      <c r="R1707" s="308">
        <v>8</v>
      </c>
    </row>
    <row r="1708" spans="2:18" hidden="1">
      <c r="B1708" s="269">
        <v>46283</v>
      </c>
      <c r="C1708" s="268" t="s">
        <v>171</v>
      </c>
      <c r="D1708" s="274">
        <f>IFERROR(VLOOKUP(C1708,'Data Lokasi'!C:D,2,0),"")</f>
        <v>5.38</v>
      </c>
      <c r="E1708" s="274" t="s">
        <v>2643</v>
      </c>
      <c r="F1708" s="274"/>
      <c r="G1708" s="274"/>
      <c r="H1708" s="274"/>
      <c r="I1708" s="274">
        <v>0.02</v>
      </c>
      <c r="J1708" s="456">
        <f t="shared" si="57"/>
        <v>0.02</v>
      </c>
      <c r="K1708" s="583"/>
      <c r="L1708" s="268" t="s">
        <v>719</v>
      </c>
      <c r="M1708" s="268" t="s">
        <v>2634</v>
      </c>
      <c r="N1708" s="278">
        <f>IFERROR(INDEX('Data Lokasi'!S:S,MATCH('Input Real Tanam&amp;Petik Nanas'!C1708,'Data Lokasi'!C:C,0)),"")</f>
        <v>43919</v>
      </c>
      <c r="O1708" s="278"/>
      <c r="P1708" s="283">
        <f>IFERROR(INDEX('Data Lokasi'!V:V,MATCH(C1708,'Data Lokasi'!C:C,0)),"")</f>
        <v>0</v>
      </c>
      <c r="Q1708" s="304">
        <f t="shared" si="58"/>
        <v>0</v>
      </c>
      <c r="R1708" s="308">
        <v>6</v>
      </c>
    </row>
    <row r="1709" spans="2:18">
      <c r="B1709" s="269">
        <v>46284</v>
      </c>
      <c r="C1709" s="268" t="s">
        <v>2713</v>
      </c>
      <c r="D1709" s="274">
        <f>IFERROR(VLOOKUP(C1709,'Data Lokasi'!C:D,2,0),"")</f>
        <v>10.01</v>
      </c>
      <c r="E1709" s="274" t="s">
        <v>2642</v>
      </c>
      <c r="F1709" s="274"/>
      <c r="G1709" s="274"/>
      <c r="H1709" s="274">
        <v>0.12</v>
      </c>
      <c r="I1709" s="274"/>
      <c r="J1709" s="456">
        <f t="shared" si="57"/>
        <v>0.12</v>
      </c>
      <c r="K1709" s="583"/>
      <c r="L1709" s="268" t="s">
        <v>719</v>
      </c>
      <c r="M1709" s="268" t="s">
        <v>2631</v>
      </c>
      <c r="N1709" s="278">
        <f>IFERROR(INDEX('Data Lokasi'!S:S,MATCH('Input Real Tanam&amp;Petik Nanas'!C1709,'Data Lokasi'!C:C,0)),"")</f>
        <v>46284</v>
      </c>
      <c r="O1709" s="278"/>
      <c r="P1709" s="283">
        <f>IFERROR(INDEX('Data Lokasi'!V:V,MATCH(C1709,'Data Lokasi'!C:C,0)),"")</f>
        <v>9.0100000000000016</v>
      </c>
      <c r="Q1709" s="304">
        <f t="shared" si="58"/>
        <v>0.90009990009990026</v>
      </c>
      <c r="R1709" s="308"/>
    </row>
    <row r="1710" spans="2:18">
      <c r="B1710" s="269">
        <v>46284</v>
      </c>
      <c r="C1710" s="268" t="s">
        <v>693</v>
      </c>
      <c r="D1710" s="274">
        <f>IFERROR(VLOOKUP(C1710,'Data Lokasi'!C:D,2,0),"")</f>
        <v>6.87</v>
      </c>
      <c r="E1710" s="274" t="s">
        <v>2642</v>
      </c>
      <c r="F1710" s="274"/>
      <c r="G1710" s="274"/>
      <c r="H1710" s="274"/>
      <c r="I1710" s="274">
        <v>0.95</v>
      </c>
      <c r="J1710" s="456">
        <f t="shared" si="57"/>
        <v>0.95</v>
      </c>
      <c r="K1710" s="583"/>
      <c r="L1710" s="268" t="s">
        <v>2625</v>
      </c>
      <c r="M1710" s="268" t="s">
        <v>2631</v>
      </c>
      <c r="N1710" s="278">
        <f>IFERROR(INDEX('Data Lokasi'!S:S,MATCH('Input Real Tanam&amp;Petik Nanas'!C1710,'Data Lokasi'!C:C,0)),"")</f>
        <v>45151</v>
      </c>
      <c r="O1710" s="278"/>
      <c r="P1710" s="283">
        <f>IFERROR(INDEX('Data Lokasi'!V:V,MATCH(C1710,'Data Lokasi'!C:C,0)),"")</f>
        <v>0</v>
      </c>
      <c r="Q1710" s="304">
        <f t="shared" si="58"/>
        <v>0</v>
      </c>
      <c r="R1710" s="308"/>
    </row>
    <row r="1711" spans="2:18">
      <c r="B1711" s="269">
        <v>46284</v>
      </c>
      <c r="C1711" s="268" t="s">
        <v>148</v>
      </c>
      <c r="D1711" s="274">
        <f>IFERROR(VLOOKUP(C1711,'Data Lokasi'!C:D,2,0),"")</f>
        <v>8.76</v>
      </c>
      <c r="E1711" s="274" t="s">
        <v>2642</v>
      </c>
      <c r="F1711" s="274"/>
      <c r="G1711" s="274"/>
      <c r="H1711" s="274"/>
      <c r="I1711" s="274">
        <v>1.33</v>
      </c>
      <c r="J1711" s="456">
        <f t="shared" si="57"/>
        <v>1.33</v>
      </c>
      <c r="K1711" s="583"/>
      <c r="L1711" s="268" t="s">
        <v>2625</v>
      </c>
      <c r="M1711" s="268" t="s">
        <v>2631</v>
      </c>
      <c r="N1711" s="278">
        <f>IFERROR(INDEX('Data Lokasi'!S:S,MATCH('Input Real Tanam&amp;Petik Nanas'!C1711,'Data Lokasi'!C:C,0)),"")</f>
        <v>46281</v>
      </c>
      <c r="O1711" s="278"/>
      <c r="P1711" s="283">
        <f>IFERROR(INDEX('Data Lokasi'!V:V,MATCH(C1711,'Data Lokasi'!C:C,0)),"")</f>
        <v>8.76</v>
      </c>
      <c r="Q1711" s="304">
        <f t="shared" si="58"/>
        <v>1</v>
      </c>
      <c r="R1711" s="308"/>
    </row>
    <row r="1712" spans="2:18">
      <c r="B1712" s="269">
        <v>46284</v>
      </c>
      <c r="C1712" s="268" t="s">
        <v>693</v>
      </c>
      <c r="D1712" s="274">
        <f>IFERROR(VLOOKUP(C1712,'Data Lokasi'!C:D,2,0),"")</f>
        <v>6.87</v>
      </c>
      <c r="E1712" s="274" t="s">
        <v>2642</v>
      </c>
      <c r="F1712" s="274"/>
      <c r="G1712" s="274"/>
      <c r="H1712" s="274"/>
      <c r="I1712" s="274">
        <v>0.28999999999999998</v>
      </c>
      <c r="J1712" s="456">
        <f t="shared" si="57"/>
        <v>0.28999999999999998</v>
      </c>
      <c r="K1712" s="583"/>
      <c r="L1712" s="268" t="s">
        <v>2625</v>
      </c>
      <c r="M1712" s="268" t="s">
        <v>2634</v>
      </c>
      <c r="N1712" s="278">
        <f>IFERROR(INDEX('Data Lokasi'!S:S,MATCH('Input Real Tanam&amp;Petik Nanas'!C1712,'Data Lokasi'!C:C,0)),"")</f>
        <v>45151</v>
      </c>
      <c r="O1712" s="278"/>
      <c r="P1712" s="283">
        <f>IFERROR(INDEX('Data Lokasi'!V:V,MATCH(C1712,'Data Lokasi'!C:C,0)),"")</f>
        <v>0</v>
      </c>
      <c r="Q1712" s="304">
        <f t="shared" si="58"/>
        <v>0</v>
      </c>
      <c r="R1712" s="308"/>
    </row>
    <row r="1713" spans="2:18">
      <c r="B1713" s="269">
        <v>46284</v>
      </c>
      <c r="C1713" s="268" t="s">
        <v>285</v>
      </c>
      <c r="D1713" s="274">
        <f>IFERROR(VLOOKUP(C1713,'Data Lokasi'!C:D,2,0),"")</f>
        <v>11.96</v>
      </c>
      <c r="E1713" s="274" t="s">
        <v>2642</v>
      </c>
      <c r="F1713" s="274"/>
      <c r="G1713" s="274"/>
      <c r="H1713" s="274"/>
      <c r="I1713" s="274">
        <v>0.08</v>
      </c>
      <c r="J1713" s="456">
        <f t="shared" si="57"/>
        <v>0.08</v>
      </c>
      <c r="K1713" s="583"/>
      <c r="L1713" s="268" t="s">
        <v>2625</v>
      </c>
      <c r="M1713" s="268" t="s">
        <v>2634</v>
      </c>
      <c r="N1713" s="278">
        <f>IFERROR(INDEX('Data Lokasi'!S:S,MATCH('Input Real Tanam&amp;Petik Nanas'!C1713,'Data Lokasi'!C:C,0)),"")</f>
        <v>44118</v>
      </c>
      <c r="O1713" s="278"/>
      <c r="P1713" s="283">
        <f>IFERROR(INDEX('Data Lokasi'!V:V,MATCH(C1713,'Data Lokasi'!C:C,0)),"")</f>
        <v>0</v>
      </c>
      <c r="Q1713" s="304">
        <f t="shared" si="58"/>
        <v>0</v>
      </c>
      <c r="R1713" s="308"/>
    </row>
    <row r="1714" spans="2:18" hidden="1">
      <c r="B1714" s="269">
        <v>46284</v>
      </c>
      <c r="C1714" s="268" t="s">
        <v>2548</v>
      </c>
      <c r="D1714" s="274">
        <f>IFERROR(VLOOKUP(C1714,'Data Lokasi'!C:D,2,0),"")</f>
        <v>6.83</v>
      </c>
      <c r="E1714" s="274" t="s">
        <v>2643</v>
      </c>
      <c r="F1714" s="274">
        <v>3.0000000000000001E-3</v>
      </c>
      <c r="G1714" s="274">
        <f>0.02+0.04</f>
        <v>0.06</v>
      </c>
      <c r="H1714" s="274">
        <f>0.07+0.11</f>
        <v>0.18</v>
      </c>
      <c r="I1714" s="274"/>
      <c r="J1714" s="456">
        <f t="shared" si="57"/>
        <v>0.24299999999999999</v>
      </c>
      <c r="K1714" s="583"/>
      <c r="L1714" s="268" t="s">
        <v>719</v>
      </c>
      <c r="M1714" s="268" t="s">
        <v>2631</v>
      </c>
      <c r="N1714" s="278">
        <f>IFERROR(INDEX('Data Lokasi'!S:S,MATCH('Input Real Tanam&amp;Petik Nanas'!C1714,'Data Lokasi'!C:C,0)),"")</f>
        <v>45600</v>
      </c>
      <c r="O1714" s="278"/>
      <c r="P1714" s="283">
        <f>IFERROR(INDEX('Data Lokasi'!V:V,MATCH(C1714,'Data Lokasi'!C:C,0)),"")</f>
        <v>0</v>
      </c>
      <c r="Q1714" s="304">
        <f t="shared" si="58"/>
        <v>0</v>
      </c>
      <c r="R1714" s="308">
        <v>1</v>
      </c>
    </row>
    <row r="1715" spans="2:18" hidden="1">
      <c r="B1715" s="269">
        <v>46284</v>
      </c>
      <c r="C1715" s="268" t="s">
        <v>432</v>
      </c>
      <c r="D1715" s="274">
        <f>IFERROR(VLOOKUP(C1715,'Data Lokasi'!C:D,2,0),"")</f>
        <v>9.9</v>
      </c>
      <c r="E1715" s="274" t="s">
        <v>2643</v>
      </c>
      <c r="F1715" s="274"/>
      <c r="G1715" s="274">
        <f>0.03+0.06</f>
        <v>0.09</v>
      </c>
      <c r="H1715" s="274">
        <f>0.08+0.09</f>
        <v>0.16999999999999998</v>
      </c>
      <c r="I1715" s="274"/>
      <c r="J1715" s="456">
        <f t="shared" si="57"/>
        <v>0.26</v>
      </c>
      <c r="K1715" s="583"/>
      <c r="L1715" s="268" t="s">
        <v>719</v>
      </c>
      <c r="M1715" s="268" t="s">
        <v>2634</v>
      </c>
      <c r="N1715" s="278">
        <f>IFERROR(INDEX('Data Lokasi'!S:S,MATCH('Input Real Tanam&amp;Petik Nanas'!C1715,'Data Lokasi'!C:C,0)),"")</f>
        <v>44394</v>
      </c>
      <c r="O1715" s="278"/>
      <c r="P1715" s="283">
        <f>IFERROR(INDEX('Data Lokasi'!V:V,MATCH(C1715,'Data Lokasi'!C:C,0)),"")</f>
        <v>0</v>
      </c>
      <c r="Q1715" s="304">
        <f t="shared" si="58"/>
        <v>0</v>
      </c>
      <c r="R1715" s="308">
        <v>2</v>
      </c>
    </row>
    <row r="1716" spans="2:18" hidden="1">
      <c r="B1716" s="269">
        <v>46284</v>
      </c>
      <c r="C1716" s="268" t="s">
        <v>820</v>
      </c>
      <c r="D1716" s="274">
        <f>IFERROR(VLOOKUP(C1716,'Data Lokasi'!C:D,2,0),"")</f>
        <v>8.17</v>
      </c>
      <c r="E1716" s="274" t="s">
        <v>2643</v>
      </c>
      <c r="F1716" s="274"/>
      <c r="G1716" s="274"/>
      <c r="H1716" s="274"/>
      <c r="I1716" s="274">
        <v>1.92</v>
      </c>
      <c r="J1716" s="456">
        <f t="shared" si="57"/>
        <v>1.92</v>
      </c>
      <c r="K1716" s="583"/>
      <c r="L1716" s="268" t="s">
        <v>2625</v>
      </c>
      <c r="M1716" s="268" t="s">
        <v>2634</v>
      </c>
      <c r="N1716" s="278">
        <f>IFERROR(INDEX('Data Lokasi'!S:S,MATCH('Input Real Tanam&amp;Petik Nanas'!C1716,'Data Lokasi'!C:C,0)),"")</f>
        <v>45780</v>
      </c>
      <c r="O1716" s="278"/>
      <c r="P1716" s="283">
        <f>IFERROR(INDEX('Data Lokasi'!V:V,MATCH(C1716,'Data Lokasi'!C:C,0)),"")</f>
        <v>0</v>
      </c>
      <c r="Q1716" s="304">
        <f t="shared" si="58"/>
        <v>0</v>
      </c>
      <c r="R1716" s="308"/>
    </row>
    <row r="1717" spans="2:18" hidden="1">
      <c r="B1717" s="269">
        <v>46284</v>
      </c>
      <c r="C1717" s="268" t="s">
        <v>325</v>
      </c>
      <c r="D1717" s="274">
        <f>IFERROR(VLOOKUP(C1717,'Data Lokasi'!C:D,2,0),"")</f>
        <v>5.86</v>
      </c>
      <c r="E1717" s="274" t="s">
        <v>2643</v>
      </c>
      <c r="F1717" s="274"/>
      <c r="G1717" s="274"/>
      <c r="H1717" s="274"/>
      <c r="I1717" s="274">
        <v>0.75</v>
      </c>
      <c r="J1717" s="456">
        <f t="shared" si="57"/>
        <v>0.75</v>
      </c>
      <c r="K1717" s="583"/>
      <c r="L1717" s="268" t="s">
        <v>2625</v>
      </c>
      <c r="M1717" s="268" t="s">
        <v>2634</v>
      </c>
      <c r="N1717" s="278">
        <f>IFERROR(INDEX('Data Lokasi'!S:S,MATCH('Input Real Tanam&amp;Petik Nanas'!C1717,'Data Lokasi'!C:C,0)),"")</f>
        <v>44227</v>
      </c>
      <c r="O1717" s="278"/>
      <c r="P1717" s="283">
        <f>IFERROR(INDEX('Data Lokasi'!V:V,MATCH(C1717,'Data Lokasi'!C:C,0)),"")</f>
        <v>0</v>
      </c>
      <c r="Q1717" s="304">
        <f t="shared" si="58"/>
        <v>0</v>
      </c>
      <c r="R1717" s="308"/>
    </row>
    <row r="1718" spans="2:18" hidden="1">
      <c r="B1718" s="269">
        <v>46284</v>
      </c>
      <c r="C1718" s="268" t="s">
        <v>21</v>
      </c>
      <c r="D1718" s="274">
        <f>IFERROR(VLOOKUP(C1718,'Data Lokasi'!C:D,2,0),"")</f>
        <v>6.57</v>
      </c>
      <c r="E1718" s="274" t="s">
        <v>2643</v>
      </c>
      <c r="F1718" s="274"/>
      <c r="G1718" s="274"/>
      <c r="H1718" s="274"/>
      <c r="I1718" s="274">
        <v>1.91</v>
      </c>
      <c r="J1718" s="456">
        <f t="shared" si="57"/>
        <v>1.91</v>
      </c>
      <c r="K1718" s="583"/>
      <c r="L1718" s="268" t="s">
        <v>2625</v>
      </c>
      <c r="M1718" s="268" t="s">
        <v>2631</v>
      </c>
      <c r="N1718" s="278">
        <f>IFERROR(INDEX('Data Lokasi'!S:S,MATCH('Input Real Tanam&amp;Petik Nanas'!C1718,'Data Lokasi'!C:C,0)),"")</f>
        <v>44732</v>
      </c>
      <c r="O1718" s="278"/>
      <c r="P1718" s="283">
        <f>IFERROR(INDEX('Data Lokasi'!V:V,MATCH(C1718,'Data Lokasi'!C:C,0)),"")</f>
        <v>0</v>
      </c>
      <c r="Q1718" s="304">
        <f t="shared" si="58"/>
        <v>0</v>
      </c>
      <c r="R1718" s="308"/>
    </row>
    <row r="1719" spans="2:18" hidden="1">
      <c r="B1719" s="269">
        <v>46284</v>
      </c>
      <c r="C1719" s="268" t="s">
        <v>536</v>
      </c>
      <c r="D1719" s="274">
        <f>IFERROR(VLOOKUP(C1719,'Data Lokasi'!C:D,2,0),"")</f>
        <v>7.75</v>
      </c>
      <c r="E1719" s="274" t="s">
        <v>2643</v>
      </c>
      <c r="F1719" s="274"/>
      <c r="G1719" s="274"/>
      <c r="H1719" s="274"/>
      <c r="I1719" s="274">
        <v>0.7</v>
      </c>
      <c r="J1719" s="456">
        <f t="shared" si="57"/>
        <v>0.7</v>
      </c>
      <c r="K1719" s="583"/>
      <c r="L1719" s="268" t="s">
        <v>2625</v>
      </c>
      <c r="M1719" s="268" t="s">
        <v>2631</v>
      </c>
      <c r="N1719" s="278">
        <f>IFERROR(INDEX('Data Lokasi'!S:S,MATCH('Input Real Tanam&amp;Petik Nanas'!C1719,'Data Lokasi'!C:C,0)),"")</f>
        <v>44637</v>
      </c>
      <c r="O1719" s="278"/>
      <c r="P1719" s="283">
        <f>IFERROR(INDEX('Data Lokasi'!V:V,MATCH(C1719,'Data Lokasi'!C:C,0)),"")</f>
        <v>0</v>
      </c>
      <c r="Q1719" s="304">
        <f t="shared" si="58"/>
        <v>0</v>
      </c>
      <c r="R1719" s="308"/>
    </row>
    <row r="1720" spans="2:18" hidden="1">
      <c r="B1720" s="269">
        <v>46284</v>
      </c>
      <c r="C1720" s="268" t="s">
        <v>820</v>
      </c>
      <c r="D1720" s="274">
        <f>IFERROR(VLOOKUP(C1720,'Data Lokasi'!C:D,2,0),"")</f>
        <v>8.17</v>
      </c>
      <c r="E1720" s="274" t="s">
        <v>2643</v>
      </c>
      <c r="F1720" s="274"/>
      <c r="G1720" s="274"/>
      <c r="H1720" s="274"/>
      <c r="I1720" s="274">
        <v>0.82</v>
      </c>
      <c r="J1720" s="456">
        <f t="shared" si="57"/>
        <v>0.82</v>
      </c>
      <c r="K1720" s="583"/>
      <c r="L1720" s="268" t="s">
        <v>2625</v>
      </c>
      <c r="M1720" s="268" t="s">
        <v>2631</v>
      </c>
      <c r="N1720" s="278">
        <f>IFERROR(INDEX('Data Lokasi'!S:S,MATCH('Input Real Tanam&amp;Petik Nanas'!C1720,'Data Lokasi'!C:C,0)),"")</f>
        <v>45780</v>
      </c>
      <c r="O1720" s="278"/>
      <c r="P1720" s="283">
        <f>IFERROR(INDEX('Data Lokasi'!V:V,MATCH(C1720,'Data Lokasi'!C:C,0)),"")</f>
        <v>0</v>
      </c>
      <c r="Q1720" s="304">
        <f t="shared" si="58"/>
        <v>0</v>
      </c>
      <c r="R1720" s="308"/>
    </row>
    <row r="1721" spans="2:18" hidden="1">
      <c r="B1721" s="269">
        <v>46284</v>
      </c>
      <c r="C1721" s="268" t="s">
        <v>425</v>
      </c>
      <c r="D1721" s="274">
        <f>IFERROR(VLOOKUP(C1721,'Data Lokasi'!C:D,2,0),"")</f>
        <v>8.85</v>
      </c>
      <c r="E1721" s="274" t="s">
        <v>2643</v>
      </c>
      <c r="F1721" s="274"/>
      <c r="G1721" s="274"/>
      <c r="H1721" s="274">
        <v>0.02</v>
      </c>
      <c r="I1721" s="274">
        <f>0.06+0.1</f>
        <v>0.16</v>
      </c>
      <c r="J1721" s="456">
        <f t="shared" si="57"/>
        <v>0.18</v>
      </c>
      <c r="K1721" s="583"/>
      <c r="L1721" s="268" t="s">
        <v>719</v>
      </c>
      <c r="M1721" s="268" t="s">
        <v>2631</v>
      </c>
      <c r="N1721" s="278">
        <f>IFERROR(INDEX('Data Lokasi'!S:S,MATCH('Input Real Tanam&amp;Petik Nanas'!C1721,'Data Lokasi'!C:C,0)),"")</f>
        <v>44389</v>
      </c>
      <c r="O1721" s="278"/>
      <c r="P1721" s="283">
        <f>IFERROR(INDEX('Data Lokasi'!V:V,MATCH(C1721,'Data Lokasi'!C:C,0)),"")</f>
        <v>0</v>
      </c>
      <c r="Q1721" s="304">
        <f t="shared" si="58"/>
        <v>0</v>
      </c>
      <c r="R1721" s="308">
        <v>6</v>
      </c>
    </row>
    <row r="1722" spans="2:18">
      <c r="B1722" s="269">
        <v>46285</v>
      </c>
      <c r="C1722" s="268" t="s">
        <v>693</v>
      </c>
      <c r="D1722" s="274">
        <f>IFERROR(VLOOKUP(C1722,'Data Lokasi'!C:D,2,0),"")</f>
        <v>6.87</v>
      </c>
      <c r="E1722" s="274" t="s">
        <v>2642</v>
      </c>
      <c r="F1722" s="274"/>
      <c r="G1722" s="274"/>
      <c r="H1722" s="274"/>
      <c r="I1722" s="274">
        <f>0.64+1</f>
        <v>1.6400000000000001</v>
      </c>
      <c r="J1722" s="456">
        <f t="shared" si="57"/>
        <v>1.6400000000000001</v>
      </c>
      <c r="K1722" s="583"/>
      <c r="L1722" s="268" t="s">
        <v>2625</v>
      </c>
      <c r="M1722" s="268" t="s">
        <v>2631</v>
      </c>
      <c r="N1722" s="278">
        <f>IFERROR(INDEX('Data Lokasi'!S:S,MATCH('Input Real Tanam&amp;Petik Nanas'!C1722,'Data Lokasi'!C:C,0)),"")</f>
        <v>45151</v>
      </c>
      <c r="O1722" s="278"/>
      <c r="P1722" s="283">
        <f>IFERROR(INDEX('Data Lokasi'!V:V,MATCH(C1722,'Data Lokasi'!C:C,0)),"")</f>
        <v>0</v>
      </c>
      <c r="Q1722" s="304">
        <f t="shared" si="58"/>
        <v>0</v>
      </c>
      <c r="R1722" s="308"/>
    </row>
    <row r="1723" spans="2:18">
      <c r="B1723" s="269">
        <v>46285</v>
      </c>
      <c r="C1723" s="268" t="s">
        <v>2712</v>
      </c>
      <c r="D1723" s="274">
        <f>IFERROR(VLOOKUP(C1723,'Data Lokasi'!C:D,2,0),"")</f>
        <v>6.02</v>
      </c>
      <c r="E1723" s="274" t="s">
        <v>2642</v>
      </c>
      <c r="F1723" s="274"/>
      <c r="G1723" s="274">
        <v>0.1</v>
      </c>
      <c r="H1723" s="274"/>
      <c r="I1723" s="274"/>
      <c r="J1723" s="456">
        <f t="shared" si="57"/>
        <v>0.1</v>
      </c>
      <c r="K1723" s="583"/>
      <c r="L1723" s="268" t="s">
        <v>719</v>
      </c>
      <c r="M1723" s="268" t="s">
        <v>2631</v>
      </c>
      <c r="N1723" s="278">
        <f>IFERROR(INDEX('Data Lokasi'!S:S,MATCH('Input Real Tanam&amp;Petik Nanas'!C1723,'Data Lokasi'!C:C,0)),"")</f>
        <v>46271</v>
      </c>
      <c r="O1723" s="278"/>
      <c r="P1723" s="283">
        <f>IFERROR(INDEX('Data Lokasi'!V:V,MATCH(C1723,'Data Lokasi'!C:C,0)),"")</f>
        <v>6.0200000000000005</v>
      </c>
      <c r="Q1723" s="304">
        <f t="shared" si="58"/>
        <v>1.0000000000000002</v>
      </c>
      <c r="R1723" s="308"/>
    </row>
    <row r="1724" spans="2:18">
      <c r="B1724" s="269">
        <v>46285</v>
      </c>
      <c r="C1724" s="268" t="s">
        <v>2713</v>
      </c>
      <c r="D1724" s="274">
        <f>IFERROR(VLOOKUP(C1724,'Data Lokasi'!C:D,2,0),"")</f>
        <v>10.01</v>
      </c>
      <c r="E1724" s="274" t="s">
        <v>2642</v>
      </c>
      <c r="F1724" s="274"/>
      <c r="G1724" s="274"/>
      <c r="H1724" s="274">
        <v>0.17</v>
      </c>
      <c r="I1724" s="274"/>
      <c r="J1724" s="456">
        <f t="shared" si="57"/>
        <v>0.17</v>
      </c>
      <c r="K1724" s="583"/>
      <c r="L1724" s="268" t="s">
        <v>719</v>
      </c>
      <c r="M1724" s="268" t="s">
        <v>2631</v>
      </c>
      <c r="N1724" s="278">
        <f>IFERROR(INDEX('Data Lokasi'!S:S,MATCH('Input Real Tanam&amp;Petik Nanas'!C1724,'Data Lokasi'!C:C,0)),"")</f>
        <v>46284</v>
      </c>
      <c r="O1724" s="278"/>
      <c r="P1724" s="283">
        <f>IFERROR(INDEX('Data Lokasi'!V:V,MATCH(C1724,'Data Lokasi'!C:C,0)),"")</f>
        <v>9.0100000000000016</v>
      </c>
      <c r="Q1724" s="304">
        <f t="shared" si="58"/>
        <v>0.90009990009990026</v>
      </c>
      <c r="R1724" s="308"/>
    </row>
    <row r="1725" spans="2:18">
      <c r="B1725" s="269">
        <v>46285</v>
      </c>
      <c r="C1725" s="268" t="s">
        <v>148</v>
      </c>
      <c r="D1725" s="274">
        <f>IFERROR(VLOOKUP(C1725,'Data Lokasi'!C:D,2,0),"")</f>
        <v>8.76</v>
      </c>
      <c r="E1725" s="274" t="s">
        <v>2642</v>
      </c>
      <c r="F1725" s="274"/>
      <c r="G1725" s="274"/>
      <c r="H1725" s="274"/>
      <c r="I1725" s="274">
        <f>1+0.47</f>
        <v>1.47</v>
      </c>
      <c r="J1725" s="456">
        <f t="shared" si="57"/>
        <v>1.47</v>
      </c>
      <c r="K1725" s="583"/>
      <c r="L1725" s="268" t="s">
        <v>2625</v>
      </c>
      <c r="M1725" s="268" t="s">
        <v>2631</v>
      </c>
      <c r="N1725" s="278">
        <f>IFERROR(INDEX('Data Lokasi'!S:S,MATCH('Input Real Tanam&amp;Petik Nanas'!C1725,'Data Lokasi'!C:C,0)),"")</f>
        <v>46281</v>
      </c>
      <c r="O1725" s="278"/>
      <c r="P1725" s="283">
        <f>IFERROR(INDEX('Data Lokasi'!V:V,MATCH(C1725,'Data Lokasi'!C:C,0)),"")</f>
        <v>8.76</v>
      </c>
      <c r="Q1725" s="304">
        <f t="shared" si="58"/>
        <v>1</v>
      </c>
      <c r="R1725" s="308"/>
    </row>
    <row r="1726" spans="2:18">
      <c r="B1726" s="269">
        <v>46285</v>
      </c>
      <c r="C1726" s="268" t="s">
        <v>138</v>
      </c>
      <c r="D1726" s="274">
        <f>IFERROR(VLOOKUP(C1726,'Data Lokasi'!C:D,2,0),"")</f>
        <v>5.21</v>
      </c>
      <c r="E1726" s="274" t="s">
        <v>2642</v>
      </c>
      <c r="F1726" s="274"/>
      <c r="G1726" s="274"/>
      <c r="H1726" s="274"/>
      <c r="I1726" s="274">
        <v>0.86</v>
      </c>
      <c r="J1726" s="456">
        <f t="shared" si="57"/>
        <v>0.86</v>
      </c>
      <c r="K1726" s="583"/>
      <c r="L1726" s="268" t="s">
        <v>2625</v>
      </c>
      <c r="M1726" s="268" t="s">
        <v>2634</v>
      </c>
      <c r="N1726" s="278">
        <f>IFERROR(INDEX('Data Lokasi'!S:S,MATCH('Input Real Tanam&amp;Petik Nanas'!C1726,'Data Lokasi'!C:C,0)),"")</f>
        <v>45314</v>
      </c>
      <c r="O1726" s="278"/>
      <c r="P1726" s="283">
        <f>IFERROR(INDEX('Data Lokasi'!V:V,MATCH(C1726,'Data Lokasi'!C:C,0)),"")</f>
        <v>0</v>
      </c>
      <c r="Q1726" s="304">
        <f t="shared" si="58"/>
        <v>0</v>
      </c>
      <c r="R1726" s="308"/>
    </row>
    <row r="1727" spans="2:18" hidden="1">
      <c r="B1727" s="269">
        <v>46285</v>
      </c>
      <c r="C1727" s="268" t="s">
        <v>432</v>
      </c>
      <c r="D1727" s="274">
        <f>IFERROR(VLOOKUP(C1727,'Data Lokasi'!C:D,2,0),"")</f>
        <v>9.9</v>
      </c>
      <c r="E1727" s="274" t="s">
        <v>2643</v>
      </c>
      <c r="F1727" s="274"/>
      <c r="G1727" s="274">
        <f>0.12+0.25</f>
        <v>0.37</v>
      </c>
      <c r="H1727" s="274">
        <f>0.29+0.44</f>
        <v>0.73</v>
      </c>
      <c r="I1727" s="274"/>
      <c r="J1727" s="456">
        <f t="shared" si="57"/>
        <v>1.1000000000000001</v>
      </c>
      <c r="K1727" s="583"/>
      <c r="L1727" s="268" t="s">
        <v>719</v>
      </c>
      <c r="M1727" s="268" t="s">
        <v>2634</v>
      </c>
      <c r="N1727" s="278">
        <f>IFERROR(INDEX('Data Lokasi'!S:S,MATCH('Input Real Tanam&amp;Petik Nanas'!C1727,'Data Lokasi'!C:C,0)),"")</f>
        <v>44394</v>
      </c>
      <c r="O1727" s="278"/>
      <c r="P1727" s="283">
        <f>IFERROR(INDEX('Data Lokasi'!V:V,MATCH(C1727,'Data Lokasi'!C:C,0)),"")</f>
        <v>0</v>
      </c>
      <c r="Q1727" s="304">
        <f t="shared" si="58"/>
        <v>0</v>
      </c>
      <c r="R1727" s="308">
        <v>2</v>
      </c>
    </row>
    <row r="1728" spans="2:18" hidden="1">
      <c r="B1728" s="269">
        <v>46285</v>
      </c>
      <c r="C1728" s="268" t="s">
        <v>326</v>
      </c>
      <c r="D1728" s="274">
        <f>IFERROR(VLOOKUP(C1728,'Data Lokasi'!C:D,2,0),"")</f>
        <v>5.46</v>
      </c>
      <c r="E1728" s="274" t="s">
        <v>2643</v>
      </c>
      <c r="F1728" s="274"/>
      <c r="G1728" s="274"/>
      <c r="H1728" s="274"/>
      <c r="I1728" s="274">
        <v>1.4</v>
      </c>
      <c r="J1728" s="456">
        <f t="shared" si="57"/>
        <v>1.4</v>
      </c>
      <c r="K1728" s="583"/>
      <c r="L1728" s="268" t="s">
        <v>2625</v>
      </c>
      <c r="M1728" s="268" t="s">
        <v>2631</v>
      </c>
      <c r="N1728" s="278">
        <f>IFERROR(INDEX('Data Lokasi'!S:S,MATCH('Input Real Tanam&amp;Petik Nanas'!C1728,'Data Lokasi'!C:C,0)),"")</f>
        <v>44222</v>
      </c>
      <c r="O1728" s="278"/>
      <c r="P1728" s="283">
        <f>IFERROR(INDEX('Data Lokasi'!V:V,MATCH(C1728,'Data Lokasi'!C:C,0)),"")</f>
        <v>0</v>
      </c>
      <c r="Q1728" s="304">
        <f t="shared" si="58"/>
        <v>0</v>
      </c>
      <c r="R1728" s="308"/>
    </row>
    <row r="1729" spans="2:18" hidden="1">
      <c r="B1729" s="269">
        <v>46285</v>
      </c>
      <c r="C1729" s="268" t="s">
        <v>820</v>
      </c>
      <c r="D1729" s="274">
        <f>IFERROR(VLOOKUP(C1729,'Data Lokasi'!C:D,2,0),"")</f>
        <v>8.17</v>
      </c>
      <c r="E1729" s="274" t="s">
        <v>2643</v>
      </c>
      <c r="F1729" s="274"/>
      <c r="G1729" s="274"/>
      <c r="H1729" s="274"/>
      <c r="I1729" s="274">
        <v>3.11</v>
      </c>
      <c r="J1729" s="456">
        <f t="shared" si="57"/>
        <v>3.11</v>
      </c>
      <c r="K1729" s="583"/>
      <c r="L1729" s="268" t="s">
        <v>2625</v>
      </c>
      <c r="M1729" s="268" t="s">
        <v>2631</v>
      </c>
      <c r="N1729" s="278">
        <f>IFERROR(INDEX('Data Lokasi'!S:S,MATCH('Input Real Tanam&amp;Petik Nanas'!C1729,'Data Lokasi'!C:C,0)),"")</f>
        <v>45780</v>
      </c>
      <c r="O1729" s="278"/>
      <c r="P1729" s="283">
        <f>IFERROR(INDEX('Data Lokasi'!V:V,MATCH(C1729,'Data Lokasi'!C:C,0)),"")</f>
        <v>0</v>
      </c>
      <c r="Q1729" s="304">
        <f t="shared" si="58"/>
        <v>0</v>
      </c>
      <c r="R1729" s="308"/>
    </row>
    <row r="1730" spans="2:18" hidden="1">
      <c r="B1730" s="269">
        <v>46285</v>
      </c>
      <c r="C1730" s="268" t="s">
        <v>425</v>
      </c>
      <c r="D1730" s="274">
        <f>IFERROR(VLOOKUP(C1730,'Data Lokasi'!C:D,2,0),"")</f>
        <v>8.85</v>
      </c>
      <c r="E1730" s="274" t="s">
        <v>2643</v>
      </c>
      <c r="F1730" s="274"/>
      <c r="G1730" s="274"/>
      <c r="H1730" s="274">
        <f>0.02+0.05</f>
        <v>7.0000000000000007E-2</v>
      </c>
      <c r="I1730" s="274">
        <f>0.15+0.16</f>
        <v>0.31</v>
      </c>
      <c r="J1730" s="456">
        <f t="shared" si="57"/>
        <v>0.38</v>
      </c>
      <c r="K1730" s="583"/>
      <c r="L1730" s="268" t="s">
        <v>719</v>
      </c>
      <c r="M1730" s="268" t="s">
        <v>2631</v>
      </c>
      <c r="N1730" s="278">
        <f>IFERROR(INDEX('Data Lokasi'!S:S,MATCH('Input Real Tanam&amp;Petik Nanas'!C1730,'Data Lokasi'!C:C,0)),"")</f>
        <v>44389</v>
      </c>
      <c r="O1730" s="278"/>
      <c r="P1730" s="283">
        <f>IFERROR(INDEX('Data Lokasi'!V:V,MATCH(C1730,'Data Lokasi'!C:C,0)),"")</f>
        <v>0</v>
      </c>
      <c r="Q1730" s="304">
        <f t="shared" si="58"/>
        <v>0</v>
      </c>
      <c r="R1730" s="308">
        <v>6</v>
      </c>
    </row>
    <row r="1731" spans="2:18" hidden="1">
      <c r="B1731" s="269">
        <v>46285</v>
      </c>
      <c r="C1731" s="268" t="s">
        <v>2547</v>
      </c>
      <c r="D1731" s="274">
        <f>IFERROR(VLOOKUP(C1731,'Data Lokasi'!C:D,2,0),"")</f>
        <v>4.97</v>
      </c>
      <c r="E1731" s="274" t="s">
        <v>2643</v>
      </c>
      <c r="F1731" s="274"/>
      <c r="G1731" s="274">
        <f>0.01+0.09</f>
        <v>9.9999999999999992E-2</v>
      </c>
      <c r="H1731" s="274">
        <f>0.17+0.22</f>
        <v>0.39</v>
      </c>
      <c r="I1731" s="274"/>
      <c r="J1731" s="456">
        <f t="shared" si="57"/>
        <v>0.49</v>
      </c>
      <c r="K1731" s="583"/>
      <c r="L1731" s="268" t="s">
        <v>719</v>
      </c>
      <c r="M1731" s="268" t="s">
        <v>2631</v>
      </c>
      <c r="N1731" s="278">
        <f>IFERROR(INDEX('Data Lokasi'!S:S,MATCH('Input Real Tanam&amp;Petik Nanas'!C1731,'Data Lokasi'!C:C,0)),"")</f>
        <v>45595</v>
      </c>
      <c r="O1731" s="278"/>
      <c r="P1731" s="283">
        <f>IFERROR(INDEX('Data Lokasi'!V:V,MATCH(C1731,'Data Lokasi'!C:C,0)),"")</f>
        <v>0</v>
      </c>
      <c r="Q1731" s="304">
        <f t="shared" si="58"/>
        <v>0</v>
      </c>
      <c r="R1731" s="308">
        <v>1</v>
      </c>
    </row>
    <row r="1732" spans="2:18" hidden="1">
      <c r="B1732" s="269">
        <v>46285</v>
      </c>
      <c r="C1732" s="268" t="s">
        <v>2548</v>
      </c>
      <c r="D1732" s="274">
        <f>IFERROR(VLOOKUP(C1732,'Data Lokasi'!C:D,2,0),"")</f>
        <v>6.83</v>
      </c>
      <c r="E1732" s="274" t="s">
        <v>2643</v>
      </c>
      <c r="F1732" s="274">
        <v>0.01</v>
      </c>
      <c r="G1732" s="274">
        <f>0.02+0.06</f>
        <v>0.08</v>
      </c>
      <c r="H1732" s="274">
        <f>0.1+0.16</f>
        <v>0.26</v>
      </c>
      <c r="I1732" s="274"/>
      <c r="J1732" s="456">
        <f t="shared" si="57"/>
        <v>0.35</v>
      </c>
      <c r="K1732" s="583"/>
      <c r="L1732" s="268" t="s">
        <v>719</v>
      </c>
      <c r="M1732" s="268" t="s">
        <v>2631</v>
      </c>
      <c r="N1732" s="278">
        <f>IFERROR(INDEX('Data Lokasi'!S:S,MATCH('Input Real Tanam&amp;Petik Nanas'!C1732,'Data Lokasi'!C:C,0)),"")</f>
        <v>45600</v>
      </c>
      <c r="O1732" s="278"/>
      <c r="P1732" s="283">
        <f>IFERROR(INDEX('Data Lokasi'!V:V,MATCH(C1732,'Data Lokasi'!C:C,0)),"")</f>
        <v>0</v>
      </c>
      <c r="Q1732" s="304">
        <f t="shared" si="58"/>
        <v>0</v>
      </c>
      <c r="R1732" s="308">
        <v>1</v>
      </c>
    </row>
    <row r="1733" spans="2:18">
      <c r="B1733" s="269">
        <v>46286</v>
      </c>
      <c r="C1733" s="268" t="s">
        <v>149</v>
      </c>
      <c r="D1733" s="274">
        <f>IFERROR(VLOOKUP(C1733,'Data Lokasi'!C:D,2,0),"")</f>
        <v>5.37</v>
      </c>
      <c r="E1733" s="274" t="s">
        <v>2642</v>
      </c>
      <c r="F1733" s="274"/>
      <c r="G1733" s="274"/>
      <c r="H1733" s="274"/>
      <c r="I1733" s="274">
        <v>0.04</v>
      </c>
      <c r="J1733" s="456">
        <f t="shared" si="57"/>
        <v>0.04</v>
      </c>
      <c r="K1733" s="583"/>
      <c r="L1733" s="268" t="s">
        <v>2625</v>
      </c>
      <c r="M1733" s="268" t="s">
        <v>2631</v>
      </c>
      <c r="N1733" s="278">
        <f>IFERROR(INDEX('Data Lokasi'!S:S,MATCH('Input Real Tanam&amp;Petik Nanas'!C1733,'Data Lokasi'!C:C,0)),"")</f>
        <v>45295</v>
      </c>
      <c r="O1733" s="278"/>
      <c r="P1733" s="283">
        <f>IFERROR(INDEX('Data Lokasi'!V:V,MATCH(C1733,'Data Lokasi'!C:C,0)),"")</f>
        <v>0</v>
      </c>
      <c r="Q1733" s="304">
        <f t="shared" si="58"/>
        <v>0</v>
      </c>
      <c r="R1733" s="308"/>
    </row>
    <row r="1734" spans="2:18">
      <c r="B1734" s="269">
        <v>46286</v>
      </c>
      <c r="C1734" s="268" t="s">
        <v>2713</v>
      </c>
      <c r="D1734" s="274">
        <f>IFERROR(VLOOKUP(C1734,'Data Lokasi'!C:D,2,0),"")</f>
        <v>10.01</v>
      </c>
      <c r="E1734" s="274" t="s">
        <v>2642</v>
      </c>
      <c r="F1734" s="274"/>
      <c r="G1734" s="274"/>
      <c r="H1734" s="274">
        <v>0.17</v>
      </c>
      <c r="I1734" s="274"/>
      <c r="J1734" s="456">
        <f t="shared" si="57"/>
        <v>0.17</v>
      </c>
      <c r="K1734" s="583"/>
      <c r="L1734" s="268" t="s">
        <v>719</v>
      </c>
      <c r="M1734" s="268" t="s">
        <v>2631</v>
      </c>
      <c r="N1734" s="278">
        <f>IFERROR(INDEX('Data Lokasi'!S:S,MATCH('Input Real Tanam&amp;Petik Nanas'!C1734,'Data Lokasi'!C:C,0)),"")</f>
        <v>46284</v>
      </c>
      <c r="O1734" s="278"/>
      <c r="P1734" s="283">
        <f>IFERROR(INDEX('Data Lokasi'!V:V,MATCH(C1734,'Data Lokasi'!C:C,0)),"")</f>
        <v>9.0100000000000016</v>
      </c>
      <c r="Q1734" s="304">
        <f t="shared" si="58"/>
        <v>0.90009990009990026</v>
      </c>
      <c r="R1734" s="308"/>
    </row>
    <row r="1735" spans="2:18">
      <c r="B1735" s="269">
        <v>46286</v>
      </c>
      <c r="C1735" s="268" t="s">
        <v>693</v>
      </c>
      <c r="D1735" s="274">
        <f>IFERROR(VLOOKUP(C1735,'Data Lokasi'!C:D,2,0),"")</f>
        <v>6.87</v>
      </c>
      <c r="E1735" s="274" t="s">
        <v>2642</v>
      </c>
      <c r="F1735" s="274"/>
      <c r="G1735" s="274"/>
      <c r="H1735" s="274"/>
      <c r="I1735" s="274">
        <f>0.59+1</f>
        <v>1.5899999999999999</v>
      </c>
      <c r="J1735" s="456">
        <f t="shared" si="57"/>
        <v>1.5899999999999999</v>
      </c>
      <c r="K1735" s="583"/>
      <c r="L1735" s="268" t="s">
        <v>2625</v>
      </c>
      <c r="M1735" s="268" t="s">
        <v>2631</v>
      </c>
      <c r="N1735" s="278">
        <f>IFERROR(INDEX('Data Lokasi'!S:S,MATCH('Input Real Tanam&amp;Petik Nanas'!C1735,'Data Lokasi'!C:C,0)),"")</f>
        <v>45151</v>
      </c>
      <c r="O1735" s="278"/>
      <c r="P1735" s="283">
        <f>IFERROR(INDEX('Data Lokasi'!V:V,MATCH(C1735,'Data Lokasi'!C:C,0)),"")</f>
        <v>0</v>
      </c>
      <c r="Q1735" s="304">
        <f t="shared" si="58"/>
        <v>0</v>
      </c>
      <c r="R1735" s="308"/>
    </row>
    <row r="1736" spans="2:18">
      <c r="B1736" s="269">
        <v>46286</v>
      </c>
      <c r="C1736" s="268" t="s">
        <v>148</v>
      </c>
      <c r="D1736" s="274">
        <f>IFERROR(VLOOKUP(C1736,'Data Lokasi'!C:D,2,0),"")</f>
        <v>8.76</v>
      </c>
      <c r="E1736" s="274" t="s">
        <v>2642</v>
      </c>
      <c r="F1736" s="274"/>
      <c r="G1736" s="274"/>
      <c r="H1736" s="274"/>
      <c r="I1736" s="274">
        <v>0.69</v>
      </c>
      <c r="J1736" s="456">
        <f t="shared" si="57"/>
        <v>0.69</v>
      </c>
      <c r="K1736" s="583"/>
      <c r="L1736" s="268" t="s">
        <v>2625</v>
      </c>
      <c r="M1736" s="268" t="s">
        <v>2631</v>
      </c>
      <c r="N1736" s="278">
        <f>IFERROR(INDEX('Data Lokasi'!S:S,MATCH('Input Real Tanam&amp;Petik Nanas'!C1736,'Data Lokasi'!C:C,0)),"")</f>
        <v>46281</v>
      </c>
      <c r="O1736" s="278"/>
      <c r="P1736" s="283">
        <f>IFERROR(INDEX('Data Lokasi'!V:V,MATCH(C1736,'Data Lokasi'!C:C,0)),"")</f>
        <v>8.76</v>
      </c>
      <c r="Q1736" s="304">
        <f t="shared" si="58"/>
        <v>1</v>
      </c>
      <c r="R1736" s="308"/>
    </row>
    <row r="1737" spans="2:18">
      <c r="B1737" s="269">
        <v>46286</v>
      </c>
      <c r="C1737" s="268" t="s">
        <v>693</v>
      </c>
      <c r="D1737" s="274">
        <f>IFERROR(VLOOKUP(C1737,'Data Lokasi'!C:D,2,0),"")</f>
        <v>6.87</v>
      </c>
      <c r="E1737" s="274" t="s">
        <v>2642</v>
      </c>
      <c r="F1737" s="274"/>
      <c r="G1737" s="274"/>
      <c r="H1737" s="274"/>
      <c r="I1737" s="274">
        <v>0.33</v>
      </c>
      <c r="J1737" s="456">
        <f t="shared" si="57"/>
        <v>0.33</v>
      </c>
      <c r="K1737" s="583"/>
      <c r="L1737" s="268" t="s">
        <v>2625</v>
      </c>
      <c r="M1737" s="268" t="s">
        <v>2634</v>
      </c>
      <c r="N1737" s="278">
        <f>IFERROR(INDEX('Data Lokasi'!S:S,MATCH('Input Real Tanam&amp;Petik Nanas'!C1737,'Data Lokasi'!C:C,0)),"")</f>
        <v>45151</v>
      </c>
      <c r="O1737" s="278"/>
      <c r="P1737" s="283">
        <f>IFERROR(INDEX('Data Lokasi'!V:V,MATCH(C1737,'Data Lokasi'!C:C,0)),"")</f>
        <v>0</v>
      </c>
      <c r="Q1737" s="304">
        <f t="shared" si="58"/>
        <v>0</v>
      </c>
      <c r="R1737" s="308"/>
    </row>
    <row r="1738" spans="2:18">
      <c r="B1738" s="269">
        <v>46286</v>
      </c>
      <c r="C1738" s="268" t="s">
        <v>138</v>
      </c>
      <c r="D1738" s="274">
        <f>IFERROR(VLOOKUP(C1738,'Data Lokasi'!C:D,2,0),"")</f>
        <v>5.21</v>
      </c>
      <c r="E1738" s="274" t="s">
        <v>2642</v>
      </c>
      <c r="F1738" s="274"/>
      <c r="G1738" s="274"/>
      <c r="H1738" s="274"/>
      <c r="I1738" s="274">
        <v>1.66</v>
      </c>
      <c r="J1738" s="456">
        <f t="shared" si="57"/>
        <v>1.66</v>
      </c>
      <c r="K1738" s="583"/>
      <c r="L1738" s="268" t="s">
        <v>2625</v>
      </c>
      <c r="M1738" s="268" t="s">
        <v>2634</v>
      </c>
      <c r="N1738" s="278">
        <f>IFERROR(INDEX('Data Lokasi'!S:S,MATCH('Input Real Tanam&amp;Petik Nanas'!C1738,'Data Lokasi'!C:C,0)),"")</f>
        <v>45314</v>
      </c>
      <c r="O1738" s="278"/>
      <c r="P1738" s="283">
        <f>IFERROR(INDEX('Data Lokasi'!V:V,MATCH(C1738,'Data Lokasi'!C:C,0)),"")</f>
        <v>0</v>
      </c>
      <c r="Q1738" s="304">
        <f t="shared" si="58"/>
        <v>0</v>
      </c>
      <c r="R1738" s="308"/>
    </row>
    <row r="1739" spans="2:18" hidden="1">
      <c r="B1739" s="269">
        <v>46286</v>
      </c>
      <c r="C1739" s="268" t="s">
        <v>155</v>
      </c>
      <c r="D1739" s="274">
        <f>IFERROR(VLOOKUP(C1739,'Data Lokasi'!C:D,2,0),"")</f>
        <v>9.9600000000000009</v>
      </c>
      <c r="E1739" s="274" t="s">
        <v>2643</v>
      </c>
      <c r="F1739" s="274"/>
      <c r="G1739" s="274"/>
      <c r="H1739" s="274"/>
      <c r="I1739" s="274">
        <v>1.72</v>
      </c>
      <c r="J1739" s="456">
        <f t="shared" si="57"/>
        <v>1.72</v>
      </c>
      <c r="K1739" s="583"/>
      <c r="L1739" s="268" t="s">
        <v>2625</v>
      </c>
      <c r="M1739" s="268" t="s">
        <v>2631</v>
      </c>
      <c r="N1739" s="278">
        <f>IFERROR(INDEX('Data Lokasi'!S:S,MATCH('Input Real Tanam&amp;Petik Nanas'!C1739,'Data Lokasi'!C:C,0)),"")</f>
        <v>44211</v>
      </c>
      <c r="O1739" s="278"/>
      <c r="P1739" s="283">
        <f>IFERROR(INDEX('Data Lokasi'!V:V,MATCH(C1739,'Data Lokasi'!C:C,0)),"")</f>
        <v>0</v>
      </c>
      <c r="Q1739" s="304">
        <f t="shared" si="58"/>
        <v>0</v>
      </c>
      <c r="R1739" s="308"/>
    </row>
    <row r="1740" spans="2:18" hidden="1">
      <c r="B1740" s="269">
        <v>46286</v>
      </c>
      <c r="C1740" s="268" t="s">
        <v>820</v>
      </c>
      <c r="D1740" s="274">
        <f>IFERROR(VLOOKUP(C1740,'Data Lokasi'!C:D,2,0),"")</f>
        <v>8.17</v>
      </c>
      <c r="E1740" s="274" t="s">
        <v>2643</v>
      </c>
      <c r="F1740" s="274"/>
      <c r="G1740" s="274"/>
      <c r="H1740" s="274"/>
      <c r="I1740" s="274">
        <v>0.12</v>
      </c>
      <c r="J1740" s="456">
        <f t="shared" si="57"/>
        <v>0.12</v>
      </c>
      <c r="K1740" s="583"/>
      <c r="L1740" s="268" t="s">
        <v>2625</v>
      </c>
      <c r="M1740" s="268" t="s">
        <v>2631</v>
      </c>
      <c r="N1740" s="278">
        <f>IFERROR(INDEX('Data Lokasi'!S:S,MATCH('Input Real Tanam&amp;Petik Nanas'!C1740,'Data Lokasi'!C:C,0)),"")</f>
        <v>45780</v>
      </c>
      <c r="O1740" s="278"/>
      <c r="P1740" s="283">
        <f>IFERROR(INDEX('Data Lokasi'!V:V,MATCH(C1740,'Data Lokasi'!C:C,0)),"")</f>
        <v>0</v>
      </c>
      <c r="Q1740" s="304">
        <f t="shared" si="58"/>
        <v>0</v>
      </c>
      <c r="R1740" s="308"/>
    </row>
    <row r="1741" spans="2:18" hidden="1">
      <c r="B1741" s="269">
        <v>46286</v>
      </c>
      <c r="C1741" s="268" t="s">
        <v>425</v>
      </c>
      <c r="D1741" s="274">
        <f>IFERROR(VLOOKUP(C1741,'Data Lokasi'!C:D,2,0),"")</f>
        <v>8.85</v>
      </c>
      <c r="E1741" s="274" t="s">
        <v>2643</v>
      </c>
      <c r="F1741" s="274"/>
      <c r="G1741" s="274"/>
      <c r="H1741" s="274">
        <v>0.03</v>
      </c>
      <c r="I1741" s="274">
        <f>0.03+0.07</f>
        <v>0.1</v>
      </c>
      <c r="J1741" s="456">
        <f t="shared" si="57"/>
        <v>0.13</v>
      </c>
      <c r="K1741" s="583"/>
      <c r="L1741" s="268" t="s">
        <v>719</v>
      </c>
      <c r="M1741" s="268" t="s">
        <v>2631</v>
      </c>
      <c r="N1741" s="278">
        <f>IFERROR(INDEX('Data Lokasi'!S:S,MATCH('Input Real Tanam&amp;Petik Nanas'!C1741,'Data Lokasi'!C:C,0)),"")</f>
        <v>44389</v>
      </c>
      <c r="O1741" s="278"/>
      <c r="P1741" s="283">
        <f>IFERROR(INDEX('Data Lokasi'!V:V,MATCH(C1741,'Data Lokasi'!C:C,0)),"")</f>
        <v>0</v>
      </c>
      <c r="Q1741" s="304">
        <f t="shared" si="58"/>
        <v>0</v>
      </c>
      <c r="R1741" s="308">
        <v>6</v>
      </c>
    </row>
    <row r="1742" spans="2:18" hidden="1">
      <c r="B1742" s="269">
        <v>46286</v>
      </c>
      <c r="C1742" s="268" t="s">
        <v>432</v>
      </c>
      <c r="D1742" s="274">
        <f>IFERROR(VLOOKUP(C1742,'Data Lokasi'!C:D,2,0),"")</f>
        <v>9.9</v>
      </c>
      <c r="E1742" s="274" t="s">
        <v>2643</v>
      </c>
      <c r="F1742" s="274"/>
      <c r="G1742" s="274">
        <f>0.15+0.32</f>
        <v>0.47</v>
      </c>
      <c r="H1742" s="274">
        <f>0.37+0.59</f>
        <v>0.96</v>
      </c>
      <c r="I1742" s="274"/>
      <c r="J1742" s="456">
        <f t="shared" si="57"/>
        <v>1.43</v>
      </c>
      <c r="K1742" s="583"/>
      <c r="L1742" s="268" t="s">
        <v>719</v>
      </c>
      <c r="M1742" s="268" t="s">
        <v>2634</v>
      </c>
      <c r="N1742" s="278">
        <f>IFERROR(INDEX('Data Lokasi'!S:S,MATCH('Input Real Tanam&amp;Petik Nanas'!C1742,'Data Lokasi'!C:C,0)),"")</f>
        <v>44394</v>
      </c>
      <c r="O1742" s="278"/>
      <c r="P1742" s="283">
        <f>IFERROR(INDEX('Data Lokasi'!V:V,MATCH(C1742,'Data Lokasi'!C:C,0)),"")</f>
        <v>0</v>
      </c>
      <c r="Q1742" s="304">
        <f t="shared" si="58"/>
        <v>0</v>
      </c>
      <c r="R1742" s="308">
        <v>2</v>
      </c>
    </row>
    <row r="1743" spans="2:18" hidden="1">
      <c r="B1743" s="269">
        <v>46286</v>
      </c>
      <c r="C1743" s="268" t="s">
        <v>2547</v>
      </c>
      <c r="D1743" s="274">
        <f>IFERROR(VLOOKUP(C1743,'Data Lokasi'!C:D,2,0),"")</f>
        <v>4.97</v>
      </c>
      <c r="E1743" s="274" t="s">
        <v>2643</v>
      </c>
      <c r="F1743" s="274"/>
      <c r="G1743" s="274">
        <v>0.01</v>
      </c>
      <c r="H1743" s="274">
        <f>0.03+0.05</f>
        <v>0.08</v>
      </c>
      <c r="I1743" s="274"/>
      <c r="J1743" s="456">
        <f t="shared" si="57"/>
        <v>0.09</v>
      </c>
      <c r="K1743" s="583"/>
      <c r="L1743" s="268" t="s">
        <v>719</v>
      </c>
      <c r="M1743" s="268" t="s">
        <v>2631</v>
      </c>
      <c r="N1743" s="278">
        <f>IFERROR(INDEX('Data Lokasi'!S:S,MATCH('Input Real Tanam&amp;Petik Nanas'!C1743,'Data Lokasi'!C:C,0)),"")</f>
        <v>45595</v>
      </c>
      <c r="O1743" s="278"/>
      <c r="P1743" s="283">
        <f>IFERROR(INDEX('Data Lokasi'!V:V,MATCH(C1743,'Data Lokasi'!C:C,0)),"")</f>
        <v>0</v>
      </c>
      <c r="Q1743" s="304">
        <f t="shared" si="58"/>
        <v>0</v>
      </c>
      <c r="R1743" s="308">
        <v>1</v>
      </c>
    </row>
    <row r="1744" spans="2:18" hidden="1">
      <c r="B1744" s="269">
        <v>46286</v>
      </c>
      <c r="C1744" s="268" t="s">
        <v>395</v>
      </c>
      <c r="D1744" s="274">
        <f>IFERROR(VLOOKUP(C1744,'Data Lokasi'!C:D,2,0),"")</f>
        <v>6.32</v>
      </c>
      <c r="E1744" s="274" t="s">
        <v>2643</v>
      </c>
      <c r="F1744" s="274"/>
      <c r="G1744" s="274">
        <f>0.003+0.006</f>
        <v>9.0000000000000011E-3</v>
      </c>
      <c r="H1744" s="274">
        <f>0.02+0.06</f>
        <v>0.08</v>
      </c>
      <c r="I1744" s="274">
        <f>0.1+0.27</f>
        <v>0.37</v>
      </c>
      <c r="J1744" s="456">
        <f t="shared" si="57"/>
        <v>0.45899999999999996</v>
      </c>
      <c r="K1744" s="583"/>
      <c r="L1744" s="268" t="s">
        <v>719</v>
      </c>
      <c r="M1744" s="268" t="s">
        <v>2634</v>
      </c>
      <c r="N1744" s="278">
        <f>IFERROR(INDEX('Data Lokasi'!S:S,MATCH('Input Real Tanam&amp;Petik Nanas'!C1744,'Data Lokasi'!C:C,0)),"")</f>
        <v>44369</v>
      </c>
      <c r="O1744" s="278"/>
      <c r="P1744" s="283">
        <f>IFERROR(INDEX('Data Lokasi'!V:V,MATCH(C1744,'Data Lokasi'!C:C,0)),"")</f>
        <v>0</v>
      </c>
      <c r="Q1744" s="304">
        <f t="shared" si="58"/>
        <v>0</v>
      </c>
      <c r="R1744" s="308">
        <v>8</v>
      </c>
    </row>
    <row r="1745" spans="2:18">
      <c r="B1745" s="269">
        <v>46287</v>
      </c>
      <c r="C1745" s="268" t="s">
        <v>693</v>
      </c>
      <c r="D1745" s="274">
        <f>IFERROR(VLOOKUP(C1745,'Data Lokasi'!C:D,2,0),"")</f>
        <v>6.87</v>
      </c>
      <c r="E1745" s="274" t="s">
        <v>2642</v>
      </c>
      <c r="F1745" s="274"/>
      <c r="G1745" s="274"/>
      <c r="H1745" s="274"/>
      <c r="I1745" s="274">
        <v>0.37</v>
      </c>
      <c r="J1745" s="456">
        <f t="shared" si="57"/>
        <v>0.37</v>
      </c>
      <c r="K1745" s="583"/>
      <c r="L1745" s="268" t="s">
        <v>2625</v>
      </c>
      <c r="M1745" s="268" t="s">
        <v>2634</v>
      </c>
      <c r="N1745" s="278">
        <f>IFERROR(INDEX('Data Lokasi'!S:S,MATCH('Input Real Tanam&amp;Petik Nanas'!C1745,'Data Lokasi'!C:C,0)),"")</f>
        <v>45151</v>
      </c>
      <c r="O1745" s="278"/>
      <c r="P1745" s="283">
        <f>IFERROR(INDEX('Data Lokasi'!V:V,MATCH(C1745,'Data Lokasi'!C:C,0)),"")</f>
        <v>0</v>
      </c>
      <c r="Q1745" s="304">
        <f t="shared" si="58"/>
        <v>0</v>
      </c>
      <c r="R1745" s="308"/>
    </row>
    <row r="1746" spans="2:18">
      <c r="B1746" s="269">
        <v>46287</v>
      </c>
      <c r="C1746" s="268" t="s">
        <v>138</v>
      </c>
      <c r="D1746" s="274">
        <f>IFERROR(VLOOKUP(C1746,'Data Lokasi'!C:D,2,0),"")</f>
        <v>5.21</v>
      </c>
      <c r="E1746" s="274" t="s">
        <v>2642</v>
      </c>
      <c r="F1746" s="274"/>
      <c r="G1746" s="274"/>
      <c r="H1746" s="274"/>
      <c r="I1746" s="274">
        <v>1.63</v>
      </c>
      <c r="J1746" s="456">
        <f t="shared" si="57"/>
        <v>1.63</v>
      </c>
      <c r="K1746" s="583"/>
      <c r="L1746" s="268" t="s">
        <v>2625</v>
      </c>
      <c r="M1746" s="268" t="s">
        <v>2634</v>
      </c>
      <c r="N1746" s="278">
        <f>IFERROR(INDEX('Data Lokasi'!S:S,MATCH('Input Real Tanam&amp;Petik Nanas'!C1746,'Data Lokasi'!C:C,0)),"")</f>
        <v>45314</v>
      </c>
      <c r="O1746" s="278"/>
      <c r="P1746" s="283">
        <f>IFERROR(INDEX('Data Lokasi'!V:V,MATCH(C1746,'Data Lokasi'!C:C,0)),"")</f>
        <v>0</v>
      </c>
      <c r="Q1746" s="304">
        <f t="shared" si="58"/>
        <v>0</v>
      </c>
      <c r="R1746" s="308"/>
    </row>
    <row r="1747" spans="2:18">
      <c r="B1747" s="269">
        <v>46287</v>
      </c>
      <c r="C1747" s="268" t="s">
        <v>273</v>
      </c>
      <c r="D1747" s="274">
        <f>IFERROR(VLOOKUP(C1747,'Data Lokasi'!C:D,2,0),"")</f>
        <v>4.9000000000000004</v>
      </c>
      <c r="E1747" s="274" t="s">
        <v>2642</v>
      </c>
      <c r="F1747" s="274"/>
      <c r="G1747" s="274"/>
      <c r="H1747" s="274"/>
      <c r="I1747" s="274">
        <v>0.01</v>
      </c>
      <c r="J1747" s="456">
        <f t="shared" si="57"/>
        <v>0.01</v>
      </c>
      <c r="K1747" s="583"/>
      <c r="L1747" s="268" t="s">
        <v>2625</v>
      </c>
      <c r="M1747" s="268" t="s">
        <v>2634</v>
      </c>
      <c r="N1747" s="278">
        <f>IFERROR(INDEX('Data Lokasi'!S:S,MATCH('Input Real Tanam&amp;Petik Nanas'!C1747,'Data Lokasi'!C:C,0)),"")</f>
        <v>44103</v>
      </c>
      <c r="O1747" s="278"/>
      <c r="P1747" s="283">
        <f>IFERROR(INDEX('Data Lokasi'!V:V,MATCH(C1747,'Data Lokasi'!C:C,0)),"")</f>
        <v>0</v>
      </c>
      <c r="Q1747" s="304">
        <f t="shared" si="58"/>
        <v>0</v>
      </c>
      <c r="R1747" s="308"/>
    </row>
    <row r="1748" spans="2:18">
      <c r="B1748" s="269">
        <v>46287</v>
      </c>
      <c r="C1748" s="268" t="s">
        <v>281</v>
      </c>
      <c r="D1748" s="274">
        <f>IFERROR(VLOOKUP(C1748,'Data Lokasi'!C:D,2,0),"")</f>
        <v>8.3000000000000007</v>
      </c>
      <c r="E1748" s="274" t="s">
        <v>2642</v>
      </c>
      <c r="F1748" s="274"/>
      <c r="G1748" s="274"/>
      <c r="H1748" s="274"/>
      <c r="I1748" s="274">
        <v>0.04</v>
      </c>
      <c r="J1748" s="456">
        <f t="shared" si="57"/>
        <v>0.04</v>
      </c>
      <c r="K1748" s="583"/>
      <c r="L1748" s="268" t="s">
        <v>2625</v>
      </c>
      <c r="M1748" s="268" t="s">
        <v>2634</v>
      </c>
      <c r="N1748" s="278">
        <f>IFERROR(INDEX('Data Lokasi'!S:S,MATCH('Input Real Tanam&amp;Petik Nanas'!C1748,'Data Lokasi'!C:C,0)),"")</f>
        <v>44105</v>
      </c>
      <c r="O1748" s="278"/>
      <c r="P1748" s="283">
        <f>IFERROR(INDEX('Data Lokasi'!V:V,MATCH(C1748,'Data Lokasi'!C:C,0)),"")</f>
        <v>0</v>
      </c>
      <c r="Q1748" s="304">
        <f t="shared" si="58"/>
        <v>0</v>
      </c>
      <c r="R1748" s="308"/>
    </row>
    <row r="1749" spans="2:18" hidden="1">
      <c r="B1749" s="269">
        <v>46287</v>
      </c>
      <c r="C1749" s="268" t="s">
        <v>432</v>
      </c>
      <c r="D1749" s="274">
        <f>IFERROR(VLOOKUP(C1749,'Data Lokasi'!C:D,2,0),"")</f>
        <v>9.9</v>
      </c>
      <c r="E1749" s="274" t="s">
        <v>2643</v>
      </c>
      <c r="F1749" s="274"/>
      <c r="G1749" s="274">
        <f>0.04+0.09</f>
        <v>0.13</v>
      </c>
      <c r="H1749" s="274">
        <f>0.11+0.17</f>
        <v>0.28000000000000003</v>
      </c>
      <c r="I1749" s="274"/>
      <c r="J1749" s="456">
        <f t="shared" ref="J1749:J1812" si="59">IF(SUM(F1749:I1749)=0,"",(SUM(F1749:I1749)))</f>
        <v>0.41000000000000003</v>
      </c>
      <c r="K1749" s="583"/>
      <c r="L1749" s="268" t="s">
        <v>719</v>
      </c>
      <c r="M1749" s="268" t="s">
        <v>2634</v>
      </c>
      <c r="N1749" s="278">
        <f>IFERROR(INDEX('Data Lokasi'!S:S,MATCH('Input Real Tanam&amp;Petik Nanas'!C1749,'Data Lokasi'!C:C,0)),"")</f>
        <v>44394</v>
      </c>
      <c r="O1749" s="278"/>
      <c r="P1749" s="283">
        <f>IFERROR(INDEX('Data Lokasi'!V:V,MATCH(C1749,'Data Lokasi'!C:C,0)),"")</f>
        <v>0</v>
      </c>
      <c r="Q1749" s="304">
        <f t="shared" ref="Q1749:Q1812" si="60">IF(ISERROR(P1749/D1749),"",(P1749/D1749))</f>
        <v>0</v>
      </c>
      <c r="R1749" s="308">
        <v>2</v>
      </c>
    </row>
    <row r="1750" spans="2:18" hidden="1">
      <c r="B1750" s="269">
        <v>46287</v>
      </c>
      <c r="C1750" s="268" t="s">
        <v>428</v>
      </c>
      <c r="D1750" s="274">
        <f>IFERROR(VLOOKUP(C1750,'Data Lokasi'!C:D,2,0),"")</f>
        <v>8.6999999999999993</v>
      </c>
      <c r="E1750" s="274" t="s">
        <v>2643</v>
      </c>
      <c r="F1750" s="274"/>
      <c r="G1750" s="274">
        <f>0.09+0.26</f>
        <v>0.35</v>
      </c>
      <c r="H1750" s="274">
        <f>0.3+0.4</f>
        <v>0.7</v>
      </c>
      <c r="I1750" s="274"/>
      <c r="J1750" s="456">
        <f t="shared" si="59"/>
        <v>1.0499999999999998</v>
      </c>
      <c r="K1750" s="583"/>
      <c r="L1750" s="268" t="s">
        <v>719</v>
      </c>
      <c r="M1750" s="268" t="s">
        <v>2634</v>
      </c>
      <c r="N1750" s="278">
        <f>IFERROR(INDEX('Data Lokasi'!S:S,MATCH('Input Real Tanam&amp;Petik Nanas'!C1750,'Data Lokasi'!C:C,0)),"")</f>
        <v>44386</v>
      </c>
      <c r="O1750" s="278"/>
      <c r="P1750" s="283">
        <f>IFERROR(INDEX('Data Lokasi'!V:V,MATCH(C1750,'Data Lokasi'!C:C,0)),"")</f>
        <v>0</v>
      </c>
      <c r="Q1750" s="304">
        <f t="shared" si="60"/>
        <v>0</v>
      </c>
      <c r="R1750" s="308">
        <v>2</v>
      </c>
    </row>
    <row r="1751" spans="2:18" hidden="1">
      <c r="B1751" s="269">
        <v>46287</v>
      </c>
      <c r="C1751" s="268" t="s">
        <v>371</v>
      </c>
      <c r="D1751" s="274">
        <f>IFERROR(VLOOKUP(C1751,'Data Lokasi'!C:D,2,0),"")</f>
        <v>7.06</v>
      </c>
      <c r="E1751" s="274" t="s">
        <v>2643</v>
      </c>
      <c r="F1751" s="274"/>
      <c r="G1751" s="274"/>
      <c r="H1751" s="274">
        <v>0.01</v>
      </c>
      <c r="I1751" s="274">
        <f>0.04+0.15</f>
        <v>0.19</v>
      </c>
      <c r="J1751" s="456">
        <f t="shared" si="59"/>
        <v>0.2</v>
      </c>
      <c r="K1751" s="583"/>
      <c r="L1751" s="268" t="s">
        <v>719</v>
      </c>
      <c r="M1751" s="268" t="s">
        <v>2634</v>
      </c>
      <c r="N1751" s="278">
        <f>IFERROR(INDEX('Data Lokasi'!S:S,MATCH('Input Real Tanam&amp;Petik Nanas'!C1751,'Data Lokasi'!C:C,0)),"")</f>
        <v>44335</v>
      </c>
      <c r="O1751" s="278"/>
      <c r="P1751" s="283">
        <f>IFERROR(INDEX('Data Lokasi'!V:V,MATCH(C1751,'Data Lokasi'!C:C,0)),"")</f>
        <v>0</v>
      </c>
      <c r="Q1751" s="304">
        <f t="shared" si="60"/>
        <v>0</v>
      </c>
      <c r="R1751" s="308">
        <v>8</v>
      </c>
    </row>
    <row r="1752" spans="2:18" hidden="1">
      <c r="B1752" s="269">
        <v>46287</v>
      </c>
      <c r="C1752" s="268" t="s">
        <v>2542</v>
      </c>
      <c r="D1752" s="274">
        <f>IFERROR(VLOOKUP(C1752,'Data Lokasi'!C:D,2,0),"")</f>
        <v>0.6</v>
      </c>
      <c r="E1752" s="274" t="s">
        <v>2643</v>
      </c>
      <c r="F1752" s="274"/>
      <c r="G1752" s="274"/>
      <c r="H1752" s="274">
        <v>0.01</v>
      </c>
      <c r="I1752" s="274">
        <f>0.02+0.05</f>
        <v>7.0000000000000007E-2</v>
      </c>
      <c r="J1752" s="456">
        <f t="shared" si="59"/>
        <v>0.08</v>
      </c>
      <c r="K1752" s="583"/>
      <c r="L1752" s="268" t="s">
        <v>719</v>
      </c>
      <c r="M1752" s="268" t="s">
        <v>2634</v>
      </c>
      <c r="N1752" s="278">
        <f>IFERROR(INDEX('Data Lokasi'!S:S,MATCH('Input Real Tanam&amp;Petik Nanas'!C1752,'Data Lokasi'!C:C,0)),"")</f>
        <v>45431</v>
      </c>
      <c r="O1752" s="278"/>
      <c r="P1752" s="283">
        <f>IFERROR(INDEX('Data Lokasi'!V:V,MATCH(C1752,'Data Lokasi'!C:C,0)),"")</f>
        <v>0</v>
      </c>
      <c r="Q1752" s="304">
        <f t="shared" si="60"/>
        <v>0</v>
      </c>
      <c r="R1752" s="308">
        <v>8</v>
      </c>
    </row>
    <row r="1753" spans="2:18" hidden="1">
      <c r="B1753" s="269">
        <v>46287</v>
      </c>
      <c r="C1753" s="268" t="s">
        <v>458</v>
      </c>
      <c r="D1753" s="274">
        <f>IFERROR(VLOOKUP(C1753,'Data Lokasi'!C:D,2,0),"")</f>
        <v>6.2</v>
      </c>
      <c r="E1753" s="274" t="s">
        <v>2643</v>
      </c>
      <c r="F1753" s="274"/>
      <c r="G1753" s="274"/>
      <c r="H1753" s="274"/>
      <c r="I1753" s="274">
        <v>2.37</v>
      </c>
      <c r="J1753" s="456">
        <f t="shared" si="59"/>
        <v>2.37</v>
      </c>
      <c r="K1753" s="583"/>
      <c r="L1753" s="268" t="s">
        <v>2625</v>
      </c>
      <c r="M1753" s="268" t="s">
        <v>2631</v>
      </c>
      <c r="N1753" s="278">
        <f>IFERROR(INDEX('Data Lokasi'!S:S,MATCH('Input Real Tanam&amp;Petik Nanas'!C1753,'Data Lokasi'!C:C,0)),"")</f>
        <v>44469</v>
      </c>
      <c r="O1753" s="278"/>
      <c r="P1753" s="283">
        <f>IFERROR(INDEX('Data Lokasi'!V:V,MATCH(C1753,'Data Lokasi'!C:C,0)),"")</f>
        <v>0</v>
      </c>
      <c r="Q1753" s="304">
        <f t="shared" si="60"/>
        <v>0</v>
      </c>
      <c r="R1753" s="308"/>
    </row>
    <row r="1754" spans="2:18">
      <c r="B1754" s="269">
        <v>46287</v>
      </c>
      <c r="C1754" s="268" t="s">
        <v>693</v>
      </c>
      <c r="D1754" s="274">
        <f>IFERROR(VLOOKUP(C1754,'Data Lokasi'!C:D,2,0),"")</f>
        <v>6.87</v>
      </c>
      <c r="E1754" s="274" t="s">
        <v>2642</v>
      </c>
      <c r="F1754" s="274"/>
      <c r="G1754" s="274"/>
      <c r="H1754" s="274"/>
      <c r="I1754" s="274">
        <v>0.86</v>
      </c>
      <c r="J1754" s="456">
        <f t="shared" si="59"/>
        <v>0.86</v>
      </c>
      <c r="K1754" s="583"/>
      <c r="L1754" s="268" t="s">
        <v>2625</v>
      </c>
      <c r="M1754" s="268" t="s">
        <v>2631</v>
      </c>
      <c r="N1754" s="278">
        <f>IFERROR(INDEX('Data Lokasi'!S:S,MATCH('Input Real Tanam&amp;Petik Nanas'!C1754,'Data Lokasi'!C:C,0)),"")</f>
        <v>45151</v>
      </c>
      <c r="O1754" s="278"/>
      <c r="P1754" s="283">
        <f>IFERROR(INDEX('Data Lokasi'!V:V,MATCH(C1754,'Data Lokasi'!C:C,0)),"")</f>
        <v>0</v>
      </c>
      <c r="Q1754" s="304">
        <f t="shared" si="60"/>
        <v>0</v>
      </c>
      <c r="R1754" s="308"/>
    </row>
    <row r="1755" spans="2:18">
      <c r="B1755" s="269">
        <v>46287</v>
      </c>
      <c r="C1755" s="268" t="s">
        <v>2713</v>
      </c>
      <c r="D1755" s="274">
        <f>IFERROR(VLOOKUP(C1755,'Data Lokasi'!C:D,2,0),"")</f>
        <v>10.01</v>
      </c>
      <c r="E1755" s="274" t="s">
        <v>2642</v>
      </c>
      <c r="F1755" s="274"/>
      <c r="G1755" s="274">
        <v>0.51</v>
      </c>
      <c r="H1755" s="274"/>
      <c r="I1755" s="274"/>
      <c r="J1755" s="456">
        <f t="shared" si="59"/>
        <v>0.51</v>
      </c>
      <c r="K1755" s="583"/>
      <c r="L1755" s="268" t="s">
        <v>719</v>
      </c>
      <c r="M1755" s="268" t="s">
        <v>2631</v>
      </c>
      <c r="N1755" s="278">
        <f>IFERROR(INDEX('Data Lokasi'!S:S,MATCH('Input Real Tanam&amp;Petik Nanas'!C1755,'Data Lokasi'!C:C,0)),"")</f>
        <v>46284</v>
      </c>
      <c r="O1755" s="278"/>
      <c r="P1755" s="283">
        <f>IFERROR(INDEX('Data Lokasi'!V:V,MATCH(C1755,'Data Lokasi'!C:C,0)),"")</f>
        <v>9.0100000000000016</v>
      </c>
      <c r="Q1755" s="304">
        <f t="shared" si="60"/>
        <v>0.90009990009990026</v>
      </c>
      <c r="R1755" s="308"/>
    </row>
    <row r="1756" spans="2:18">
      <c r="B1756" s="269">
        <v>46287</v>
      </c>
      <c r="C1756" s="268" t="s">
        <v>679</v>
      </c>
      <c r="D1756" s="274">
        <f>IFERROR(VLOOKUP(C1756,'Data Lokasi'!C:D,2,0),"")</f>
        <v>2.79</v>
      </c>
      <c r="E1756" s="274" t="s">
        <v>2642</v>
      </c>
      <c r="F1756" s="274"/>
      <c r="G1756" s="274"/>
      <c r="H1756" s="274"/>
      <c r="I1756" s="274">
        <v>0.69</v>
      </c>
      <c r="J1756" s="456">
        <f t="shared" si="59"/>
        <v>0.69</v>
      </c>
      <c r="K1756" s="583"/>
      <c r="L1756" s="268" t="s">
        <v>2625</v>
      </c>
      <c r="M1756" s="268" t="s">
        <v>2631</v>
      </c>
      <c r="N1756" s="278">
        <f>IFERROR(INDEX('Data Lokasi'!S:S,MATCH('Input Real Tanam&amp;Petik Nanas'!C1756,'Data Lokasi'!C:C,0)),"")</f>
        <v>45099</v>
      </c>
      <c r="O1756" s="278"/>
      <c r="P1756" s="283">
        <f>IFERROR(INDEX('Data Lokasi'!V:V,MATCH(C1756,'Data Lokasi'!C:C,0)),"")</f>
        <v>0</v>
      </c>
      <c r="Q1756" s="304">
        <f t="shared" si="60"/>
        <v>0</v>
      </c>
      <c r="R1756" s="308"/>
    </row>
    <row r="1757" spans="2:18">
      <c r="B1757" s="269">
        <v>46287</v>
      </c>
      <c r="C1757" s="268" t="s">
        <v>148</v>
      </c>
      <c r="D1757" s="274">
        <f>IFERROR(VLOOKUP(C1757,'Data Lokasi'!C:D,2,0),"")</f>
        <v>8.76</v>
      </c>
      <c r="E1757" s="274" t="s">
        <v>2642</v>
      </c>
      <c r="F1757" s="274"/>
      <c r="G1757" s="274"/>
      <c r="H1757" s="274"/>
      <c r="I1757" s="274">
        <v>0.41</v>
      </c>
      <c r="J1757" s="456">
        <f t="shared" si="59"/>
        <v>0.41</v>
      </c>
      <c r="K1757" s="583"/>
      <c r="L1757" s="268" t="s">
        <v>2625</v>
      </c>
      <c r="M1757" s="268" t="s">
        <v>2631</v>
      </c>
      <c r="N1757" s="278">
        <f>IFERROR(INDEX('Data Lokasi'!S:S,MATCH('Input Real Tanam&amp;Petik Nanas'!C1757,'Data Lokasi'!C:C,0)),"")</f>
        <v>46281</v>
      </c>
      <c r="O1757" s="278"/>
      <c r="P1757" s="283">
        <f>IFERROR(INDEX('Data Lokasi'!V:V,MATCH(C1757,'Data Lokasi'!C:C,0)),"")</f>
        <v>8.76</v>
      </c>
      <c r="Q1757" s="304">
        <f t="shared" si="60"/>
        <v>1</v>
      </c>
      <c r="R1757" s="308"/>
    </row>
    <row r="1758" spans="2:18">
      <c r="B1758" s="269">
        <v>46288</v>
      </c>
      <c r="C1758" s="268" t="s">
        <v>2127</v>
      </c>
      <c r="D1758" s="274">
        <f>IFERROR(VLOOKUP(C1758,'Data Lokasi'!C:D,2,0),"")</f>
        <v>6.54</v>
      </c>
      <c r="E1758" s="274" t="s">
        <v>2642</v>
      </c>
      <c r="F1758" s="274"/>
      <c r="G1758" s="274"/>
      <c r="H1758" s="274"/>
      <c r="I1758" s="274">
        <v>0.16</v>
      </c>
      <c r="J1758" s="456">
        <f t="shared" si="59"/>
        <v>0.16</v>
      </c>
      <c r="K1758" s="583"/>
      <c r="L1758" s="268" t="s">
        <v>2625</v>
      </c>
      <c r="M1758" s="268" t="s">
        <v>2631</v>
      </c>
      <c r="N1758" s="278">
        <f>IFERROR(INDEX('Data Lokasi'!S:S,MATCH('Input Real Tanam&amp;Petik Nanas'!C1758,'Data Lokasi'!C:C,0)),"")</f>
        <v>46269</v>
      </c>
      <c r="O1758" s="278"/>
      <c r="P1758" s="283">
        <f>IFERROR(INDEX('Data Lokasi'!V:V,MATCH(C1758,'Data Lokasi'!C:C,0)),"")</f>
        <v>6.54</v>
      </c>
      <c r="Q1758" s="304">
        <f t="shared" si="60"/>
        <v>1</v>
      </c>
      <c r="R1758" s="308"/>
    </row>
    <row r="1759" spans="2:18">
      <c r="B1759" s="269">
        <v>46288</v>
      </c>
      <c r="C1759" s="268" t="s">
        <v>679</v>
      </c>
      <c r="D1759" s="274">
        <f>IFERROR(VLOOKUP(C1759,'Data Lokasi'!C:D,2,0),"")</f>
        <v>2.79</v>
      </c>
      <c r="E1759" s="274" t="s">
        <v>2642</v>
      </c>
      <c r="F1759" s="274"/>
      <c r="G1759" s="274"/>
      <c r="H1759" s="274"/>
      <c r="I1759" s="274">
        <v>0.17</v>
      </c>
      <c r="J1759" s="456">
        <f t="shared" si="59"/>
        <v>0.17</v>
      </c>
      <c r="K1759" s="583"/>
      <c r="L1759" s="268" t="s">
        <v>2625</v>
      </c>
      <c r="M1759" s="268" t="s">
        <v>2631</v>
      </c>
      <c r="N1759" s="278">
        <f>IFERROR(INDEX('Data Lokasi'!S:S,MATCH('Input Real Tanam&amp;Petik Nanas'!C1759,'Data Lokasi'!C:C,0)),"")</f>
        <v>45099</v>
      </c>
      <c r="O1759" s="278"/>
      <c r="P1759" s="283">
        <f>IFERROR(INDEX('Data Lokasi'!V:V,MATCH(C1759,'Data Lokasi'!C:C,0)),"")</f>
        <v>0</v>
      </c>
      <c r="Q1759" s="304">
        <f t="shared" si="60"/>
        <v>0</v>
      </c>
      <c r="R1759" s="308"/>
    </row>
    <row r="1760" spans="2:18">
      <c r="B1760" s="269">
        <v>46288</v>
      </c>
      <c r="C1760" s="268" t="s">
        <v>2713</v>
      </c>
      <c r="D1760" s="274">
        <f>IFERROR(VLOOKUP(C1760,'Data Lokasi'!C:D,2,0),"")</f>
        <v>10.01</v>
      </c>
      <c r="E1760" s="274" t="s">
        <v>2642</v>
      </c>
      <c r="F1760" s="274"/>
      <c r="G1760" s="274">
        <v>0.5</v>
      </c>
      <c r="H1760" s="274"/>
      <c r="I1760" s="274"/>
      <c r="J1760" s="456">
        <f t="shared" si="59"/>
        <v>0.5</v>
      </c>
      <c r="K1760" s="583"/>
      <c r="L1760" s="268" t="s">
        <v>719</v>
      </c>
      <c r="M1760" s="268" t="s">
        <v>2631</v>
      </c>
      <c r="N1760" s="278">
        <f>IFERROR(INDEX('Data Lokasi'!S:S,MATCH('Input Real Tanam&amp;Petik Nanas'!C1760,'Data Lokasi'!C:C,0)),"")</f>
        <v>46284</v>
      </c>
      <c r="O1760" s="278"/>
      <c r="P1760" s="283">
        <f>IFERROR(INDEX('Data Lokasi'!V:V,MATCH(C1760,'Data Lokasi'!C:C,0)),"")</f>
        <v>9.0100000000000016</v>
      </c>
      <c r="Q1760" s="304">
        <f t="shared" si="60"/>
        <v>0.90009990009990026</v>
      </c>
      <c r="R1760" s="308"/>
    </row>
    <row r="1761" spans="2:18">
      <c r="B1761" s="269">
        <v>46288</v>
      </c>
      <c r="C1761" s="268" t="s">
        <v>148</v>
      </c>
      <c r="D1761" s="274">
        <f>IFERROR(VLOOKUP(C1761,'Data Lokasi'!C:D,2,0),"")</f>
        <v>8.76</v>
      </c>
      <c r="E1761" s="274" t="s">
        <v>2642</v>
      </c>
      <c r="F1761" s="274"/>
      <c r="G1761" s="274"/>
      <c r="H1761" s="274"/>
      <c r="I1761" s="274">
        <v>0.13</v>
      </c>
      <c r="J1761" s="456">
        <f t="shared" si="59"/>
        <v>0.13</v>
      </c>
      <c r="K1761" s="583"/>
      <c r="L1761" s="268" t="s">
        <v>2625</v>
      </c>
      <c r="M1761" s="268" t="s">
        <v>2631</v>
      </c>
      <c r="N1761" s="278">
        <f>IFERROR(INDEX('Data Lokasi'!S:S,MATCH('Input Real Tanam&amp;Petik Nanas'!C1761,'Data Lokasi'!C:C,0)),"")</f>
        <v>46281</v>
      </c>
      <c r="O1761" s="278"/>
      <c r="P1761" s="283">
        <f>IFERROR(INDEX('Data Lokasi'!V:V,MATCH(C1761,'Data Lokasi'!C:C,0)),"")</f>
        <v>8.76</v>
      </c>
      <c r="Q1761" s="304">
        <f t="shared" si="60"/>
        <v>1</v>
      </c>
      <c r="R1761" s="308"/>
    </row>
    <row r="1762" spans="2:18">
      <c r="B1762" s="269">
        <v>46288</v>
      </c>
      <c r="C1762" s="268" t="s">
        <v>693</v>
      </c>
      <c r="D1762" s="274">
        <f>IFERROR(VLOOKUP(C1762,'Data Lokasi'!C:D,2,0),"")</f>
        <v>6.87</v>
      </c>
      <c r="E1762" s="274" t="s">
        <v>2642</v>
      </c>
      <c r="F1762" s="274"/>
      <c r="G1762" s="274"/>
      <c r="H1762" s="274"/>
      <c r="I1762" s="274">
        <v>0.74</v>
      </c>
      <c r="J1762" s="456">
        <f t="shared" si="59"/>
        <v>0.74</v>
      </c>
      <c r="K1762" s="583"/>
      <c r="L1762" s="268" t="s">
        <v>2625</v>
      </c>
      <c r="M1762" s="268" t="s">
        <v>2631</v>
      </c>
      <c r="N1762" s="278">
        <f>IFERROR(INDEX('Data Lokasi'!S:S,MATCH('Input Real Tanam&amp;Petik Nanas'!C1762,'Data Lokasi'!C:C,0)),"")</f>
        <v>45151</v>
      </c>
      <c r="O1762" s="278"/>
      <c r="P1762" s="283">
        <f>IFERROR(INDEX('Data Lokasi'!V:V,MATCH(C1762,'Data Lokasi'!C:C,0)),"")</f>
        <v>0</v>
      </c>
      <c r="Q1762" s="304">
        <f t="shared" si="60"/>
        <v>0</v>
      </c>
      <c r="R1762" s="308"/>
    </row>
    <row r="1763" spans="2:18">
      <c r="B1763" s="269">
        <v>46288</v>
      </c>
      <c r="C1763" s="317" t="s">
        <v>124</v>
      </c>
      <c r="D1763" s="274">
        <f>IFERROR(VLOOKUP(C1763,'Data Lokasi'!C:D,2,0),"")</f>
        <v>3.85</v>
      </c>
      <c r="E1763" s="274" t="s">
        <v>2642</v>
      </c>
      <c r="F1763" s="274"/>
      <c r="G1763" s="274"/>
      <c r="H1763" s="274"/>
      <c r="I1763" s="274">
        <v>1.67</v>
      </c>
      <c r="J1763" s="456">
        <f t="shared" si="59"/>
        <v>1.67</v>
      </c>
      <c r="K1763" s="583"/>
      <c r="L1763" s="268" t="s">
        <v>2625</v>
      </c>
      <c r="M1763" s="268" t="s">
        <v>2634</v>
      </c>
      <c r="N1763" s="278">
        <f>IFERROR(INDEX('Data Lokasi'!S:S,MATCH('Input Real Tanam&amp;Petik Nanas'!C1763,'Data Lokasi'!C:C,0)),"")</f>
        <v>46288</v>
      </c>
      <c r="O1763" s="278"/>
      <c r="P1763" s="283">
        <f>IFERROR(INDEX('Data Lokasi'!V:V,MATCH(C1763,'Data Lokasi'!C:C,0)),"")</f>
        <v>3.8499999999999996</v>
      </c>
      <c r="Q1763" s="304">
        <f t="shared" si="60"/>
        <v>0.99999999999999989</v>
      </c>
      <c r="R1763" s="308"/>
    </row>
    <row r="1764" spans="2:18">
      <c r="B1764" s="269">
        <v>46288</v>
      </c>
      <c r="C1764" s="268" t="s">
        <v>138</v>
      </c>
      <c r="D1764" s="274">
        <f>IFERROR(VLOOKUP(C1764,'Data Lokasi'!C:D,2,0),"")</f>
        <v>5.21</v>
      </c>
      <c r="E1764" s="274" t="s">
        <v>2642</v>
      </c>
      <c r="F1764" s="274"/>
      <c r="G1764" s="274"/>
      <c r="H1764" s="274"/>
      <c r="I1764" s="274">
        <v>0.47</v>
      </c>
      <c r="J1764" s="456">
        <f t="shared" si="59"/>
        <v>0.47</v>
      </c>
      <c r="K1764" s="583"/>
      <c r="L1764" s="268" t="s">
        <v>2625</v>
      </c>
      <c r="M1764" s="268" t="s">
        <v>2634</v>
      </c>
      <c r="N1764" s="278">
        <f>IFERROR(INDEX('Data Lokasi'!S:S,MATCH('Input Real Tanam&amp;Petik Nanas'!C1764,'Data Lokasi'!C:C,0)),"")</f>
        <v>45314</v>
      </c>
      <c r="O1764" s="278"/>
      <c r="P1764" s="283">
        <f>IFERROR(INDEX('Data Lokasi'!V:V,MATCH(C1764,'Data Lokasi'!C:C,0)),"")</f>
        <v>0</v>
      </c>
      <c r="Q1764" s="304">
        <f t="shared" si="60"/>
        <v>0</v>
      </c>
      <c r="R1764" s="308"/>
    </row>
    <row r="1765" spans="2:18" hidden="1">
      <c r="B1765" s="269">
        <v>46288</v>
      </c>
      <c r="C1765" s="268" t="s">
        <v>432</v>
      </c>
      <c r="D1765" s="274">
        <f>IFERROR(VLOOKUP(C1765,'Data Lokasi'!C:D,2,0),"")</f>
        <v>9.9</v>
      </c>
      <c r="E1765" s="274" t="s">
        <v>2643</v>
      </c>
      <c r="F1765" s="274"/>
      <c r="G1765" s="274">
        <f>0.06+0.11</f>
        <v>0.16999999999999998</v>
      </c>
      <c r="H1765" s="274">
        <f>0.13+0.18</f>
        <v>0.31</v>
      </c>
      <c r="I1765" s="274"/>
      <c r="J1765" s="456">
        <f t="shared" si="59"/>
        <v>0.48</v>
      </c>
      <c r="K1765" s="583"/>
      <c r="L1765" s="268" t="s">
        <v>719</v>
      </c>
      <c r="M1765" s="268" t="s">
        <v>2634</v>
      </c>
      <c r="N1765" s="278">
        <f>IFERROR(INDEX('Data Lokasi'!S:S,MATCH('Input Real Tanam&amp;Petik Nanas'!C1765,'Data Lokasi'!C:C,0)),"")</f>
        <v>44394</v>
      </c>
      <c r="O1765" s="278"/>
      <c r="P1765" s="283">
        <f>IFERROR(INDEX('Data Lokasi'!V:V,MATCH(C1765,'Data Lokasi'!C:C,0)),"")</f>
        <v>0</v>
      </c>
      <c r="Q1765" s="304">
        <f t="shared" si="60"/>
        <v>0</v>
      </c>
      <c r="R1765" s="308">
        <v>2</v>
      </c>
    </row>
    <row r="1766" spans="2:18" hidden="1">
      <c r="B1766" s="269">
        <v>46288</v>
      </c>
      <c r="C1766" s="268" t="s">
        <v>428</v>
      </c>
      <c r="D1766" s="274">
        <f>IFERROR(VLOOKUP(C1766,'Data Lokasi'!C:D,2,0),"")</f>
        <v>8.6999999999999993</v>
      </c>
      <c r="E1766" s="274" t="s">
        <v>2643</v>
      </c>
      <c r="F1766" s="274"/>
      <c r="G1766" s="274">
        <f>0.08+0.26</f>
        <v>0.34</v>
      </c>
      <c r="H1766" s="274">
        <f>0.23+0.38</f>
        <v>0.61</v>
      </c>
      <c r="I1766" s="274"/>
      <c r="J1766" s="456">
        <f t="shared" si="59"/>
        <v>0.95</v>
      </c>
      <c r="K1766" s="583"/>
      <c r="L1766" s="268" t="s">
        <v>719</v>
      </c>
      <c r="M1766" s="268" t="s">
        <v>2634</v>
      </c>
      <c r="N1766" s="278">
        <f>IFERROR(INDEX('Data Lokasi'!S:S,MATCH('Input Real Tanam&amp;Petik Nanas'!C1766,'Data Lokasi'!C:C,0)),"")</f>
        <v>44386</v>
      </c>
      <c r="O1766" s="278"/>
      <c r="P1766" s="283">
        <f>IFERROR(INDEX('Data Lokasi'!V:V,MATCH(C1766,'Data Lokasi'!C:C,0)),"")</f>
        <v>0</v>
      </c>
      <c r="Q1766" s="304">
        <f t="shared" si="60"/>
        <v>0</v>
      </c>
      <c r="R1766" s="308">
        <v>2</v>
      </c>
    </row>
    <row r="1767" spans="2:18" hidden="1">
      <c r="B1767" s="269">
        <v>46288</v>
      </c>
      <c r="C1767" s="268" t="s">
        <v>441</v>
      </c>
      <c r="D1767" s="274">
        <f>IFERROR(VLOOKUP(C1767,'Data Lokasi'!C:D,2,0),"")</f>
        <v>11.2</v>
      </c>
      <c r="E1767" s="274" t="s">
        <v>2643</v>
      </c>
      <c r="F1767" s="274"/>
      <c r="G1767" s="274">
        <v>0.01</v>
      </c>
      <c r="H1767" s="274">
        <f>0.05+0.08</f>
        <v>0.13</v>
      </c>
      <c r="I1767" s="274">
        <f>0.07+0.09</f>
        <v>0.16</v>
      </c>
      <c r="J1767" s="456">
        <f t="shared" si="59"/>
        <v>0.30000000000000004</v>
      </c>
      <c r="K1767" s="583"/>
      <c r="L1767" s="268" t="s">
        <v>719</v>
      </c>
      <c r="M1767" s="268" t="s">
        <v>2631</v>
      </c>
      <c r="N1767" s="278">
        <f>IFERROR(INDEX('Data Lokasi'!S:S,MATCH('Input Real Tanam&amp;Petik Nanas'!C1767,'Data Lokasi'!C:C,0)),"")</f>
        <v>44429</v>
      </c>
      <c r="O1767" s="278"/>
      <c r="P1767" s="283">
        <f>IFERROR(INDEX('Data Lokasi'!V:V,MATCH(C1767,'Data Lokasi'!C:C,0)),"")</f>
        <v>0</v>
      </c>
      <c r="Q1767" s="304">
        <f t="shared" si="60"/>
        <v>0</v>
      </c>
      <c r="R1767" s="308"/>
    </row>
    <row r="1768" spans="2:18" hidden="1">
      <c r="B1768" s="269">
        <v>46288</v>
      </c>
      <c r="C1768" s="268" t="s">
        <v>337</v>
      </c>
      <c r="D1768" s="274">
        <f>IFERROR(VLOOKUP(C1768,'Data Lokasi'!C:D,2,0),"")</f>
        <v>9.17</v>
      </c>
      <c r="E1768" s="274" t="s">
        <v>2643</v>
      </c>
      <c r="F1768" s="274"/>
      <c r="G1768" s="274">
        <v>7.0000000000000001E-3</v>
      </c>
      <c r="H1768" s="274">
        <v>0.04</v>
      </c>
      <c r="I1768" s="274">
        <f>0.05+0.14</f>
        <v>0.19</v>
      </c>
      <c r="J1768" s="456">
        <f t="shared" si="59"/>
        <v>0.23699999999999999</v>
      </c>
      <c r="K1768" s="583"/>
      <c r="L1768" s="268" t="s">
        <v>719</v>
      </c>
      <c r="M1768" s="268" t="s">
        <v>2631</v>
      </c>
      <c r="N1768" s="278">
        <f>IFERROR(INDEX('Data Lokasi'!S:S,MATCH('Input Real Tanam&amp;Petik Nanas'!C1768,'Data Lokasi'!C:C,0)),"")</f>
        <v>44250</v>
      </c>
      <c r="O1768" s="278"/>
      <c r="P1768" s="283">
        <f>IFERROR(INDEX('Data Lokasi'!V:V,MATCH(C1768,'Data Lokasi'!C:C,0)),"")</f>
        <v>0</v>
      </c>
      <c r="Q1768" s="304">
        <f t="shared" si="60"/>
        <v>0</v>
      </c>
      <c r="R1768" s="308">
        <v>8</v>
      </c>
    </row>
    <row r="1769" spans="2:18" hidden="1">
      <c r="B1769" s="269">
        <v>46288</v>
      </c>
      <c r="C1769" s="268" t="s">
        <v>371</v>
      </c>
      <c r="D1769" s="274">
        <f>IFERROR(VLOOKUP(C1769,'Data Lokasi'!C:D,2,0),"")</f>
        <v>7.06</v>
      </c>
      <c r="E1769" s="274" t="s">
        <v>2643</v>
      </c>
      <c r="F1769" s="274"/>
      <c r="G1769" s="274"/>
      <c r="H1769" s="274">
        <v>0.03</v>
      </c>
      <c r="I1769" s="274">
        <f>0.07+0.18</f>
        <v>0.25</v>
      </c>
      <c r="J1769" s="456">
        <f t="shared" si="59"/>
        <v>0.28000000000000003</v>
      </c>
      <c r="K1769" s="583"/>
      <c r="L1769" s="268" t="s">
        <v>719</v>
      </c>
      <c r="M1769" s="268" t="s">
        <v>2634</v>
      </c>
      <c r="N1769" s="278">
        <f>IFERROR(INDEX('Data Lokasi'!S:S,MATCH('Input Real Tanam&amp;Petik Nanas'!C1769,'Data Lokasi'!C:C,0)),"")</f>
        <v>44335</v>
      </c>
      <c r="O1769" s="278"/>
      <c r="P1769" s="283">
        <f>IFERROR(INDEX('Data Lokasi'!V:V,MATCH(C1769,'Data Lokasi'!C:C,0)),"")</f>
        <v>0</v>
      </c>
      <c r="Q1769" s="304">
        <f t="shared" si="60"/>
        <v>0</v>
      </c>
      <c r="R1769" s="308">
        <v>8</v>
      </c>
    </row>
    <row r="1770" spans="2:18" hidden="1">
      <c r="B1770" s="269">
        <v>46288</v>
      </c>
      <c r="C1770" s="268" t="s">
        <v>458</v>
      </c>
      <c r="D1770" s="274">
        <f>IFERROR(VLOOKUP(C1770,'Data Lokasi'!C:D,2,0),"")</f>
        <v>6.2</v>
      </c>
      <c r="E1770" s="274" t="s">
        <v>2643</v>
      </c>
      <c r="F1770" s="274"/>
      <c r="G1770" s="274"/>
      <c r="H1770" s="274"/>
      <c r="I1770" s="274">
        <v>0.23</v>
      </c>
      <c r="J1770" s="456">
        <f t="shared" si="59"/>
        <v>0.23</v>
      </c>
      <c r="K1770" s="583"/>
      <c r="L1770" s="268" t="s">
        <v>2625</v>
      </c>
      <c r="M1770" s="268" t="s">
        <v>2631</v>
      </c>
      <c r="N1770" s="278">
        <f>IFERROR(INDEX('Data Lokasi'!S:S,MATCH('Input Real Tanam&amp;Petik Nanas'!C1770,'Data Lokasi'!C:C,0)),"")</f>
        <v>44469</v>
      </c>
      <c r="O1770" s="278"/>
      <c r="P1770" s="283">
        <f>IFERROR(INDEX('Data Lokasi'!V:V,MATCH(C1770,'Data Lokasi'!C:C,0)),"")</f>
        <v>0</v>
      </c>
      <c r="Q1770" s="304">
        <f t="shared" si="60"/>
        <v>0</v>
      </c>
      <c r="R1770" s="308"/>
    </row>
    <row r="1771" spans="2:18">
      <c r="B1771" s="269">
        <v>46289</v>
      </c>
      <c r="C1771" s="268" t="s">
        <v>2127</v>
      </c>
      <c r="D1771" s="274">
        <f>IFERROR(VLOOKUP(C1771,'Data Lokasi'!C:D,2,0),"")</f>
        <v>6.54</v>
      </c>
      <c r="E1771" s="274" t="s">
        <v>2642</v>
      </c>
      <c r="F1771" s="274"/>
      <c r="G1771" s="274"/>
      <c r="H1771" s="274"/>
      <c r="I1771" s="274">
        <v>0.03</v>
      </c>
      <c r="J1771" s="456">
        <f t="shared" si="59"/>
        <v>0.03</v>
      </c>
      <c r="K1771" s="583"/>
      <c r="L1771" s="268" t="s">
        <v>2625</v>
      </c>
      <c r="M1771" s="268" t="s">
        <v>2631</v>
      </c>
      <c r="N1771" s="278">
        <f>IFERROR(INDEX('Data Lokasi'!S:S,MATCH('Input Real Tanam&amp;Petik Nanas'!C1771,'Data Lokasi'!C:C,0)),"")</f>
        <v>46269</v>
      </c>
      <c r="O1771" s="278"/>
      <c r="P1771" s="283">
        <f>IFERROR(INDEX('Data Lokasi'!V:V,MATCH(C1771,'Data Lokasi'!C:C,0)),"")</f>
        <v>6.54</v>
      </c>
      <c r="Q1771" s="304">
        <f t="shared" si="60"/>
        <v>1</v>
      </c>
      <c r="R1771" s="308"/>
    </row>
    <row r="1772" spans="2:18">
      <c r="B1772" s="269">
        <v>46289</v>
      </c>
      <c r="C1772" s="268" t="s">
        <v>2713</v>
      </c>
      <c r="D1772" s="274">
        <f>IFERROR(VLOOKUP(C1772,'Data Lokasi'!C:D,2,0),"")</f>
        <v>10.01</v>
      </c>
      <c r="E1772" s="274" t="s">
        <v>2642</v>
      </c>
      <c r="F1772" s="274"/>
      <c r="G1772" s="274"/>
      <c r="H1772" s="274"/>
      <c r="I1772" s="274">
        <v>1.23</v>
      </c>
      <c r="J1772" s="456">
        <f t="shared" si="59"/>
        <v>1.23</v>
      </c>
      <c r="K1772" s="583"/>
      <c r="L1772" s="268" t="s">
        <v>2625</v>
      </c>
      <c r="M1772" s="268" t="s">
        <v>2631</v>
      </c>
      <c r="N1772" s="278">
        <f>IFERROR(INDEX('Data Lokasi'!S:S,MATCH('Input Real Tanam&amp;Petik Nanas'!C1772,'Data Lokasi'!C:C,0)),"")</f>
        <v>46284</v>
      </c>
      <c r="O1772" s="278"/>
      <c r="P1772" s="283">
        <f>IFERROR(INDEX('Data Lokasi'!V:V,MATCH(C1772,'Data Lokasi'!C:C,0)),"")</f>
        <v>9.0100000000000016</v>
      </c>
      <c r="Q1772" s="304">
        <f t="shared" si="60"/>
        <v>0.90009990009990026</v>
      </c>
      <c r="R1772" s="308"/>
    </row>
    <row r="1773" spans="2:18">
      <c r="B1773" s="269">
        <v>46289</v>
      </c>
      <c r="C1773" s="268" t="s">
        <v>679</v>
      </c>
      <c r="D1773" s="274">
        <f>IFERROR(VLOOKUP(C1773,'Data Lokasi'!C:D,2,0),"")</f>
        <v>2.79</v>
      </c>
      <c r="E1773" s="274" t="s">
        <v>2642</v>
      </c>
      <c r="F1773" s="274"/>
      <c r="G1773" s="274"/>
      <c r="H1773" s="274"/>
      <c r="I1773" s="274">
        <v>0.28999999999999998</v>
      </c>
      <c r="J1773" s="456">
        <f t="shared" si="59"/>
        <v>0.28999999999999998</v>
      </c>
      <c r="K1773" s="583"/>
      <c r="L1773" s="268" t="s">
        <v>2625</v>
      </c>
      <c r="M1773" s="268" t="s">
        <v>2631</v>
      </c>
      <c r="N1773" s="278">
        <f>IFERROR(INDEX('Data Lokasi'!S:S,MATCH('Input Real Tanam&amp;Petik Nanas'!C1773,'Data Lokasi'!C:C,0)),"")</f>
        <v>45099</v>
      </c>
      <c r="O1773" s="278"/>
      <c r="P1773" s="283">
        <f>IFERROR(INDEX('Data Lokasi'!V:V,MATCH(C1773,'Data Lokasi'!C:C,0)),"")</f>
        <v>0</v>
      </c>
      <c r="Q1773" s="304">
        <f t="shared" si="60"/>
        <v>0</v>
      </c>
      <c r="R1773" s="308"/>
    </row>
    <row r="1774" spans="2:18">
      <c r="B1774" s="269">
        <v>46289</v>
      </c>
      <c r="C1774" s="268" t="s">
        <v>693</v>
      </c>
      <c r="D1774" s="274">
        <f>IFERROR(VLOOKUP(C1774,'Data Lokasi'!C:D,2,0),"")</f>
        <v>6.87</v>
      </c>
      <c r="E1774" s="274" t="s">
        <v>2642</v>
      </c>
      <c r="F1774" s="274"/>
      <c r="G1774" s="274"/>
      <c r="H1774" s="274"/>
      <c r="I1774" s="274">
        <v>0.16</v>
      </c>
      <c r="J1774" s="456">
        <f t="shared" si="59"/>
        <v>0.16</v>
      </c>
      <c r="K1774" s="583"/>
      <c r="L1774" s="268" t="s">
        <v>2625</v>
      </c>
      <c r="M1774" s="268" t="s">
        <v>2631</v>
      </c>
      <c r="N1774" s="278">
        <f>IFERROR(INDEX('Data Lokasi'!S:S,MATCH('Input Real Tanam&amp;Petik Nanas'!C1774,'Data Lokasi'!C:C,0)),"")</f>
        <v>45151</v>
      </c>
      <c r="O1774" s="278"/>
      <c r="P1774" s="283">
        <f>IFERROR(INDEX('Data Lokasi'!V:V,MATCH(C1774,'Data Lokasi'!C:C,0)),"")</f>
        <v>0</v>
      </c>
      <c r="Q1774" s="304">
        <f t="shared" si="60"/>
        <v>0</v>
      </c>
      <c r="R1774" s="308"/>
    </row>
    <row r="1775" spans="2:18">
      <c r="B1775" s="269">
        <v>46289</v>
      </c>
      <c r="C1775" s="268" t="s">
        <v>148</v>
      </c>
      <c r="D1775" s="274">
        <f>IFERROR(VLOOKUP(C1775,'Data Lokasi'!C:D,2,0),"")</f>
        <v>8.76</v>
      </c>
      <c r="E1775" s="274" t="s">
        <v>2642</v>
      </c>
      <c r="F1775" s="274"/>
      <c r="G1775" s="274"/>
      <c r="H1775" s="274"/>
      <c r="I1775" s="274">
        <v>0.37</v>
      </c>
      <c r="J1775" s="456">
        <f t="shared" si="59"/>
        <v>0.37</v>
      </c>
      <c r="K1775" s="583"/>
      <c r="L1775" s="268" t="s">
        <v>2625</v>
      </c>
      <c r="M1775" s="268" t="s">
        <v>2631</v>
      </c>
      <c r="N1775" s="278">
        <f>IFERROR(INDEX('Data Lokasi'!S:S,MATCH('Input Real Tanam&amp;Petik Nanas'!C1775,'Data Lokasi'!C:C,0)),"")</f>
        <v>46281</v>
      </c>
      <c r="O1775" s="278"/>
      <c r="P1775" s="283">
        <f>IFERROR(INDEX('Data Lokasi'!V:V,MATCH(C1775,'Data Lokasi'!C:C,0)),"")</f>
        <v>8.76</v>
      </c>
      <c r="Q1775" s="304">
        <f t="shared" si="60"/>
        <v>1</v>
      </c>
      <c r="R1775" s="308"/>
    </row>
    <row r="1776" spans="2:18">
      <c r="B1776" s="269">
        <v>46289</v>
      </c>
      <c r="C1776" s="317" t="s">
        <v>124</v>
      </c>
      <c r="D1776" s="274">
        <f>IFERROR(VLOOKUP(C1776,'Data Lokasi'!C:D,2,0),"")</f>
        <v>3.85</v>
      </c>
      <c r="E1776" s="274" t="s">
        <v>2642</v>
      </c>
      <c r="F1776" s="274"/>
      <c r="G1776" s="274"/>
      <c r="H1776" s="274"/>
      <c r="I1776" s="274">
        <v>0.69</v>
      </c>
      <c r="J1776" s="456">
        <f t="shared" si="59"/>
        <v>0.69</v>
      </c>
      <c r="K1776" s="583"/>
      <c r="L1776" s="268" t="s">
        <v>2625</v>
      </c>
      <c r="M1776" s="268" t="s">
        <v>2634</v>
      </c>
      <c r="N1776" s="278">
        <f>IFERROR(INDEX('Data Lokasi'!S:S,MATCH('Input Real Tanam&amp;Petik Nanas'!C1776,'Data Lokasi'!C:C,0)),"")</f>
        <v>46288</v>
      </c>
      <c r="O1776" s="278"/>
      <c r="P1776" s="283">
        <f>IFERROR(INDEX('Data Lokasi'!V:V,MATCH(C1776,'Data Lokasi'!C:C,0)),"")</f>
        <v>3.8499999999999996</v>
      </c>
      <c r="Q1776" s="304">
        <f t="shared" si="60"/>
        <v>0.99999999999999989</v>
      </c>
      <c r="R1776" s="308"/>
    </row>
    <row r="1777" spans="2:18">
      <c r="B1777" s="269">
        <v>46289</v>
      </c>
      <c r="C1777" s="268" t="s">
        <v>138</v>
      </c>
      <c r="D1777" s="274">
        <f>IFERROR(VLOOKUP(C1777,'Data Lokasi'!C:D,2,0),"")</f>
        <v>5.21</v>
      </c>
      <c r="E1777" s="274" t="s">
        <v>2642</v>
      </c>
      <c r="F1777" s="274"/>
      <c r="G1777" s="274"/>
      <c r="H1777" s="274"/>
      <c r="I1777" s="274">
        <v>0.84</v>
      </c>
      <c r="J1777" s="456">
        <f t="shared" si="59"/>
        <v>0.84</v>
      </c>
      <c r="K1777" s="583"/>
      <c r="L1777" s="268" t="s">
        <v>2625</v>
      </c>
      <c r="M1777" s="268" t="s">
        <v>2634</v>
      </c>
      <c r="N1777" s="278">
        <f>IFERROR(INDEX('Data Lokasi'!S:S,MATCH('Input Real Tanam&amp;Petik Nanas'!C1777,'Data Lokasi'!C:C,0)),"")</f>
        <v>45314</v>
      </c>
      <c r="O1777" s="278"/>
      <c r="P1777" s="283">
        <f>IFERROR(INDEX('Data Lokasi'!V:V,MATCH(C1777,'Data Lokasi'!C:C,0)),"")</f>
        <v>0</v>
      </c>
      <c r="Q1777" s="304">
        <f t="shared" si="60"/>
        <v>0</v>
      </c>
      <c r="R1777" s="308"/>
    </row>
    <row r="1778" spans="2:18" hidden="1">
      <c r="B1778" s="269">
        <v>46289</v>
      </c>
      <c r="C1778" s="268" t="s">
        <v>337</v>
      </c>
      <c r="D1778" s="274">
        <f>IFERROR(VLOOKUP(C1778,'Data Lokasi'!C:D,2,0),"")</f>
        <v>9.17</v>
      </c>
      <c r="E1778" s="274" t="s">
        <v>2643</v>
      </c>
      <c r="F1778" s="274"/>
      <c r="G1778" s="274">
        <v>4.0000000000000001E-3</v>
      </c>
      <c r="H1778" s="274">
        <f>0.01+0.05</f>
        <v>6.0000000000000005E-2</v>
      </c>
      <c r="I1778" s="274">
        <f>0.08+0.3</f>
        <v>0.38</v>
      </c>
      <c r="J1778" s="456">
        <f t="shared" si="59"/>
        <v>0.44400000000000001</v>
      </c>
      <c r="K1778" s="583"/>
      <c r="L1778" s="268" t="s">
        <v>719</v>
      </c>
      <c r="M1778" s="268" t="s">
        <v>2631</v>
      </c>
      <c r="N1778" s="278">
        <f>IFERROR(INDEX('Data Lokasi'!S:S,MATCH('Input Real Tanam&amp;Petik Nanas'!C1778,'Data Lokasi'!C:C,0)),"")</f>
        <v>44250</v>
      </c>
      <c r="O1778" s="278"/>
      <c r="P1778" s="283">
        <f>IFERROR(INDEX('Data Lokasi'!V:V,MATCH(C1778,'Data Lokasi'!C:C,0)),"")</f>
        <v>0</v>
      </c>
      <c r="Q1778" s="304">
        <f t="shared" si="60"/>
        <v>0</v>
      </c>
      <c r="R1778" s="308">
        <v>8</v>
      </c>
    </row>
    <row r="1779" spans="2:18" hidden="1">
      <c r="B1779" s="269">
        <v>46289</v>
      </c>
      <c r="C1779" s="268" t="s">
        <v>371</v>
      </c>
      <c r="D1779" s="274">
        <f>IFERROR(VLOOKUP(C1779,'Data Lokasi'!C:D,2,0),"")</f>
        <v>7.06</v>
      </c>
      <c r="E1779" s="274" t="s">
        <v>2643</v>
      </c>
      <c r="F1779" s="274"/>
      <c r="G1779" s="274"/>
      <c r="H1779" s="274">
        <v>0.01</v>
      </c>
      <c r="I1779" s="274">
        <f>0.05+0.13</f>
        <v>0.18</v>
      </c>
      <c r="J1779" s="456">
        <f t="shared" si="59"/>
        <v>0.19</v>
      </c>
      <c r="K1779" s="583"/>
      <c r="L1779" s="268" t="s">
        <v>719</v>
      </c>
      <c r="M1779" s="268" t="s">
        <v>2634</v>
      </c>
      <c r="N1779" s="278">
        <f>IFERROR(INDEX('Data Lokasi'!S:S,MATCH('Input Real Tanam&amp;Petik Nanas'!C1779,'Data Lokasi'!C:C,0)),"")</f>
        <v>44335</v>
      </c>
      <c r="O1779" s="278"/>
      <c r="P1779" s="283">
        <f>IFERROR(INDEX('Data Lokasi'!V:V,MATCH(C1779,'Data Lokasi'!C:C,0)),"")</f>
        <v>0</v>
      </c>
      <c r="Q1779" s="304">
        <f t="shared" si="60"/>
        <v>0</v>
      </c>
      <c r="R1779" s="308">
        <v>8</v>
      </c>
    </row>
    <row r="1780" spans="2:18" hidden="1">
      <c r="B1780" s="269">
        <v>46289</v>
      </c>
      <c r="C1780" s="268" t="s">
        <v>2564</v>
      </c>
      <c r="D1780" s="274">
        <f>IFERROR(VLOOKUP(C1780,'Data Lokasi'!C:D,2,0),"")</f>
        <v>6.23</v>
      </c>
      <c r="E1780" s="274" t="s">
        <v>2643</v>
      </c>
      <c r="F1780" s="274"/>
      <c r="G1780" s="274"/>
      <c r="H1780" s="274"/>
      <c r="I1780" s="274">
        <v>1.58</v>
      </c>
      <c r="J1780" s="456">
        <f t="shared" si="59"/>
        <v>1.58</v>
      </c>
      <c r="K1780" s="583"/>
      <c r="L1780" s="268" t="s">
        <v>2625</v>
      </c>
      <c r="M1780" s="268" t="s">
        <v>2631</v>
      </c>
      <c r="N1780" s="278">
        <f>IFERROR(INDEX('Data Lokasi'!S:S,MATCH('Input Real Tanam&amp;Petik Nanas'!C1780,'Data Lokasi'!C:C,0)),"")</f>
        <v>45823</v>
      </c>
      <c r="O1780" s="278"/>
      <c r="P1780" s="283">
        <f>IFERROR(INDEX('Data Lokasi'!V:V,MATCH(C1780,'Data Lokasi'!C:C,0)),"")</f>
        <v>0</v>
      </c>
      <c r="Q1780" s="304">
        <f t="shared" si="60"/>
        <v>0</v>
      </c>
      <c r="R1780" s="308"/>
    </row>
    <row r="1781" spans="2:18" hidden="1">
      <c r="B1781" s="269">
        <v>46289</v>
      </c>
      <c r="C1781" s="268" t="s">
        <v>441</v>
      </c>
      <c r="D1781" s="274">
        <f>IFERROR(VLOOKUP(C1781,'Data Lokasi'!C:D,2,0),"")</f>
        <v>11.2</v>
      </c>
      <c r="E1781" s="274" t="s">
        <v>2643</v>
      </c>
      <c r="F1781" s="274"/>
      <c r="G1781" s="274">
        <v>0.01</v>
      </c>
      <c r="H1781" s="274">
        <f>0.06+0.11</f>
        <v>0.16999999999999998</v>
      </c>
      <c r="I1781" s="274">
        <f>0.12+0.13</f>
        <v>0.25</v>
      </c>
      <c r="J1781" s="456">
        <f t="shared" si="59"/>
        <v>0.43</v>
      </c>
      <c r="K1781" s="583"/>
      <c r="L1781" s="268" t="s">
        <v>719</v>
      </c>
      <c r="M1781" s="268" t="s">
        <v>2631</v>
      </c>
      <c r="N1781" s="278">
        <f>IFERROR(INDEX('Data Lokasi'!S:S,MATCH('Input Real Tanam&amp;Petik Nanas'!C1781,'Data Lokasi'!C:C,0)),"")</f>
        <v>44429</v>
      </c>
      <c r="O1781" s="278"/>
      <c r="P1781" s="283">
        <f>IFERROR(INDEX('Data Lokasi'!V:V,MATCH(C1781,'Data Lokasi'!C:C,0)),"")</f>
        <v>0</v>
      </c>
      <c r="Q1781" s="304">
        <f t="shared" si="60"/>
        <v>0</v>
      </c>
      <c r="R1781" s="308"/>
    </row>
    <row r="1782" spans="2:18" hidden="1">
      <c r="B1782" s="269">
        <v>46289</v>
      </c>
      <c r="C1782" s="268" t="s">
        <v>432</v>
      </c>
      <c r="D1782" s="274">
        <f>IFERROR(VLOOKUP(C1782,'Data Lokasi'!C:D,2,0),"")</f>
        <v>9.9</v>
      </c>
      <c r="E1782" s="274" t="s">
        <v>2643</v>
      </c>
      <c r="F1782" s="274"/>
      <c r="G1782" s="274">
        <f>0.04+0.03</f>
        <v>7.0000000000000007E-2</v>
      </c>
      <c r="H1782" s="274">
        <f>0.04+0.08</f>
        <v>0.12</v>
      </c>
      <c r="I1782" s="274"/>
      <c r="J1782" s="456">
        <f t="shared" si="59"/>
        <v>0.19</v>
      </c>
      <c r="K1782" s="583"/>
      <c r="L1782" s="268" t="s">
        <v>719</v>
      </c>
      <c r="M1782" s="268" t="s">
        <v>2634</v>
      </c>
      <c r="N1782" s="278">
        <f>IFERROR(INDEX('Data Lokasi'!S:S,MATCH('Input Real Tanam&amp;Petik Nanas'!C1782,'Data Lokasi'!C:C,0)),"")</f>
        <v>44394</v>
      </c>
      <c r="O1782" s="278"/>
      <c r="P1782" s="283">
        <f>IFERROR(INDEX('Data Lokasi'!V:V,MATCH(C1782,'Data Lokasi'!C:C,0)),"")</f>
        <v>0</v>
      </c>
      <c r="Q1782" s="304">
        <f t="shared" si="60"/>
        <v>0</v>
      </c>
      <c r="R1782" s="308">
        <v>2</v>
      </c>
    </row>
    <row r="1783" spans="2:18" hidden="1">
      <c r="B1783" s="269">
        <v>46289</v>
      </c>
      <c r="C1783" s="268" t="s">
        <v>428</v>
      </c>
      <c r="D1783" s="274">
        <f>IFERROR(VLOOKUP(C1783,'Data Lokasi'!C:D,2,0),"")</f>
        <v>8.6999999999999993</v>
      </c>
      <c r="E1783" s="274" t="s">
        <v>2643</v>
      </c>
      <c r="F1783" s="274"/>
      <c r="G1783" s="274">
        <v>0.3</v>
      </c>
      <c r="H1783" s="274">
        <f>0.21+0.34</f>
        <v>0.55000000000000004</v>
      </c>
      <c r="I1783" s="274"/>
      <c r="J1783" s="456">
        <f t="shared" si="59"/>
        <v>0.85000000000000009</v>
      </c>
      <c r="K1783" s="583"/>
      <c r="L1783" s="268" t="s">
        <v>719</v>
      </c>
      <c r="M1783" s="268" t="s">
        <v>2634</v>
      </c>
      <c r="N1783" s="278">
        <f>IFERROR(INDEX('Data Lokasi'!S:S,MATCH('Input Real Tanam&amp;Petik Nanas'!C1783,'Data Lokasi'!C:C,0)),"")</f>
        <v>44386</v>
      </c>
      <c r="O1783" s="278"/>
      <c r="P1783" s="283">
        <f>IFERROR(INDEX('Data Lokasi'!V:V,MATCH(C1783,'Data Lokasi'!C:C,0)),"")</f>
        <v>0</v>
      </c>
      <c r="Q1783" s="304">
        <f t="shared" si="60"/>
        <v>0</v>
      </c>
      <c r="R1783" s="308">
        <v>2</v>
      </c>
    </row>
    <row r="1784" spans="2:18" hidden="1">
      <c r="B1784" s="269">
        <v>46289</v>
      </c>
      <c r="C1784" s="268" t="s">
        <v>488</v>
      </c>
      <c r="D1784" s="274">
        <f>IFERROR(VLOOKUP(C1784,'Data Lokasi'!C:D,2,0),"")</f>
        <v>11.2</v>
      </c>
      <c r="E1784" s="274" t="s">
        <v>2643</v>
      </c>
      <c r="F1784" s="274"/>
      <c r="G1784" s="274">
        <v>0.01</v>
      </c>
      <c r="H1784" s="274">
        <f>0.03+0.07</f>
        <v>0.1</v>
      </c>
      <c r="I1784" s="274">
        <v>0.1</v>
      </c>
      <c r="J1784" s="456">
        <f t="shared" si="59"/>
        <v>0.21000000000000002</v>
      </c>
      <c r="K1784" s="583"/>
      <c r="L1784" s="268" t="s">
        <v>719</v>
      </c>
      <c r="M1784" s="268" t="s">
        <v>2634</v>
      </c>
      <c r="N1784" s="278">
        <f>IFERROR(INDEX('Data Lokasi'!S:S,MATCH('Input Real Tanam&amp;Petik Nanas'!C1784,'Data Lokasi'!C:C,0)),"")</f>
        <v>44529</v>
      </c>
      <c r="O1784" s="278"/>
      <c r="P1784" s="283">
        <f>IFERROR(INDEX('Data Lokasi'!V:V,MATCH(C1784,'Data Lokasi'!C:C,0)),"")</f>
        <v>0</v>
      </c>
      <c r="Q1784" s="304">
        <f t="shared" si="60"/>
        <v>0</v>
      </c>
      <c r="R1784" s="308">
        <v>4</v>
      </c>
    </row>
    <row r="1785" spans="2:18">
      <c r="B1785" s="269">
        <v>46290</v>
      </c>
      <c r="C1785" s="317" t="s">
        <v>124</v>
      </c>
      <c r="D1785" s="274">
        <f>IFERROR(VLOOKUP(C1785,'Data Lokasi'!C:D,2,0),"")</f>
        <v>3.85</v>
      </c>
      <c r="E1785" s="274" t="s">
        <v>2642</v>
      </c>
      <c r="F1785" s="274"/>
      <c r="G1785" s="274"/>
      <c r="H1785" s="274"/>
      <c r="I1785" s="274">
        <v>1.02</v>
      </c>
      <c r="J1785" s="456">
        <f t="shared" si="59"/>
        <v>1.02</v>
      </c>
      <c r="K1785" s="583"/>
      <c r="L1785" s="268" t="s">
        <v>2625</v>
      </c>
      <c r="M1785" s="268" t="s">
        <v>2634</v>
      </c>
      <c r="N1785" s="278">
        <f>IFERROR(INDEX('Data Lokasi'!S:S,MATCH('Input Real Tanam&amp;Petik Nanas'!C1785,'Data Lokasi'!C:C,0)),"")</f>
        <v>46288</v>
      </c>
      <c r="O1785" s="278"/>
      <c r="P1785" s="283">
        <f>IFERROR(INDEX('Data Lokasi'!V:V,MATCH(C1785,'Data Lokasi'!C:C,0)),"")</f>
        <v>3.8499999999999996</v>
      </c>
      <c r="Q1785" s="304">
        <f t="shared" si="60"/>
        <v>0.99999999999999989</v>
      </c>
      <c r="R1785" s="308"/>
    </row>
    <row r="1786" spans="2:18">
      <c r="B1786" s="269">
        <v>46290</v>
      </c>
      <c r="C1786" s="268" t="s">
        <v>138</v>
      </c>
      <c r="D1786" s="274">
        <f>IFERROR(VLOOKUP(C1786,'Data Lokasi'!C:D,2,0),"")</f>
        <v>5.21</v>
      </c>
      <c r="E1786" s="274" t="s">
        <v>2642</v>
      </c>
      <c r="F1786" s="274"/>
      <c r="G1786" s="274"/>
      <c r="H1786" s="274"/>
      <c r="I1786" s="274">
        <v>7.0000000000000007E-2</v>
      </c>
      <c r="J1786" s="456">
        <f t="shared" si="59"/>
        <v>7.0000000000000007E-2</v>
      </c>
      <c r="K1786" s="583"/>
      <c r="L1786" s="268" t="s">
        <v>2625</v>
      </c>
      <c r="M1786" s="268" t="s">
        <v>2634</v>
      </c>
      <c r="N1786" s="278">
        <f>IFERROR(INDEX('Data Lokasi'!S:S,MATCH('Input Real Tanam&amp;Petik Nanas'!C1786,'Data Lokasi'!C:C,0)),"")</f>
        <v>45314</v>
      </c>
      <c r="O1786" s="278"/>
      <c r="P1786" s="283">
        <f>IFERROR(INDEX('Data Lokasi'!V:V,MATCH(C1786,'Data Lokasi'!C:C,0)),"")</f>
        <v>0</v>
      </c>
      <c r="Q1786" s="304">
        <f t="shared" si="60"/>
        <v>0</v>
      </c>
      <c r="R1786" s="308"/>
    </row>
    <row r="1787" spans="2:18">
      <c r="B1787" s="269">
        <v>46290</v>
      </c>
      <c r="C1787" s="375" t="s">
        <v>696</v>
      </c>
      <c r="D1787" s="274">
        <f>IFERROR(VLOOKUP(C1787,'Data Lokasi'!C:D,2,0),"")</f>
        <v>12.75</v>
      </c>
      <c r="E1787" s="274" t="s">
        <v>2642</v>
      </c>
      <c r="F1787" s="274"/>
      <c r="G1787" s="274"/>
      <c r="H1787" s="274"/>
      <c r="I1787" s="274">
        <v>0.2</v>
      </c>
      <c r="J1787" s="456">
        <f t="shared" si="59"/>
        <v>0.2</v>
      </c>
      <c r="K1787" s="583"/>
      <c r="L1787" s="268" t="s">
        <v>719</v>
      </c>
      <c r="M1787" s="268" t="s">
        <v>2634</v>
      </c>
      <c r="N1787" s="278">
        <f>IFERROR(INDEX('Data Lokasi'!S:S,MATCH('Input Real Tanam&amp;Petik Nanas'!C1787,'Data Lokasi'!C:C,0)),"")</f>
        <v>46290</v>
      </c>
      <c r="O1787" s="278"/>
      <c r="P1787" s="283">
        <f>IFERROR(INDEX('Data Lokasi'!V:V,MATCH(C1787,'Data Lokasi'!C:C,0)),"")</f>
        <v>9.51</v>
      </c>
      <c r="Q1787" s="304">
        <f t="shared" si="60"/>
        <v>0.74588235294117644</v>
      </c>
      <c r="R1787" s="308"/>
    </row>
    <row r="1788" spans="2:18">
      <c r="B1788" s="269">
        <v>46290</v>
      </c>
      <c r="C1788" s="268" t="s">
        <v>278</v>
      </c>
      <c r="D1788" s="274">
        <f>IFERROR(VLOOKUP(C1788,'Data Lokasi'!C:D,2,0),"")</f>
        <v>6.78</v>
      </c>
      <c r="E1788" s="274" t="s">
        <v>2642</v>
      </c>
      <c r="F1788" s="274"/>
      <c r="G1788" s="274"/>
      <c r="H1788" s="274"/>
      <c r="I1788" s="274">
        <v>0.06</v>
      </c>
      <c r="J1788" s="456">
        <f t="shared" si="59"/>
        <v>0.06</v>
      </c>
      <c r="K1788" s="583"/>
      <c r="L1788" s="268" t="s">
        <v>2625</v>
      </c>
      <c r="M1788" s="268" t="s">
        <v>2634</v>
      </c>
      <c r="N1788" s="278">
        <f>IFERROR(INDEX('Data Lokasi'!S:S,MATCH('Input Real Tanam&amp;Petik Nanas'!C1788,'Data Lokasi'!C:C,0)),"")</f>
        <v>44101</v>
      </c>
      <c r="O1788" s="278"/>
      <c r="P1788" s="283">
        <f>IFERROR(INDEX('Data Lokasi'!V:V,MATCH(C1788,'Data Lokasi'!C:C,0)),"")</f>
        <v>0</v>
      </c>
      <c r="Q1788" s="304">
        <f t="shared" si="60"/>
        <v>0</v>
      </c>
      <c r="R1788" s="308"/>
    </row>
    <row r="1789" spans="2:18">
      <c r="B1789" s="269">
        <v>46290</v>
      </c>
      <c r="C1789" s="268" t="s">
        <v>2737</v>
      </c>
      <c r="D1789" s="274">
        <f>IFERROR(VLOOKUP(C1789,'Data Lokasi'!C:D,2,0),"")</f>
        <v>7.19</v>
      </c>
      <c r="E1789" s="274" t="s">
        <v>2642</v>
      </c>
      <c r="F1789" s="274"/>
      <c r="G1789" s="274"/>
      <c r="H1789" s="274">
        <v>0.08</v>
      </c>
      <c r="I1789" s="274"/>
      <c r="J1789" s="456">
        <f t="shared" si="59"/>
        <v>0.08</v>
      </c>
      <c r="K1789" s="583"/>
      <c r="L1789" s="268" t="s">
        <v>719</v>
      </c>
      <c r="M1789" s="268" t="s">
        <v>2634</v>
      </c>
      <c r="N1789" s="278">
        <f>IFERROR(INDEX('Data Lokasi'!S:S,MATCH('Input Real Tanam&amp;Petik Nanas'!C1789,'Data Lokasi'!C:C,0)),"")</f>
        <v>46290</v>
      </c>
      <c r="O1789" s="278"/>
      <c r="P1789" s="283">
        <f>IFERROR(INDEX('Data Lokasi'!V:V,MATCH(C1789,'Data Lokasi'!C:C,0)),"")</f>
        <v>6.8199999999999994</v>
      </c>
      <c r="Q1789" s="304">
        <f t="shared" si="60"/>
        <v>0.94853963838664801</v>
      </c>
      <c r="R1789" s="308"/>
    </row>
    <row r="1790" spans="2:18">
      <c r="B1790" s="269">
        <v>46290</v>
      </c>
      <c r="C1790" s="268" t="s">
        <v>2713</v>
      </c>
      <c r="D1790" s="274">
        <f>IFERROR(VLOOKUP(C1790,'Data Lokasi'!C:D,2,0),"")</f>
        <v>10.01</v>
      </c>
      <c r="E1790" s="274" t="s">
        <v>2642</v>
      </c>
      <c r="F1790" s="274"/>
      <c r="G1790" s="274">
        <v>0.12</v>
      </c>
      <c r="H1790" s="274">
        <v>0.67</v>
      </c>
      <c r="I1790" s="274"/>
      <c r="J1790" s="456">
        <f t="shared" si="59"/>
        <v>0.79</v>
      </c>
      <c r="K1790" s="583"/>
      <c r="L1790" s="268" t="s">
        <v>719</v>
      </c>
      <c r="M1790" s="268" t="s">
        <v>2631</v>
      </c>
      <c r="N1790" s="278">
        <f>IFERROR(INDEX('Data Lokasi'!S:S,MATCH('Input Real Tanam&amp;Petik Nanas'!C1790,'Data Lokasi'!C:C,0)),"")</f>
        <v>46284</v>
      </c>
      <c r="O1790" s="278"/>
      <c r="P1790" s="283">
        <f>IFERROR(INDEX('Data Lokasi'!V:V,MATCH(C1790,'Data Lokasi'!C:C,0)),"")</f>
        <v>9.0100000000000016</v>
      </c>
      <c r="Q1790" s="304">
        <f t="shared" si="60"/>
        <v>0.90009990009990026</v>
      </c>
      <c r="R1790" s="308"/>
    </row>
    <row r="1791" spans="2:18">
      <c r="B1791" s="269">
        <v>46290</v>
      </c>
      <c r="C1791" s="268" t="s">
        <v>120</v>
      </c>
      <c r="D1791" s="274">
        <f>IFERROR(VLOOKUP(C1791,'Data Lokasi'!C:D,2,0),"")</f>
        <v>9.0399999999999991</v>
      </c>
      <c r="E1791" s="274" t="s">
        <v>2642</v>
      </c>
      <c r="F1791" s="274"/>
      <c r="G1791" s="274"/>
      <c r="H1791" s="274"/>
      <c r="I1791" s="274">
        <v>0.04</v>
      </c>
      <c r="J1791" s="456">
        <f t="shared" si="59"/>
        <v>0.04</v>
      </c>
      <c r="K1791" s="583"/>
      <c r="L1791" s="268" t="s">
        <v>2625</v>
      </c>
      <c r="M1791" s="268" t="s">
        <v>2631</v>
      </c>
      <c r="N1791" s="278">
        <f>IFERROR(INDEX('Data Lokasi'!S:S,MATCH('Input Real Tanam&amp;Petik Nanas'!C1791,'Data Lokasi'!C:C,0)),"")</f>
        <v>44184</v>
      </c>
      <c r="O1791" s="278"/>
      <c r="P1791" s="283">
        <f>IFERROR(INDEX('Data Lokasi'!V:V,MATCH(C1791,'Data Lokasi'!C:C,0)),"")</f>
        <v>0</v>
      </c>
      <c r="Q1791" s="304">
        <f t="shared" si="60"/>
        <v>0</v>
      </c>
      <c r="R1791" s="308"/>
    </row>
    <row r="1792" spans="2:18">
      <c r="B1792" s="269">
        <v>46290</v>
      </c>
      <c r="C1792" s="268" t="s">
        <v>693</v>
      </c>
      <c r="D1792" s="274">
        <f>IFERROR(VLOOKUP(C1792,'Data Lokasi'!C:D,2,0),"")</f>
        <v>6.87</v>
      </c>
      <c r="E1792" s="274" t="s">
        <v>2642</v>
      </c>
      <c r="F1792" s="274"/>
      <c r="G1792" s="274"/>
      <c r="H1792" s="274"/>
      <c r="I1792" s="274">
        <v>0.2</v>
      </c>
      <c r="J1792" s="456">
        <f t="shared" si="59"/>
        <v>0.2</v>
      </c>
      <c r="K1792" s="583"/>
      <c r="L1792" s="268" t="s">
        <v>2625</v>
      </c>
      <c r="M1792" s="268" t="s">
        <v>2631</v>
      </c>
      <c r="N1792" s="278">
        <f>IFERROR(INDEX('Data Lokasi'!S:S,MATCH('Input Real Tanam&amp;Petik Nanas'!C1792,'Data Lokasi'!C:C,0)),"")</f>
        <v>45151</v>
      </c>
      <c r="O1792" s="278"/>
      <c r="P1792" s="283">
        <f>IFERROR(INDEX('Data Lokasi'!V:V,MATCH(C1792,'Data Lokasi'!C:C,0)),"")</f>
        <v>0</v>
      </c>
      <c r="Q1792" s="304">
        <f t="shared" si="60"/>
        <v>0</v>
      </c>
      <c r="R1792" s="308"/>
    </row>
    <row r="1793" spans="2:18">
      <c r="B1793" s="269">
        <v>46290</v>
      </c>
      <c r="C1793" s="268" t="s">
        <v>679</v>
      </c>
      <c r="D1793" s="274">
        <f>IFERROR(VLOOKUP(C1793,'Data Lokasi'!C:D,2,0),"")</f>
        <v>2.79</v>
      </c>
      <c r="E1793" s="274" t="s">
        <v>2642</v>
      </c>
      <c r="F1793" s="274"/>
      <c r="G1793" s="274"/>
      <c r="H1793" s="274"/>
      <c r="I1793" s="274">
        <v>0.26</v>
      </c>
      <c r="J1793" s="456">
        <f t="shared" si="59"/>
        <v>0.26</v>
      </c>
      <c r="K1793" s="583"/>
      <c r="L1793" s="268" t="s">
        <v>2625</v>
      </c>
      <c r="M1793" s="268" t="s">
        <v>2631</v>
      </c>
      <c r="N1793" s="278">
        <f>IFERROR(INDEX('Data Lokasi'!S:S,MATCH('Input Real Tanam&amp;Petik Nanas'!C1793,'Data Lokasi'!C:C,0)),"")</f>
        <v>45099</v>
      </c>
      <c r="O1793" s="278"/>
      <c r="P1793" s="283">
        <f>IFERROR(INDEX('Data Lokasi'!V:V,MATCH(C1793,'Data Lokasi'!C:C,0)),"")</f>
        <v>0</v>
      </c>
      <c r="Q1793" s="304">
        <f t="shared" si="60"/>
        <v>0</v>
      </c>
      <c r="R1793" s="308"/>
    </row>
    <row r="1794" spans="2:18">
      <c r="B1794" s="269">
        <v>46290</v>
      </c>
      <c r="C1794" s="268" t="s">
        <v>2712</v>
      </c>
      <c r="D1794" s="274">
        <f>IFERROR(VLOOKUP(C1794,'Data Lokasi'!C:D,2,0),"")</f>
        <v>6.02</v>
      </c>
      <c r="E1794" s="274" t="s">
        <v>2642</v>
      </c>
      <c r="F1794" s="274"/>
      <c r="G1794" s="274"/>
      <c r="H1794" s="274"/>
      <c r="I1794" s="274">
        <v>0.28000000000000003</v>
      </c>
      <c r="J1794" s="456">
        <f t="shared" si="59"/>
        <v>0.28000000000000003</v>
      </c>
      <c r="K1794" s="583"/>
      <c r="L1794" s="268" t="s">
        <v>2625</v>
      </c>
      <c r="M1794" s="268" t="s">
        <v>2631</v>
      </c>
      <c r="N1794" s="278">
        <f>IFERROR(INDEX('Data Lokasi'!S:S,MATCH('Input Real Tanam&amp;Petik Nanas'!C1794,'Data Lokasi'!C:C,0)),"")</f>
        <v>46271</v>
      </c>
      <c r="O1794" s="278"/>
      <c r="P1794" s="283">
        <f>IFERROR(INDEX('Data Lokasi'!V:V,MATCH(C1794,'Data Lokasi'!C:C,0)),"")</f>
        <v>6.0200000000000005</v>
      </c>
      <c r="Q1794" s="304">
        <f t="shared" si="60"/>
        <v>1.0000000000000002</v>
      </c>
      <c r="R1794" s="308"/>
    </row>
    <row r="1795" spans="2:18" hidden="1">
      <c r="B1795" s="269">
        <v>46290</v>
      </c>
      <c r="C1795" s="268" t="s">
        <v>980</v>
      </c>
      <c r="D1795" s="274">
        <f>IFERROR(VLOOKUP(C1795,'Data Lokasi'!C:D,2,0),"")</f>
        <v>7.15</v>
      </c>
      <c r="E1795" s="274" t="s">
        <v>2643</v>
      </c>
      <c r="F1795" s="274"/>
      <c r="G1795" s="274"/>
      <c r="H1795" s="274"/>
      <c r="I1795" s="274">
        <v>2</v>
      </c>
      <c r="J1795" s="456">
        <f t="shared" si="59"/>
        <v>2</v>
      </c>
      <c r="K1795" s="583"/>
      <c r="L1795" s="268" t="s">
        <v>2625</v>
      </c>
      <c r="M1795" s="268" t="s">
        <v>2634</v>
      </c>
      <c r="N1795" s="278">
        <f>IFERROR(INDEX('Data Lokasi'!S:S,MATCH('Input Real Tanam&amp;Petik Nanas'!C1795,'Data Lokasi'!C:C,0)),"")</f>
        <v>45431</v>
      </c>
      <c r="O1795" s="278"/>
      <c r="P1795" s="283">
        <f>IFERROR(INDEX('Data Lokasi'!V:V,MATCH(C1795,'Data Lokasi'!C:C,0)),"")</f>
        <v>0</v>
      </c>
      <c r="Q1795" s="304">
        <f t="shared" si="60"/>
        <v>0</v>
      </c>
      <c r="R1795" s="308"/>
    </row>
    <row r="1796" spans="2:18" hidden="1">
      <c r="B1796" s="269">
        <v>46290</v>
      </c>
      <c r="C1796" s="268" t="s">
        <v>432</v>
      </c>
      <c r="D1796" s="274">
        <f>IFERROR(VLOOKUP(C1796,'Data Lokasi'!C:D,2,0),"")</f>
        <v>9.9</v>
      </c>
      <c r="E1796" s="274" t="s">
        <v>2643</v>
      </c>
      <c r="F1796" s="274"/>
      <c r="G1796" s="274">
        <f>0.02+0.03</f>
        <v>0.05</v>
      </c>
      <c r="H1796" s="274">
        <v>0.06</v>
      </c>
      <c r="I1796" s="274"/>
      <c r="J1796" s="456">
        <f t="shared" si="59"/>
        <v>0.11</v>
      </c>
      <c r="K1796" s="583"/>
      <c r="L1796" s="268" t="s">
        <v>719</v>
      </c>
      <c r="M1796" s="268" t="s">
        <v>2634</v>
      </c>
      <c r="N1796" s="278">
        <f>IFERROR(INDEX('Data Lokasi'!S:S,MATCH('Input Real Tanam&amp;Petik Nanas'!C1796,'Data Lokasi'!C:C,0)),"")</f>
        <v>44394</v>
      </c>
      <c r="O1796" s="278"/>
      <c r="P1796" s="283">
        <f>IFERROR(INDEX('Data Lokasi'!V:V,MATCH(C1796,'Data Lokasi'!C:C,0)),"")</f>
        <v>0</v>
      </c>
      <c r="Q1796" s="304">
        <f t="shared" si="60"/>
        <v>0</v>
      </c>
      <c r="R1796" s="308">
        <v>2</v>
      </c>
    </row>
    <row r="1797" spans="2:18" hidden="1">
      <c r="B1797" s="269">
        <v>46290</v>
      </c>
      <c r="C1797" s="268" t="s">
        <v>428</v>
      </c>
      <c r="D1797" s="274">
        <f>IFERROR(VLOOKUP(C1797,'Data Lokasi'!C:D,2,0),"")</f>
        <v>8.6999999999999993</v>
      </c>
      <c r="E1797" s="274" t="s">
        <v>2643</v>
      </c>
      <c r="F1797" s="274"/>
      <c r="G1797" s="274">
        <v>0.02</v>
      </c>
      <c r="H1797" s="274">
        <v>0.04</v>
      </c>
      <c r="I1797" s="274"/>
      <c r="J1797" s="456">
        <f t="shared" si="59"/>
        <v>0.06</v>
      </c>
      <c r="K1797" s="583"/>
      <c r="L1797" s="268" t="s">
        <v>719</v>
      </c>
      <c r="M1797" s="268" t="s">
        <v>2634</v>
      </c>
      <c r="N1797" s="278">
        <f>IFERROR(INDEX('Data Lokasi'!S:S,MATCH('Input Real Tanam&amp;Petik Nanas'!C1797,'Data Lokasi'!C:C,0)),"")</f>
        <v>44386</v>
      </c>
      <c r="O1797" s="278"/>
      <c r="P1797" s="283">
        <f>IFERROR(INDEX('Data Lokasi'!V:V,MATCH(C1797,'Data Lokasi'!C:C,0)),"")</f>
        <v>0</v>
      </c>
      <c r="Q1797" s="304">
        <f t="shared" si="60"/>
        <v>0</v>
      </c>
      <c r="R1797" s="308">
        <v>2</v>
      </c>
    </row>
    <row r="1798" spans="2:18" hidden="1">
      <c r="B1798" s="269">
        <v>46290</v>
      </c>
      <c r="C1798" s="268" t="s">
        <v>488</v>
      </c>
      <c r="D1798" s="274">
        <f>IFERROR(VLOOKUP(C1798,'Data Lokasi'!C:D,2,0),"")</f>
        <v>11.2</v>
      </c>
      <c r="E1798" s="274" t="s">
        <v>2643</v>
      </c>
      <c r="F1798" s="274"/>
      <c r="G1798" s="274"/>
      <c r="H1798" s="274">
        <f>0.09+0.25</f>
        <v>0.33999999999999997</v>
      </c>
      <c r="I1798" s="274">
        <v>0.37</v>
      </c>
      <c r="J1798" s="456">
        <f t="shared" si="59"/>
        <v>0.71</v>
      </c>
      <c r="K1798" s="583"/>
      <c r="L1798" s="268" t="s">
        <v>719</v>
      </c>
      <c r="M1798" s="268" t="s">
        <v>2634</v>
      </c>
      <c r="N1798" s="278">
        <f>IFERROR(INDEX('Data Lokasi'!S:S,MATCH('Input Real Tanam&amp;Petik Nanas'!C1798,'Data Lokasi'!C:C,0)),"")</f>
        <v>44529</v>
      </c>
      <c r="O1798" s="278"/>
      <c r="P1798" s="283">
        <f>IFERROR(INDEX('Data Lokasi'!V:V,MATCH(C1798,'Data Lokasi'!C:C,0)),"")</f>
        <v>0</v>
      </c>
      <c r="Q1798" s="304">
        <f t="shared" si="60"/>
        <v>0</v>
      </c>
      <c r="R1798" s="308">
        <v>4</v>
      </c>
    </row>
    <row r="1799" spans="2:18" hidden="1">
      <c r="B1799" s="269">
        <v>46290</v>
      </c>
      <c r="C1799" s="268" t="s">
        <v>472</v>
      </c>
      <c r="D1799" s="274">
        <f>IFERROR(VLOOKUP(C1799,'Data Lokasi'!C:D,2,0),"")</f>
        <v>14.38</v>
      </c>
      <c r="E1799" s="274" t="s">
        <v>2643</v>
      </c>
      <c r="F1799" s="274"/>
      <c r="G1799" s="274"/>
      <c r="H1799" s="274">
        <f>0.08+0.22</f>
        <v>0.3</v>
      </c>
      <c r="I1799" s="274">
        <f>0.33+0.34</f>
        <v>0.67</v>
      </c>
      <c r="J1799" s="456">
        <f t="shared" si="59"/>
        <v>0.97</v>
      </c>
      <c r="K1799" s="583"/>
      <c r="L1799" s="268" t="s">
        <v>719</v>
      </c>
      <c r="M1799" s="268" t="s">
        <v>2631</v>
      </c>
      <c r="N1799" s="278">
        <f>IFERROR(INDEX('Data Lokasi'!S:S,MATCH('Input Real Tanam&amp;Petik Nanas'!C1799,'Data Lokasi'!C:C,0)),"")</f>
        <v>44487</v>
      </c>
      <c r="O1799" s="278"/>
      <c r="P1799" s="283">
        <f>IFERROR(INDEX('Data Lokasi'!V:V,MATCH(C1799,'Data Lokasi'!C:C,0)),"")</f>
        <v>0</v>
      </c>
      <c r="Q1799" s="304">
        <f t="shared" si="60"/>
        <v>0</v>
      </c>
      <c r="R1799" s="308">
        <v>2</v>
      </c>
    </row>
    <row r="1800" spans="2:18" hidden="1">
      <c r="B1800" s="269">
        <v>46290</v>
      </c>
      <c r="C1800" s="268" t="s">
        <v>2564</v>
      </c>
      <c r="D1800" s="274">
        <f>IFERROR(VLOOKUP(C1800,'Data Lokasi'!C:D,2,0),"")</f>
        <v>6.23</v>
      </c>
      <c r="E1800" s="274" t="s">
        <v>2643</v>
      </c>
      <c r="F1800" s="274"/>
      <c r="G1800" s="274"/>
      <c r="H1800" s="274"/>
      <c r="I1800" s="274">
        <v>0.98</v>
      </c>
      <c r="J1800" s="456">
        <f t="shared" si="59"/>
        <v>0.98</v>
      </c>
      <c r="K1800" s="583"/>
      <c r="L1800" s="268" t="s">
        <v>2625</v>
      </c>
      <c r="M1800" s="268" t="s">
        <v>2631</v>
      </c>
      <c r="N1800" s="278">
        <f>IFERROR(INDEX('Data Lokasi'!S:S,MATCH('Input Real Tanam&amp;Petik Nanas'!C1800,'Data Lokasi'!C:C,0)),"")</f>
        <v>45823</v>
      </c>
      <c r="O1800" s="278"/>
      <c r="P1800" s="283">
        <f>IFERROR(INDEX('Data Lokasi'!V:V,MATCH(C1800,'Data Lokasi'!C:C,0)),"")</f>
        <v>0</v>
      </c>
      <c r="Q1800" s="304">
        <f t="shared" si="60"/>
        <v>0</v>
      </c>
      <c r="R1800" s="308"/>
    </row>
    <row r="1801" spans="2:18" hidden="1">
      <c r="B1801" s="269">
        <v>46290</v>
      </c>
      <c r="C1801" s="268" t="s">
        <v>569</v>
      </c>
      <c r="D1801" s="274">
        <f>IFERROR(VLOOKUP(C1801,'Data Lokasi'!C:D,2,0),"")</f>
        <v>5.69</v>
      </c>
      <c r="E1801" s="274" t="s">
        <v>2643</v>
      </c>
      <c r="F1801" s="274"/>
      <c r="G1801" s="274"/>
      <c r="H1801" s="274"/>
      <c r="I1801" s="274">
        <v>1.07</v>
      </c>
      <c r="J1801" s="456">
        <f t="shared" si="59"/>
        <v>1.07</v>
      </c>
      <c r="K1801" s="583"/>
      <c r="L1801" s="268" t="s">
        <v>2625</v>
      </c>
      <c r="M1801" s="268" t="s">
        <v>2631</v>
      </c>
      <c r="N1801" s="278">
        <f>IFERROR(INDEX('Data Lokasi'!S:S,MATCH('Input Real Tanam&amp;Petik Nanas'!C1801,'Data Lokasi'!C:C,0)),"")</f>
        <v>44723</v>
      </c>
      <c r="O1801" s="278"/>
      <c r="P1801" s="283">
        <f>IFERROR(INDEX('Data Lokasi'!V:V,MATCH(C1801,'Data Lokasi'!C:C,0)),"")</f>
        <v>0</v>
      </c>
      <c r="Q1801" s="304">
        <f t="shared" si="60"/>
        <v>0</v>
      </c>
      <c r="R1801" s="308"/>
    </row>
    <row r="1802" spans="2:18" hidden="1">
      <c r="B1802" s="269">
        <v>46290</v>
      </c>
      <c r="C1802" s="268" t="s">
        <v>465</v>
      </c>
      <c r="D1802" s="274">
        <f>IFERROR(VLOOKUP(C1802,'Data Lokasi'!C:D,2,0),"")</f>
        <v>11.63</v>
      </c>
      <c r="E1802" s="274" t="s">
        <v>2643</v>
      </c>
      <c r="F1802" s="274"/>
      <c r="G1802" s="274"/>
      <c r="H1802" s="274">
        <f>0.01+0.09</f>
        <v>9.9999999999999992E-2</v>
      </c>
      <c r="I1802" s="274">
        <f>0.12+0.13</f>
        <v>0.25</v>
      </c>
      <c r="J1802" s="456">
        <f t="shared" si="59"/>
        <v>0.35</v>
      </c>
      <c r="K1802" s="583"/>
      <c r="L1802" s="268" t="s">
        <v>719</v>
      </c>
      <c r="M1802" s="268" t="s">
        <v>2631</v>
      </c>
      <c r="N1802" s="278">
        <f>IFERROR(INDEX('Data Lokasi'!S:S,MATCH('Input Real Tanam&amp;Petik Nanas'!C1802,'Data Lokasi'!C:C,0)),"")</f>
        <v>44477</v>
      </c>
      <c r="O1802" s="278"/>
      <c r="P1802" s="283">
        <f>IFERROR(INDEX('Data Lokasi'!V:V,MATCH(C1802,'Data Lokasi'!C:C,0)),"")</f>
        <v>0</v>
      </c>
      <c r="Q1802" s="304">
        <f t="shared" si="60"/>
        <v>0</v>
      </c>
      <c r="R1802" s="308">
        <v>5</v>
      </c>
    </row>
    <row r="1803" spans="2:18" hidden="1">
      <c r="B1803" s="269">
        <v>46290</v>
      </c>
      <c r="C1803" s="268" t="s">
        <v>401</v>
      </c>
      <c r="D1803" s="274">
        <f>IFERROR(VLOOKUP(C1803,'Data Lokasi'!C:D,2,0),"")</f>
        <v>5.7</v>
      </c>
      <c r="E1803" s="274" t="s">
        <v>2643</v>
      </c>
      <c r="F1803" s="274"/>
      <c r="G1803" s="274"/>
      <c r="H1803" s="274"/>
      <c r="I1803" s="274">
        <v>0.25</v>
      </c>
      <c r="J1803" s="456">
        <f t="shared" si="59"/>
        <v>0.25</v>
      </c>
      <c r="K1803" s="583"/>
      <c r="L1803" s="268" t="s">
        <v>2625</v>
      </c>
      <c r="M1803" s="268" t="s">
        <v>2631</v>
      </c>
      <c r="N1803" s="278">
        <f>IFERROR(INDEX('Data Lokasi'!S:S,MATCH('Input Real Tanam&amp;Petik Nanas'!C1803,'Data Lokasi'!C:C,0)),"")</f>
        <v>44362</v>
      </c>
      <c r="O1803" s="278"/>
      <c r="P1803" s="283">
        <f>IFERROR(INDEX('Data Lokasi'!V:V,MATCH(C1803,'Data Lokasi'!C:C,0)),"")</f>
        <v>0</v>
      </c>
      <c r="Q1803" s="304">
        <f t="shared" si="60"/>
        <v>0</v>
      </c>
      <c r="R1803" s="308"/>
    </row>
    <row r="1804" spans="2:18" hidden="1">
      <c r="B1804" s="269">
        <v>46290</v>
      </c>
      <c r="C1804" s="268" t="s">
        <v>441</v>
      </c>
      <c r="D1804" s="274">
        <f>IFERROR(VLOOKUP(C1804,'Data Lokasi'!C:D,2,0),"")</f>
        <v>11.2</v>
      </c>
      <c r="E1804" s="274" t="s">
        <v>2643</v>
      </c>
      <c r="F1804" s="274"/>
      <c r="G1804" s="274">
        <v>0.01</v>
      </c>
      <c r="H1804" s="274">
        <v>0.06</v>
      </c>
      <c r="I1804" s="274">
        <f>0.06+0.07</f>
        <v>0.13</v>
      </c>
      <c r="J1804" s="456">
        <f t="shared" si="59"/>
        <v>0.2</v>
      </c>
      <c r="K1804" s="583"/>
      <c r="L1804" s="268" t="s">
        <v>719</v>
      </c>
      <c r="M1804" s="268" t="s">
        <v>2631</v>
      </c>
      <c r="N1804" s="278">
        <f>IFERROR(INDEX('Data Lokasi'!S:S,MATCH('Input Real Tanam&amp;Petik Nanas'!C1804,'Data Lokasi'!C:C,0)),"")</f>
        <v>44429</v>
      </c>
      <c r="O1804" s="278"/>
      <c r="P1804" s="283">
        <f>IFERROR(INDEX('Data Lokasi'!V:V,MATCH(C1804,'Data Lokasi'!C:C,0)),"")</f>
        <v>0</v>
      </c>
      <c r="Q1804" s="304">
        <f t="shared" si="60"/>
        <v>0</v>
      </c>
      <c r="R1804" s="308">
        <v>6</v>
      </c>
    </row>
    <row r="1805" spans="2:18">
      <c r="B1805" s="269">
        <v>46291</v>
      </c>
      <c r="C1805" s="317" t="s">
        <v>124</v>
      </c>
      <c r="D1805" s="274">
        <f>IFERROR(VLOOKUP(C1805,'Data Lokasi'!C:D,2,0),"")</f>
        <v>3.85</v>
      </c>
      <c r="E1805" s="274" t="s">
        <v>2642</v>
      </c>
      <c r="F1805" s="274"/>
      <c r="G1805" s="274"/>
      <c r="H1805" s="274"/>
      <c r="I1805" s="274">
        <v>0.06</v>
      </c>
      <c r="J1805" s="456">
        <f t="shared" si="59"/>
        <v>0.06</v>
      </c>
      <c r="K1805" s="583"/>
      <c r="L1805" s="268" t="s">
        <v>2625</v>
      </c>
      <c r="M1805" s="268" t="s">
        <v>2634</v>
      </c>
      <c r="N1805" s="278">
        <f>IFERROR(INDEX('Data Lokasi'!S:S,MATCH('Input Real Tanam&amp;Petik Nanas'!C1805,'Data Lokasi'!C:C,0)),"")</f>
        <v>46288</v>
      </c>
      <c r="O1805" s="278"/>
      <c r="P1805" s="283">
        <f>IFERROR(INDEX('Data Lokasi'!V:V,MATCH(C1805,'Data Lokasi'!C:C,0)),"")</f>
        <v>3.8499999999999996</v>
      </c>
      <c r="Q1805" s="304">
        <f t="shared" si="60"/>
        <v>0.99999999999999989</v>
      </c>
      <c r="R1805" s="308"/>
    </row>
    <row r="1806" spans="2:18">
      <c r="B1806" s="269">
        <v>46291</v>
      </c>
      <c r="C1806" s="268" t="s">
        <v>138</v>
      </c>
      <c r="D1806" s="274">
        <f>IFERROR(VLOOKUP(C1806,'Data Lokasi'!C:D,2,0),"")</f>
        <v>5.21</v>
      </c>
      <c r="E1806" s="274" t="s">
        <v>2642</v>
      </c>
      <c r="F1806" s="274"/>
      <c r="G1806" s="274"/>
      <c r="H1806" s="274"/>
      <c r="I1806" s="274">
        <v>0.03</v>
      </c>
      <c r="J1806" s="456">
        <f t="shared" si="59"/>
        <v>0.03</v>
      </c>
      <c r="K1806" s="583"/>
      <c r="L1806" s="268" t="s">
        <v>2625</v>
      </c>
      <c r="M1806" s="268" t="s">
        <v>2634</v>
      </c>
      <c r="N1806" s="278">
        <f>IFERROR(INDEX('Data Lokasi'!S:S,MATCH('Input Real Tanam&amp;Petik Nanas'!C1806,'Data Lokasi'!C:C,0)),"")</f>
        <v>45314</v>
      </c>
      <c r="O1806" s="278"/>
      <c r="P1806" s="283">
        <f>IFERROR(INDEX('Data Lokasi'!V:V,MATCH(C1806,'Data Lokasi'!C:C,0)),"")</f>
        <v>0</v>
      </c>
      <c r="Q1806" s="304">
        <f t="shared" si="60"/>
        <v>0</v>
      </c>
      <c r="R1806" s="308"/>
    </row>
    <row r="1807" spans="2:18">
      <c r="B1807" s="269">
        <v>46291</v>
      </c>
      <c r="C1807" s="317" t="s">
        <v>696</v>
      </c>
      <c r="D1807" s="274">
        <f>IFERROR(VLOOKUP(C1807,'Data Lokasi'!C:D,2,0),"")</f>
        <v>12.75</v>
      </c>
      <c r="E1807" s="274" t="s">
        <v>2642</v>
      </c>
      <c r="F1807" s="274"/>
      <c r="G1807" s="274"/>
      <c r="H1807" s="274"/>
      <c r="I1807" s="274">
        <v>0.54</v>
      </c>
      <c r="J1807" s="456">
        <f t="shared" si="59"/>
        <v>0.54</v>
      </c>
      <c r="K1807" s="583"/>
      <c r="L1807" s="268" t="s">
        <v>719</v>
      </c>
      <c r="M1807" s="268" t="s">
        <v>2634</v>
      </c>
      <c r="N1807" s="278">
        <f>IFERROR(INDEX('Data Lokasi'!S:S,MATCH('Input Real Tanam&amp;Petik Nanas'!C1807,'Data Lokasi'!C:C,0)),"")</f>
        <v>46290</v>
      </c>
      <c r="O1807" s="278"/>
      <c r="P1807" s="283">
        <f>IFERROR(INDEX('Data Lokasi'!V:V,MATCH(C1807,'Data Lokasi'!C:C,0)),"")</f>
        <v>9.51</v>
      </c>
      <c r="Q1807" s="304">
        <f t="shared" si="60"/>
        <v>0.74588235294117644</v>
      </c>
      <c r="R1807" s="308"/>
    </row>
    <row r="1808" spans="2:18">
      <c r="B1808" s="269">
        <v>46291</v>
      </c>
      <c r="C1808" s="375" t="s">
        <v>137</v>
      </c>
      <c r="D1808" s="274">
        <f>IFERROR(VLOOKUP(C1808,'Data Lokasi'!C:D,2,0),"")</f>
        <v>6.01</v>
      </c>
      <c r="E1808" s="274" t="s">
        <v>2642</v>
      </c>
      <c r="F1808" s="274"/>
      <c r="G1808" s="274"/>
      <c r="H1808" s="274"/>
      <c r="I1808" s="274">
        <v>1.28</v>
      </c>
      <c r="J1808" s="456">
        <f t="shared" si="59"/>
        <v>1.28</v>
      </c>
      <c r="K1808" s="583"/>
      <c r="L1808" s="268" t="s">
        <v>2625</v>
      </c>
      <c r="M1808" s="268" t="s">
        <v>2634</v>
      </c>
      <c r="N1808" s="278">
        <f>IFERROR(INDEX('Data Lokasi'!S:S,MATCH('Input Real Tanam&amp;Petik Nanas'!C1808,'Data Lokasi'!C:C,0)),"")</f>
        <v>46291</v>
      </c>
      <c r="O1808" s="278"/>
      <c r="P1808" s="283">
        <f>IFERROR(INDEX('Data Lokasi'!V:V,MATCH(C1808,'Data Lokasi'!C:C,0)),"")</f>
        <v>6.0100000000000007</v>
      </c>
      <c r="Q1808" s="304">
        <f t="shared" si="60"/>
        <v>1.0000000000000002</v>
      </c>
      <c r="R1808" s="308"/>
    </row>
    <row r="1809" spans="2:18">
      <c r="B1809" s="269">
        <v>46291</v>
      </c>
      <c r="C1809" s="268" t="s">
        <v>2737</v>
      </c>
      <c r="D1809" s="274">
        <f>IFERROR(VLOOKUP(C1809,'Data Lokasi'!C:D,2,0),"")</f>
        <v>7.19</v>
      </c>
      <c r="E1809" s="274" t="s">
        <v>2642</v>
      </c>
      <c r="F1809" s="274"/>
      <c r="G1809" s="274"/>
      <c r="H1809" s="274">
        <v>0.55000000000000004</v>
      </c>
      <c r="I1809" s="274"/>
      <c r="J1809" s="456">
        <f t="shared" si="59"/>
        <v>0.55000000000000004</v>
      </c>
      <c r="K1809" s="583"/>
      <c r="L1809" s="268" t="s">
        <v>719</v>
      </c>
      <c r="M1809" s="268" t="s">
        <v>2634</v>
      </c>
      <c r="N1809" s="278">
        <f>IFERROR(INDEX('Data Lokasi'!S:S,MATCH('Input Real Tanam&amp;Petik Nanas'!C1809,'Data Lokasi'!C:C,0)),"")</f>
        <v>46290</v>
      </c>
      <c r="O1809" s="278"/>
      <c r="P1809" s="283">
        <f>IFERROR(INDEX('Data Lokasi'!V:V,MATCH(C1809,'Data Lokasi'!C:C,0)),"")</f>
        <v>6.8199999999999994</v>
      </c>
      <c r="Q1809" s="304">
        <f t="shared" si="60"/>
        <v>0.94853963838664801</v>
      </c>
      <c r="R1809" s="308"/>
    </row>
    <row r="1810" spans="2:18">
      <c r="B1810" s="269">
        <v>46291</v>
      </c>
      <c r="C1810" s="268" t="s">
        <v>679</v>
      </c>
      <c r="D1810" s="274">
        <f>IFERROR(VLOOKUP(C1810,'Data Lokasi'!C:D,2,0),"")</f>
        <v>2.79</v>
      </c>
      <c r="E1810" s="274" t="s">
        <v>2642</v>
      </c>
      <c r="F1810" s="274"/>
      <c r="G1810" s="274"/>
      <c r="H1810" s="274"/>
      <c r="I1810" s="274">
        <v>0.59</v>
      </c>
      <c r="J1810" s="456">
        <f t="shared" si="59"/>
        <v>0.59</v>
      </c>
      <c r="K1810" s="583"/>
      <c r="L1810" s="268" t="s">
        <v>2625</v>
      </c>
      <c r="M1810" s="268" t="s">
        <v>2631</v>
      </c>
      <c r="N1810" s="278">
        <f>IFERROR(INDEX('Data Lokasi'!S:S,MATCH('Input Real Tanam&amp;Petik Nanas'!C1810,'Data Lokasi'!C:C,0)),"")</f>
        <v>45099</v>
      </c>
      <c r="O1810" s="278"/>
      <c r="P1810" s="283">
        <f>IFERROR(INDEX('Data Lokasi'!V:V,MATCH(C1810,'Data Lokasi'!C:C,0)),"")</f>
        <v>0</v>
      </c>
      <c r="Q1810" s="304">
        <f t="shared" si="60"/>
        <v>0</v>
      </c>
      <c r="R1810" s="308"/>
    </row>
    <row r="1811" spans="2:18">
      <c r="B1811" s="269">
        <v>46291</v>
      </c>
      <c r="C1811" s="268" t="s">
        <v>2737</v>
      </c>
      <c r="D1811" s="274">
        <f>IFERROR(VLOOKUP(C1811,'Data Lokasi'!C:D,2,0),"")</f>
        <v>7.19</v>
      </c>
      <c r="E1811" s="274" t="s">
        <v>2642</v>
      </c>
      <c r="F1811" s="274"/>
      <c r="G1811" s="274">
        <f>0.4+0.29</f>
        <v>0.69</v>
      </c>
      <c r="H1811" s="274">
        <v>0.1</v>
      </c>
      <c r="I1811" s="274"/>
      <c r="J1811" s="456">
        <f t="shared" si="59"/>
        <v>0.78999999999999992</v>
      </c>
      <c r="K1811" s="583"/>
      <c r="L1811" s="268" t="s">
        <v>719</v>
      </c>
      <c r="M1811" s="268" t="s">
        <v>2631</v>
      </c>
      <c r="N1811" s="278">
        <f>IFERROR(INDEX('Data Lokasi'!S:S,MATCH('Input Real Tanam&amp;Petik Nanas'!C1811,'Data Lokasi'!C:C,0)),"")</f>
        <v>46290</v>
      </c>
      <c r="O1811" s="278"/>
      <c r="P1811" s="283">
        <f>IFERROR(INDEX('Data Lokasi'!V:V,MATCH(C1811,'Data Lokasi'!C:C,0)),"")</f>
        <v>6.8199999999999994</v>
      </c>
      <c r="Q1811" s="304">
        <f t="shared" si="60"/>
        <v>0.94853963838664801</v>
      </c>
      <c r="R1811" s="308"/>
    </row>
    <row r="1812" spans="2:18">
      <c r="B1812" s="269">
        <v>46291</v>
      </c>
      <c r="C1812" s="268" t="s">
        <v>2713</v>
      </c>
      <c r="D1812" s="274">
        <f>IFERROR(VLOOKUP(C1812,'Data Lokasi'!C:D,2,0),"")</f>
        <v>10.01</v>
      </c>
      <c r="E1812" s="274" t="s">
        <v>2642</v>
      </c>
      <c r="F1812" s="274"/>
      <c r="G1812" s="274"/>
      <c r="H1812" s="274">
        <v>0.17</v>
      </c>
      <c r="I1812" s="274"/>
      <c r="J1812" s="456">
        <f t="shared" si="59"/>
        <v>0.17</v>
      </c>
      <c r="K1812" s="583"/>
      <c r="L1812" s="268" t="s">
        <v>719</v>
      </c>
      <c r="M1812" s="268" t="s">
        <v>2631</v>
      </c>
      <c r="N1812" s="278">
        <f>IFERROR(INDEX('Data Lokasi'!S:S,MATCH('Input Real Tanam&amp;Petik Nanas'!C1812,'Data Lokasi'!C:C,0)),"")</f>
        <v>46284</v>
      </c>
      <c r="O1812" s="278"/>
      <c r="P1812" s="283">
        <f>IFERROR(INDEX('Data Lokasi'!V:V,MATCH(C1812,'Data Lokasi'!C:C,0)),"")</f>
        <v>9.0100000000000016</v>
      </c>
      <c r="Q1812" s="304">
        <f t="shared" si="60"/>
        <v>0.90009990009990026</v>
      </c>
      <c r="R1812" s="308"/>
    </row>
    <row r="1813" spans="2:18" hidden="1">
      <c r="B1813" s="269">
        <v>46291</v>
      </c>
      <c r="C1813" s="268" t="s">
        <v>472</v>
      </c>
      <c r="D1813" s="274">
        <f>IFERROR(VLOOKUP(C1813,'Data Lokasi'!C:D,2,0),"")</f>
        <v>14.38</v>
      </c>
      <c r="E1813" s="274" t="s">
        <v>2643</v>
      </c>
      <c r="F1813" s="274"/>
      <c r="G1813" s="274">
        <v>0.01</v>
      </c>
      <c r="H1813" s="274">
        <f>0.15+0.25</f>
        <v>0.4</v>
      </c>
      <c r="I1813" s="274">
        <f>0.43+0.38</f>
        <v>0.81</v>
      </c>
      <c r="J1813" s="456">
        <f t="shared" ref="J1813:J1876" si="61">IF(SUM(F1813:I1813)=0,"",(SUM(F1813:I1813)))</f>
        <v>1.2200000000000002</v>
      </c>
      <c r="K1813" s="583"/>
      <c r="L1813" s="268" t="s">
        <v>719</v>
      </c>
      <c r="M1813" s="268" t="s">
        <v>2631</v>
      </c>
      <c r="N1813" s="278">
        <f>IFERROR(INDEX('Data Lokasi'!S:S,MATCH('Input Real Tanam&amp;Petik Nanas'!C1813,'Data Lokasi'!C:C,0)),"")</f>
        <v>44487</v>
      </c>
      <c r="O1813" s="278"/>
      <c r="P1813" s="283">
        <f>IFERROR(INDEX('Data Lokasi'!V:V,MATCH(C1813,'Data Lokasi'!C:C,0)),"")</f>
        <v>0</v>
      </c>
      <c r="Q1813" s="304">
        <f t="shared" ref="Q1813:Q1876" si="62">IF(ISERROR(P1813/D1813),"",(P1813/D1813))</f>
        <v>0</v>
      </c>
      <c r="R1813" s="308">
        <v>2</v>
      </c>
    </row>
    <row r="1814" spans="2:18" hidden="1">
      <c r="B1814" s="269">
        <v>46291</v>
      </c>
      <c r="C1814" s="268" t="s">
        <v>569</v>
      </c>
      <c r="D1814" s="274">
        <f>IFERROR(VLOOKUP(C1814,'Data Lokasi'!C:D,2,0),"")</f>
        <v>5.69</v>
      </c>
      <c r="E1814" s="274" t="s">
        <v>2643</v>
      </c>
      <c r="F1814" s="274"/>
      <c r="G1814" s="274"/>
      <c r="H1814" s="274"/>
      <c r="I1814" s="274">
        <v>0.7</v>
      </c>
      <c r="J1814" s="456">
        <f t="shared" si="61"/>
        <v>0.7</v>
      </c>
      <c r="K1814" s="583"/>
      <c r="L1814" s="268" t="s">
        <v>2625</v>
      </c>
      <c r="M1814" s="268" t="s">
        <v>2631</v>
      </c>
      <c r="N1814" s="278">
        <f>IFERROR(INDEX('Data Lokasi'!S:S,MATCH('Input Real Tanam&amp;Petik Nanas'!C1814,'Data Lokasi'!C:C,0)),"")</f>
        <v>44723</v>
      </c>
      <c r="O1814" s="278"/>
      <c r="P1814" s="283">
        <f>IFERROR(INDEX('Data Lokasi'!V:V,MATCH(C1814,'Data Lokasi'!C:C,0)),"")</f>
        <v>0</v>
      </c>
      <c r="Q1814" s="304">
        <f t="shared" si="62"/>
        <v>0</v>
      </c>
      <c r="R1814" s="308"/>
    </row>
    <row r="1815" spans="2:18" hidden="1">
      <c r="B1815" s="269">
        <v>46291</v>
      </c>
      <c r="C1815" s="268" t="s">
        <v>980</v>
      </c>
      <c r="D1815" s="274">
        <f>IFERROR(VLOOKUP(C1815,'Data Lokasi'!C:D,2,0),"")</f>
        <v>7.15</v>
      </c>
      <c r="E1815" s="274" t="s">
        <v>2643</v>
      </c>
      <c r="F1815" s="274"/>
      <c r="G1815" s="274"/>
      <c r="H1815" s="274"/>
      <c r="I1815" s="274">
        <v>1.72</v>
      </c>
      <c r="J1815" s="456">
        <f t="shared" si="61"/>
        <v>1.72</v>
      </c>
      <c r="K1815" s="583"/>
      <c r="L1815" s="268" t="s">
        <v>2625</v>
      </c>
      <c r="M1815" s="268" t="s">
        <v>2634</v>
      </c>
      <c r="N1815" s="278">
        <f>IFERROR(INDEX('Data Lokasi'!S:S,MATCH('Input Real Tanam&amp;Petik Nanas'!C1815,'Data Lokasi'!C:C,0)),"")</f>
        <v>45431</v>
      </c>
      <c r="O1815" s="278"/>
      <c r="P1815" s="283">
        <f>IFERROR(INDEX('Data Lokasi'!V:V,MATCH(C1815,'Data Lokasi'!C:C,0)),"")</f>
        <v>0</v>
      </c>
      <c r="Q1815" s="304">
        <f t="shared" si="62"/>
        <v>0</v>
      </c>
      <c r="R1815" s="308"/>
    </row>
    <row r="1816" spans="2:18" hidden="1">
      <c r="B1816" s="269">
        <v>46291</v>
      </c>
      <c r="C1816" s="268" t="s">
        <v>2558</v>
      </c>
      <c r="D1816" s="274">
        <f>IFERROR(VLOOKUP(C1816,'Data Lokasi'!C:D,2,0),"")</f>
        <v>5.27</v>
      </c>
      <c r="E1816" s="274" t="s">
        <v>2643</v>
      </c>
      <c r="F1816" s="274"/>
      <c r="G1816" s="274"/>
      <c r="H1816" s="274"/>
      <c r="I1816" s="274">
        <v>0.21</v>
      </c>
      <c r="J1816" s="456">
        <f t="shared" si="61"/>
        <v>0.21</v>
      </c>
      <c r="K1816" s="583"/>
      <c r="L1816" s="268" t="s">
        <v>2625</v>
      </c>
      <c r="M1816" s="268" t="s">
        <v>2634</v>
      </c>
      <c r="N1816" s="278">
        <f>IFERROR(INDEX('Data Lokasi'!S:S,MATCH('Input Real Tanam&amp;Petik Nanas'!C1816,'Data Lokasi'!C:C,0)),"")</f>
        <v>45712</v>
      </c>
      <c r="O1816" s="278"/>
      <c r="P1816" s="283">
        <f>IFERROR(INDEX('Data Lokasi'!V:V,MATCH(C1816,'Data Lokasi'!C:C,0)),"")</f>
        <v>0</v>
      </c>
      <c r="Q1816" s="304">
        <f t="shared" si="62"/>
        <v>0</v>
      </c>
      <c r="R1816" s="308"/>
    </row>
    <row r="1817" spans="2:18" hidden="1">
      <c r="B1817" s="269">
        <v>46291</v>
      </c>
      <c r="C1817" s="268" t="s">
        <v>478</v>
      </c>
      <c r="D1817" s="274">
        <f>IFERROR(VLOOKUP(C1817,'Data Lokasi'!C:D,2,0),"")</f>
        <v>6.8</v>
      </c>
      <c r="E1817" s="274" t="s">
        <v>2643</v>
      </c>
      <c r="F1817" s="274"/>
      <c r="G1817" s="274">
        <v>0.02</v>
      </c>
      <c r="H1817" s="274">
        <f>0.07+0.18</f>
        <v>0.25</v>
      </c>
      <c r="I1817" s="274">
        <v>0.14000000000000001</v>
      </c>
      <c r="J1817" s="456">
        <f t="shared" si="61"/>
        <v>0.41000000000000003</v>
      </c>
      <c r="K1817" s="583"/>
      <c r="L1817" s="268" t="s">
        <v>719</v>
      </c>
      <c r="M1817" s="268" t="s">
        <v>2634</v>
      </c>
      <c r="N1817" s="278">
        <f>IFERROR(INDEX('Data Lokasi'!S:S,MATCH('Input Real Tanam&amp;Petik Nanas'!C1817,'Data Lokasi'!C:C,0)),"")</f>
        <v>44517</v>
      </c>
      <c r="O1817" s="278"/>
      <c r="P1817" s="283">
        <f>IFERROR(INDEX('Data Lokasi'!V:V,MATCH(C1817,'Data Lokasi'!C:C,0)),"")</f>
        <v>0</v>
      </c>
      <c r="Q1817" s="304">
        <f t="shared" si="62"/>
        <v>0</v>
      </c>
      <c r="R1817" s="308">
        <v>4</v>
      </c>
    </row>
    <row r="1818" spans="2:18" hidden="1">
      <c r="B1818" s="269">
        <v>46291</v>
      </c>
      <c r="C1818" s="268" t="s">
        <v>488</v>
      </c>
      <c r="D1818" s="274">
        <f>IFERROR(VLOOKUP(C1818,'Data Lokasi'!C:D,2,0),"")</f>
        <v>11.2</v>
      </c>
      <c r="E1818" s="274" t="s">
        <v>2643</v>
      </c>
      <c r="F1818" s="274"/>
      <c r="G1818" s="274">
        <v>0.01</v>
      </c>
      <c r="H1818" s="274">
        <f>0.02+0.06</f>
        <v>0.08</v>
      </c>
      <c r="I1818" s="274">
        <v>0.03</v>
      </c>
      <c r="J1818" s="456">
        <f t="shared" si="61"/>
        <v>0.12</v>
      </c>
      <c r="K1818" s="583"/>
      <c r="L1818" s="268" t="s">
        <v>719</v>
      </c>
      <c r="M1818" s="268" t="s">
        <v>2634</v>
      </c>
      <c r="N1818" s="278">
        <f>IFERROR(INDEX('Data Lokasi'!S:S,MATCH('Input Real Tanam&amp;Petik Nanas'!C1818,'Data Lokasi'!C:C,0)),"")</f>
        <v>44529</v>
      </c>
      <c r="O1818" s="278"/>
      <c r="P1818" s="283">
        <f>IFERROR(INDEX('Data Lokasi'!V:V,MATCH(C1818,'Data Lokasi'!C:C,0)),"")</f>
        <v>0</v>
      </c>
      <c r="Q1818" s="304">
        <f t="shared" si="62"/>
        <v>0</v>
      </c>
      <c r="R1818" s="308">
        <v>4</v>
      </c>
    </row>
    <row r="1819" spans="2:18">
      <c r="B1819" s="269">
        <v>46292</v>
      </c>
      <c r="C1819" s="317" t="s">
        <v>124</v>
      </c>
      <c r="D1819" s="274">
        <f>IFERROR(VLOOKUP(C1819,'Data Lokasi'!C:D,2,0),"")</f>
        <v>3.85</v>
      </c>
      <c r="E1819" s="274" t="s">
        <v>2642</v>
      </c>
      <c r="F1819" s="274"/>
      <c r="G1819" s="274"/>
      <c r="H1819" s="274"/>
      <c r="I1819" s="274">
        <v>0.16</v>
      </c>
      <c r="J1819" s="456">
        <f t="shared" si="61"/>
        <v>0.16</v>
      </c>
      <c r="K1819" s="583"/>
      <c r="L1819" s="268" t="s">
        <v>2625</v>
      </c>
      <c r="M1819" s="268" t="s">
        <v>2634</v>
      </c>
      <c r="N1819" s="278">
        <f>IFERROR(INDEX('Data Lokasi'!S:S,MATCH('Input Real Tanam&amp;Petik Nanas'!C1819,'Data Lokasi'!C:C,0)),"")</f>
        <v>46288</v>
      </c>
      <c r="O1819" s="278"/>
      <c r="P1819" s="283">
        <f>IFERROR(INDEX('Data Lokasi'!V:V,MATCH(C1819,'Data Lokasi'!C:C,0)),"")</f>
        <v>3.8499999999999996</v>
      </c>
      <c r="Q1819" s="304">
        <f t="shared" si="62"/>
        <v>0.99999999999999989</v>
      </c>
      <c r="R1819" s="308"/>
    </row>
    <row r="1820" spans="2:18">
      <c r="B1820" s="269">
        <v>46292</v>
      </c>
      <c r="C1820" s="268" t="s">
        <v>278</v>
      </c>
      <c r="D1820" s="274">
        <f>IFERROR(VLOOKUP(C1820,'Data Lokasi'!C:D,2,0),"")</f>
        <v>6.78</v>
      </c>
      <c r="E1820" s="274" t="s">
        <v>2642</v>
      </c>
      <c r="F1820" s="274"/>
      <c r="G1820" s="274"/>
      <c r="H1820" s="274"/>
      <c r="I1820" s="274">
        <v>0.56999999999999995</v>
      </c>
      <c r="J1820" s="456">
        <f t="shared" si="61"/>
        <v>0.56999999999999995</v>
      </c>
      <c r="K1820" s="583"/>
      <c r="L1820" s="268" t="s">
        <v>2625</v>
      </c>
      <c r="M1820" s="268" t="s">
        <v>2634</v>
      </c>
      <c r="N1820" s="278">
        <f>IFERROR(INDEX('Data Lokasi'!S:S,MATCH('Input Real Tanam&amp;Petik Nanas'!C1820,'Data Lokasi'!C:C,0)),"")</f>
        <v>44101</v>
      </c>
      <c r="O1820" s="278"/>
      <c r="P1820" s="283">
        <f>IFERROR(INDEX('Data Lokasi'!V:V,MATCH(C1820,'Data Lokasi'!C:C,0)),"")</f>
        <v>0</v>
      </c>
      <c r="Q1820" s="304">
        <f t="shared" si="62"/>
        <v>0</v>
      </c>
      <c r="R1820" s="308"/>
    </row>
    <row r="1821" spans="2:18">
      <c r="B1821" s="269">
        <v>46292</v>
      </c>
      <c r="C1821" s="317" t="s">
        <v>696</v>
      </c>
      <c r="D1821" s="274">
        <f>IFERROR(VLOOKUP(C1821,'Data Lokasi'!C:D,2,0),"")</f>
        <v>12.75</v>
      </c>
      <c r="E1821" s="274" t="s">
        <v>2642</v>
      </c>
      <c r="F1821" s="274"/>
      <c r="G1821" s="274"/>
      <c r="H1821" s="274"/>
      <c r="I1821" s="274">
        <v>0.32</v>
      </c>
      <c r="J1821" s="456">
        <f t="shared" si="61"/>
        <v>0.32</v>
      </c>
      <c r="K1821" s="583"/>
      <c r="L1821" s="268" t="s">
        <v>719</v>
      </c>
      <c r="M1821" s="268" t="s">
        <v>2634</v>
      </c>
      <c r="N1821" s="278">
        <f>IFERROR(INDEX('Data Lokasi'!S:S,MATCH('Input Real Tanam&amp;Petik Nanas'!C1821,'Data Lokasi'!C:C,0)),"")</f>
        <v>46290</v>
      </c>
      <c r="O1821" s="278"/>
      <c r="P1821" s="283">
        <f>IFERROR(INDEX('Data Lokasi'!V:V,MATCH(C1821,'Data Lokasi'!C:C,0)),"")</f>
        <v>9.51</v>
      </c>
      <c r="Q1821" s="304">
        <f t="shared" si="62"/>
        <v>0.74588235294117644</v>
      </c>
      <c r="R1821" s="308"/>
    </row>
    <row r="1822" spans="2:18">
      <c r="B1822" s="269">
        <v>46292</v>
      </c>
      <c r="C1822" s="317" t="s">
        <v>137</v>
      </c>
      <c r="D1822" s="274">
        <f>IFERROR(VLOOKUP(C1822,'Data Lokasi'!C:D,2,0),"")</f>
        <v>6.01</v>
      </c>
      <c r="E1822" s="274" t="s">
        <v>2642</v>
      </c>
      <c r="F1822" s="274"/>
      <c r="G1822" s="274"/>
      <c r="H1822" s="274"/>
      <c r="I1822" s="274">
        <v>0.05</v>
      </c>
      <c r="J1822" s="456">
        <f t="shared" si="61"/>
        <v>0.05</v>
      </c>
      <c r="K1822" s="583"/>
      <c r="L1822" s="268" t="s">
        <v>2625</v>
      </c>
      <c r="M1822" s="268" t="s">
        <v>2634</v>
      </c>
      <c r="N1822" s="278">
        <f>IFERROR(INDEX('Data Lokasi'!S:S,MATCH('Input Real Tanam&amp;Petik Nanas'!C1822,'Data Lokasi'!C:C,0)),"")</f>
        <v>46291</v>
      </c>
      <c r="O1822" s="278"/>
      <c r="P1822" s="283">
        <f>IFERROR(INDEX('Data Lokasi'!V:V,MATCH(C1822,'Data Lokasi'!C:C,0)),"")</f>
        <v>6.0100000000000007</v>
      </c>
      <c r="Q1822" s="304">
        <f t="shared" si="62"/>
        <v>1.0000000000000002</v>
      </c>
      <c r="R1822" s="308"/>
    </row>
    <row r="1823" spans="2:18">
      <c r="B1823" s="269">
        <v>46292</v>
      </c>
      <c r="C1823" s="268" t="s">
        <v>2737</v>
      </c>
      <c r="D1823" s="274">
        <f>IFERROR(VLOOKUP(C1823,'Data Lokasi'!C:D,2,0),"")</f>
        <v>7.19</v>
      </c>
      <c r="E1823" s="274" t="s">
        <v>2642</v>
      </c>
      <c r="F1823" s="274"/>
      <c r="G1823" s="274">
        <v>0.21</v>
      </c>
      <c r="H1823" s="274">
        <v>0.48</v>
      </c>
      <c r="I1823" s="274"/>
      <c r="J1823" s="456">
        <f t="shared" si="61"/>
        <v>0.69</v>
      </c>
      <c r="K1823" s="583"/>
      <c r="L1823" s="268" t="s">
        <v>719</v>
      </c>
      <c r="M1823" s="268" t="s">
        <v>2634</v>
      </c>
      <c r="N1823" s="278">
        <f>IFERROR(INDEX('Data Lokasi'!S:S,MATCH('Input Real Tanam&amp;Petik Nanas'!C1823,'Data Lokasi'!C:C,0)),"")</f>
        <v>46290</v>
      </c>
      <c r="O1823" s="278"/>
      <c r="P1823" s="283">
        <f>IFERROR(INDEX('Data Lokasi'!V:V,MATCH(C1823,'Data Lokasi'!C:C,0)),"")</f>
        <v>6.8199999999999994</v>
      </c>
      <c r="Q1823" s="304">
        <f t="shared" si="62"/>
        <v>0.94853963838664801</v>
      </c>
      <c r="R1823" s="308"/>
    </row>
    <row r="1824" spans="2:18">
      <c r="B1824" s="269">
        <v>46292</v>
      </c>
      <c r="C1824" s="268" t="s">
        <v>273</v>
      </c>
      <c r="D1824" s="274">
        <f>IFERROR(VLOOKUP(C1824,'Data Lokasi'!C:D,2,0),"")</f>
        <v>4.9000000000000004</v>
      </c>
      <c r="E1824" s="274" t="s">
        <v>2642</v>
      </c>
      <c r="F1824" s="274"/>
      <c r="G1824" s="274"/>
      <c r="H1824" s="274"/>
      <c r="I1824" s="274">
        <v>0.17</v>
      </c>
      <c r="J1824" s="456">
        <f t="shared" si="61"/>
        <v>0.17</v>
      </c>
      <c r="K1824" s="583"/>
      <c r="L1824" s="268" t="s">
        <v>2625</v>
      </c>
      <c r="M1824" s="268" t="s">
        <v>2634</v>
      </c>
      <c r="N1824" s="278">
        <f>IFERROR(INDEX('Data Lokasi'!S:S,MATCH('Input Real Tanam&amp;Petik Nanas'!C1824,'Data Lokasi'!C:C,0)),"")</f>
        <v>44103</v>
      </c>
      <c r="O1824" s="278"/>
      <c r="P1824" s="283">
        <f>IFERROR(INDEX('Data Lokasi'!V:V,MATCH(C1824,'Data Lokasi'!C:C,0)),"")</f>
        <v>0</v>
      </c>
      <c r="Q1824" s="304">
        <f t="shared" si="62"/>
        <v>0</v>
      </c>
      <c r="R1824" s="308"/>
    </row>
    <row r="1825" spans="2:18">
      <c r="B1825" s="269">
        <v>46292</v>
      </c>
      <c r="C1825" s="268" t="s">
        <v>679</v>
      </c>
      <c r="D1825" s="274">
        <f>IFERROR(VLOOKUP(C1825,'Data Lokasi'!C:D,2,0),"")</f>
        <v>2.79</v>
      </c>
      <c r="E1825" s="274" t="s">
        <v>2642</v>
      </c>
      <c r="F1825" s="274"/>
      <c r="G1825" s="274"/>
      <c r="H1825" s="274"/>
      <c r="I1825" s="274">
        <v>0.31</v>
      </c>
      <c r="J1825" s="456">
        <f t="shared" si="61"/>
        <v>0.31</v>
      </c>
      <c r="K1825" s="583"/>
      <c r="L1825" s="268" t="s">
        <v>2625</v>
      </c>
      <c r="M1825" s="268" t="s">
        <v>2631</v>
      </c>
      <c r="N1825" s="278">
        <f>IFERROR(INDEX('Data Lokasi'!S:S,MATCH('Input Real Tanam&amp;Petik Nanas'!C1825,'Data Lokasi'!C:C,0)),"")</f>
        <v>45099</v>
      </c>
      <c r="O1825" s="278"/>
      <c r="P1825" s="283">
        <f>IFERROR(INDEX('Data Lokasi'!V:V,MATCH(C1825,'Data Lokasi'!C:C,0)),"")</f>
        <v>0</v>
      </c>
      <c r="Q1825" s="304">
        <f t="shared" si="62"/>
        <v>0</v>
      </c>
      <c r="R1825" s="308"/>
    </row>
    <row r="1826" spans="2:18">
      <c r="B1826" s="269">
        <v>46292</v>
      </c>
      <c r="C1826" s="268" t="s">
        <v>2737</v>
      </c>
      <c r="D1826" s="274">
        <f>IFERROR(VLOOKUP(C1826,'Data Lokasi'!C:D,2,0),"")</f>
        <v>7.19</v>
      </c>
      <c r="E1826" s="274" t="s">
        <v>2642</v>
      </c>
      <c r="F1826" s="274"/>
      <c r="G1826" s="274">
        <f>0.29+0.19</f>
        <v>0.48</v>
      </c>
      <c r="H1826" s="274"/>
      <c r="I1826" s="274"/>
      <c r="J1826" s="456">
        <f t="shared" si="61"/>
        <v>0.48</v>
      </c>
      <c r="K1826" s="583"/>
      <c r="L1826" s="268" t="s">
        <v>719</v>
      </c>
      <c r="M1826" s="268" t="s">
        <v>2631</v>
      </c>
      <c r="N1826" s="278">
        <f>IFERROR(INDEX('Data Lokasi'!S:S,MATCH('Input Real Tanam&amp;Petik Nanas'!C1826,'Data Lokasi'!C:C,0)),"")</f>
        <v>46290</v>
      </c>
      <c r="O1826" s="278"/>
      <c r="P1826" s="283">
        <f>IFERROR(INDEX('Data Lokasi'!V:V,MATCH(C1826,'Data Lokasi'!C:C,0)),"")</f>
        <v>6.8199999999999994</v>
      </c>
      <c r="Q1826" s="304">
        <f t="shared" si="62"/>
        <v>0.94853963838664801</v>
      </c>
      <c r="R1826" s="308"/>
    </row>
    <row r="1827" spans="2:18">
      <c r="B1827" s="269">
        <v>46292</v>
      </c>
      <c r="C1827" s="268" t="s">
        <v>2713</v>
      </c>
      <c r="D1827" s="274">
        <f>IFERROR(VLOOKUP(C1827,'Data Lokasi'!C:D,2,0),"")</f>
        <v>10.01</v>
      </c>
      <c r="E1827" s="274" t="s">
        <v>2642</v>
      </c>
      <c r="F1827" s="274"/>
      <c r="G1827" s="274"/>
      <c r="H1827" s="274">
        <v>0.23</v>
      </c>
      <c r="I1827" s="274"/>
      <c r="J1827" s="456">
        <f t="shared" si="61"/>
        <v>0.23</v>
      </c>
      <c r="K1827" s="583"/>
      <c r="L1827" s="268" t="s">
        <v>719</v>
      </c>
      <c r="M1827" s="268" t="s">
        <v>2631</v>
      </c>
      <c r="N1827" s="278">
        <f>IFERROR(INDEX('Data Lokasi'!S:S,MATCH('Input Real Tanam&amp;Petik Nanas'!C1827,'Data Lokasi'!C:C,0)),"")</f>
        <v>46284</v>
      </c>
      <c r="O1827" s="278"/>
      <c r="P1827" s="283">
        <f>IFERROR(INDEX('Data Lokasi'!V:V,MATCH(C1827,'Data Lokasi'!C:C,0)),"")</f>
        <v>9.0100000000000016</v>
      </c>
      <c r="Q1827" s="304">
        <f t="shared" si="62"/>
        <v>0.90009990009990026</v>
      </c>
      <c r="R1827" s="308"/>
    </row>
    <row r="1828" spans="2:18">
      <c r="B1828" s="269">
        <v>46292</v>
      </c>
      <c r="C1828" s="268" t="s">
        <v>279</v>
      </c>
      <c r="D1828" s="274">
        <f>IFERROR(VLOOKUP(C1828,'Data Lokasi'!C:D,2,0),"")</f>
        <v>5.05</v>
      </c>
      <c r="E1828" s="274" t="s">
        <v>2642</v>
      </c>
      <c r="F1828" s="274"/>
      <c r="G1828" s="274"/>
      <c r="H1828" s="274"/>
      <c r="I1828" s="274">
        <v>0.55000000000000004</v>
      </c>
      <c r="J1828" s="456">
        <f t="shared" si="61"/>
        <v>0.55000000000000004</v>
      </c>
      <c r="K1828" s="583"/>
      <c r="L1828" s="268" t="s">
        <v>2625</v>
      </c>
      <c r="M1828" s="268" t="s">
        <v>2631</v>
      </c>
      <c r="N1828" s="278">
        <f>IFERROR(INDEX('Data Lokasi'!S:S,MATCH('Input Real Tanam&amp;Petik Nanas'!C1828,'Data Lokasi'!C:C,0)),"")</f>
        <v>46276</v>
      </c>
      <c r="O1828" s="278"/>
      <c r="P1828" s="283">
        <f>IFERROR(INDEX('Data Lokasi'!V:V,MATCH(C1828,'Data Lokasi'!C:C,0)),"")</f>
        <v>5.05</v>
      </c>
      <c r="Q1828" s="304">
        <f t="shared" si="62"/>
        <v>1</v>
      </c>
      <c r="R1828" s="308"/>
    </row>
    <row r="1829" spans="2:18">
      <c r="B1829" s="269">
        <v>46292</v>
      </c>
      <c r="C1829" s="268" t="s">
        <v>445</v>
      </c>
      <c r="D1829" s="274">
        <f>IFERROR(VLOOKUP(C1829,'Data Lokasi'!C:D,2,0),"")</f>
        <v>10.65</v>
      </c>
      <c r="E1829" s="274" t="s">
        <v>2642</v>
      </c>
      <c r="F1829" s="274"/>
      <c r="G1829" s="274"/>
      <c r="H1829" s="274"/>
      <c r="I1829" s="274">
        <v>0.68</v>
      </c>
      <c r="J1829" s="456">
        <f t="shared" si="61"/>
        <v>0.68</v>
      </c>
      <c r="K1829" s="583"/>
      <c r="L1829" s="268" t="s">
        <v>2625</v>
      </c>
      <c r="M1829" s="268" t="s">
        <v>2631</v>
      </c>
      <c r="N1829" s="278">
        <f>IFERROR(INDEX('Data Lokasi'!S:S,MATCH('Input Real Tanam&amp;Petik Nanas'!C1829,'Data Lokasi'!C:C,0)),"")</f>
        <v>46292</v>
      </c>
      <c r="O1829" s="278"/>
      <c r="P1829" s="283">
        <f>IFERROR(INDEX('Data Lokasi'!V:V,MATCH(C1829,'Data Lokasi'!C:C,0)),"")</f>
        <v>10.52</v>
      </c>
      <c r="Q1829" s="304">
        <f t="shared" si="62"/>
        <v>0.98779342723004693</v>
      </c>
      <c r="R1829" s="308"/>
    </row>
    <row r="1830" spans="2:18" hidden="1">
      <c r="B1830" s="269">
        <v>46291</v>
      </c>
      <c r="C1830" s="268" t="s">
        <v>465</v>
      </c>
      <c r="D1830" s="274">
        <f>IFERROR(VLOOKUP(C1830,'Data Lokasi'!C:D,2,0),"")</f>
        <v>11.63</v>
      </c>
      <c r="E1830" s="274" t="s">
        <v>2643</v>
      </c>
      <c r="F1830" s="274"/>
      <c r="G1830" s="274"/>
      <c r="H1830" s="274">
        <f>0.01+0.06</f>
        <v>6.9999999999999993E-2</v>
      </c>
      <c r="I1830" s="274">
        <f>0.11+0.07</f>
        <v>0.18</v>
      </c>
      <c r="J1830" s="456">
        <f t="shared" si="61"/>
        <v>0.25</v>
      </c>
      <c r="K1830" s="583"/>
      <c r="L1830" s="268" t="s">
        <v>719</v>
      </c>
      <c r="M1830" s="268" t="s">
        <v>2631</v>
      </c>
      <c r="N1830" s="278">
        <f>IFERROR(INDEX('Data Lokasi'!S:S,MATCH('Input Real Tanam&amp;Petik Nanas'!C1830,'Data Lokasi'!C:C,0)),"")</f>
        <v>44477</v>
      </c>
      <c r="O1830" s="278"/>
      <c r="P1830" s="283">
        <f>IFERROR(INDEX('Data Lokasi'!V:V,MATCH(C1830,'Data Lokasi'!C:C,0)),"")</f>
        <v>0</v>
      </c>
      <c r="Q1830" s="304">
        <f t="shared" si="62"/>
        <v>0</v>
      </c>
      <c r="R1830" s="308">
        <v>5</v>
      </c>
    </row>
    <row r="1831" spans="2:18" hidden="1">
      <c r="B1831" s="269">
        <v>46291</v>
      </c>
      <c r="C1831" s="268" t="s">
        <v>256</v>
      </c>
      <c r="D1831" s="274">
        <f>IFERROR(VLOOKUP(C1831,'Data Lokasi'!C:D,2,0),"")</f>
        <v>6.92</v>
      </c>
      <c r="E1831" s="274" t="s">
        <v>2643</v>
      </c>
      <c r="F1831" s="274"/>
      <c r="G1831" s="274"/>
      <c r="H1831" s="274"/>
      <c r="I1831" s="274">
        <v>1.7</v>
      </c>
      <c r="J1831" s="456">
        <f t="shared" si="61"/>
        <v>1.7</v>
      </c>
      <c r="K1831" s="583"/>
      <c r="L1831" s="268" t="s">
        <v>2625</v>
      </c>
      <c r="M1831" s="268" t="s">
        <v>2631</v>
      </c>
      <c r="N1831" s="278">
        <f>IFERROR(INDEX('Data Lokasi'!S:S,MATCH('Input Real Tanam&amp;Petik Nanas'!C1831,'Data Lokasi'!C:C,0)),"")</f>
        <v>44077</v>
      </c>
      <c r="O1831" s="278"/>
      <c r="P1831" s="283">
        <f>IFERROR(INDEX('Data Lokasi'!V:V,MATCH(C1831,'Data Lokasi'!C:C,0)),"")</f>
        <v>0</v>
      </c>
      <c r="Q1831" s="304">
        <f t="shared" si="62"/>
        <v>0</v>
      </c>
      <c r="R1831" s="308"/>
    </row>
    <row r="1832" spans="2:18" hidden="1">
      <c r="B1832" s="269">
        <v>46292</v>
      </c>
      <c r="C1832" s="268" t="s">
        <v>465</v>
      </c>
      <c r="D1832" s="274">
        <f>IFERROR(VLOOKUP(C1832,'Data Lokasi'!C:D,2,0),"")</f>
        <v>11.63</v>
      </c>
      <c r="E1832" s="274" t="s">
        <v>2643</v>
      </c>
      <c r="F1832" s="274"/>
      <c r="G1832" s="274"/>
      <c r="H1832" s="274">
        <f>0.04+0.19</f>
        <v>0.23</v>
      </c>
      <c r="I1832" s="274">
        <f>0.34+0.39</f>
        <v>0.73</v>
      </c>
      <c r="J1832" s="456">
        <f t="shared" si="61"/>
        <v>0.96</v>
      </c>
      <c r="K1832" s="583"/>
      <c r="L1832" s="268" t="s">
        <v>719</v>
      </c>
      <c r="M1832" s="268" t="s">
        <v>2631</v>
      </c>
      <c r="N1832" s="278">
        <f>IFERROR(INDEX('Data Lokasi'!S:S,MATCH('Input Real Tanam&amp;Petik Nanas'!C1832,'Data Lokasi'!C:C,0)),"")</f>
        <v>44477</v>
      </c>
      <c r="O1832" s="278"/>
      <c r="P1832" s="283">
        <f>IFERROR(INDEX('Data Lokasi'!V:V,MATCH(C1832,'Data Lokasi'!C:C,0)),"")</f>
        <v>0</v>
      </c>
      <c r="Q1832" s="304">
        <f t="shared" si="62"/>
        <v>0</v>
      </c>
      <c r="R1832" s="308">
        <v>5</v>
      </c>
    </row>
    <row r="1833" spans="2:18" hidden="1">
      <c r="B1833" s="269">
        <v>46292</v>
      </c>
      <c r="C1833" s="268" t="s">
        <v>256</v>
      </c>
      <c r="D1833" s="274">
        <f>IFERROR(VLOOKUP(C1833,'Data Lokasi'!C:D,2,0),"")</f>
        <v>6.92</v>
      </c>
      <c r="E1833" s="274" t="s">
        <v>2643</v>
      </c>
      <c r="F1833" s="274"/>
      <c r="G1833" s="274"/>
      <c r="H1833" s="274"/>
      <c r="I1833" s="274">
        <v>1.39</v>
      </c>
      <c r="J1833" s="456">
        <f t="shared" si="61"/>
        <v>1.39</v>
      </c>
      <c r="K1833" s="583"/>
      <c r="L1833" s="268" t="s">
        <v>2625</v>
      </c>
      <c r="M1833" s="268" t="s">
        <v>2631</v>
      </c>
      <c r="N1833" s="278">
        <f>IFERROR(INDEX('Data Lokasi'!S:S,MATCH('Input Real Tanam&amp;Petik Nanas'!C1833,'Data Lokasi'!C:C,0)),"")</f>
        <v>44077</v>
      </c>
      <c r="O1833" s="278"/>
      <c r="P1833" s="283">
        <f>IFERROR(INDEX('Data Lokasi'!V:V,MATCH(C1833,'Data Lokasi'!C:C,0)),"")</f>
        <v>0</v>
      </c>
      <c r="Q1833" s="304">
        <f t="shared" si="62"/>
        <v>0</v>
      </c>
      <c r="R1833" s="308"/>
    </row>
    <row r="1834" spans="2:18" hidden="1">
      <c r="B1834" s="269">
        <v>46292</v>
      </c>
      <c r="C1834" s="268" t="s">
        <v>472</v>
      </c>
      <c r="D1834" s="274">
        <f>IFERROR(VLOOKUP(C1834,'Data Lokasi'!C:D,2,0),"")</f>
        <v>14.38</v>
      </c>
      <c r="E1834" s="274" t="s">
        <v>2643</v>
      </c>
      <c r="F1834" s="274"/>
      <c r="G1834" s="274">
        <v>0.01</v>
      </c>
      <c r="H1834" s="274">
        <f>0.05+0.1</f>
        <v>0.15000000000000002</v>
      </c>
      <c r="I1834" s="274">
        <f>0.11+0.1</f>
        <v>0.21000000000000002</v>
      </c>
      <c r="J1834" s="456">
        <f t="shared" si="61"/>
        <v>0.37000000000000005</v>
      </c>
      <c r="K1834" s="583"/>
      <c r="L1834" s="268" t="s">
        <v>719</v>
      </c>
      <c r="M1834" s="268" t="s">
        <v>2631</v>
      </c>
      <c r="N1834" s="278">
        <f>IFERROR(INDEX('Data Lokasi'!S:S,MATCH('Input Real Tanam&amp;Petik Nanas'!C1834,'Data Lokasi'!C:C,0)),"")</f>
        <v>44487</v>
      </c>
      <c r="O1834" s="278"/>
      <c r="P1834" s="283">
        <f>IFERROR(INDEX('Data Lokasi'!V:V,MATCH(C1834,'Data Lokasi'!C:C,0)),"")</f>
        <v>0</v>
      </c>
      <c r="Q1834" s="304">
        <f t="shared" si="62"/>
        <v>0</v>
      </c>
      <c r="R1834" s="308">
        <v>2</v>
      </c>
    </row>
    <row r="1835" spans="2:18" hidden="1">
      <c r="B1835" s="269">
        <v>46292</v>
      </c>
      <c r="C1835" s="268" t="s">
        <v>531</v>
      </c>
      <c r="D1835" s="274">
        <f>IFERROR(VLOOKUP(C1835,'Data Lokasi'!C:D,2,0),"")</f>
        <v>11.65</v>
      </c>
      <c r="E1835" s="274" t="s">
        <v>2643</v>
      </c>
      <c r="F1835" s="274"/>
      <c r="G1835" s="274"/>
      <c r="H1835" s="274"/>
      <c r="I1835" s="274">
        <v>3.25</v>
      </c>
      <c r="J1835" s="456">
        <f t="shared" si="61"/>
        <v>3.25</v>
      </c>
      <c r="K1835" s="583"/>
      <c r="L1835" s="268" t="s">
        <v>2625</v>
      </c>
      <c r="M1835" s="268" t="s">
        <v>2631</v>
      </c>
      <c r="N1835" s="278">
        <f>IFERROR(INDEX('Data Lokasi'!S:S,MATCH('Input Real Tanam&amp;Petik Nanas'!C1835,'Data Lokasi'!C:C,0)),"")</f>
        <v>44627</v>
      </c>
      <c r="O1835" s="278"/>
      <c r="P1835" s="283">
        <f>IFERROR(INDEX('Data Lokasi'!V:V,MATCH(C1835,'Data Lokasi'!C:C,0)),"")</f>
        <v>0</v>
      </c>
      <c r="Q1835" s="304">
        <f t="shared" si="62"/>
        <v>0</v>
      </c>
      <c r="R1835" s="308"/>
    </row>
    <row r="1836" spans="2:18" hidden="1">
      <c r="B1836" s="269">
        <v>46292</v>
      </c>
      <c r="C1836" s="268" t="s">
        <v>256</v>
      </c>
      <c r="D1836" s="274">
        <f>IFERROR(VLOOKUP(C1836,'Data Lokasi'!C:D,2,0),"")</f>
        <v>6.92</v>
      </c>
      <c r="E1836" s="274" t="s">
        <v>2643</v>
      </c>
      <c r="F1836" s="274"/>
      <c r="G1836" s="274"/>
      <c r="H1836" s="274"/>
      <c r="I1836" s="274">
        <v>2.27</v>
      </c>
      <c r="J1836" s="456">
        <f t="shared" si="61"/>
        <v>2.27</v>
      </c>
      <c r="K1836" s="583"/>
      <c r="L1836" s="268" t="s">
        <v>2625</v>
      </c>
      <c r="M1836" s="268" t="s">
        <v>2634</v>
      </c>
      <c r="N1836" s="278">
        <f>IFERROR(INDEX('Data Lokasi'!S:S,MATCH('Input Real Tanam&amp;Petik Nanas'!C1836,'Data Lokasi'!C:C,0)),"")</f>
        <v>44077</v>
      </c>
      <c r="O1836" s="278"/>
      <c r="P1836" s="283">
        <f>IFERROR(INDEX('Data Lokasi'!V:V,MATCH(C1836,'Data Lokasi'!C:C,0)),"")</f>
        <v>0</v>
      </c>
      <c r="Q1836" s="304">
        <f t="shared" si="62"/>
        <v>0</v>
      </c>
      <c r="R1836" s="308"/>
    </row>
    <row r="1837" spans="2:18" hidden="1">
      <c r="B1837" s="269">
        <v>46292</v>
      </c>
      <c r="C1837" s="268" t="s">
        <v>477</v>
      </c>
      <c r="D1837" s="274">
        <f>IFERROR(VLOOKUP(C1837,'Data Lokasi'!C:D,2,0),"")</f>
        <v>6.05</v>
      </c>
      <c r="E1837" s="274" t="s">
        <v>2643</v>
      </c>
      <c r="F1837" s="274"/>
      <c r="G1837" s="274">
        <v>0.01</v>
      </c>
      <c r="H1837" s="274">
        <f>0.07+0.16</f>
        <v>0.23</v>
      </c>
      <c r="I1837" s="274"/>
      <c r="J1837" s="456">
        <f t="shared" si="61"/>
        <v>0.24000000000000002</v>
      </c>
      <c r="K1837" s="583"/>
      <c r="L1837" s="268" t="s">
        <v>719</v>
      </c>
      <c r="M1837" s="268" t="s">
        <v>2634</v>
      </c>
      <c r="N1837" s="278">
        <f>IFERROR(INDEX('Data Lokasi'!S:S,MATCH('Input Real Tanam&amp;Petik Nanas'!C1837,'Data Lokasi'!C:C,0)),"")</f>
        <v>44508</v>
      </c>
      <c r="O1837" s="278"/>
      <c r="P1837" s="283">
        <f>IFERROR(INDEX('Data Lokasi'!V:V,MATCH(C1837,'Data Lokasi'!C:C,0)),"")</f>
        <v>0</v>
      </c>
      <c r="Q1837" s="304">
        <f t="shared" si="62"/>
        <v>0</v>
      </c>
      <c r="R1837" s="308">
        <v>3</v>
      </c>
    </row>
    <row r="1838" spans="2:18">
      <c r="B1838" s="269">
        <v>46293</v>
      </c>
      <c r="C1838" s="268" t="s">
        <v>679</v>
      </c>
      <c r="D1838" s="274">
        <f>IFERROR(VLOOKUP(C1838,'Data Lokasi'!C:D,2,0),"")</f>
        <v>2.79</v>
      </c>
      <c r="E1838" s="274" t="s">
        <v>2642</v>
      </c>
      <c r="F1838" s="274"/>
      <c r="G1838" s="274"/>
      <c r="H1838" s="274"/>
      <c r="I1838" s="274">
        <v>0.46</v>
      </c>
      <c r="J1838" s="456">
        <f t="shared" si="61"/>
        <v>0.46</v>
      </c>
      <c r="K1838" s="583"/>
      <c r="L1838" s="268" t="s">
        <v>2625</v>
      </c>
      <c r="M1838" s="268" t="s">
        <v>2631</v>
      </c>
      <c r="N1838" s="278">
        <f>IFERROR(INDEX('Data Lokasi'!S:S,MATCH('Input Real Tanam&amp;Petik Nanas'!C1838,'Data Lokasi'!C:C,0)),"")</f>
        <v>45099</v>
      </c>
      <c r="O1838" s="278"/>
      <c r="P1838" s="283">
        <f>IFERROR(INDEX('Data Lokasi'!V:V,MATCH(C1838,'Data Lokasi'!C:C,0)),"")</f>
        <v>0</v>
      </c>
      <c r="Q1838" s="304">
        <f t="shared" si="62"/>
        <v>0</v>
      </c>
      <c r="R1838" s="308"/>
    </row>
    <row r="1839" spans="2:18">
      <c r="B1839" s="269">
        <v>46293</v>
      </c>
      <c r="C1839" s="268" t="s">
        <v>2737</v>
      </c>
      <c r="D1839" s="274">
        <f>IFERROR(VLOOKUP(C1839,'Data Lokasi'!C:D,2,0),"")</f>
        <v>7.19</v>
      </c>
      <c r="E1839" s="274" t="s">
        <v>2642</v>
      </c>
      <c r="F1839" s="274"/>
      <c r="G1839" s="274">
        <f>0.16+0.08</f>
        <v>0.24</v>
      </c>
      <c r="H1839" s="274"/>
      <c r="I1839" s="274"/>
      <c r="J1839" s="456">
        <f t="shared" si="61"/>
        <v>0.24</v>
      </c>
      <c r="K1839" s="583"/>
      <c r="L1839" s="268" t="s">
        <v>719</v>
      </c>
      <c r="M1839" s="268" t="s">
        <v>2631</v>
      </c>
      <c r="N1839" s="278">
        <f>IFERROR(INDEX('Data Lokasi'!S:S,MATCH('Input Real Tanam&amp;Petik Nanas'!C1839,'Data Lokasi'!C:C,0)),"")</f>
        <v>46290</v>
      </c>
      <c r="O1839" s="278"/>
      <c r="P1839" s="283">
        <f>IFERROR(INDEX('Data Lokasi'!V:V,MATCH(C1839,'Data Lokasi'!C:C,0)),"")</f>
        <v>6.8199999999999994</v>
      </c>
      <c r="Q1839" s="304">
        <f t="shared" si="62"/>
        <v>0.94853963838664801</v>
      </c>
      <c r="R1839" s="308"/>
    </row>
    <row r="1840" spans="2:18">
      <c r="B1840" s="269">
        <v>46293</v>
      </c>
      <c r="C1840" s="268" t="s">
        <v>2713</v>
      </c>
      <c r="D1840" s="274">
        <f>IFERROR(VLOOKUP(C1840,'Data Lokasi'!C:D,2,0),"")</f>
        <v>10.01</v>
      </c>
      <c r="E1840" s="274" t="s">
        <v>2642</v>
      </c>
      <c r="F1840" s="274"/>
      <c r="G1840" s="274"/>
      <c r="H1840" s="274">
        <v>0.16</v>
      </c>
      <c r="I1840" s="274"/>
      <c r="J1840" s="456">
        <f t="shared" si="61"/>
        <v>0.16</v>
      </c>
      <c r="K1840" s="583"/>
      <c r="L1840" s="268" t="s">
        <v>719</v>
      </c>
      <c r="M1840" s="268" t="s">
        <v>2631</v>
      </c>
      <c r="N1840" s="278">
        <f>IFERROR(INDEX('Data Lokasi'!S:S,MATCH('Input Real Tanam&amp;Petik Nanas'!C1840,'Data Lokasi'!C:C,0)),"")</f>
        <v>46284</v>
      </c>
      <c r="O1840" s="278"/>
      <c r="P1840" s="283">
        <f>IFERROR(INDEX('Data Lokasi'!V:V,MATCH(C1840,'Data Lokasi'!C:C,0)),"")</f>
        <v>9.0100000000000016</v>
      </c>
      <c r="Q1840" s="304">
        <f t="shared" si="62"/>
        <v>0.90009990009990026</v>
      </c>
      <c r="R1840" s="308"/>
    </row>
    <row r="1841" spans="2:18">
      <c r="B1841" s="269">
        <v>46293</v>
      </c>
      <c r="C1841" s="268" t="s">
        <v>445</v>
      </c>
      <c r="D1841" s="274">
        <f>IFERROR(VLOOKUP(C1841,'Data Lokasi'!C:D,2,0),"")</f>
        <v>10.65</v>
      </c>
      <c r="E1841" s="274" t="s">
        <v>2642</v>
      </c>
      <c r="F1841" s="274"/>
      <c r="G1841" s="274"/>
      <c r="H1841" s="274"/>
      <c r="I1841" s="274">
        <v>1.78</v>
      </c>
      <c r="J1841" s="456">
        <f t="shared" si="61"/>
        <v>1.78</v>
      </c>
      <c r="K1841" s="583"/>
      <c r="L1841" s="268" t="s">
        <v>2625</v>
      </c>
      <c r="M1841" s="268" t="s">
        <v>2631</v>
      </c>
      <c r="N1841" s="278">
        <f>IFERROR(INDEX('Data Lokasi'!S:S,MATCH('Input Real Tanam&amp;Petik Nanas'!C1841,'Data Lokasi'!C:C,0)),"")</f>
        <v>46292</v>
      </c>
      <c r="O1841" s="278"/>
      <c r="P1841" s="283">
        <f>IFERROR(INDEX('Data Lokasi'!V:V,MATCH(C1841,'Data Lokasi'!C:C,0)),"")</f>
        <v>10.52</v>
      </c>
      <c r="Q1841" s="304">
        <f t="shared" si="62"/>
        <v>0.98779342723004693</v>
      </c>
      <c r="R1841" s="308"/>
    </row>
    <row r="1842" spans="2:18">
      <c r="B1842" s="269">
        <v>46293</v>
      </c>
      <c r="C1842" s="317" t="s">
        <v>124</v>
      </c>
      <c r="D1842" s="274">
        <f>IFERROR(VLOOKUP(C1842,'Data Lokasi'!C:D,2,0),"")</f>
        <v>3.85</v>
      </c>
      <c r="E1842" s="274" t="s">
        <v>2642</v>
      </c>
      <c r="F1842" s="274"/>
      <c r="G1842" s="274"/>
      <c r="H1842" s="274"/>
      <c r="I1842" s="274">
        <v>0.09</v>
      </c>
      <c r="J1842" s="456">
        <f t="shared" si="61"/>
        <v>0.09</v>
      </c>
      <c r="K1842" s="583"/>
      <c r="L1842" s="268" t="s">
        <v>2625</v>
      </c>
      <c r="M1842" s="268" t="s">
        <v>2634</v>
      </c>
      <c r="N1842" s="278">
        <f>IFERROR(INDEX('Data Lokasi'!S:S,MATCH('Input Real Tanam&amp;Petik Nanas'!C1842,'Data Lokasi'!C:C,0)),"")</f>
        <v>46288</v>
      </c>
      <c r="O1842" s="278"/>
      <c r="P1842" s="283">
        <f>IFERROR(INDEX('Data Lokasi'!V:V,MATCH(C1842,'Data Lokasi'!C:C,0)),"")</f>
        <v>3.8499999999999996</v>
      </c>
      <c r="Q1842" s="304">
        <f t="shared" si="62"/>
        <v>0.99999999999999989</v>
      </c>
      <c r="R1842" s="308"/>
    </row>
    <row r="1843" spans="2:18">
      <c r="B1843" s="269">
        <v>46293</v>
      </c>
      <c r="C1843" s="268" t="s">
        <v>278</v>
      </c>
      <c r="D1843" s="274">
        <f>IFERROR(VLOOKUP(C1843,'Data Lokasi'!C:D,2,0),"")</f>
        <v>6.78</v>
      </c>
      <c r="E1843" s="274" t="s">
        <v>2642</v>
      </c>
      <c r="F1843" s="274"/>
      <c r="G1843" s="274"/>
      <c r="H1843" s="274"/>
      <c r="I1843" s="274">
        <v>0</v>
      </c>
      <c r="J1843" s="456" t="str">
        <f t="shared" si="61"/>
        <v/>
      </c>
      <c r="K1843" s="583"/>
      <c r="L1843" s="268" t="s">
        <v>2625</v>
      </c>
      <c r="M1843" s="268" t="s">
        <v>2634</v>
      </c>
      <c r="N1843" s="278">
        <f>IFERROR(INDEX('Data Lokasi'!S:S,MATCH('Input Real Tanam&amp;Petik Nanas'!C1843,'Data Lokasi'!C:C,0)),"")</f>
        <v>44101</v>
      </c>
      <c r="O1843" s="278"/>
      <c r="P1843" s="283">
        <f>IFERROR(INDEX('Data Lokasi'!V:V,MATCH(C1843,'Data Lokasi'!C:C,0)),"")</f>
        <v>0</v>
      </c>
      <c r="Q1843" s="304">
        <f t="shared" si="62"/>
        <v>0</v>
      </c>
      <c r="R1843" s="308"/>
    </row>
    <row r="1844" spans="2:18">
      <c r="B1844" s="269">
        <v>46293</v>
      </c>
      <c r="C1844" s="317" t="s">
        <v>696</v>
      </c>
      <c r="D1844" s="274">
        <f>IFERROR(VLOOKUP(C1844,'Data Lokasi'!C:D,2,0),"")</f>
        <v>12.75</v>
      </c>
      <c r="E1844" s="274" t="s">
        <v>2642</v>
      </c>
      <c r="F1844" s="274"/>
      <c r="G1844" s="274"/>
      <c r="H1844" s="274"/>
      <c r="I1844" s="274">
        <v>0.12</v>
      </c>
      <c r="J1844" s="456">
        <f t="shared" si="61"/>
        <v>0.12</v>
      </c>
      <c r="K1844" s="583"/>
      <c r="L1844" s="268" t="s">
        <v>719</v>
      </c>
      <c r="M1844" s="268" t="s">
        <v>2634</v>
      </c>
      <c r="N1844" s="278">
        <f>IFERROR(INDEX('Data Lokasi'!S:S,MATCH('Input Real Tanam&amp;Petik Nanas'!C1844,'Data Lokasi'!C:C,0)),"")</f>
        <v>46290</v>
      </c>
      <c r="O1844" s="278"/>
      <c r="P1844" s="283">
        <f>IFERROR(INDEX('Data Lokasi'!V:V,MATCH(C1844,'Data Lokasi'!C:C,0)),"")</f>
        <v>9.51</v>
      </c>
      <c r="Q1844" s="304">
        <f t="shared" si="62"/>
        <v>0.74588235294117644</v>
      </c>
      <c r="R1844" s="308"/>
    </row>
    <row r="1845" spans="2:18">
      <c r="B1845" s="269">
        <v>46293</v>
      </c>
      <c r="C1845" s="375" t="s">
        <v>137</v>
      </c>
      <c r="D1845" s="274">
        <f>IFERROR(VLOOKUP(C1845,'Data Lokasi'!C:D,2,0),"")</f>
        <v>6.01</v>
      </c>
      <c r="E1845" s="274" t="s">
        <v>2642</v>
      </c>
      <c r="F1845" s="274"/>
      <c r="G1845" s="274"/>
      <c r="H1845" s="274"/>
      <c r="I1845" s="274">
        <v>1.1599999999999999</v>
      </c>
      <c r="J1845" s="456">
        <f t="shared" si="61"/>
        <v>1.1599999999999999</v>
      </c>
      <c r="K1845" s="583"/>
      <c r="L1845" s="268" t="s">
        <v>2625</v>
      </c>
      <c r="M1845" s="268" t="s">
        <v>2634</v>
      </c>
      <c r="N1845" s="278">
        <f>IFERROR(INDEX('Data Lokasi'!S:S,MATCH('Input Real Tanam&amp;Petik Nanas'!C1845,'Data Lokasi'!C:C,0)),"")</f>
        <v>46291</v>
      </c>
      <c r="O1845" s="278"/>
      <c r="P1845" s="283">
        <f>IFERROR(INDEX('Data Lokasi'!V:V,MATCH(C1845,'Data Lokasi'!C:C,0)),"")</f>
        <v>6.0100000000000007</v>
      </c>
      <c r="Q1845" s="304">
        <f t="shared" si="62"/>
        <v>1.0000000000000002</v>
      </c>
      <c r="R1845" s="308"/>
    </row>
    <row r="1846" spans="2:18">
      <c r="B1846" s="269">
        <v>46293</v>
      </c>
      <c r="C1846" s="268" t="s">
        <v>2737</v>
      </c>
      <c r="D1846" s="274">
        <f>IFERROR(VLOOKUP(C1846,'Data Lokasi'!C:D,2,0),"")</f>
        <v>7.19</v>
      </c>
      <c r="E1846" s="274" t="s">
        <v>2642</v>
      </c>
      <c r="F1846" s="274"/>
      <c r="G1846" s="274"/>
      <c r="H1846" s="274">
        <v>0.19</v>
      </c>
      <c r="I1846" s="274"/>
      <c r="J1846" s="456">
        <f t="shared" si="61"/>
        <v>0.19</v>
      </c>
      <c r="K1846" s="583"/>
      <c r="L1846" s="268" t="s">
        <v>719</v>
      </c>
      <c r="M1846" s="268" t="s">
        <v>2634</v>
      </c>
      <c r="N1846" s="278">
        <f>IFERROR(INDEX('Data Lokasi'!S:S,MATCH('Input Real Tanam&amp;Petik Nanas'!C1846,'Data Lokasi'!C:C,0)),"")</f>
        <v>46290</v>
      </c>
      <c r="O1846" s="278"/>
      <c r="P1846" s="283">
        <f>IFERROR(INDEX('Data Lokasi'!V:V,MATCH(C1846,'Data Lokasi'!C:C,0)),"")</f>
        <v>6.8199999999999994</v>
      </c>
      <c r="Q1846" s="304">
        <f t="shared" si="62"/>
        <v>0.94853963838664801</v>
      </c>
      <c r="R1846" s="308"/>
    </row>
    <row r="1847" spans="2:18" hidden="1">
      <c r="B1847" s="269">
        <v>46293</v>
      </c>
      <c r="C1847" s="268" t="s">
        <v>465</v>
      </c>
      <c r="D1847" s="274">
        <f>IFERROR(VLOOKUP(C1847,'Data Lokasi'!C:D,2,0),"")</f>
        <v>11.63</v>
      </c>
      <c r="E1847" s="274" t="s">
        <v>2643</v>
      </c>
      <c r="F1847" s="274"/>
      <c r="G1847" s="274"/>
      <c r="H1847" s="274">
        <v>7.0000000000000007E-2</v>
      </c>
      <c r="I1847" s="274">
        <f>0.05+0.08</f>
        <v>0.13</v>
      </c>
      <c r="J1847" s="456">
        <f t="shared" si="61"/>
        <v>0.2</v>
      </c>
      <c r="K1847" s="583"/>
      <c r="L1847" s="268" t="s">
        <v>719</v>
      </c>
      <c r="M1847" s="268" t="s">
        <v>2631</v>
      </c>
      <c r="N1847" s="278">
        <f>IFERROR(INDEX('Data Lokasi'!S:S,MATCH('Input Real Tanam&amp;Petik Nanas'!C1847,'Data Lokasi'!C:C,0)),"")</f>
        <v>44477</v>
      </c>
      <c r="O1847" s="278"/>
      <c r="P1847" s="283">
        <f>IFERROR(INDEX('Data Lokasi'!V:V,MATCH(C1847,'Data Lokasi'!C:C,0)),"")</f>
        <v>0</v>
      </c>
      <c r="Q1847" s="304">
        <f t="shared" si="62"/>
        <v>0</v>
      </c>
      <c r="R1847" s="308">
        <v>5</v>
      </c>
    </row>
    <row r="1848" spans="2:18" hidden="1">
      <c r="B1848" s="269">
        <v>46293</v>
      </c>
      <c r="C1848" s="268" t="s">
        <v>256</v>
      </c>
      <c r="D1848" s="274">
        <f>IFERROR(VLOOKUP(C1848,'Data Lokasi'!C:D,2,0),"")</f>
        <v>6.92</v>
      </c>
      <c r="E1848" s="274" t="s">
        <v>2643</v>
      </c>
      <c r="F1848" s="274"/>
      <c r="G1848" s="274"/>
      <c r="H1848" s="274"/>
      <c r="I1848" s="274">
        <v>1.54</v>
      </c>
      <c r="J1848" s="456">
        <f t="shared" si="61"/>
        <v>1.54</v>
      </c>
      <c r="K1848" s="583"/>
      <c r="L1848" s="268" t="s">
        <v>2625</v>
      </c>
      <c r="M1848" s="268" t="s">
        <v>2631</v>
      </c>
      <c r="N1848" s="278">
        <f>IFERROR(INDEX('Data Lokasi'!S:S,MATCH('Input Real Tanam&amp;Petik Nanas'!C1848,'Data Lokasi'!C:C,0)),"")</f>
        <v>44077</v>
      </c>
      <c r="O1848" s="278"/>
      <c r="P1848" s="283">
        <f>IFERROR(INDEX('Data Lokasi'!V:V,MATCH(C1848,'Data Lokasi'!C:C,0)),"")</f>
        <v>0</v>
      </c>
      <c r="Q1848" s="304">
        <f t="shared" si="62"/>
        <v>0</v>
      </c>
      <c r="R1848" s="308"/>
    </row>
    <row r="1849" spans="2:18" hidden="1">
      <c r="B1849" s="269">
        <v>46293</v>
      </c>
      <c r="C1849" s="268" t="s">
        <v>254</v>
      </c>
      <c r="D1849" s="274">
        <f>IFERROR(VLOOKUP(C1849,'Data Lokasi'!C:D,2,0),"")</f>
        <v>4.67</v>
      </c>
      <c r="E1849" s="274" t="s">
        <v>2643</v>
      </c>
      <c r="F1849" s="274"/>
      <c r="G1849" s="274"/>
      <c r="H1849" s="274"/>
      <c r="I1849" s="274">
        <v>0.09</v>
      </c>
      <c r="J1849" s="456">
        <f t="shared" si="61"/>
        <v>0.09</v>
      </c>
      <c r="K1849" s="583"/>
      <c r="L1849" s="268" t="s">
        <v>2625</v>
      </c>
      <c r="M1849" s="268" t="s">
        <v>2631</v>
      </c>
      <c r="N1849" s="278">
        <f>IFERROR(INDEX('Data Lokasi'!S:S,MATCH('Input Real Tanam&amp;Petik Nanas'!C1849,'Data Lokasi'!C:C,0)),"")</f>
        <v>44075</v>
      </c>
      <c r="O1849" s="278"/>
      <c r="P1849" s="283">
        <f>IFERROR(INDEX('Data Lokasi'!V:V,MATCH(C1849,'Data Lokasi'!C:C,0)),"")</f>
        <v>0</v>
      </c>
      <c r="Q1849" s="304">
        <f t="shared" si="62"/>
        <v>0</v>
      </c>
      <c r="R1849" s="308"/>
    </row>
    <row r="1850" spans="2:18" hidden="1">
      <c r="B1850" s="269">
        <v>46293</v>
      </c>
      <c r="C1850" s="268" t="s">
        <v>472</v>
      </c>
      <c r="D1850" s="274">
        <f>IFERROR(VLOOKUP(C1850,'Data Lokasi'!C:D,2,0),"")</f>
        <v>14.38</v>
      </c>
      <c r="E1850" s="274" t="s">
        <v>2643</v>
      </c>
      <c r="F1850" s="274"/>
      <c r="G1850" s="274"/>
      <c r="H1850" s="274">
        <f>0.03+0.06</f>
        <v>0.09</v>
      </c>
      <c r="I1850" s="274">
        <f>0.06+0.03</f>
        <v>0.09</v>
      </c>
      <c r="J1850" s="456">
        <f t="shared" si="61"/>
        <v>0.18</v>
      </c>
      <c r="K1850" s="583"/>
      <c r="L1850" s="268" t="s">
        <v>719</v>
      </c>
      <c r="M1850" s="268" t="s">
        <v>2631</v>
      </c>
      <c r="N1850" s="278">
        <f>IFERROR(INDEX('Data Lokasi'!S:S,MATCH('Input Real Tanam&amp;Petik Nanas'!C1850,'Data Lokasi'!C:C,0)),"")</f>
        <v>44487</v>
      </c>
      <c r="O1850" s="278"/>
      <c r="P1850" s="283">
        <f>IFERROR(INDEX('Data Lokasi'!V:V,MATCH(C1850,'Data Lokasi'!C:C,0)),"")</f>
        <v>0</v>
      </c>
      <c r="Q1850" s="304">
        <f t="shared" si="62"/>
        <v>0</v>
      </c>
      <c r="R1850" s="308">
        <v>2</v>
      </c>
    </row>
    <row r="1851" spans="2:18" hidden="1">
      <c r="B1851" s="269">
        <v>46293</v>
      </c>
      <c r="C1851" s="268" t="s">
        <v>534</v>
      </c>
      <c r="D1851" s="274">
        <f>IFERROR(VLOOKUP(C1851,'Data Lokasi'!C:D,2,0),"")</f>
        <v>6.6</v>
      </c>
      <c r="E1851" s="274" t="s">
        <v>2643</v>
      </c>
      <c r="F1851" s="274"/>
      <c r="G1851" s="274">
        <v>0.01</v>
      </c>
      <c r="H1851" s="274">
        <f>0.12+0.21</f>
        <v>0.32999999999999996</v>
      </c>
      <c r="I1851" s="274">
        <f>0.24+0.18</f>
        <v>0.42</v>
      </c>
      <c r="J1851" s="456">
        <f t="shared" si="61"/>
        <v>0.76</v>
      </c>
      <c r="K1851" s="583"/>
      <c r="L1851" s="268" t="s">
        <v>719</v>
      </c>
      <c r="M1851" s="268" t="s">
        <v>2631</v>
      </c>
      <c r="N1851" s="278">
        <f>IFERROR(INDEX('Data Lokasi'!S:S,MATCH('Input Real Tanam&amp;Petik Nanas'!C1851,'Data Lokasi'!C:C,0)),"")</f>
        <v>44639</v>
      </c>
      <c r="O1851" s="278"/>
      <c r="P1851" s="283">
        <f>IFERROR(INDEX('Data Lokasi'!V:V,MATCH(C1851,'Data Lokasi'!C:C,0)),"")</f>
        <v>0</v>
      </c>
      <c r="Q1851" s="304">
        <f t="shared" si="62"/>
        <v>0</v>
      </c>
      <c r="R1851" s="308">
        <v>5</v>
      </c>
    </row>
    <row r="1852" spans="2:18" hidden="1">
      <c r="B1852" s="269">
        <v>46293</v>
      </c>
      <c r="C1852" s="268" t="s">
        <v>254</v>
      </c>
      <c r="D1852" s="274">
        <f>IFERROR(VLOOKUP(C1852,'Data Lokasi'!C:D,2,0),"")</f>
        <v>4.67</v>
      </c>
      <c r="E1852" s="274" t="s">
        <v>2643</v>
      </c>
      <c r="F1852" s="274"/>
      <c r="G1852" s="274"/>
      <c r="H1852" s="274"/>
      <c r="I1852" s="274">
        <v>1.47</v>
      </c>
      <c r="J1852" s="456">
        <f t="shared" si="61"/>
        <v>1.47</v>
      </c>
      <c r="K1852" s="583"/>
      <c r="L1852" s="268" t="s">
        <v>2625</v>
      </c>
      <c r="M1852" s="268" t="s">
        <v>2634</v>
      </c>
      <c r="N1852" s="278">
        <f>IFERROR(INDEX('Data Lokasi'!S:S,MATCH('Input Real Tanam&amp;Petik Nanas'!C1852,'Data Lokasi'!C:C,0)),"")</f>
        <v>44075</v>
      </c>
      <c r="O1852" s="278"/>
      <c r="P1852" s="283">
        <f>IFERROR(INDEX('Data Lokasi'!V:V,MATCH(C1852,'Data Lokasi'!C:C,0)),"")</f>
        <v>0</v>
      </c>
      <c r="Q1852" s="304">
        <f t="shared" si="62"/>
        <v>0</v>
      </c>
      <c r="R1852" s="308"/>
    </row>
    <row r="1853" spans="2:18" hidden="1">
      <c r="B1853" s="269">
        <v>46293</v>
      </c>
      <c r="C1853" s="268" t="s">
        <v>351</v>
      </c>
      <c r="D1853" s="274">
        <f>IFERROR(VLOOKUP(C1853,'Data Lokasi'!C:D,2,0),"")</f>
        <v>13.68</v>
      </c>
      <c r="E1853" s="274" t="s">
        <v>2643</v>
      </c>
      <c r="F1853" s="274"/>
      <c r="G1853" s="274"/>
      <c r="H1853" s="274"/>
      <c r="I1853" s="274">
        <v>0.41</v>
      </c>
      <c r="J1853" s="456">
        <f t="shared" si="61"/>
        <v>0.41</v>
      </c>
      <c r="K1853" s="583"/>
      <c r="L1853" s="268" t="s">
        <v>2625</v>
      </c>
      <c r="M1853" s="268" t="s">
        <v>2634</v>
      </c>
      <c r="N1853" s="278">
        <f>IFERROR(INDEX('Data Lokasi'!S:S,MATCH('Input Real Tanam&amp;Petik Nanas'!C1853,'Data Lokasi'!C:C,0)),"")</f>
        <v>44276</v>
      </c>
      <c r="O1853" s="278"/>
      <c r="P1853" s="283">
        <f>IFERROR(INDEX('Data Lokasi'!V:V,MATCH(C1853,'Data Lokasi'!C:C,0)),"")</f>
        <v>0</v>
      </c>
      <c r="Q1853" s="304">
        <f t="shared" si="62"/>
        <v>0</v>
      </c>
      <c r="R1853" s="308"/>
    </row>
    <row r="1854" spans="2:18" hidden="1">
      <c r="B1854" s="269">
        <v>46293</v>
      </c>
      <c r="C1854" s="268" t="s">
        <v>477</v>
      </c>
      <c r="D1854" s="274">
        <f>IFERROR(VLOOKUP(C1854,'Data Lokasi'!C:D,2,0),"")</f>
        <v>6.05</v>
      </c>
      <c r="E1854" s="274" t="s">
        <v>2643</v>
      </c>
      <c r="F1854" s="274"/>
      <c r="G1854" s="274"/>
      <c r="H1854" s="274">
        <f>0.07+0.13</f>
        <v>0.2</v>
      </c>
      <c r="I1854" s="274"/>
      <c r="J1854" s="456">
        <f t="shared" si="61"/>
        <v>0.2</v>
      </c>
      <c r="K1854" s="583"/>
      <c r="L1854" s="268" t="s">
        <v>719</v>
      </c>
      <c r="M1854" s="268" t="s">
        <v>2634</v>
      </c>
      <c r="N1854" s="278">
        <f>IFERROR(INDEX('Data Lokasi'!S:S,MATCH('Input Real Tanam&amp;Petik Nanas'!C1854,'Data Lokasi'!C:C,0)),"")</f>
        <v>44508</v>
      </c>
      <c r="O1854" s="278"/>
      <c r="P1854" s="283">
        <f>IFERROR(INDEX('Data Lokasi'!V:V,MATCH(C1854,'Data Lokasi'!C:C,0)),"")</f>
        <v>0</v>
      </c>
      <c r="Q1854" s="304">
        <f t="shared" si="62"/>
        <v>0</v>
      </c>
      <c r="R1854" s="308">
        <v>3</v>
      </c>
    </row>
    <row r="1855" spans="2:18" hidden="1">
      <c r="B1855" s="269">
        <v>46293</v>
      </c>
      <c r="C1855" s="268" t="s">
        <v>523</v>
      </c>
      <c r="D1855" s="274">
        <f>IFERROR(VLOOKUP(C1855,'Data Lokasi'!C:D,2,0),"")</f>
        <v>8.73</v>
      </c>
      <c r="E1855" s="274" t="s">
        <v>2643</v>
      </c>
      <c r="F1855" s="274"/>
      <c r="G1855" s="274"/>
      <c r="H1855" s="274">
        <v>7.0000000000000007E-2</v>
      </c>
      <c r="I1855" s="274"/>
      <c r="J1855" s="456">
        <f t="shared" si="61"/>
        <v>7.0000000000000007E-2</v>
      </c>
      <c r="K1855" s="583"/>
      <c r="L1855" s="268" t="s">
        <v>719</v>
      </c>
      <c r="M1855" s="268" t="s">
        <v>2634</v>
      </c>
      <c r="N1855" s="278">
        <f>IFERROR(INDEX('Data Lokasi'!S:S,MATCH('Input Real Tanam&amp;Petik Nanas'!C1855,'Data Lokasi'!C:C,0)),"")</f>
        <v>44600</v>
      </c>
      <c r="O1855" s="278"/>
      <c r="P1855" s="283">
        <f>IFERROR(INDEX('Data Lokasi'!V:V,MATCH(C1855,'Data Lokasi'!C:C,0)),"")</f>
        <v>0</v>
      </c>
      <c r="Q1855" s="304">
        <f t="shared" si="62"/>
        <v>0</v>
      </c>
      <c r="R1855" s="308">
        <v>2</v>
      </c>
    </row>
    <row r="1856" spans="2:18">
      <c r="B1856" s="269">
        <v>46294</v>
      </c>
      <c r="C1856" s="268" t="s">
        <v>2737</v>
      </c>
      <c r="D1856" s="274">
        <f>IFERROR(VLOOKUP(C1856,'Data Lokasi'!C:D,2,0),"")</f>
        <v>7.19</v>
      </c>
      <c r="E1856" s="274" t="s">
        <v>2642</v>
      </c>
      <c r="F1856" s="274"/>
      <c r="G1856" s="274">
        <f>0.17+0.13</f>
        <v>0.30000000000000004</v>
      </c>
      <c r="H1856" s="274"/>
      <c r="I1856" s="274"/>
      <c r="J1856" s="456">
        <f t="shared" si="61"/>
        <v>0.30000000000000004</v>
      </c>
      <c r="K1856" s="583"/>
      <c r="L1856" s="268" t="s">
        <v>719</v>
      </c>
      <c r="M1856" s="268" t="s">
        <v>2631</v>
      </c>
      <c r="N1856" s="278">
        <f>IFERROR(INDEX('Data Lokasi'!S:S,MATCH('Input Real Tanam&amp;Petik Nanas'!C1856,'Data Lokasi'!C:C,0)),"")</f>
        <v>46290</v>
      </c>
      <c r="O1856" s="278"/>
      <c r="P1856" s="283">
        <f>IFERROR(INDEX('Data Lokasi'!V:V,MATCH(C1856,'Data Lokasi'!C:C,0)),"")</f>
        <v>6.8199999999999994</v>
      </c>
      <c r="Q1856" s="304">
        <f t="shared" si="62"/>
        <v>0.94853963838664801</v>
      </c>
      <c r="R1856" s="308"/>
    </row>
    <row r="1857" spans="2:18">
      <c r="B1857" s="269">
        <v>46294</v>
      </c>
      <c r="C1857" s="268" t="s">
        <v>445</v>
      </c>
      <c r="D1857" s="274">
        <f>IFERROR(VLOOKUP(C1857,'Data Lokasi'!C:D,2,0),"")</f>
        <v>10.65</v>
      </c>
      <c r="E1857" s="274" t="s">
        <v>2642</v>
      </c>
      <c r="F1857" s="274"/>
      <c r="G1857" s="274"/>
      <c r="H1857" s="274"/>
      <c r="I1857" s="274">
        <v>0.54</v>
      </c>
      <c r="J1857" s="456">
        <f t="shared" si="61"/>
        <v>0.54</v>
      </c>
      <c r="K1857" s="583"/>
      <c r="L1857" s="268" t="s">
        <v>2625</v>
      </c>
      <c r="M1857" s="268" t="s">
        <v>2631</v>
      </c>
      <c r="N1857" s="278">
        <f>IFERROR(INDEX('Data Lokasi'!S:S,MATCH('Input Real Tanam&amp;Petik Nanas'!C1857,'Data Lokasi'!C:C,0)),"")</f>
        <v>46292</v>
      </c>
      <c r="O1857" s="278"/>
      <c r="P1857" s="283">
        <f>IFERROR(INDEX('Data Lokasi'!V:V,MATCH(C1857,'Data Lokasi'!C:C,0)),"")</f>
        <v>10.52</v>
      </c>
      <c r="Q1857" s="304">
        <f t="shared" si="62"/>
        <v>0.98779342723004693</v>
      </c>
      <c r="R1857" s="308"/>
    </row>
    <row r="1858" spans="2:18">
      <c r="B1858" s="269">
        <v>46294</v>
      </c>
      <c r="C1858" s="317" t="s">
        <v>137</v>
      </c>
      <c r="D1858" s="274">
        <f>IFERROR(VLOOKUP(C1858,'Data Lokasi'!C:D,2,0),"")</f>
        <v>6.01</v>
      </c>
      <c r="E1858" s="274" t="s">
        <v>2642</v>
      </c>
      <c r="F1858" s="274"/>
      <c r="G1858" s="274"/>
      <c r="H1858" s="274"/>
      <c r="I1858" s="274">
        <v>1.42</v>
      </c>
      <c r="J1858" s="456">
        <f t="shared" si="61"/>
        <v>1.42</v>
      </c>
      <c r="K1858" s="583"/>
      <c r="L1858" s="268" t="s">
        <v>2625</v>
      </c>
      <c r="M1858" s="268" t="s">
        <v>2631</v>
      </c>
      <c r="N1858" s="278">
        <f>IFERROR(INDEX('Data Lokasi'!S:S,MATCH('Input Real Tanam&amp;Petik Nanas'!C1858,'Data Lokasi'!C:C,0)),"")</f>
        <v>46291</v>
      </c>
      <c r="O1858" s="278"/>
      <c r="P1858" s="283">
        <f>IFERROR(INDEX('Data Lokasi'!V:V,MATCH(C1858,'Data Lokasi'!C:C,0)),"")</f>
        <v>6.0100000000000007</v>
      </c>
      <c r="Q1858" s="304">
        <f t="shared" si="62"/>
        <v>1.0000000000000002</v>
      </c>
      <c r="R1858" s="308"/>
    </row>
    <row r="1859" spans="2:18">
      <c r="B1859" s="269">
        <v>46294</v>
      </c>
      <c r="C1859" s="268" t="s">
        <v>2713</v>
      </c>
      <c r="D1859" s="274">
        <f>IFERROR(VLOOKUP(C1859,'Data Lokasi'!C:D,2,0),"")</f>
        <v>10.01</v>
      </c>
      <c r="E1859" s="274" t="s">
        <v>2642</v>
      </c>
      <c r="F1859" s="274"/>
      <c r="G1859" s="274"/>
      <c r="H1859" s="274">
        <v>0.4</v>
      </c>
      <c r="I1859" s="274"/>
      <c r="J1859" s="456">
        <f t="shared" si="61"/>
        <v>0.4</v>
      </c>
      <c r="K1859" s="583"/>
      <c r="L1859" s="268" t="s">
        <v>719</v>
      </c>
      <c r="M1859" s="268" t="s">
        <v>2631</v>
      </c>
      <c r="N1859" s="278">
        <f>IFERROR(INDEX('Data Lokasi'!S:S,MATCH('Input Real Tanam&amp;Petik Nanas'!C1859,'Data Lokasi'!C:C,0)),"")</f>
        <v>46284</v>
      </c>
      <c r="O1859" s="278"/>
      <c r="P1859" s="283">
        <f>IFERROR(INDEX('Data Lokasi'!V:V,MATCH(C1859,'Data Lokasi'!C:C,0)),"")</f>
        <v>9.0100000000000016</v>
      </c>
      <c r="Q1859" s="304">
        <f t="shared" si="62"/>
        <v>0.90009990009990026</v>
      </c>
      <c r="R1859" s="308"/>
    </row>
    <row r="1860" spans="2:18">
      <c r="B1860" s="269">
        <v>46294</v>
      </c>
      <c r="C1860" s="268" t="s">
        <v>693</v>
      </c>
      <c r="D1860" s="274">
        <f>IFERROR(VLOOKUP(C1860,'Data Lokasi'!C:D,2,0),"")</f>
        <v>6.87</v>
      </c>
      <c r="E1860" s="274" t="s">
        <v>2642</v>
      </c>
      <c r="F1860" s="274"/>
      <c r="G1860" s="274"/>
      <c r="H1860" s="274"/>
      <c r="I1860" s="274">
        <v>0.21</v>
      </c>
      <c r="J1860" s="456">
        <f t="shared" si="61"/>
        <v>0.21</v>
      </c>
      <c r="K1860" s="583"/>
      <c r="L1860" s="268" t="s">
        <v>2625</v>
      </c>
      <c r="M1860" s="268" t="s">
        <v>2631</v>
      </c>
      <c r="N1860" s="278">
        <f>IFERROR(INDEX('Data Lokasi'!S:S,MATCH('Input Real Tanam&amp;Petik Nanas'!C1860,'Data Lokasi'!C:C,0)),"")</f>
        <v>45151</v>
      </c>
      <c r="O1860" s="278"/>
      <c r="P1860" s="283">
        <f>IFERROR(INDEX('Data Lokasi'!V:V,MATCH(C1860,'Data Lokasi'!C:C,0)),"")</f>
        <v>0</v>
      </c>
      <c r="Q1860" s="304">
        <f t="shared" si="62"/>
        <v>0</v>
      </c>
      <c r="R1860" s="308"/>
    </row>
    <row r="1861" spans="2:18">
      <c r="B1861" s="269">
        <v>46294</v>
      </c>
      <c r="C1861" s="317" t="s">
        <v>124</v>
      </c>
      <c r="D1861" s="274">
        <f>IFERROR(VLOOKUP(C1861,'Data Lokasi'!C:D,2,0),"")</f>
        <v>3.85</v>
      </c>
      <c r="E1861" s="274" t="s">
        <v>2642</v>
      </c>
      <c r="F1861" s="274"/>
      <c r="G1861" s="274"/>
      <c r="H1861" s="274"/>
      <c r="I1861" s="274">
        <v>0.04</v>
      </c>
      <c r="J1861" s="456">
        <f t="shared" si="61"/>
        <v>0.04</v>
      </c>
      <c r="K1861" s="583"/>
      <c r="L1861" s="268" t="s">
        <v>2625</v>
      </c>
      <c r="M1861" s="268" t="s">
        <v>2634</v>
      </c>
      <c r="N1861" s="278">
        <f>IFERROR(INDEX('Data Lokasi'!S:S,MATCH('Input Real Tanam&amp;Petik Nanas'!C1861,'Data Lokasi'!C:C,0)),"")</f>
        <v>46288</v>
      </c>
      <c r="O1861" s="278"/>
      <c r="P1861" s="283">
        <f>IFERROR(INDEX('Data Lokasi'!V:V,MATCH(C1861,'Data Lokasi'!C:C,0)),"")</f>
        <v>3.8499999999999996</v>
      </c>
      <c r="Q1861" s="304">
        <f t="shared" si="62"/>
        <v>0.99999999999999989</v>
      </c>
      <c r="R1861" s="308"/>
    </row>
    <row r="1862" spans="2:18">
      <c r="B1862" s="269">
        <v>46294</v>
      </c>
      <c r="C1862" s="268" t="s">
        <v>278</v>
      </c>
      <c r="D1862" s="274">
        <f>IFERROR(VLOOKUP(C1862,'Data Lokasi'!C:D,2,0),"")</f>
        <v>6.78</v>
      </c>
      <c r="E1862" s="274" t="s">
        <v>2642</v>
      </c>
      <c r="F1862" s="274"/>
      <c r="G1862" s="274"/>
      <c r="H1862" s="274"/>
      <c r="I1862" s="274">
        <v>0.45</v>
      </c>
      <c r="J1862" s="456">
        <f t="shared" si="61"/>
        <v>0.45</v>
      </c>
      <c r="K1862" s="583"/>
      <c r="L1862" s="268" t="s">
        <v>2625</v>
      </c>
      <c r="M1862" s="268" t="s">
        <v>2634</v>
      </c>
      <c r="N1862" s="278">
        <f>IFERROR(INDEX('Data Lokasi'!S:S,MATCH('Input Real Tanam&amp;Petik Nanas'!C1862,'Data Lokasi'!C:C,0)),"")</f>
        <v>44101</v>
      </c>
      <c r="O1862" s="278"/>
      <c r="P1862" s="283">
        <f>IFERROR(INDEX('Data Lokasi'!V:V,MATCH(C1862,'Data Lokasi'!C:C,0)),"")</f>
        <v>0</v>
      </c>
      <c r="Q1862" s="304">
        <f t="shared" si="62"/>
        <v>0</v>
      </c>
      <c r="R1862" s="308"/>
    </row>
    <row r="1863" spans="2:18">
      <c r="B1863" s="269">
        <v>46294</v>
      </c>
      <c r="C1863" s="317" t="s">
        <v>696</v>
      </c>
      <c r="D1863" s="274">
        <f>IFERROR(VLOOKUP(C1863,'Data Lokasi'!C:D,2,0),"")</f>
        <v>12.75</v>
      </c>
      <c r="E1863" s="274" t="s">
        <v>2642</v>
      </c>
      <c r="F1863" s="274"/>
      <c r="G1863" s="274"/>
      <c r="H1863" s="274"/>
      <c r="I1863" s="274">
        <v>0.32</v>
      </c>
      <c r="J1863" s="456">
        <f t="shared" si="61"/>
        <v>0.32</v>
      </c>
      <c r="K1863" s="583"/>
      <c r="L1863" s="268" t="s">
        <v>719</v>
      </c>
      <c r="M1863" s="268" t="s">
        <v>2634</v>
      </c>
      <c r="N1863" s="278">
        <f>IFERROR(INDEX('Data Lokasi'!S:S,MATCH('Input Real Tanam&amp;Petik Nanas'!C1863,'Data Lokasi'!C:C,0)),"")</f>
        <v>46290</v>
      </c>
      <c r="O1863" s="278"/>
      <c r="P1863" s="283">
        <f>IFERROR(INDEX('Data Lokasi'!V:V,MATCH(C1863,'Data Lokasi'!C:C,0)),"")</f>
        <v>9.51</v>
      </c>
      <c r="Q1863" s="304">
        <f t="shared" si="62"/>
        <v>0.74588235294117644</v>
      </c>
      <c r="R1863" s="308"/>
    </row>
    <row r="1864" spans="2:18">
      <c r="B1864" s="269">
        <v>46294</v>
      </c>
      <c r="C1864" s="317" t="s">
        <v>137</v>
      </c>
      <c r="D1864" s="274">
        <f>IFERROR(VLOOKUP(C1864,'Data Lokasi'!C:D,2,0),"")</f>
        <v>6.01</v>
      </c>
      <c r="E1864" s="274" t="s">
        <v>2642</v>
      </c>
      <c r="F1864" s="274"/>
      <c r="G1864" s="274"/>
      <c r="H1864" s="274"/>
      <c r="I1864" s="274">
        <v>1.25</v>
      </c>
      <c r="J1864" s="456">
        <f t="shared" si="61"/>
        <v>1.25</v>
      </c>
      <c r="K1864" s="583"/>
      <c r="L1864" s="268" t="s">
        <v>2625</v>
      </c>
      <c r="M1864" s="268" t="s">
        <v>2634</v>
      </c>
      <c r="N1864" s="278">
        <f>IFERROR(INDEX('Data Lokasi'!S:S,MATCH('Input Real Tanam&amp;Petik Nanas'!C1864,'Data Lokasi'!C:C,0)),"")</f>
        <v>46291</v>
      </c>
      <c r="O1864" s="278"/>
      <c r="P1864" s="283">
        <f>IFERROR(INDEX('Data Lokasi'!V:V,MATCH(C1864,'Data Lokasi'!C:C,0)),"")</f>
        <v>6.0100000000000007</v>
      </c>
      <c r="Q1864" s="304">
        <f t="shared" si="62"/>
        <v>1.0000000000000002</v>
      </c>
      <c r="R1864" s="308"/>
    </row>
    <row r="1865" spans="2:18">
      <c r="B1865" s="269">
        <v>46294</v>
      </c>
      <c r="C1865" s="268" t="s">
        <v>2737</v>
      </c>
      <c r="D1865" s="274">
        <f>IFERROR(VLOOKUP(C1865,'Data Lokasi'!C:D,2,0),"")</f>
        <v>7.19</v>
      </c>
      <c r="E1865" s="274" t="s">
        <v>2642</v>
      </c>
      <c r="F1865" s="274"/>
      <c r="G1865" s="274"/>
      <c r="H1865" s="274">
        <v>0.12</v>
      </c>
      <c r="I1865" s="274"/>
      <c r="J1865" s="456">
        <f t="shared" si="61"/>
        <v>0.12</v>
      </c>
      <c r="K1865" s="583"/>
      <c r="L1865" s="268" t="s">
        <v>719</v>
      </c>
      <c r="M1865" s="268" t="s">
        <v>2634</v>
      </c>
      <c r="N1865" s="278">
        <f>IFERROR(INDEX('Data Lokasi'!S:S,MATCH('Input Real Tanam&amp;Petik Nanas'!C1865,'Data Lokasi'!C:C,0)),"")</f>
        <v>46290</v>
      </c>
      <c r="O1865" s="278"/>
      <c r="P1865" s="283">
        <f>IFERROR(INDEX('Data Lokasi'!V:V,MATCH(C1865,'Data Lokasi'!C:C,0)),"")</f>
        <v>6.8199999999999994</v>
      </c>
      <c r="Q1865" s="304">
        <f t="shared" si="62"/>
        <v>0.94853963838664801</v>
      </c>
      <c r="R1865" s="308"/>
    </row>
    <row r="1866" spans="2:18">
      <c r="B1866" s="269">
        <v>46294</v>
      </c>
      <c r="C1866" s="268" t="s">
        <v>273</v>
      </c>
      <c r="D1866" s="274">
        <f>IFERROR(VLOOKUP(C1866,'Data Lokasi'!C:D,2,0),"")</f>
        <v>4.9000000000000004</v>
      </c>
      <c r="E1866" s="274" t="s">
        <v>2642</v>
      </c>
      <c r="F1866" s="274"/>
      <c r="G1866" s="274"/>
      <c r="H1866" s="274"/>
      <c r="I1866" s="274">
        <v>0.7</v>
      </c>
      <c r="J1866" s="456">
        <f t="shared" si="61"/>
        <v>0.7</v>
      </c>
      <c r="K1866" s="583"/>
      <c r="L1866" s="268" t="s">
        <v>2625</v>
      </c>
      <c r="M1866" s="268" t="s">
        <v>2634</v>
      </c>
      <c r="N1866" s="278">
        <f>IFERROR(INDEX('Data Lokasi'!S:S,MATCH('Input Real Tanam&amp;Petik Nanas'!C1866,'Data Lokasi'!C:C,0)),"")</f>
        <v>44103</v>
      </c>
      <c r="O1866" s="278"/>
      <c r="P1866" s="283">
        <f>IFERROR(INDEX('Data Lokasi'!V:V,MATCH(C1866,'Data Lokasi'!C:C,0)),"")</f>
        <v>0</v>
      </c>
      <c r="Q1866" s="304">
        <f t="shared" si="62"/>
        <v>0</v>
      </c>
      <c r="R1866" s="308"/>
    </row>
    <row r="1867" spans="2:18" hidden="1">
      <c r="B1867" s="269">
        <v>46294</v>
      </c>
      <c r="C1867" s="268" t="s">
        <v>492</v>
      </c>
      <c r="D1867" s="274">
        <f>IFERROR(VLOOKUP(C1867,'Data Lokasi'!C:D,2,0),"")</f>
        <v>9.2100000000000009</v>
      </c>
      <c r="E1867" s="274" t="s">
        <v>2643</v>
      </c>
      <c r="F1867" s="274"/>
      <c r="G1867" s="274">
        <v>0.02</v>
      </c>
      <c r="H1867" s="274">
        <f>0.06+0.15</f>
        <v>0.21</v>
      </c>
      <c r="I1867" s="274"/>
      <c r="J1867" s="456">
        <f t="shared" si="61"/>
        <v>0.22999999999999998</v>
      </c>
      <c r="K1867" s="583"/>
      <c r="L1867" s="268" t="s">
        <v>719</v>
      </c>
      <c r="M1867" s="268" t="s">
        <v>2631</v>
      </c>
      <c r="N1867" s="278">
        <f>IFERROR(INDEX('Data Lokasi'!S:S,MATCH('Input Real Tanam&amp;Petik Nanas'!C1867,'Data Lokasi'!C:C,0)),"")</f>
        <v>44536</v>
      </c>
      <c r="O1867" s="278"/>
      <c r="P1867" s="283">
        <f>IFERROR(INDEX('Data Lokasi'!V:V,MATCH(C1867,'Data Lokasi'!C:C,0)),"")</f>
        <v>0</v>
      </c>
      <c r="Q1867" s="304">
        <f t="shared" si="62"/>
        <v>0</v>
      </c>
      <c r="R1867" s="308">
        <v>4</v>
      </c>
    </row>
    <row r="1868" spans="2:18" hidden="1">
      <c r="B1868" s="269">
        <v>46294</v>
      </c>
      <c r="C1868" s="268" t="s">
        <v>536</v>
      </c>
      <c r="D1868" s="274">
        <f>IFERROR(VLOOKUP(C1868,'Data Lokasi'!C:D,2,0),"")</f>
        <v>7.75</v>
      </c>
      <c r="E1868" s="274" t="s">
        <v>2643</v>
      </c>
      <c r="F1868" s="274"/>
      <c r="G1868" s="274"/>
      <c r="H1868" s="274"/>
      <c r="I1868" s="274">
        <v>0.27</v>
      </c>
      <c r="J1868" s="456">
        <f t="shared" si="61"/>
        <v>0.27</v>
      </c>
      <c r="K1868" s="583"/>
      <c r="L1868" s="268" t="s">
        <v>2625</v>
      </c>
      <c r="M1868" s="268" t="s">
        <v>2631</v>
      </c>
      <c r="N1868" s="278">
        <f>IFERROR(INDEX('Data Lokasi'!S:S,MATCH('Input Real Tanam&amp;Petik Nanas'!C1868,'Data Lokasi'!C:C,0)),"")</f>
        <v>44637</v>
      </c>
      <c r="O1868" s="278"/>
      <c r="P1868" s="283">
        <f>IFERROR(INDEX('Data Lokasi'!V:V,MATCH(C1868,'Data Lokasi'!C:C,0)),"")</f>
        <v>0</v>
      </c>
      <c r="Q1868" s="304">
        <f t="shared" si="62"/>
        <v>0</v>
      </c>
      <c r="R1868" s="308"/>
    </row>
    <row r="1869" spans="2:18" hidden="1">
      <c r="B1869" s="269">
        <v>46294</v>
      </c>
      <c r="C1869" s="268" t="s">
        <v>534</v>
      </c>
      <c r="D1869" s="274">
        <f>IFERROR(VLOOKUP(C1869,'Data Lokasi'!C:D,2,0),"")</f>
        <v>6.6</v>
      </c>
      <c r="E1869" s="274" t="s">
        <v>2643</v>
      </c>
      <c r="F1869" s="274"/>
      <c r="G1869" s="274">
        <v>4.0000000000000001E-3</v>
      </c>
      <c r="H1869" s="274">
        <f>0.02+0.04</f>
        <v>0.06</v>
      </c>
      <c r="I1869" s="274">
        <f>0.06+0.07</f>
        <v>0.13</v>
      </c>
      <c r="J1869" s="456">
        <f t="shared" si="61"/>
        <v>0.19400000000000001</v>
      </c>
      <c r="K1869" s="583"/>
      <c r="L1869" s="268" t="s">
        <v>719</v>
      </c>
      <c r="M1869" s="268" t="s">
        <v>2631</v>
      </c>
      <c r="N1869" s="278">
        <f>IFERROR(INDEX('Data Lokasi'!S:S,MATCH('Input Real Tanam&amp;Petik Nanas'!C1869,'Data Lokasi'!C:C,0)),"")</f>
        <v>44639</v>
      </c>
      <c r="O1869" s="278"/>
      <c r="P1869" s="283">
        <f>IFERROR(INDEX('Data Lokasi'!V:V,MATCH(C1869,'Data Lokasi'!C:C,0)),"")</f>
        <v>0</v>
      </c>
      <c r="Q1869" s="304">
        <f t="shared" si="62"/>
        <v>0</v>
      </c>
      <c r="R1869" s="308">
        <v>5</v>
      </c>
    </row>
    <row r="1870" spans="2:18" hidden="1">
      <c r="B1870" s="269">
        <v>46294</v>
      </c>
      <c r="C1870" s="268" t="s">
        <v>360</v>
      </c>
      <c r="D1870" s="274">
        <f>IFERROR(VLOOKUP(C1870,'Data Lokasi'!C:D,2,0),"")</f>
        <v>10.66</v>
      </c>
      <c r="E1870" s="274" t="s">
        <v>2643</v>
      </c>
      <c r="F1870" s="274"/>
      <c r="G1870" s="274">
        <v>0.01</v>
      </c>
      <c r="H1870" s="274">
        <f>0.06+0.09</f>
        <v>0.15</v>
      </c>
      <c r="I1870" s="274">
        <f>0.15+0.17</f>
        <v>0.32</v>
      </c>
      <c r="J1870" s="456">
        <f t="shared" si="61"/>
        <v>0.48</v>
      </c>
      <c r="K1870" s="583"/>
      <c r="L1870" s="268" t="s">
        <v>719</v>
      </c>
      <c r="M1870" s="268" t="s">
        <v>2631</v>
      </c>
      <c r="N1870" s="278">
        <f>IFERROR(INDEX('Data Lokasi'!S:S,MATCH('Input Real Tanam&amp;Petik Nanas'!C1870,'Data Lokasi'!C:C,0)),"")</f>
        <v>44300</v>
      </c>
      <c r="O1870" s="278"/>
      <c r="P1870" s="283">
        <f>IFERROR(INDEX('Data Lokasi'!V:V,MATCH(C1870,'Data Lokasi'!C:C,0)),"")</f>
        <v>0</v>
      </c>
      <c r="Q1870" s="304">
        <f t="shared" si="62"/>
        <v>0</v>
      </c>
      <c r="R1870" s="308">
        <v>7</v>
      </c>
    </row>
    <row r="1871" spans="2:18" hidden="1">
      <c r="B1871" s="269">
        <v>46294</v>
      </c>
      <c r="C1871" s="268" t="s">
        <v>531</v>
      </c>
      <c r="D1871" s="274">
        <f>IFERROR(VLOOKUP(C1871,'Data Lokasi'!C:D,2,0),"")</f>
        <v>11.65</v>
      </c>
      <c r="E1871" s="274" t="s">
        <v>2643</v>
      </c>
      <c r="F1871" s="274"/>
      <c r="G1871" s="274"/>
      <c r="H1871" s="274"/>
      <c r="I1871" s="274">
        <v>1.05</v>
      </c>
      <c r="J1871" s="456">
        <f t="shared" si="61"/>
        <v>1.05</v>
      </c>
      <c r="K1871" s="583"/>
      <c r="L1871" s="268" t="s">
        <v>2625</v>
      </c>
      <c r="M1871" s="268" t="s">
        <v>2631</v>
      </c>
      <c r="N1871" s="278">
        <f>IFERROR(INDEX('Data Lokasi'!S:S,MATCH('Input Real Tanam&amp;Petik Nanas'!C1871,'Data Lokasi'!C:C,0)),"")</f>
        <v>44627</v>
      </c>
      <c r="O1871" s="278"/>
      <c r="P1871" s="283">
        <f>IFERROR(INDEX('Data Lokasi'!V:V,MATCH(C1871,'Data Lokasi'!C:C,0)),"")</f>
        <v>0</v>
      </c>
      <c r="Q1871" s="304">
        <f t="shared" si="62"/>
        <v>0</v>
      </c>
      <c r="R1871" s="308"/>
    </row>
    <row r="1872" spans="2:18" hidden="1">
      <c r="B1872" s="269">
        <v>46294</v>
      </c>
      <c r="C1872" s="268" t="s">
        <v>351</v>
      </c>
      <c r="D1872" s="274">
        <f>IFERROR(VLOOKUP(C1872,'Data Lokasi'!C:D,2,0),"")</f>
        <v>13.68</v>
      </c>
      <c r="E1872" s="274" t="s">
        <v>2643</v>
      </c>
      <c r="F1872" s="274"/>
      <c r="G1872" s="274"/>
      <c r="H1872" s="274"/>
      <c r="I1872" s="274">
        <v>0.52</v>
      </c>
      <c r="J1872" s="456">
        <f t="shared" si="61"/>
        <v>0.52</v>
      </c>
      <c r="K1872" s="583"/>
      <c r="L1872" s="268" t="s">
        <v>2625</v>
      </c>
      <c r="M1872" s="268" t="s">
        <v>2634</v>
      </c>
      <c r="N1872" s="278">
        <f>IFERROR(INDEX('Data Lokasi'!S:S,MATCH('Input Real Tanam&amp;Petik Nanas'!C1872,'Data Lokasi'!C:C,0)),"")</f>
        <v>44276</v>
      </c>
      <c r="O1872" s="278"/>
      <c r="P1872" s="283">
        <f>IFERROR(INDEX('Data Lokasi'!V:V,MATCH(C1872,'Data Lokasi'!C:C,0)),"")</f>
        <v>0</v>
      </c>
      <c r="Q1872" s="304">
        <f t="shared" si="62"/>
        <v>0</v>
      </c>
      <c r="R1872" s="308"/>
    </row>
    <row r="1873" spans="2:18" hidden="1">
      <c r="B1873" s="269">
        <v>46294</v>
      </c>
      <c r="C1873" s="268" t="s">
        <v>339</v>
      </c>
      <c r="D1873" s="274">
        <f>IFERROR(VLOOKUP(C1873,'Data Lokasi'!C:D,2,0),"")</f>
        <v>7.68</v>
      </c>
      <c r="E1873" s="274" t="s">
        <v>2643</v>
      </c>
      <c r="F1873" s="274"/>
      <c r="G1873" s="274"/>
      <c r="H1873" s="274">
        <v>0.03</v>
      </c>
      <c r="I1873" s="274">
        <f>0.11+0.23</f>
        <v>0.34</v>
      </c>
      <c r="J1873" s="456">
        <f t="shared" si="61"/>
        <v>0.37</v>
      </c>
      <c r="K1873" s="583"/>
      <c r="L1873" s="268" t="s">
        <v>719</v>
      </c>
      <c r="M1873" s="268" t="s">
        <v>2634</v>
      </c>
      <c r="N1873" s="278">
        <f>IFERROR(INDEX('Data Lokasi'!S:S,MATCH('Input Real Tanam&amp;Petik Nanas'!C1873,'Data Lokasi'!C:C,0)),"")</f>
        <v>44252</v>
      </c>
      <c r="O1873" s="278"/>
      <c r="P1873" s="283">
        <f>IFERROR(INDEX('Data Lokasi'!V:V,MATCH(C1873,'Data Lokasi'!C:C,0)),"")</f>
        <v>0</v>
      </c>
      <c r="Q1873" s="304">
        <f t="shared" si="62"/>
        <v>0</v>
      </c>
      <c r="R1873" s="308">
        <v>11</v>
      </c>
    </row>
    <row r="1874" spans="2:18" hidden="1">
      <c r="B1874" s="269">
        <v>46294</v>
      </c>
      <c r="C1874" s="268" t="s">
        <v>523</v>
      </c>
      <c r="D1874" s="274">
        <f>IFERROR(VLOOKUP(C1874,'Data Lokasi'!C:D,2,0),"")</f>
        <v>8.73</v>
      </c>
      <c r="E1874" s="274" t="s">
        <v>2643</v>
      </c>
      <c r="F1874" s="274"/>
      <c r="G1874" s="274">
        <v>0.02</v>
      </c>
      <c r="H1874" s="274">
        <f>0.12+0.26</f>
        <v>0.38</v>
      </c>
      <c r="I1874" s="274"/>
      <c r="J1874" s="456">
        <f t="shared" si="61"/>
        <v>0.4</v>
      </c>
      <c r="K1874" s="583"/>
      <c r="L1874" s="268" t="s">
        <v>719</v>
      </c>
      <c r="M1874" s="268" t="s">
        <v>2634</v>
      </c>
      <c r="N1874" s="278">
        <f>IFERROR(INDEX('Data Lokasi'!S:S,MATCH('Input Real Tanam&amp;Petik Nanas'!C1874,'Data Lokasi'!C:C,0)),"")</f>
        <v>44600</v>
      </c>
      <c r="O1874" s="278"/>
      <c r="P1874" s="283">
        <f>IFERROR(INDEX('Data Lokasi'!V:V,MATCH(C1874,'Data Lokasi'!C:C,0)),"")</f>
        <v>0</v>
      </c>
      <c r="Q1874" s="304">
        <f t="shared" si="62"/>
        <v>0</v>
      </c>
      <c r="R1874" s="308">
        <v>2</v>
      </c>
    </row>
    <row r="1875" spans="2:18" hidden="1">
      <c r="B1875" s="269">
        <v>46295</v>
      </c>
      <c r="C1875" s="268" t="s">
        <v>360</v>
      </c>
      <c r="D1875" s="274">
        <f>IFERROR(VLOOKUP(C1875,'Data Lokasi'!C:D,2,0),"")</f>
        <v>10.66</v>
      </c>
      <c r="E1875" s="274" t="s">
        <v>2643</v>
      </c>
      <c r="F1875" s="274"/>
      <c r="G1875" s="274">
        <v>8.0000000000000002E-3</v>
      </c>
      <c r="H1875" s="274">
        <f>0.05+0.14</f>
        <v>0.19</v>
      </c>
      <c r="I1875" s="274">
        <f>0.19+0.37</f>
        <v>0.56000000000000005</v>
      </c>
      <c r="J1875" s="456">
        <f t="shared" si="61"/>
        <v>0.75800000000000001</v>
      </c>
      <c r="K1875" s="583"/>
      <c r="L1875" s="268" t="s">
        <v>719</v>
      </c>
      <c r="M1875" s="268" t="s">
        <v>2631</v>
      </c>
      <c r="N1875" s="278">
        <f>IFERROR(INDEX('Data Lokasi'!S:S,MATCH('Input Real Tanam&amp;Petik Nanas'!C1875,'Data Lokasi'!C:C,0)),"")</f>
        <v>44300</v>
      </c>
      <c r="O1875" s="278"/>
      <c r="P1875" s="283">
        <f>IFERROR(INDEX('Data Lokasi'!V:V,MATCH(C1875,'Data Lokasi'!C:C,0)),"")</f>
        <v>0</v>
      </c>
      <c r="Q1875" s="304">
        <f t="shared" si="62"/>
        <v>0</v>
      </c>
      <c r="R1875" s="308">
        <v>7</v>
      </c>
    </row>
    <row r="1876" spans="2:18" hidden="1">
      <c r="B1876" s="269">
        <v>46295</v>
      </c>
      <c r="C1876" s="268" t="s">
        <v>980</v>
      </c>
      <c r="D1876" s="274">
        <f>IFERROR(VLOOKUP(C1876,'Data Lokasi'!C:D,2,0),"")</f>
        <v>7.15</v>
      </c>
      <c r="E1876" s="274" t="s">
        <v>2643</v>
      </c>
      <c r="F1876" s="274"/>
      <c r="G1876" s="274">
        <f>0.007+0.005</f>
        <v>1.2E-2</v>
      </c>
      <c r="H1876" s="274">
        <v>4.0000000000000001E-3</v>
      </c>
      <c r="I1876" s="274"/>
      <c r="J1876" s="456">
        <f t="shared" si="61"/>
        <v>1.6E-2</v>
      </c>
      <c r="K1876" s="583"/>
      <c r="L1876" s="268" t="s">
        <v>2625</v>
      </c>
      <c r="M1876" s="268" t="s">
        <v>2634</v>
      </c>
      <c r="N1876" s="278">
        <f>IFERROR(INDEX('Data Lokasi'!S:S,MATCH('Input Real Tanam&amp;Petik Nanas'!C1876,'Data Lokasi'!C:C,0)),"")</f>
        <v>45431</v>
      </c>
      <c r="O1876" s="278"/>
      <c r="P1876" s="283">
        <f>IFERROR(INDEX('Data Lokasi'!V:V,MATCH(C1876,'Data Lokasi'!C:C,0)),"")</f>
        <v>0</v>
      </c>
      <c r="Q1876" s="304">
        <f t="shared" si="62"/>
        <v>0</v>
      </c>
      <c r="R1876" s="308"/>
    </row>
    <row r="1877" spans="2:18" hidden="1">
      <c r="B1877" s="269">
        <v>46295</v>
      </c>
      <c r="C1877" s="268" t="s">
        <v>2560</v>
      </c>
      <c r="D1877" s="274">
        <f>IFERROR(VLOOKUP(C1877,'Data Lokasi'!C:D,2,0),"")</f>
        <v>6.01</v>
      </c>
      <c r="E1877" s="274" t="s">
        <v>2643</v>
      </c>
      <c r="F1877" s="274"/>
      <c r="G1877" s="274"/>
      <c r="H1877" s="274"/>
      <c r="I1877" s="274">
        <v>1.07</v>
      </c>
      <c r="J1877" s="456">
        <f t="shared" ref="J1877:J1937" si="63">IF(SUM(F1877:I1877)=0,"",(SUM(F1877:I1877)))</f>
        <v>1.07</v>
      </c>
      <c r="K1877" s="583"/>
      <c r="L1877" s="268" t="s">
        <v>2625</v>
      </c>
      <c r="M1877" s="268" t="s">
        <v>2631</v>
      </c>
      <c r="N1877" s="278">
        <f>IFERROR(INDEX('Data Lokasi'!S:S,MATCH('Input Real Tanam&amp;Petik Nanas'!C1877,'Data Lokasi'!C:C,0)),"")</f>
        <v>45805</v>
      </c>
      <c r="O1877" s="278"/>
      <c r="P1877" s="283">
        <f>IFERROR(INDEX('Data Lokasi'!V:V,MATCH(C1877,'Data Lokasi'!C:C,0)),"")</f>
        <v>0</v>
      </c>
      <c r="Q1877" s="304">
        <f t="shared" ref="Q1877:Q1937" si="64">IF(ISERROR(P1877/D1877),"",(P1877/D1877))</f>
        <v>0</v>
      </c>
      <c r="R1877" s="308"/>
    </row>
    <row r="1878" spans="2:18" hidden="1">
      <c r="B1878" s="269">
        <v>46295</v>
      </c>
      <c r="C1878" s="268" t="s">
        <v>531</v>
      </c>
      <c r="D1878" s="274">
        <f>IFERROR(VLOOKUP(C1878,'Data Lokasi'!C:D,2,0),"")</f>
        <v>11.65</v>
      </c>
      <c r="E1878" s="274" t="s">
        <v>2643</v>
      </c>
      <c r="F1878" s="274"/>
      <c r="G1878" s="274"/>
      <c r="H1878" s="274"/>
      <c r="I1878" s="274">
        <v>0.69</v>
      </c>
      <c r="J1878" s="456">
        <f t="shared" si="63"/>
        <v>0.69</v>
      </c>
      <c r="K1878" s="583"/>
      <c r="L1878" s="268" t="s">
        <v>2625</v>
      </c>
      <c r="M1878" s="268" t="s">
        <v>2631</v>
      </c>
      <c r="N1878" s="278">
        <f>IFERROR(INDEX('Data Lokasi'!S:S,MATCH('Input Real Tanam&amp;Petik Nanas'!C1878,'Data Lokasi'!C:C,0)),"")</f>
        <v>44627</v>
      </c>
      <c r="O1878" s="278"/>
      <c r="P1878" s="283">
        <f>IFERROR(INDEX('Data Lokasi'!V:V,MATCH(C1878,'Data Lokasi'!C:C,0)),"")</f>
        <v>0</v>
      </c>
      <c r="Q1878" s="304">
        <f t="shared" si="64"/>
        <v>0</v>
      </c>
      <c r="R1878" s="308"/>
    </row>
    <row r="1879" spans="2:18" hidden="1">
      <c r="B1879" s="269">
        <v>46295</v>
      </c>
      <c r="C1879" s="268" t="s">
        <v>492</v>
      </c>
      <c r="D1879" s="274">
        <f>IFERROR(VLOOKUP(C1879,'Data Lokasi'!C:D,2,0),"")</f>
        <v>9.2100000000000009</v>
      </c>
      <c r="E1879" s="274" t="s">
        <v>2643</v>
      </c>
      <c r="F1879" s="274"/>
      <c r="G1879" s="274">
        <v>0.01</v>
      </c>
      <c r="H1879" s="274">
        <f>0.07+0.23</f>
        <v>0.30000000000000004</v>
      </c>
      <c r="I1879" s="274"/>
      <c r="J1879" s="456">
        <f t="shared" si="63"/>
        <v>0.31000000000000005</v>
      </c>
      <c r="K1879" s="583"/>
      <c r="L1879" s="268" t="s">
        <v>719</v>
      </c>
      <c r="M1879" s="268" t="s">
        <v>2631</v>
      </c>
      <c r="N1879" s="278">
        <f>IFERROR(INDEX('Data Lokasi'!S:S,MATCH('Input Real Tanam&amp;Petik Nanas'!C1879,'Data Lokasi'!C:C,0)),"")</f>
        <v>44536</v>
      </c>
      <c r="O1879" s="278"/>
      <c r="P1879" s="283">
        <f>IFERROR(INDEX('Data Lokasi'!V:V,MATCH(C1879,'Data Lokasi'!C:C,0)),"")</f>
        <v>0</v>
      </c>
      <c r="Q1879" s="304">
        <f t="shared" si="64"/>
        <v>0</v>
      </c>
      <c r="R1879" s="308">
        <v>4</v>
      </c>
    </row>
    <row r="1880" spans="2:18" hidden="1">
      <c r="B1880" s="269">
        <v>46295</v>
      </c>
      <c r="C1880" s="268" t="s">
        <v>2560</v>
      </c>
      <c r="D1880" s="274">
        <f>IFERROR(VLOOKUP(C1880,'Data Lokasi'!C:D,2,0),"")</f>
        <v>6.01</v>
      </c>
      <c r="E1880" s="274" t="s">
        <v>2643</v>
      </c>
      <c r="F1880" s="274"/>
      <c r="G1880" s="274"/>
      <c r="H1880" s="274"/>
      <c r="I1880" s="274">
        <v>1.27</v>
      </c>
      <c r="J1880" s="456">
        <f t="shared" si="63"/>
        <v>1.27</v>
      </c>
      <c r="K1880" s="583"/>
      <c r="L1880" s="268" t="s">
        <v>2625</v>
      </c>
      <c r="M1880" s="268" t="s">
        <v>2631</v>
      </c>
      <c r="N1880" s="278">
        <f>IFERROR(INDEX('Data Lokasi'!S:S,MATCH('Input Real Tanam&amp;Petik Nanas'!C1880,'Data Lokasi'!C:C,0)),"")</f>
        <v>45805</v>
      </c>
      <c r="O1880" s="278"/>
      <c r="P1880" s="283">
        <f>IFERROR(INDEX('Data Lokasi'!V:V,MATCH(C1880,'Data Lokasi'!C:C,0)),"")</f>
        <v>0</v>
      </c>
      <c r="Q1880" s="304">
        <f t="shared" si="64"/>
        <v>0</v>
      </c>
      <c r="R1880" s="308"/>
    </row>
    <row r="1881" spans="2:18">
      <c r="B1881" s="269">
        <v>46295</v>
      </c>
      <c r="C1881" s="268" t="s">
        <v>445</v>
      </c>
      <c r="D1881" s="274">
        <f>IFERROR(VLOOKUP(C1881,'Data Lokasi'!C:D,2,0),"")</f>
        <v>10.65</v>
      </c>
      <c r="E1881" s="274" t="s">
        <v>2642</v>
      </c>
      <c r="F1881" s="274"/>
      <c r="G1881" s="274"/>
      <c r="H1881" s="274"/>
      <c r="I1881" s="274">
        <f>1.07+0.98</f>
        <v>2.0499999999999998</v>
      </c>
      <c r="J1881" s="456">
        <f t="shared" si="63"/>
        <v>2.0499999999999998</v>
      </c>
      <c r="K1881" s="583"/>
      <c r="L1881" s="268" t="s">
        <v>2625</v>
      </c>
      <c r="M1881" s="268" t="s">
        <v>2631</v>
      </c>
      <c r="N1881" s="278">
        <f>IFERROR(INDEX('Data Lokasi'!S:S,MATCH('Input Real Tanam&amp;Petik Nanas'!C1881,'Data Lokasi'!C:C,0)),"")</f>
        <v>46292</v>
      </c>
      <c r="O1881" s="278"/>
      <c r="P1881" s="283">
        <f>IFERROR(INDEX('Data Lokasi'!V:V,MATCH(C1881,'Data Lokasi'!C:C,0)),"")</f>
        <v>10.52</v>
      </c>
      <c r="Q1881" s="304">
        <f t="shared" si="64"/>
        <v>0.98779342723004693</v>
      </c>
      <c r="R1881" s="308"/>
    </row>
    <row r="1882" spans="2:18">
      <c r="B1882" s="269">
        <v>46295</v>
      </c>
      <c r="C1882" s="268" t="s">
        <v>693</v>
      </c>
      <c r="D1882" s="274">
        <f>IFERROR(VLOOKUP(C1882,'Data Lokasi'!C:D,2,0),"")</f>
        <v>6.87</v>
      </c>
      <c r="E1882" s="274" t="s">
        <v>2642</v>
      </c>
      <c r="F1882" s="274"/>
      <c r="G1882" s="274"/>
      <c r="H1882" s="274"/>
      <c r="I1882" s="274">
        <v>0.1</v>
      </c>
      <c r="J1882" s="456">
        <f t="shared" si="63"/>
        <v>0.1</v>
      </c>
      <c r="K1882" s="583"/>
      <c r="L1882" s="268" t="s">
        <v>2625</v>
      </c>
      <c r="M1882" s="268" t="s">
        <v>2631</v>
      </c>
      <c r="N1882" s="278">
        <f>IFERROR(INDEX('Data Lokasi'!S:S,MATCH('Input Real Tanam&amp;Petik Nanas'!C1882,'Data Lokasi'!C:C,0)),"")</f>
        <v>45151</v>
      </c>
      <c r="O1882" s="278"/>
      <c r="P1882" s="283">
        <f>IFERROR(INDEX('Data Lokasi'!V:V,MATCH(C1882,'Data Lokasi'!C:C,0)),"")</f>
        <v>0</v>
      </c>
      <c r="Q1882" s="304">
        <f t="shared" si="64"/>
        <v>0</v>
      </c>
      <c r="R1882" s="308"/>
    </row>
    <row r="1883" spans="2:18">
      <c r="B1883" s="269">
        <v>46295</v>
      </c>
      <c r="C1883" s="268" t="s">
        <v>679</v>
      </c>
      <c r="D1883" s="274">
        <f>IFERROR(VLOOKUP(C1883,'Data Lokasi'!C:D,2,0),"")</f>
        <v>2.79</v>
      </c>
      <c r="E1883" s="274" t="s">
        <v>2642</v>
      </c>
      <c r="F1883" s="274"/>
      <c r="G1883" s="274"/>
      <c r="H1883" s="274"/>
      <c r="I1883" s="274">
        <v>0.08</v>
      </c>
      <c r="J1883" s="456">
        <f t="shared" si="63"/>
        <v>0.08</v>
      </c>
      <c r="K1883" s="583"/>
      <c r="L1883" s="268" t="s">
        <v>2625</v>
      </c>
      <c r="M1883" s="268" t="s">
        <v>2631</v>
      </c>
      <c r="N1883" s="278">
        <f>IFERROR(INDEX('Data Lokasi'!S:S,MATCH('Input Real Tanam&amp;Petik Nanas'!C1883,'Data Lokasi'!C:C,0)),"")</f>
        <v>45099</v>
      </c>
      <c r="O1883" s="278"/>
      <c r="P1883" s="283">
        <f>IFERROR(INDEX('Data Lokasi'!V:V,MATCH(C1883,'Data Lokasi'!C:C,0)),"")</f>
        <v>0</v>
      </c>
      <c r="Q1883" s="304">
        <f t="shared" si="64"/>
        <v>0</v>
      </c>
      <c r="R1883" s="308"/>
    </row>
    <row r="1884" spans="2:18">
      <c r="B1884" s="269">
        <v>46295</v>
      </c>
      <c r="C1884" s="268" t="s">
        <v>2713</v>
      </c>
      <c r="D1884" s="274">
        <f>IFERROR(VLOOKUP(C1884,'Data Lokasi'!C:D,2,0),"")</f>
        <v>10.01</v>
      </c>
      <c r="E1884" s="274" t="s">
        <v>2642</v>
      </c>
      <c r="F1884" s="274"/>
      <c r="G1884" s="274">
        <v>0.33</v>
      </c>
      <c r="H1884" s="274"/>
      <c r="I1884" s="274"/>
      <c r="J1884" s="456">
        <f t="shared" si="63"/>
        <v>0.33</v>
      </c>
      <c r="K1884" s="583"/>
      <c r="L1884" s="268" t="s">
        <v>719</v>
      </c>
      <c r="M1884" s="268" t="s">
        <v>2631</v>
      </c>
      <c r="N1884" s="278">
        <f>IFERROR(INDEX('Data Lokasi'!S:S,MATCH('Input Real Tanam&amp;Petik Nanas'!C1884,'Data Lokasi'!C:C,0)),"")</f>
        <v>46284</v>
      </c>
      <c r="O1884" s="278"/>
      <c r="P1884" s="283">
        <f>IFERROR(INDEX('Data Lokasi'!V:V,MATCH(C1884,'Data Lokasi'!C:C,0)),"")</f>
        <v>9.0100000000000016</v>
      </c>
      <c r="Q1884" s="304">
        <f t="shared" si="64"/>
        <v>0.90009990009990026</v>
      </c>
      <c r="R1884" s="308"/>
    </row>
    <row r="1885" spans="2:18">
      <c r="B1885" s="269">
        <v>46295</v>
      </c>
      <c r="C1885" s="268" t="s">
        <v>2737</v>
      </c>
      <c r="D1885" s="274">
        <f>IFERROR(VLOOKUP(C1885,'Data Lokasi'!C:D,2,0),"")</f>
        <v>7.19</v>
      </c>
      <c r="E1885" s="274" t="s">
        <v>2642</v>
      </c>
      <c r="F1885" s="274"/>
      <c r="G1885" s="274"/>
      <c r="H1885" s="274">
        <v>0.3</v>
      </c>
      <c r="I1885" s="274"/>
      <c r="J1885" s="456">
        <f t="shared" si="63"/>
        <v>0.3</v>
      </c>
      <c r="K1885" s="583"/>
      <c r="L1885" s="268" t="s">
        <v>719</v>
      </c>
      <c r="M1885" s="268" t="s">
        <v>2631</v>
      </c>
      <c r="N1885" s="278">
        <f>IFERROR(INDEX('Data Lokasi'!S:S,MATCH('Input Real Tanam&amp;Petik Nanas'!C1885,'Data Lokasi'!C:C,0)),"")</f>
        <v>46290</v>
      </c>
      <c r="O1885" s="278"/>
      <c r="P1885" s="283">
        <f>IFERROR(INDEX('Data Lokasi'!V:V,MATCH(C1885,'Data Lokasi'!C:C,0)),"")</f>
        <v>6.8199999999999994</v>
      </c>
      <c r="Q1885" s="304">
        <f t="shared" si="64"/>
        <v>0.94853963838664801</v>
      </c>
      <c r="R1885" s="308"/>
    </row>
    <row r="1886" spans="2:18">
      <c r="B1886" s="269">
        <v>46295</v>
      </c>
      <c r="C1886" s="317" t="s">
        <v>124</v>
      </c>
      <c r="D1886" s="274">
        <f>IFERROR(VLOOKUP(C1886,'Data Lokasi'!C:D,2,0),"")</f>
        <v>3.85</v>
      </c>
      <c r="E1886" s="274" t="s">
        <v>2642</v>
      </c>
      <c r="F1886" s="274"/>
      <c r="G1886" s="274"/>
      <c r="H1886" s="274"/>
      <c r="I1886" s="274">
        <v>0.09</v>
      </c>
      <c r="J1886" s="456">
        <f t="shared" si="63"/>
        <v>0.09</v>
      </c>
      <c r="K1886" s="583"/>
      <c r="L1886" s="268" t="s">
        <v>2625</v>
      </c>
      <c r="M1886" s="268" t="s">
        <v>2634</v>
      </c>
      <c r="N1886" s="278">
        <f>IFERROR(INDEX('Data Lokasi'!S:S,MATCH('Input Real Tanam&amp;Petik Nanas'!C1886,'Data Lokasi'!C:C,0)),"")</f>
        <v>46288</v>
      </c>
      <c r="O1886" s="278"/>
      <c r="P1886" s="283">
        <f>IFERROR(INDEX('Data Lokasi'!V:V,MATCH(C1886,'Data Lokasi'!C:C,0)),"")</f>
        <v>3.8499999999999996</v>
      </c>
      <c r="Q1886" s="304">
        <f t="shared" si="64"/>
        <v>0.99999999999999989</v>
      </c>
      <c r="R1886" s="308"/>
    </row>
    <row r="1887" spans="2:18">
      <c r="B1887" s="269">
        <v>46295</v>
      </c>
      <c r="C1887" s="317" t="s">
        <v>137</v>
      </c>
      <c r="D1887" s="274">
        <f>IFERROR(VLOOKUP(C1887,'Data Lokasi'!C:D,2,0),"")</f>
        <v>6.01</v>
      </c>
      <c r="E1887" s="274" t="s">
        <v>2642</v>
      </c>
      <c r="F1887" s="274"/>
      <c r="G1887" s="274"/>
      <c r="H1887" s="274"/>
      <c r="I1887" s="274">
        <v>0.73</v>
      </c>
      <c r="J1887" s="456">
        <f t="shared" si="63"/>
        <v>0.73</v>
      </c>
      <c r="K1887" s="583"/>
      <c r="L1887" s="268" t="s">
        <v>2625</v>
      </c>
      <c r="M1887" s="268" t="s">
        <v>2634</v>
      </c>
      <c r="N1887" s="278">
        <f>IFERROR(INDEX('Data Lokasi'!S:S,MATCH('Input Real Tanam&amp;Petik Nanas'!C1887,'Data Lokasi'!C:C,0)),"")</f>
        <v>46291</v>
      </c>
      <c r="O1887" s="278"/>
      <c r="P1887" s="283">
        <f>IFERROR(INDEX('Data Lokasi'!V:V,MATCH(C1887,'Data Lokasi'!C:C,0)),"")</f>
        <v>6.0100000000000007</v>
      </c>
      <c r="Q1887" s="304">
        <f t="shared" si="64"/>
        <v>1.0000000000000002</v>
      </c>
      <c r="R1887" s="308"/>
    </row>
    <row r="1888" spans="2:18">
      <c r="B1888" s="269">
        <v>46295</v>
      </c>
      <c r="C1888" s="268" t="s">
        <v>138</v>
      </c>
      <c r="D1888" s="274">
        <f>IFERROR(VLOOKUP(C1888,'Data Lokasi'!C:D,2,0),"")</f>
        <v>5.21</v>
      </c>
      <c r="E1888" s="274" t="s">
        <v>2642</v>
      </c>
      <c r="F1888" s="274"/>
      <c r="G1888" s="274"/>
      <c r="H1888" s="274"/>
      <c r="I1888" s="274">
        <v>0.03</v>
      </c>
      <c r="J1888" s="456">
        <f t="shared" si="63"/>
        <v>0.03</v>
      </c>
      <c r="K1888" s="583"/>
      <c r="L1888" s="268" t="s">
        <v>2625</v>
      </c>
      <c r="M1888" s="268" t="s">
        <v>2634</v>
      </c>
      <c r="N1888" s="278">
        <f>IFERROR(INDEX('Data Lokasi'!S:S,MATCH('Input Real Tanam&amp;Petik Nanas'!C1888,'Data Lokasi'!C:C,0)),"")</f>
        <v>45314</v>
      </c>
      <c r="O1888" s="278"/>
      <c r="P1888" s="283">
        <f>IFERROR(INDEX('Data Lokasi'!V:V,MATCH(C1888,'Data Lokasi'!C:C,0)),"")</f>
        <v>0</v>
      </c>
      <c r="Q1888" s="304">
        <f t="shared" si="64"/>
        <v>0</v>
      </c>
      <c r="R1888" s="308"/>
    </row>
    <row r="1889" spans="2:18">
      <c r="B1889" s="269">
        <v>46295</v>
      </c>
      <c r="C1889" s="375" t="s">
        <v>696</v>
      </c>
      <c r="D1889" s="274">
        <f>IFERROR(VLOOKUP(C1889,'Data Lokasi'!C:D,2,0),"")</f>
        <v>12.75</v>
      </c>
      <c r="E1889" s="274" t="s">
        <v>2642</v>
      </c>
      <c r="F1889" s="274"/>
      <c r="G1889" s="274"/>
      <c r="H1889" s="274"/>
      <c r="I1889" s="274">
        <v>0.89</v>
      </c>
      <c r="J1889" s="456">
        <f t="shared" si="63"/>
        <v>0.89</v>
      </c>
      <c r="K1889" s="583"/>
      <c r="L1889" s="268" t="s">
        <v>719</v>
      </c>
      <c r="M1889" s="268" t="s">
        <v>2634</v>
      </c>
      <c r="N1889" s="278">
        <f>IFERROR(INDEX('Data Lokasi'!S:S,MATCH('Input Real Tanam&amp;Petik Nanas'!C1889,'Data Lokasi'!C:C,0)),"")</f>
        <v>46290</v>
      </c>
      <c r="O1889" s="278"/>
      <c r="P1889" s="283">
        <f>IFERROR(INDEX('Data Lokasi'!V:V,MATCH(C1889,'Data Lokasi'!C:C,0)),"")</f>
        <v>9.51</v>
      </c>
      <c r="Q1889" s="304">
        <f t="shared" si="64"/>
        <v>0.74588235294117644</v>
      </c>
      <c r="R1889" s="308"/>
    </row>
    <row r="1890" spans="2:18">
      <c r="B1890" s="269">
        <v>46295</v>
      </c>
      <c r="C1890" s="268" t="s">
        <v>134</v>
      </c>
      <c r="D1890" s="274">
        <f>IFERROR(VLOOKUP(C1890,'Data Lokasi'!C:D,2,0),"")</f>
        <v>4.1900000000000004</v>
      </c>
      <c r="E1890" s="274" t="s">
        <v>2642</v>
      </c>
      <c r="F1890" s="274"/>
      <c r="G1890" s="274"/>
      <c r="H1890" s="274"/>
      <c r="I1890" s="274">
        <v>0.47</v>
      </c>
      <c r="J1890" s="456">
        <f t="shared" si="63"/>
        <v>0.47</v>
      </c>
      <c r="K1890" s="583"/>
      <c r="L1890" s="268" t="s">
        <v>2625</v>
      </c>
      <c r="M1890" s="268" t="s">
        <v>2634</v>
      </c>
      <c r="N1890" s="278">
        <f>IFERROR(INDEX('Data Lokasi'!S:S,MATCH('Input Real Tanam&amp;Petik Nanas'!C1890,'Data Lokasi'!C:C,0)),"")</f>
        <v>46295</v>
      </c>
      <c r="O1890" s="278"/>
      <c r="P1890" s="283">
        <f>IFERROR(INDEX('Data Lokasi'!V:V,MATCH(C1890,'Data Lokasi'!C:C,0)),"")</f>
        <v>4.1899999999999995</v>
      </c>
      <c r="Q1890" s="304">
        <f t="shared" si="64"/>
        <v>0.99999999999999978</v>
      </c>
      <c r="R1890" s="308"/>
    </row>
    <row r="1891" spans="2:18">
      <c r="B1891" s="269">
        <v>46295</v>
      </c>
      <c r="C1891" s="268" t="s">
        <v>2737</v>
      </c>
      <c r="D1891" s="274">
        <f>IFERROR(VLOOKUP(C1891,'Data Lokasi'!C:D,2,0),"")</f>
        <v>7.19</v>
      </c>
      <c r="E1891" s="274" t="s">
        <v>2642</v>
      </c>
      <c r="F1891" s="274"/>
      <c r="G1891" s="274"/>
      <c r="H1891" s="274">
        <v>0.15</v>
      </c>
      <c r="I1891" s="274"/>
      <c r="J1891" s="456">
        <f t="shared" si="63"/>
        <v>0.15</v>
      </c>
      <c r="K1891" s="583"/>
      <c r="L1891" s="268" t="s">
        <v>719</v>
      </c>
      <c r="M1891" s="268" t="s">
        <v>2634</v>
      </c>
      <c r="N1891" s="278">
        <f>IFERROR(INDEX('Data Lokasi'!S:S,MATCH('Input Real Tanam&amp;Petik Nanas'!C1891,'Data Lokasi'!C:C,0)),"")</f>
        <v>46290</v>
      </c>
      <c r="O1891" s="278"/>
      <c r="P1891" s="283">
        <f>IFERROR(INDEX('Data Lokasi'!V:V,MATCH(C1891,'Data Lokasi'!C:C,0)),"")</f>
        <v>6.8199999999999994</v>
      </c>
      <c r="Q1891" s="304">
        <f t="shared" si="64"/>
        <v>0.94853963838664801</v>
      </c>
      <c r="R1891" s="308"/>
    </row>
    <row r="1892" spans="2:18">
      <c r="B1892" s="269">
        <v>46295</v>
      </c>
      <c r="C1892" s="268" t="s">
        <v>273</v>
      </c>
      <c r="D1892" s="274">
        <f>IFERROR(VLOOKUP(C1892,'Data Lokasi'!C:D,2,0),"")</f>
        <v>4.9000000000000004</v>
      </c>
      <c r="E1892" s="274" t="s">
        <v>2642</v>
      </c>
      <c r="F1892" s="274"/>
      <c r="G1892" s="274"/>
      <c r="H1892" s="274"/>
      <c r="I1892" s="274">
        <v>0.06</v>
      </c>
      <c r="J1892" s="456">
        <f t="shared" si="63"/>
        <v>0.06</v>
      </c>
      <c r="K1892" s="583"/>
      <c r="L1892" s="268" t="s">
        <v>2625</v>
      </c>
      <c r="M1892" s="268" t="s">
        <v>2634</v>
      </c>
      <c r="N1892" s="278">
        <f>IFERROR(INDEX('Data Lokasi'!S:S,MATCH('Input Real Tanam&amp;Petik Nanas'!C1892,'Data Lokasi'!C:C,0)),"")</f>
        <v>44103</v>
      </c>
      <c r="O1892" s="278"/>
      <c r="P1892" s="283">
        <f>IFERROR(INDEX('Data Lokasi'!V:V,MATCH(C1892,'Data Lokasi'!C:C,0)),"")</f>
        <v>0</v>
      </c>
      <c r="Q1892" s="304">
        <f t="shared" si="64"/>
        <v>0</v>
      </c>
      <c r="R1892" s="308"/>
    </row>
    <row r="1893" spans="2:18" hidden="1">
      <c r="B1893" s="269">
        <v>46295</v>
      </c>
      <c r="C1893" s="268" t="s">
        <v>559</v>
      </c>
      <c r="D1893" s="274">
        <f>IFERROR(VLOOKUP(C1893,'Data Lokasi'!C:D,2,0),"")</f>
        <v>6.38</v>
      </c>
      <c r="E1893" s="274" t="s">
        <v>2643</v>
      </c>
      <c r="F1893" s="274"/>
      <c r="G1893" s="274">
        <f>0.07+0.1</f>
        <v>0.17</v>
      </c>
      <c r="H1893" s="274">
        <f>0.13+0.29</f>
        <v>0.42</v>
      </c>
      <c r="I1893" s="274"/>
      <c r="J1893" s="456">
        <f t="shared" si="63"/>
        <v>0.59</v>
      </c>
      <c r="K1893" s="583"/>
      <c r="L1893" s="268" t="s">
        <v>719</v>
      </c>
      <c r="M1893" s="268" t="s">
        <v>2634</v>
      </c>
      <c r="N1893" s="278">
        <f>IFERROR(INDEX('Data Lokasi'!S:S,MATCH('Input Real Tanam&amp;Petik Nanas'!C1893,'Data Lokasi'!C:C,0)),"")</f>
        <v>44673</v>
      </c>
      <c r="O1893" s="278"/>
      <c r="P1893" s="283">
        <f>IFERROR(INDEX('Data Lokasi'!V:V,MATCH(C1893,'Data Lokasi'!C:C,0)),"")</f>
        <v>0</v>
      </c>
      <c r="Q1893" s="304">
        <f t="shared" si="64"/>
        <v>0</v>
      </c>
      <c r="R1893" s="308">
        <v>1</v>
      </c>
    </row>
    <row r="1894" spans="2:18" hidden="1">
      <c r="B1894" s="269">
        <v>46295</v>
      </c>
      <c r="C1894" s="268" t="s">
        <v>523</v>
      </c>
      <c r="D1894" s="274">
        <f>IFERROR(VLOOKUP(C1894,'Data Lokasi'!C:D,2,0),"")</f>
        <v>8.73</v>
      </c>
      <c r="E1894" s="274" t="s">
        <v>2643</v>
      </c>
      <c r="F1894" s="274"/>
      <c r="G1894" s="274"/>
      <c r="H1894" s="274">
        <f>0.03+0.16</f>
        <v>0.19</v>
      </c>
      <c r="I1894" s="274"/>
      <c r="J1894" s="456">
        <f t="shared" si="63"/>
        <v>0.19</v>
      </c>
      <c r="K1894" s="583"/>
      <c r="L1894" s="268" t="s">
        <v>719</v>
      </c>
      <c r="M1894" s="268" t="s">
        <v>2634</v>
      </c>
      <c r="N1894" s="278">
        <f>IFERROR(INDEX('Data Lokasi'!S:S,MATCH('Input Real Tanam&amp;Petik Nanas'!C1894,'Data Lokasi'!C:C,0)),"")</f>
        <v>44600</v>
      </c>
      <c r="O1894" s="278"/>
      <c r="P1894" s="283">
        <f>IFERROR(INDEX('Data Lokasi'!V:V,MATCH(C1894,'Data Lokasi'!C:C,0)),"")</f>
        <v>0</v>
      </c>
      <c r="Q1894" s="304">
        <f t="shared" si="64"/>
        <v>0</v>
      </c>
      <c r="R1894" s="308">
        <v>3</v>
      </c>
    </row>
    <row r="1895" spans="2:18" hidden="1">
      <c r="B1895" s="269">
        <v>46295</v>
      </c>
      <c r="C1895" s="268" t="s">
        <v>409</v>
      </c>
      <c r="D1895" s="274">
        <f>IFERROR(VLOOKUP(C1895,'Data Lokasi'!C:D,2,0),"")</f>
        <v>8.83</v>
      </c>
      <c r="E1895" s="274" t="s">
        <v>2643</v>
      </c>
      <c r="F1895" s="274"/>
      <c r="G1895" s="274"/>
      <c r="H1895" s="274">
        <f>0.01+0.08</f>
        <v>0.09</v>
      </c>
      <c r="I1895" s="274">
        <f>0.13+0.22</f>
        <v>0.35</v>
      </c>
      <c r="J1895" s="456">
        <f t="shared" si="63"/>
        <v>0.43999999999999995</v>
      </c>
      <c r="K1895" s="583"/>
      <c r="L1895" s="268" t="s">
        <v>719</v>
      </c>
      <c r="M1895" s="268" t="s">
        <v>2634</v>
      </c>
      <c r="N1895" s="278">
        <f>IFERROR(INDEX('Data Lokasi'!S:S,MATCH('Input Real Tanam&amp;Petik Nanas'!C1895,'Data Lokasi'!C:C,0)),"")</f>
        <v>44365</v>
      </c>
      <c r="O1895" s="278"/>
      <c r="P1895" s="283">
        <f>IFERROR(INDEX('Data Lokasi'!V:V,MATCH(C1895,'Data Lokasi'!C:C,0)),"")</f>
        <v>0</v>
      </c>
      <c r="Q1895" s="304">
        <f t="shared" si="64"/>
        <v>0</v>
      </c>
      <c r="R1895" s="308">
        <v>8</v>
      </c>
    </row>
    <row r="1896" spans="2:18" hidden="1">
      <c r="B1896" s="269">
        <v>46296</v>
      </c>
      <c r="C1896" s="268" t="s">
        <v>409</v>
      </c>
      <c r="D1896" s="274">
        <f>IFERROR(VLOOKUP(C1896,'Data Lokasi'!C:D,2,0),"")</f>
        <v>8.83</v>
      </c>
      <c r="E1896" s="274" t="s">
        <v>2643</v>
      </c>
      <c r="F1896" s="274"/>
      <c r="G1896" s="274"/>
      <c r="H1896" s="274">
        <f>0.06+0.17</f>
        <v>0.23</v>
      </c>
      <c r="I1896" s="274">
        <f>0.32+0.52</f>
        <v>0.84000000000000008</v>
      </c>
      <c r="J1896" s="456">
        <f t="shared" si="63"/>
        <v>1.07</v>
      </c>
      <c r="K1896" s="583"/>
      <c r="L1896" s="268" t="s">
        <v>719</v>
      </c>
      <c r="M1896" s="268" t="s">
        <v>2634</v>
      </c>
      <c r="N1896" s="278">
        <f>IFERROR(INDEX('Data Lokasi'!S:S,MATCH('Input Real Tanam&amp;Petik Nanas'!C1896,'Data Lokasi'!C:C,0)),"")</f>
        <v>44365</v>
      </c>
      <c r="O1896" s="278"/>
      <c r="P1896" s="283">
        <f>IFERROR(INDEX('Data Lokasi'!V:V,MATCH(C1896,'Data Lokasi'!C:C,0)),"")</f>
        <v>0</v>
      </c>
      <c r="Q1896" s="304">
        <f t="shared" si="64"/>
        <v>0</v>
      </c>
      <c r="R1896" s="308">
        <v>8</v>
      </c>
    </row>
    <row r="1897" spans="2:18" hidden="1">
      <c r="B1897" s="269">
        <v>46296</v>
      </c>
      <c r="C1897" s="268" t="s">
        <v>514</v>
      </c>
      <c r="D1897" s="274">
        <f>IFERROR(VLOOKUP(C1897,'Data Lokasi'!C:D,2,0),"")</f>
        <v>9.68</v>
      </c>
      <c r="E1897" s="274" t="s">
        <v>2643</v>
      </c>
      <c r="F1897" s="274"/>
      <c r="G1897" s="274">
        <v>0.02</v>
      </c>
      <c r="H1897" s="274">
        <f>0.15+0.31</f>
        <v>0.45999999999999996</v>
      </c>
      <c r="I1897" s="274"/>
      <c r="J1897" s="456">
        <f t="shared" si="63"/>
        <v>0.48</v>
      </c>
      <c r="K1897" s="583"/>
      <c r="L1897" s="268" t="s">
        <v>719</v>
      </c>
      <c r="M1897" s="268" t="s">
        <v>2631</v>
      </c>
      <c r="N1897" s="278">
        <f>IFERROR(INDEX('Data Lokasi'!S:S,MATCH('Input Real Tanam&amp;Petik Nanas'!C1897,'Data Lokasi'!C:C,0)),"")</f>
        <v>44578</v>
      </c>
      <c r="O1897" s="278"/>
      <c r="P1897" s="283">
        <f>IFERROR(INDEX('Data Lokasi'!V:V,MATCH(C1897,'Data Lokasi'!C:C,0)),"")</f>
        <v>0</v>
      </c>
      <c r="Q1897" s="304">
        <f t="shared" si="64"/>
        <v>0</v>
      </c>
      <c r="R1897" s="308">
        <v>4</v>
      </c>
    </row>
    <row r="1898" spans="2:18" hidden="1">
      <c r="B1898" s="269">
        <v>46296</v>
      </c>
      <c r="C1898" s="268" t="s">
        <v>2560</v>
      </c>
      <c r="D1898" s="274">
        <f>IFERROR(VLOOKUP(C1898,'Data Lokasi'!C:D,2,0),"")</f>
        <v>6.01</v>
      </c>
      <c r="E1898" s="274" t="s">
        <v>2643</v>
      </c>
      <c r="F1898" s="274"/>
      <c r="G1898" s="274"/>
      <c r="H1898" s="274"/>
      <c r="I1898" s="274">
        <v>0.48</v>
      </c>
      <c r="J1898" s="456">
        <f t="shared" si="63"/>
        <v>0.48</v>
      </c>
      <c r="K1898" s="583"/>
      <c r="L1898" s="268" t="s">
        <v>2625</v>
      </c>
      <c r="M1898" s="268" t="s">
        <v>2631</v>
      </c>
      <c r="N1898" s="278">
        <f>IFERROR(INDEX('Data Lokasi'!S:S,MATCH('Input Real Tanam&amp;Petik Nanas'!C1898,'Data Lokasi'!C:C,0)),"")</f>
        <v>45805</v>
      </c>
      <c r="O1898" s="278"/>
      <c r="P1898" s="283">
        <f>IFERROR(INDEX('Data Lokasi'!V:V,MATCH(C1898,'Data Lokasi'!C:C,0)),"")</f>
        <v>0</v>
      </c>
      <c r="Q1898" s="304">
        <f t="shared" si="64"/>
        <v>0</v>
      </c>
      <c r="R1898" s="308"/>
    </row>
    <row r="1899" spans="2:18" hidden="1">
      <c r="B1899" s="269">
        <v>46296</v>
      </c>
      <c r="C1899" s="268" t="s">
        <v>498</v>
      </c>
      <c r="D1899" s="274">
        <f>IFERROR(VLOOKUP(C1899,'Data Lokasi'!C:D,2,0),"")</f>
        <v>7.82</v>
      </c>
      <c r="E1899" s="274" t="s">
        <v>2643</v>
      </c>
      <c r="F1899" s="274"/>
      <c r="G1899" s="274">
        <v>0.06</v>
      </c>
      <c r="H1899" s="274">
        <f>0.13+0.23</f>
        <v>0.36</v>
      </c>
      <c r="I1899" s="274"/>
      <c r="J1899" s="456">
        <f t="shared" si="63"/>
        <v>0.42</v>
      </c>
      <c r="K1899" s="583"/>
      <c r="L1899" s="268" t="s">
        <v>719</v>
      </c>
      <c r="M1899" s="268" t="s">
        <v>2631</v>
      </c>
      <c r="N1899" s="278">
        <f>IFERROR(INDEX('Data Lokasi'!S:S,MATCH('Input Real Tanam&amp;Petik Nanas'!C1899,'Data Lokasi'!C:C,0)),"")</f>
        <v>44568</v>
      </c>
      <c r="O1899" s="278"/>
      <c r="P1899" s="283">
        <f>IFERROR(INDEX('Data Lokasi'!V:V,MATCH(C1899,'Data Lokasi'!C:C,0)),"")</f>
        <v>0</v>
      </c>
      <c r="Q1899" s="304">
        <f t="shared" si="64"/>
        <v>0</v>
      </c>
      <c r="R1899" s="308">
        <v>2</v>
      </c>
    </row>
    <row r="1900" spans="2:18" hidden="1">
      <c r="B1900" s="269">
        <v>46296</v>
      </c>
      <c r="C1900" s="268" t="s">
        <v>360</v>
      </c>
      <c r="D1900" s="274">
        <f>IFERROR(VLOOKUP(C1900,'Data Lokasi'!C:D,2,0),"")</f>
        <v>10.66</v>
      </c>
      <c r="E1900" s="274" t="s">
        <v>2643</v>
      </c>
      <c r="F1900" s="274"/>
      <c r="G1900" s="274"/>
      <c r="H1900" s="274">
        <v>0.04</v>
      </c>
      <c r="I1900" s="274">
        <f>0.05+0.06</f>
        <v>0.11</v>
      </c>
      <c r="J1900" s="456">
        <f t="shared" si="63"/>
        <v>0.15</v>
      </c>
      <c r="K1900" s="583"/>
      <c r="L1900" s="268" t="s">
        <v>719</v>
      </c>
      <c r="M1900" s="268" t="s">
        <v>2631</v>
      </c>
      <c r="N1900" s="278">
        <f>IFERROR(INDEX('Data Lokasi'!S:S,MATCH('Input Real Tanam&amp;Petik Nanas'!C1900,'Data Lokasi'!C:C,0)),"")</f>
        <v>44300</v>
      </c>
      <c r="O1900" s="278"/>
      <c r="P1900" s="283">
        <f>IFERROR(INDEX('Data Lokasi'!V:V,MATCH(C1900,'Data Lokasi'!C:C,0)),"")</f>
        <v>0</v>
      </c>
      <c r="Q1900" s="304">
        <f t="shared" si="64"/>
        <v>0</v>
      </c>
      <c r="R1900" s="308">
        <v>7</v>
      </c>
    </row>
    <row r="1901" spans="2:18" hidden="1">
      <c r="B1901" s="269">
        <v>46296</v>
      </c>
      <c r="C1901" s="268" t="s">
        <v>143</v>
      </c>
      <c r="D1901" s="274">
        <f>IFERROR(VLOOKUP(C1901,'Data Lokasi'!C:D,2,0),"")</f>
        <v>6.48</v>
      </c>
      <c r="E1901" s="274" t="s">
        <v>2643</v>
      </c>
      <c r="F1901" s="274"/>
      <c r="G1901" s="274"/>
      <c r="H1901" s="274"/>
      <c r="I1901" s="274">
        <v>1.41</v>
      </c>
      <c r="J1901" s="456">
        <f t="shared" si="63"/>
        <v>1.41</v>
      </c>
      <c r="K1901" s="583"/>
      <c r="L1901" s="268" t="s">
        <v>2625</v>
      </c>
      <c r="M1901" s="268" t="s">
        <v>2631</v>
      </c>
      <c r="N1901" s="278">
        <f>IFERROR(INDEX('Data Lokasi'!S:S,MATCH('Input Real Tanam&amp;Petik Nanas'!C1901,'Data Lokasi'!C:C,0)),"")</f>
        <v>44266</v>
      </c>
      <c r="O1901" s="278"/>
      <c r="P1901" s="283">
        <f>IFERROR(INDEX('Data Lokasi'!V:V,MATCH(C1901,'Data Lokasi'!C:C,0)),"")</f>
        <v>0</v>
      </c>
      <c r="Q1901" s="304">
        <f t="shared" si="64"/>
        <v>0</v>
      </c>
      <c r="R1901" s="308"/>
    </row>
    <row r="1902" spans="2:18" hidden="1">
      <c r="B1902" s="269">
        <v>46296</v>
      </c>
      <c r="C1902" s="268" t="s">
        <v>2712</v>
      </c>
      <c r="D1902" s="274">
        <f>IFERROR(VLOOKUP(C1902,'Data Lokasi'!C:D,2,0),"")</f>
        <v>6.02</v>
      </c>
      <c r="E1902" s="274" t="s">
        <v>2642</v>
      </c>
      <c r="F1902" s="274"/>
      <c r="G1902" s="274">
        <v>0.05</v>
      </c>
      <c r="H1902" s="274"/>
      <c r="I1902" s="274"/>
      <c r="J1902" s="456">
        <f t="shared" si="63"/>
        <v>0.05</v>
      </c>
      <c r="K1902" s="583"/>
      <c r="L1902" s="268" t="s">
        <v>719</v>
      </c>
      <c r="M1902" s="268" t="s">
        <v>2631</v>
      </c>
      <c r="N1902" s="278">
        <f>IFERROR(INDEX('Data Lokasi'!S:S,MATCH('Input Real Tanam&amp;Petik Nanas'!C1902,'Data Lokasi'!C:C,0)),"")</f>
        <v>46271</v>
      </c>
      <c r="O1902" s="278"/>
      <c r="P1902" s="283">
        <f>IFERROR(INDEX('Data Lokasi'!V:V,MATCH(C1902,'Data Lokasi'!C:C,0)),"")</f>
        <v>6.0200000000000005</v>
      </c>
      <c r="Q1902" s="304">
        <f t="shared" si="64"/>
        <v>1.0000000000000002</v>
      </c>
      <c r="R1902" s="308"/>
    </row>
    <row r="1903" spans="2:18" hidden="1">
      <c r="B1903" s="269">
        <v>46296</v>
      </c>
      <c r="C1903" s="268" t="s">
        <v>2713</v>
      </c>
      <c r="D1903" s="274">
        <f>IFERROR(VLOOKUP(C1903,'Data Lokasi'!C:D,2,0),"")</f>
        <v>10.01</v>
      </c>
      <c r="E1903" s="274" t="s">
        <v>2642</v>
      </c>
      <c r="F1903" s="274"/>
      <c r="G1903" s="274">
        <f>0.12+0.15</f>
        <v>0.27</v>
      </c>
      <c r="H1903" s="274"/>
      <c r="I1903" s="274"/>
      <c r="J1903" s="456">
        <f t="shared" si="63"/>
        <v>0.27</v>
      </c>
      <c r="K1903" s="583"/>
      <c r="L1903" s="268" t="s">
        <v>719</v>
      </c>
      <c r="M1903" s="268" t="s">
        <v>2631</v>
      </c>
      <c r="N1903" s="278">
        <f>IFERROR(INDEX('Data Lokasi'!S:S,MATCH('Input Real Tanam&amp;Petik Nanas'!C1903,'Data Lokasi'!C:C,0)),"")</f>
        <v>46284</v>
      </c>
      <c r="O1903" s="278"/>
      <c r="P1903" s="283">
        <f>IFERROR(INDEX('Data Lokasi'!V:V,MATCH(C1903,'Data Lokasi'!C:C,0)),"")</f>
        <v>9.0100000000000016</v>
      </c>
      <c r="Q1903" s="304">
        <f t="shared" si="64"/>
        <v>0.90009990009990026</v>
      </c>
      <c r="R1903" s="308"/>
    </row>
    <row r="1904" spans="2:18" hidden="1">
      <c r="B1904" s="269">
        <v>46296</v>
      </c>
      <c r="C1904" s="268" t="s">
        <v>445</v>
      </c>
      <c r="D1904" s="274">
        <f>IFERROR(VLOOKUP(C1904,'Data Lokasi'!C:D,2,0),"")</f>
        <v>10.65</v>
      </c>
      <c r="E1904" s="274" t="s">
        <v>2642</v>
      </c>
      <c r="F1904" s="274"/>
      <c r="G1904" s="274"/>
      <c r="H1904" s="274"/>
      <c r="I1904" s="274">
        <v>1.19</v>
      </c>
      <c r="J1904" s="456">
        <f t="shared" si="63"/>
        <v>1.19</v>
      </c>
      <c r="K1904" s="583"/>
      <c r="L1904" s="268" t="s">
        <v>2625</v>
      </c>
      <c r="M1904" s="268" t="s">
        <v>2631</v>
      </c>
      <c r="N1904" s="278">
        <f>IFERROR(INDEX('Data Lokasi'!S:S,MATCH('Input Real Tanam&amp;Petik Nanas'!C1904,'Data Lokasi'!C:C,0)),"")</f>
        <v>46292</v>
      </c>
      <c r="O1904" s="278"/>
      <c r="P1904" s="283">
        <f>IFERROR(INDEX('Data Lokasi'!V:V,MATCH(C1904,'Data Lokasi'!C:C,0)),"")</f>
        <v>10.52</v>
      </c>
      <c r="Q1904" s="304">
        <f t="shared" si="64"/>
        <v>0.98779342723004693</v>
      </c>
      <c r="R1904" s="308"/>
    </row>
    <row r="1905" spans="2:18" hidden="1">
      <c r="B1905" s="269">
        <v>46296</v>
      </c>
      <c r="C1905" s="268" t="s">
        <v>134</v>
      </c>
      <c r="D1905" s="274">
        <f>IFERROR(VLOOKUP(C1905,'Data Lokasi'!C:D,2,0),"")</f>
        <v>4.1900000000000004</v>
      </c>
      <c r="E1905" s="274" t="s">
        <v>2642</v>
      </c>
      <c r="F1905" s="274"/>
      <c r="G1905" s="274"/>
      <c r="H1905" s="274"/>
      <c r="I1905" s="274">
        <v>1.04</v>
      </c>
      <c r="J1905" s="456">
        <f t="shared" si="63"/>
        <v>1.04</v>
      </c>
      <c r="K1905" s="583"/>
      <c r="L1905" s="268" t="s">
        <v>2625</v>
      </c>
      <c r="M1905" s="268" t="s">
        <v>2631</v>
      </c>
      <c r="N1905" s="278">
        <f>IFERROR(INDEX('Data Lokasi'!S:S,MATCH('Input Real Tanam&amp;Petik Nanas'!C1905,'Data Lokasi'!C:C,0)),"")</f>
        <v>46295</v>
      </c>
      <c r="O1905" s="278"/>
      <c r="P1905" s="283">
        <f>IFERROR(INDEX('Data Lokasi'!V:V,MATCH(C1905,'Data Lokasi'!C:C,0)),"")</f>
        <v>4.1899999999999995</v>
      </c>
      <c r="Q1905" s="304">
        <f t="shared" si="64"/>
        <v>0.99999999999999978</v>
      </c>
      <c r="R1905" s="308"/>
    </row>
    <row r="1906" spans="2:18" hidden="1">
      <c r="B1906" s="269">
        <v>46296</v>
      </c>
      <c r="C1906" s="317" t="s">
        <v>137</v>
      </c>
      <c r="D1906" s="274">
        <f>IFERROR(VLOOKUP(C1906,'Data Lokasi'!C:D,2,0),"")</f>
        <v>6.01</v>
      </c>
      <c r="E1906" s="274" t="s">
        <v>2642</v>
      </c>
      <c r="F1906" s="274"/>
      <c r="G1906" s="274"/>
      <c r="H1906" s="274"/>
      <c r="I1906" s="274">
        <v>0.11</v>
      </c>
      <c r="J1906" s="456">
        <f t="shared" si="63"/>
        <v>0.11</v>
      </c>
      <c r="K1906" s="583"/>
      <c r="L1906" s="268" t="s">
        <v>2625</v>
      </c>
      <c r="M1906" s="268" t="s">
        <v>2634</v>
      </c>
      <c r="N1906" s="278">
        <f>IFERROR(INDEX('Data Lokasi'!S:S,MATCH('Input Real Tanam&amp;Petik Nanas'!C1906,'Data Lokasi'!C:C,0)),"")</f>
        <v>46291</v>
      </c>
      <c r="O1906" s="278"/>
      <c r="P1906" s="283">
        <f>IFERROR(INDEX('Data Lokasi'!V:V,MATCH(C1906,'Data Lokasi'!C:C,0)),"")</f>
        <v>6.0100000000000007</v>
      </c>
      <c r="Q1906" s="304">
        <f t="shared" si="64"/>
        <v>1.0000000000000002</v>
      </c>
      <c r="R1906" s="308"/>
    </row>
    <row r="1907" spans="2:18" hidden="1">
      <c r="B1907" s="269">
        <v>46296</v>
      </c>
      <c r="C1907" s="375" t="s">
        <v>696</v>
      </c>
      <c r="D1907" s="274">
        <f>IFERROR(VLOOKUP(C1907,'Data Lokasi'!C:D,2,0),"")</f>
        <v>12.75</v>
      </c>
      <c r="E1907" s="274" t="s">
        <v>2642</v>
      </c>
      <c r="F1907" s="274"/>
      <c r="G1907" s="274"/>
      <c r="H1907" s="274"/>
      <c r="I1907" s="274">
        <v>1.1499999999999999</v>
      </c>
      <c r="J1907" s="456">
        <f t="shared" si="63"/>
        <v>1.1499999999999999</v>
      </c>
      <c r="K1907" s="583"/>
      <c r="L1907" s="268" t="s">
        <v>719</v>
      </c>
      <c r="M1907" s="268" t="s">
        <v>2634</v>
      </c>
      <c r="N1907" s="278">
        <f>IFERROR(INDEX('Data Lokasi'!S:S,MATCH('Input Real Tanam&amp;Petik Nanas'!C1907,'Data Lokasi'!C:C,0)),"")</f>
        <v>46290</v>
      </c>
      <c r="O1907" s="278"/>
      <c r="P1907" s="283">
        <f>IFERROR(INDEX('Data Lokasi'!V:V,MATCH(C1907,'Data Lokasi'!C:C,0)),"")</f>
        <v>9.51</v>
      </c>
      <c r="Q1907" s="304">
        <f t="shared" si="64"/>
        <v>0.74588235294117644</v>
      </c>
      <c r="R1907" s="308"/>
    </row>
    <row r="1908" spans="2:18" hidden="1">
      <c r="B1908" s="269">
        <v>46296</v>
      </c>
      <c r="C1908" s="268" t="s">
        <v>2737</v>
      </c>
      <c r="D1908" s="274">
        <f>IFERROR(VLOOKUP(C1908,'Data Lokasi'!C:D,2,0),"")</f>
        <v>7.19</v>
      </c>
      <c r="E1908" s="274" t="s">
        <v>2642</v>
      </c>
      <c r="F1908" s="274"/>
      <c r="G1908" s="274"/>
      <c r="H1908" s="274">
        <v>0.2</v>
      </c>
      <c r="I1908" s="274"/>
      <c r="J1908" s="456">
        <f t="shared" si="63"/>
        <v>0.2</v>
      </c>
      <c r="K1908" s="583"/>
      <c r="L1908" s="268" t="s">
        <v>719</v>
      </c>
      <c r="M1908" s="268" t="s">
        <v>2634</v>
      </c>
      <c r="N1908" s="278">
        <f>IFERROR(INDEX('Data Lokasi'!S:S,MATCH('Input Real Tanam&amp;Petik Nanas'!C1908,'Data Lokasi'!C:C,0)),"")</f>
        <v>46290</v>
      </c>
      <c r="O1908" s="278"/>
      <c r="P1908" s="283">
        <f>IFERROR(INDEX('Data Lokasi'!V:V,MATCH(C1908,'Data Lokasi'!C:C,0)),"")</f>
        <v>6.8199999999999994</v>
      </c>
      <c r="Q1908" s="304">
        <f t="shared" si="64"/>
        <v>0.94853963838664801</v>
      </c>
      <c r="R1908" s="308"/>
    </row>
    <row r="1909" spans="2:18" hidden="1">
      <c r="B1909" s="269">
        <v>46296</v>
      </c>
      <c r="C1909" s="268" t="s">
        <v>134</v>
      </c>
      <c r="D1909" s="274">
        <f>IFERROR(VLOOKUP(C1909,'Data Lokasi'!C:D,2,0),"")</f>
        <v>4.1900000000000004</v>
      </c>
      <c r="E1909" s="274" t="s">
        <v>2642</v>
      </c>
      <c r="F1909" s="274"/>
      <c r="G1909" s="274"/>
      <c r="H1909" s="274"/>
      <c r="I1909" s="274">
        <v>0.15</v>
      </c>
      <c r="J1909" s="456">
        <f t="shared" si="63"/>
        <v>0.15</v>
      </c>
      <c r="K1909" s="583"/>
      <c r="L1909" s="268" t="s">
        <v>2625</v>
      </c>
      <c r="M1909" s="268" t="s">
        <v>2634</v>
      </c>
      <c r="N1909" s="278">
        <f>IFERROR(INDEX('Data Lokasi'!S:S,MATCH('Input Real Tanam&amp;Petik Nanas'!C1909,'Data Lokasi'!C:C,0)),"")</f>
        <v>46295</v>
      </c>
      <c r="O1909" s="278"/>
      <c r="P1909" s="283">
        <f>IFERROR(INDEX('Data Lokasi'!V:V,MATCH(C1909,'Data Lokasi'!C:C,0)),"")</f>
        <v>4.1899999999999995</v>
      </c>
      <c r="Q1909" s="304">
        <f t="shared" si="64"/>
        <v>0.99999999999999978</v>
      </c>
      <c r="R1909" s="308"/>
    </row>
    <row r="1910" spans="2:18" hidden="1">
      <c r="B1910" s="269">
        <v>46297</v>
      </c>
      <c r="C1910" s="268" t="s">
        <v>148</v>
      </c>
      <c r="D1910" s="274">
        <f>IFERROR(VLOOKUP(C1910,'Data Lokasi'!C:D,2,0),"")</f>
        <v>8.76</v>
      </c>
      <c r="E1910" s="274" t="s">
        <v>2642</v>
      </c>
      <c r="F1910" s="274"/>
      <c r="G1910" s="274"/>
      <c r="H1910" s="274"/>
      <c r="I1910" s="274">
        <v>0.05</v>
      </c>
      <c r="J1910" s="456">
        <f t="shared" si="63"/>
        <v>0.05</v>
      </c>
      <c r="K1910" s="583"/>
      <c r="L1910" s="268" t="s">
        <v>2625</v>
      </c>
      <c r="M1910" s="268" t="s">
        <v>2631</v>
      </c>
      <c r="N1910" s="278">
        <f>IFERROR(INDEX('Data Lokasi'!S:S,MATCH('Input Real Tanam&amp;Petik Nanas'!C1910,'Data Lokasi'!C:C,0)),"")</f>
        <v>46281</v>
      </c>
      <c r="O1910" s="278"/>
      <c r="P1910" s="283">
        <f>IFERROR(INDEX('Data Lokasi'!V:V,MATCH(C1910,'Data Lokasi'!C:C,0)),"")</f>
        <v>8.76</v>
      </c>
      <c r="Q1910" s="304">
        <f t="shared" si="64"/>
        <v>1</v>
      </c>
      <c r="R1910" s="308"/>
    </row>
    <row r="1911" spans="2:18" hidden="1">
      <c r="B1911" s="269">
        <v>46297</v>
      </c>
      <c r="C1911" s="268" t="s">
        <v>279</v>
      </c>
      <c r="D1911" s="274">
        <f>IFERROR(VLOOKUP(C1911,'Data Lokasi'!C:D,2,0),"")</f>
        <v>5.05</v>
      </c>
      <c r="E1911" s="274" t="s">
        <v>2642</v>
      </c>
      <c r="F1911" s="274"/>
      <c r="G1911" s="274"/>
      <c r="H1911" s="274"/>
      <c r="I1911" s="274">
        <v>0.25</v>
      </c>
      <c r="J1911" s="456">
        <f t="shared" si="63"/>
        <v>0.25</v>
      </c>
      <c r="K1911" s="583"/>
      <c r="L1911" s="268" t="s">
        <v>2625</v>
      </c>
      <c r="M1911" s="268" t="s">
        <v>2631</v>
      </c>
      <c r="N1911" s="278">
        <f>IFERROR(INDEX('Data Lokasi'!S:S,MATCH('Input Real Tanam&amp;Petik Nanas'!C1911,'Data Lokasi'!C:C,0)),"")</f>
        <v>46276</v>
      </c>
      <c r="O1911" s="278"/>
      <c r="P1911" s="283">
        <f>IFERROR(INDEX('Data Lokasi'!V:V,MATCH(C1911,'Data Lokasi'!C:C,0)),"")</f>
        <v>5.05</v>
      </c>
      <c r="Q1911" s="304">
        <f t="shared" si="64"/>
        <v>1</v>
      </c>
      <c r="R1911" s="308"/>
    </row>
    <row r="1912" spans="2:18" hidden="1">
      <c r="B1912" s="269">
        <v>46297</v>
      </c>
      <c r="C1912" s="268" t="s">
        <v>134</v>
      </c>
      <c r="D1912" s="274">
        <f>IFERROR(VLOOKUP(C1912,'Data Lokasi'!C:D,2,0),"")</f>
        <v>4.1900000000000004</v>
      </c>
      <c r="E1912" s="274" t="s">
        <v>2642</v>
      </c>
      <c r="F1912" s="274"/>
      <c r="G1912" s="274"/>
      <c r="H1912" s="274"/>
      <c r="I1912" s="274">
        <v>1.1299999999999999</v>
      </c>
      <c r="J1912" s="456">
        <f t="shared" si="63"/>
        <v>1.1299999999999999</v>
      </c>
      <c r="K1912" s="583"/>
      <c r="L1912" s="268" t="s">
        <v>2625</v>
      </c>
      <c r="M1912" s="268" t="s">
        <v>2631</v>
      </c>
      <c r="N1912" s="278">
        <f>IFERROR(INDEX('Data Lokasi'!S:S,MATCH('Input Real Tanam&amp;Petik Nanas'!C1912,'Data Lokasi'!C:C,0)),"")</f>
        <v>46295</v>
      </c>
      <c r="O1912" s="278"/>
      <c r="P1912" s="283">
        <f>IFERROR(INDEX('Data Lokasi'!V:V,MATCH(C1912,'Data Lokasi'!C:C,0)),"")</f>
        <v>4.1899999999999995</v>
      </c>
      <c r="Q1912" s="304">
        <f t="shared" si="64"/>
        <v>0.99999999999999978</v>
      </c>
      <c r="R1912" s="308"/>
    </row>
    <row r="1913" spans="2:18" hidden="1">
      <c r="B1913" s="269">
        <v>46297</v>
      </c>
      <c r="C1913" s="268" t="s">
        <v>445</v>
      </c>
      <c r="D1913" s="274">
        <f>IFERROR(VLOOKUP(C1913,'Data Lokasi'!C:D,2,0),"")</f>
        <v>10.65</v>
      </c>
      <c r="E1913" s="274" t="s">
        <v>2642</v>
      </c>
      <c r="F1913" s="274"/>
      <c r="G1913" s="274"/>
      <c r="H1913" s="274"/>
      <c r="I1913" s="274">
        <v>0.71</v>
      </c>
      <c r="J1913" s="456">
        <f t="shared" si="63"/>
        <v>0.71</v>
      </c>
      <c r="K1913" s="583"/>
      <c r="L1913" s="268" t="s">
        <v>2625</v>
      </c>
      <c r="M1913" s="268" t="s">
        <v>2631</v>
      </c>
      <c r="N1913" s="278">
        <f>IFERROR(INDEX('Data Lokasi'!S:S,MATCH('Input Real Tanam&amp;Petik Nanas'!C1913,'Data Lokasi'!C:C,0)),"")</f>
        <v>46292</v>
      </c>
      <c r="O1913" s="278"/>
      <c r="P1913" s="283">
        <f>IFERROR(INDEX('Data Lokasi'!V:V,MATCH(C1913,'Data Lokasi'!C:C,0)),"")</f>
        <v>10.52</v>
      </c>
      <c r="Q1913" s="304">
        <f t="shared" si="64"/>
        <v>0.98779342723004693</v>
      </c>
      <c r="R1913" s="308"/>
    </row>
    <row r="1914" spans="2:18" hidden="1">
      <c r="B1914" s="269">
        <v>46297</v>
      </c>
      <c r="C1914" s="268" t="s">
        <v>2713</v>
      </c>
      <c r="D1914" s="274">
        <f>IFERROR(VLOOKUP(C1914,'Data Lokasi'!C:D,2,0),"")</f>
        <v>10.01</v>
      </c>
      <c r="E1914" s="274" t="s">
        <v>2642</v>
      </c>
      <c r="F1914" s="274"/>
      <c r="G1914" s="274">
        <f>0.06+0.47</f>
        <v>0.53</v>
      </c>
      <c r="H1914" s="274"/>
      <c r="I1914" s="274"/>
      <c r="J1914" s="456">
        <f t="shared" si="63"/>
        <v>0.53</v>
      </c>
      <c r="K1914" s="583"/>
      <c r="L1914" s="268" t="s">
        <v>719</v>
      </c>
      <c r="M1914" s="268" t="s">
        <v>2631</v>
      </c>
      <c r="N1914" s="278">
        <f>IFERROR(INDEX('Data Lokasi'!S:S,MATCH('Input Real Tanam&amp;Petik Nanas'!C1914,'Data Lokasi'!C:C,0)),"")</f>
        <v>46284</v>
      </c>
      <c r="O1914" s="278"/>
      <c r="P1914" s="283">
        <f>IFERROR(INDEX('Data Lokasi'!V:V,MATCH(C1914,'Data Lokasi'!C:C,0)),"")</f>
        <v>9.0100000000000016</v>
      </c>
      <c r="Q1914" s="304">
        <f t="shared" si="64"/>
        <v>0.90009990009990026</v>
      </c>
      <c r="R1914" s="308"/>
    </row>
    <row r="1915" spans="2:18" hidden="1">
      <c r="B1915" s="269">
        <v>46297</v>
      </c>
      <c r="C1915" s="375" t="s">
        <v>134</v>
      </c>
      <c r="D1915" s="274">
        <f>IFERROR(VLOOKUP(C1915,'Data Lokasi'!C:D,2,0),"")</f>
        <v>4.1900000000000004</v>
      </c>
      <c r="E1915" s="274" t="s">
        <v>2642</v>
      </c>
      <c r="F1915" s="274"/>
      <c r="G1915" s="274"/>
      <c r="H1915" s="274"/>
      <c r="I1915" s="274">
        <v>0.32</v>
      </c>
      <c r="J1915" s="456">
        <f t="shared" si="63"/>
        <v>0.32</v>
      </c>
      <c r="K1915" s="583"/>
      <c r="L1915" s="268" t="s">
        <v>2625</v>
      </c>
      <c r="M1915" s="268" t="s">
        <v>2634</v>
      </c>
      <c r="N1915" s="278">
        <f>IFERROR(INDEX('Data Lokasi'!S:S,MATCH('Input Real Tanam&amp;Petik Nanas'!C1915,'Data Lokasi'!C:C,0)),"")</f>
        <v>46295</v>
      </c>
      <c r="O1915" s="278"/>
      <c r="P1915" s="283">
        <f>IFERROR(INDEX('Data Lokasi'!V:V,MATCH(C1915,'Data Lokasi'!C:C,0)),"")</f>
        <v>4.1899999999999995</v>
      </c>
      <c r="Q1915" s="304">
        <f t="shared" si="64"/>
        <v>0.99999999999999978</v>
      </c>
      <c r="R1915" s="308"/>
    </row>
    <row r="1916" spans="2:18" hidden="1">
      <c r="B1916" s="269">
        <v>46297</v>
      </c>
      <c r="C1916" s="375" t="s">
        <v>2737</v>
      </c>
      <c r="D1916" s="274">
        <f>IFERROR(VLOOKUP(C1916,'Data Lokasi'!C:D,2,0),"")</f>
        <v>7.19</v>
      </c>
      <c r="E1916" s="274" t="s">
        <v>2642</v>
      </c>
      <c r="F1916" s="274"/>
      <c r="G1916" s="274"/>
      <c r="H1916" s="274">
        <v>0.23</v>
      </c>
      <c r="I1916" s="274"/>
      <c r="J1916" s="456">
        <f t="shared" si="63"/>
        <v>0.23</v>
      </c>
      <c r="K1916" s="583"/>
      <c r="L1916" s="268" t="s">
        <v>719</v>
      </c>
      <c r="M1916" s="268" t="s">
        <v>2634</v>
      </c>
      <c r="N1916" s="278">
        <f>IFERROR(INDEX('Data Lokasi'!S:S,MATCH('Input Real Tanam&amp;Petik Nanas'!C1916,'Data Lokasi'!C:C,0)),"")</f>
        <v>46290</v>
      </c>
      <c r="O1916" s="278"/>
      <c r="P1916" s="283">
        <f>IFERROR(INDEX('Data Lokasi'!V:V,MATCH(C1916,'Data Lokasi'!C:C,0)),"")</f>
        <v>6.8199999999999994</v>
      </c>
      <c r="Q1916" s="304">
        <f t="shared" si="64"/>
        <v>0.94853963838664801</v>
      </c>
      <c r="R1916" s="308"/>
    </row>
    <row r="1917" spans="2:18" hidden="1">
      <c r="B1917" s="269">
        <v>46297</v>
      </c>
      <c r="C1917" s="317" t="s">
        <v>696</v>
      </c>
      <c r="D1917" s="274">
        <f>IFERROR(VLOOKUP(C1917,'Data Lokasi'!C:D,2,0),"")</f>
        <v>12.75</v>
      </c>
      <c r="E1917" s="274" t="s">
        <v>2642</v>
      </c>
      <c r="F1917" s="274"/>
      <c r="G1917" s="274"/>
      <c r="H1917" s="274"/>
      <c r="I1917" s="274">
        <v>0.83</v>
      </c>
      <c r="J1917" s="456">
        <f t="shared" si="63"/>
        <v>0.83</v>
      </c>
      <c r="K1917" s="583"/>
      <c r="L1917" s="268" t="s">
        <v>2625</v>
      </c>
      <c r="M1917" s="268" t="s">
        <v>2634</v>
      </c>
      <c r="N1917" s="278">
        <f>IFERROR(INDEX('Data Lokasi'!S:S,MATCH('Input Real Tanam&amp;Petik Nanas'!C1917,'Data Lokasi'!C:C,0)),"")</f>
        <v>46290</v>
      </c>
      <c r="O1917" s="278"/>
      <c r="P1917" s="283">
        <f>IFERROR(INDEX('Data Lokasi'!V:V,MATCH(C1917,'Data Lokasi'!C:C,0)),"")</f>
        <v>9.51</v>
      </c>
      <c r="Q1917" s="304">
        <f t="shared" si="64"/>
        <v>0.74588235294117644</v>
      </c>
      <c r="R1917" s="308"/>
    </row>
    <row r="1918" spans="2:18" hidden="1">
      <c r="B1918" s="269">
        <v>46297</v>
      </c>
      <c r="C1918" s="268" t="s">
        <v>514</v>
      </c>
      <c r="D1918" s="274">
        <f>IFERROR(VLOOKUP(C1918,'Data Lokasi'!C:D,2,0),"")</f>
        <v>9.68</v>
      </c>
      <c r="E1918" s="274" t="s">
        <v>2643</v>
      </c>
      <c r="F1918" s="274"/>
      <c r="G1918" s="274">
        <v>0.03</v>
      </c>
      <c r="H1918" s="274">
        <f>0.07+0.17</f>
        <v>0.24000000000000002</v>
      </c>
      <c r="I1918" s="274"/>
      <c r="J1918" s="456">
        <f t="shared" si="63"/>
        <v>0.27</v>
      </c>
      <c r="K1918" s="583"/>
      <c r="L1918" s="268" t="s">
        <v>719</v>
      </c>
      <c r="M1918" s="268" t="s">
        <v>2631</v>
      </c>
      <c r="N1918" s="278">
        <f>IFERROR(INDEX('Data Lokasi'!S:S,MATCH('Input Real Tanam&amp;Petik Nanas'!C1918,'Data Lokasi'!C:C,0)),"")</f>
        <v>44578</v>
      </c>
      <c r="O1918" s="278"/>
      <c r="P1918" s="283">
        <f>IFERROR(INDEX('Data Lokasi'!V:V,MATCH(C1918,'Data Lokasi'!C:C,0)),"")</f>
        <v>0</v>
      </c>
      <c r="Q1918" s="304">
        <f t="shared" si="64"/>
        <v>0</v>
      </c>
      <c r="R1918" s="308">
        <v>4</v>
      </c>
    </row>
    <row r="1919" spans="2:18" hidden="1">
      <c r="B1919" s="269">
        <v>46297</v>
      </c>
      <c r="C1919" s="268" t="s">
        <v>1705</v>
      </c>
      <c r="D1919" s="274">
        <f>IFERROR(VLOOKUP(C1919,'Data Lokasi'!C:D,2,0),"")</f>
        <v>6.03</v>
      </c>
      <c r="E1919" s="274" t="s">
        <v>2643</v>
      </c>
      <c r="F1919" s="274"/>
      <c r="G1919" s="274"/>
      <c r="H1919" s="274"/>
      <c r="I1919" s="274">
        <v>2.98</v>
      </c>
      <c r="J1919" s="456">
        <f t="shared" si="63"/>
        <v>2.98</v>
      </c>
      <c r="K1919" s="583"/>
      <c r="L1919" s="268" t="s">
        <v>2625</v>
      </c>
      <c r="M1919" s="268" t="s">
        <v>2631</v>
      </c>
      <c r="N1919" s="278">
        <f>IFERROR(INDEX('Data Lokasi'!S:S,MATCH('Input Real Tanam&amp;Petik Nanas'!C1919,'Data Lokasi'!C:C,0)),"")</f>
        <v>45490</v>
      </c>
      <c r="O1919" s="278"/>
      <c r="P1919" s="283">
        <f>IFERROR(INDEX('Data Lokasi'!V:V,MATCH(C1919,'Data Lokasi'!C:C,0)),"")</f>
        <v>0</v>
      </c>
      <c r="Q1919" s="304">
        <f t="shared" si="64"/>
        <v>0</v>
      </c>
      <c r="R1919" s="308"/>
    </row>
    <row r="1920" spans="2:18" hidden="1">
      <c r="B1920" s="269">
        <v>46297</v>
      </c>
      <c r="C1920" s="268" t="s">
        <v>498</v>
      </c>
      <c r="D1920" s="274">
        <f>IFERROR(VLOOKUP(C1920,'Data Lokasi'!C:D,2,0),"")</f>
        <v>7.82</v>
      </c>
      <c r="E1920" s="274" t="s">
        <v>2643</v>
      </c>
      <c r="F1920" s="274"/>
      <c r="G1920" s="274">
        <v>0.06</v>
      </c>
      <c r="H1920" s="274">
        <f>0.1+0.22</f>
        <v>0.32</v>
      </c>
      <c r="I1920" s="274"/>
      <c r="J1920" s="456">
        <f t="shared" si="63"/>
        <v>0.38</v>
      </c>
      <c r="K1920" s="583"/>
      <c r="L1920" s="268" t="s">
        <v>719</v>
      </c>
      <c r="M1920" s="268" t="s">
        <v>2631</v>
      </c>
      <c r="N1920" s="278">
        <f>IFERROR(INDEX('Data Lokasi'!S:S,MATCH('Input Real Tanam&amp;Petik Nanas'!C1920,'Data Lokasi'!C:C,0)),"")</f>
        <v>44568</v>
      </c>
      <c r="O1920" s="278"/>
      <c r="P1920" s="283">
        <f>IFERROR(INDEX('Data Lokasi'!V:V,MATCH(C1920,'Data Lokasi'!C:C,0)),"")</f>
        <v>0</v>
      </c>
      <c r="Q1920" s="304">
        <f t="shared" si="64"/>
        <v>0</v>
      </c>
      <c r="R1920" s="308">
        <v>2</v>
      </c>
    </row>
    <row r="1921" spans="2:18" hidden="1">
      <c r="B1921" s="269">
        <v>46297</v>
      </c>
      <c r="C1921" s="268" t="s">
        <v>142</v>
      </c>
      <c r="D1921" s="274">
        <f>IFERROR(VLOOKUP(C1921,'Data Lokasi'!C:D,2,0),"")</f>
        <v>9.34</v>
      </c>
      <c r="E1921" s="274" t="s">
        <v>2643</v>
      </c>
      <c r="F1921" s="274"/>
      <c r="G1921" s="274"/>
      <c r="H1921" s="274"/>
      <c r="I1921" s="274">
        <v>2.69</v>
      </c>
      <c r="J1921" s="456">
        <f t="shared" si="63"/>
        <v>2.69</v>
      </c>
      <c r="K1921" s="583"/>
      <c r="L1921" s="268" t="s">
        <v>2625</v>
      </c>
      <c r="M1921" s="268" t="s">
        <v>2631</v>
      </c>
      <c r="N1921" s="278">
        <f>IFERROR(INDEX('Data Lokasi'!S:S,MATCH('Input Real Tanam&amp;Petik Nanas'!C1921,'Data Lokasi'!C:C,0)),"")</f>
        <v>44151</v>
      </c>
      <c r="O1921" s="278"/>
      <c r="P1921" s="283">
        <f>IFERROR(INDEX('Data Lokasi'!V:V,MATCH(C1921,'Data Lokasi'!C:C,0)),"")</f>
        <v>0</v>
      </c>
      <c r="Q1921" s="304">
        <f t="shared" si="64"/>
        <v>0</v>
      </c>
      <c r="R1921" s="308"/>
    </row>
    <row r="1922" spans="2:18" hidden="1">
      <c r="B1922" s="269">
        <v>46297</v>
      </c>
      <c r="C1922" s="268" t="s">
        <v>417</v>
      </c>
      <c r="D1922" s="274">
        <f>IFERROR(VLOOKUP(C1922,'Data Lokasi'!C:D,2,0),"")</f>
        <v>10.64</v>
      </c>
      <c r="E1922" s="274" t="s">
        <v>2643</v>
      </c>
      <c r="F1922" s="274"/>
      <c r="G1922" s="274">
        <v>0.05</v>
      </c>
      <c r="H1922" s="274"/>
      <c r="I1922" s="274"/>
      <c r="J1922" s="456">
        <f t="shared" si="63"/>
        <v>0.05</v>
      </c>
      <c r="K1922" s="583"/>
      <c r="L1922" s="268" t="s">
        <v>719</v>
      </c>
      <c r="M1922" s="268" t="s">
        <v>2634</v>
      </c>
      <c r="N1922" s="278">
        <f>IFERROR(INDEX('Data Lokasi'!S:S,MATCH('Input Real Tanam&amp;Petik Nanas'!C1922,'Data Lokasi'!C:C,0)),"")</f>
        <v>44385</v>
      </c>
      <c r="O1922" s="278"/>
      <c r="P1922" s="283">
        <f>IFERROR(INDEX('Data Lokasi'!V:V,MATCH(C1922,'Data Lokasi'!C:C,0)),"")</f>
        <v>0</v>
      </c>
      <c r="Q1922" s="304">
        <f t="shared" si="64"/>
        <v>0</v>
      </c>
      <c r="R1922" s="308">
        <v>1</v>
      </c>
    </row>
    <row r="1923" spans="2:18" hidden="1">
      <c r="B1923" s="269">
        <v>46297</v>
      </c>
      <c r="C1923" s="268" t="s">
        <v>476</v>
      </c>
      <c r="D1923" s="274">
        <f>IFERROR(VLOOKUP(C1923,'Data Lokasi'!C:D,2,0),"")</f>
        <v>5.26</v>
      </c>
      <c r="E1923" s="274" t="s">
        <v>2643</v>
      </c>
      <c r="F1923" s="274"/>
      <c r="G1923" s="274"/>
      <c r="H1923" s="274"/>
      <c r="I1923" s="274">
        <f>0.01+0.17</f>
        <v>0.18000000000000002</v>
      </c>
      <c r="J1923" s="456">
        <f t="shared" si="63"/>
        <v>0.18000000000000002</v>
      </c>
      <c r="K1923" s="583"/>
      <c r="L1923" s="268" t="s">
        <v>719</v>
      </c>
      <c r="M1923" s="268" t="s">
        <v>2634</v>
      </c>
      <c r="N1923" s="278">
        <f>IFERROR(INDEX('Data Lokasi'!S:S,MATCH('Input Real Tanam&amp;Petik Nanas'!C1923,'Data Lokasi'!C:C,0)),"")</f>
        <v>44487</v>
      </c>
      <c r="O1923" s="278"/>
      <c r="P1923" s="283">
        <f>IFERROR(INDEX('Data Lokasi'!V:V,MATCH(C1923,'Data Lokasi'!C:C,0)),"")</f>
        <v>0</v>
      </c>
      <c r="Q1923" s="304">
        <f t="shared" si="64"/>
        <v>0</v>
      </c>
      <c r="R1923" s="308">
        <v>9</v>
      </c>
    </row>
    <row r="1924" spans="2:18" hidden="1">
      <c r="B1924" s="269">
        <v>46297</v>
      </c>
      <c r="C1924" s="268" t="s">
        <v>381</v>
      </c>
      <c r="D1924" s="274">
        <f>IFERROR(VLOOKUP(C1924,'Data Lokasi'!C:D,2,0),"")</f>
        <v>8.18</v>
      </c>
      <c r="E1924" s="274" t="s">
        <v>2643</v>
      </c>
      <c r="F1924" s="274"/>
      <c r="G1924" s="274"/>
      <c r="H1924" s="274">
        <v>0.04</v>
      </c>
      <c r="I1924" s="274">
        <f>0.13+0.28</f>
        <v>0.41000000000000003</v>
      </c>
      <c r="J1924" s="456">
        <f t="shared" si="63"/>
        <v>0.45</v>
      </c>
      <c r="K1924" s="583"/>
      <c r="L1924" s="268" t="s">
        <v>719</v>
      </c>
      <c r="M1924" s="268" t="s">
        <v>2634</v>
      </c>
      <c r="N1924" s="278">
        <f>IFERROR(INDEX('Data Lokasi'!S:S,MATCH('Input Real Tanam&amp;Petik Nanas'!C1924,'Data Lokasi'!C:C,0)),"")</f>
        <v>44335</v>
      </c>
      <c r="O1924" s="278"/>
      <c r="P1924" s="283">
        <f>IFERROR(INDEX('Data Lokasi'!V:V,MATCH(C1924,'Data Lokasi'!C:C,0)),"")</f>
        <v>0</v>
      </c>
      <c r="Q1924" s="304">
        <f t="shared" si="64"/>
        <v>0</v>
      </c>
      <c r="R1924" s="308">
        <v>10</v>
      </c>
    </row>
    <row r="1925" spans="2:18" hidden="1">
      <c r="B1925" s="269">
        <v>46298</v>
      </c>
      <c r="C1925" s="375" t="s">
        <v>2737</v>
      </c>
      <c r="D1925" s="274">
        <f>IFERROR(VLOOKUP(C1925,'Data Lokasi'!C:D,2,0),"")</f>
        <v>7.19</v>
      </c>
      <c r="E1925" s="274" t="s">
        <v>2642</v>
      </c>
      <c r="F1925" s="274"/>
      <c r="G1925" s="274"/>
      <c r="H1925" s="274">
        <v>0.32</v>
      </c>
      <c r="I1925" s="274"/>
      <c r="J1925" s="456">
        <f t="shared" si="63"/>
        <v>0.32</v>
      </c>
      <c r="K1925" s="583"/>
      <c r="L1925" s="268" t="s">
        <v>719</v>
      </c>
      <c r="M1925" s="268" t="s">
        <v>2634</v>
      </c>
      <c r="N1925" s="278">
        <f>IFERROR(INDEX('Data Lokasi'!S:S,MATCH('Input Real Tanam&amp;Petik Nanas'!C1925,'Data Lokasi'!C:C,0)),"")</f>
        <v>46290</v>
      </c>
      <c r="O1925" s="278"/>
      <c r="P1925" s="283">
        <f>IFERROR(INDEX('Data Lokasi'!V:V,MATCH(C1925,'Data Lokasi'!C:C,0)),"")</f>
        <v>6.8199999999999994</v>
      </c>
      <c r="Q1925" s="304">
        <f t="shared" si="64"/>
        <v>0.94853963838664801</v>
      </c>
      <c r="R1925" s="308"/>
    </row>
    <row r="1926" spans="2:18" hidden="1">
      <c r="B1926" s="269">
        <v>46298</v>
      </c>
      <c r="C1926" s="375" t="s">
        <v>696</v>
      </c>
      <c r="D1926" s="274">
        <f>IFERROR(VLOOKUP(C1926,'Data Lokasi'!C:D,2,0),"")</f>
        <v>12.75</v>
      </c>
      <c r="E1926" s="274" t="s">
        <v>2642</v>
      </c>
      <c r="F1926" s="274"/>
      <c r="G1926" s="274"/>
      <c r="H1926" s="274"/>
      <c r="I1926" s="274">
        <v>0.98</v>
      </c>
      <c r="J1926" s="456">
        <f t="shared" si="63"/>
        <v>0.98</v>
      </c>
      <c r="K1926" s="583"/>
      <c r="L1926" s="268" t="s">
        <v>719</v>
      </c>
      <c r="M1926" s="268" t="s">
        <v>2634</v>
      </c>
      <c r="N1926" s="278">
        <f>IFERROR(INDEX('Data Lokasi'!S:S,MATCH('Input Real Tanam&amp;Petik Nanas'!C1926,'Data Lokasi'!C:C,0)),"")</f>
        <v>46290</v>
      </c>
      <c r="O1926" s="278"/>
      <c r="P1926" s="283">
        <f>IFERROR(INDEX('Data Lokasi'!V:V,MATCH(C1926,'Data Lokasi'!C:C,0)),"")</f>
        <v>9.51</v>
      </c>
      <c r="Q1926" s="304">
        <f t="shared" si="64"/>
        <v>0.74588235294117644</v>
      </c>
      <c r="R1926" s="308"/>
    </row>
    <row r="1927" spans="2:18" hidden="1">
      <c r="B1927" s="269">
        <v>46298</v>
      </c>
      <c r="C1927" s="268" t="s">
        <v>2713</v>
      </c>
      <c r="D1927" s="274">
        <f>IFERROR(VLOOKUP(C1927,'Data Lokasi'!C:D,2,0),"")</f>
        <v>10.01</v>
      </c>
      <c r="E1927" s="274" t="s">
        <v>2642</v>
      </c>
      <c r="F1927" s="274"/>
      <c r="G1927" s="274">
        <v>0.06</v>
      </c>
      <c r="H1927" s="274">
        <v>0.59</v>
      </c>
      <c r="I1927" s="274"/>
      <c r="J1927" s="456">
        <f t="shared" si="63"/>
        <v>0.64999999999999991</v>
      </c>
      <c r="K1927" s="583"/>
      <c r="L1927" s="268" t="s">
        <v>719</v>
      </c>
      <c r="M1927" s="268" t="s">
        <v>2631</v>
      </c>
      <c r="N1927" s="278">
        <f>IFERROR(INDEX('Data Lokasi'!S:S,MATCH('Input Real Tanam&amp;Petik Nanas'!C1927,'Data Lokasi'!C:C,0)),"")</f>
        <v>46284</v>
      </c>
      <c r="O1927" s="278"/>
      <c r="P1927" s="283">
        <f>IFERROR(INDEX('Data Lokasi'!V:V,MATCH(C1927,'Data Lokasi'!C:C,0)),"")</f>
        <v>9.0100000000000016</v>
      </c>
      <c r="Q1927" s="304">
        <f t="shared" si="64"/>
        <v>0.90009990009990026</v>
      </c>
      <c r="R1927" s="308"/>
    </row>
    <row r="1928" spans="2:18" hidden="1">
      <c r="B1928" s="269">
        <v>46298</v>
      </c>
      <c r="C1928" s="268" t="s">
        <v>134</v>
      </c>
      <c r="D1928" s="274">
        <f>IFERROR(VLOOKUP(C1928,'Data Lokasi'!C:D,2,0),"")</f>
        <v>4.1900000000000004</v>
      </c>
      <c r="E1928" s="274" t="s">
        <v>2642</v>
      </c>
      <c r="F1928" s="274"/>
      <c r="G1928" s="274"/>
      <c r="H1928" s="274"/>
      <c r="I1928" s="274">
        <v>0.59</v>
      </c>
      <c r="J1928" s="456">
        <f t="shared" si="63"/>
        <v>0.59</v>
      </c>
      <c r="K1928" s="583"/>
      <c r="L1928" s="268" t="s">
        <v>2625</v>
      </c>
      <c r="M1928" s="268" t="s">
        <v>2631</v>
      </c>
      <c r="N1928" s="278">
        <f>IFERROR(INDEX('Data Lokasi'!S:S,MATCH('Input Real Tanam&amp;Petik Nanas'!C1928,'Data Lokasi'!C:C,0)),"")</f>
        <v>46295</v>
      </c>
      <c r="O1928" s="278"/>
      <c r="P1928" s="283">
        <f>IFERROR(INDEX('Data Lokasi'!V:V,MATCH(C1928,'Data Lokasi'!C:C,0)),"")</f>
        <v>4.1899999999999995</v>
      </c>
      <c r="Q1928" s="304">
        <f t="shared" si="64"/>
        <v>0.99999999999999978</v>
      </c>
      <c r="R1928" s="308"/>
    </row>
    <row r="1929" spans="2:18" hidden="1">
      <c r="B1929" s="269">
        <v>46298</v>
      </c>
      <c r="C1929" s="268" t="s">
        <v>445</v>
      </c>
      <c r="D1929" s="274">
        <f>IFERROR(VLOOKUP(C1929,'Data Lokasi'!C:D,2,0),"")</f>
        <v>10.65</v>
      </c>
      <c r="E1929" s="274" t="s">
        <v>2642</v>
      </c>
      <c r="F1929" s="274"/>
      <c r="G1929" s="274"/>
      <c r="H1929" s="274"/>
      <c r="I1929" s="274">
        <f>0.03+1.15</f>
        <v>1.18</v>
      </c>
      <c r="J1929" s="456">
        <f t="shared" si="63"/>
        <v>1.18</v>
      </c>
      <c r="K1929" s="583"/>
      <c r="L1929" s="268" t="s">
        <v>2625</v>
      </c>
      <c r="M1929" s="268" t="s">
        <v>2631</v>
      </c>
      <c r="N1929" s="278">
        <f>IFERROR(INDEX('Data Lokasi'!S:S,MATCH('Input Real Tanam&amp;Petik Nanas'!C1929,'Data Lokasi'!C:C,0)),"")</f>
        <v>46292</v>
      </c>
      <c r="O1929" s="278"/>
      <c r="P1929" s="283">
        <f>IFERROR(INDEX('Data Lokasi'!V:V,MATCH(C1929,'Data Lokasi'!C:C,0)),"")</f>
        <v>10.52</v>
      </c>
      <c r="Q1929" s="304">
        <f t="shared" si="64"/>
        <v>0.98779342723004693</v>
      </c>
      <c r="R1929" s="308"/>
    </row>
    <row r="1930" spans="2:18" hidden="1">
      <c r="B1930" s="269">
        <v>46298</v>
      </c>
      <c r="C1930" s="268" t="s">
        <v>1705</v>
      </c>
      <c r="D1930" s="274">
        <f>IFERROR(VLOOKUP(C1930,'Data Lokasi'!C:D,2,0),"")</f>
        <v>6.03</v>
      </c>
      <c r="E1930" s="274" t="s">
        <v>2643</v>
      </c>
      <c r="F1930" s="274"/>
      <c r="G1930" s="274"/>
      <c r="H1930" s="274"/>
      <c r="I1930" s="274">
        <v>0.4</v>
      </c>
      <c r="J1930" s="456">
        <f t="shared" si="63"/>
        <v>0.4</v>
      </c>
      <c r="K1930" s="583"/>
      <c r="L1930" s="268" t="s">
        <v>2625</v>
      </c>
      <c r="M1930" s="268" t="s">
        <v>2631</v>
      </c>
      <c r="N1930" s="278">
        <f>IFERROR(INDEX('Data Lokasi'!S:S,MATCH('Input Real Tanam&amp;Petik Nanas'!C1930,'Data Lokasi'!C:C,0)),"")</f>
        <v>45490</v>
      </c>
      <c r="O1930" s="278"/>
      <c r="P1930" s="283">
        <f>IFERROR(INDEX('Data Lokasi'!V:V,MATCH(C1930,'Data Lokasi'!C:C,0)),"")</f>
        <v>0</v>
      </c>
      <c r="Q1930" s="304">
        <f t="shared" si="64"/>
        <v>0</v>
      </c>
      <c r="R1930" s="308"/>
    </row>
    <row r="1931" spans="2:18" hidden="1">
      <c r="B1931" s="269">
        <v>46298</v>
      </c>
      <c r="C1931" s="268" t="s">
        <v>1706</v>
      </c>
      <c r="D1931" s="274">
        <f>IFERROR(VLOOKUP(C1931,'Data Lokasi'!C:D,2,0),"")</f>
        <v>6.34</v>
      </c>
      <c r="E1931" s="274" t="s">
        <v>2643</v>
      </c>
      <c r="F1931" s="274"/>
      <c r="G1931" s="274"/>
      <c r="H1931" s="274"/>
      <c r="I1931" s="274">
        <v>2.67</v>
      </c>
      <c r="J1931" s="456">
        <f t="shared" si="63"/>
        <v>2.67</v>
      </c>
      <c r="K1931" s="583"/>
      <c r="L1931" s="268" t="s">
        <v>2625</v>
      </c>
      <c r="M1931" s="268" t="s">
        <v>2631</v>
      </c>
      <c r="N1931" s="278">
        <f>IFERROR(INDEX('Data Lokasi'!S:S,MATCH('Input Real Tanam&amp;Petik Nanas'!C1931,'Data Lokasi'!C:C,0)),"")</f>
        <v>45487</v>
      </c>
      <c r="O1931" s="278"/>
      <c r="P1931" s="283">
        <f>IFERROR(INDEX('Data Lokasi'!V:V,MATCH(C1931,'Data Lokasi'!C:C,0)),"")</f>
        <v>0</v>
      </c>
      <c r="Q1931" s="304">
        <f t="shared" si="64"/>
        <v>0</v>
      </c>
      <c r="R1931" s="308"/>
    </row>
    <row r="1932" spans="2:18" hidden="1">
      <c r="B1932" s="269">
        <v>46298</v>
      </c>
      <c r="C1932" s="268" t="s">
        <v>879</v>
      </c>
      <c r="D1932" s="274">
        <f>IFERROR(VLOOKUP(C1932,'Data Lokasi'!C:D,2,0),"")</f>
        <v>5.5</v>
      </c>
      <c r="E1932" s="274" t="s">
        <v>2643</v>
      </c>
      <c r="F1932" s="274"/>
      <c r="G1932" s="274"/>
      <c r="H1932" s="274"/>
      <c r="I1932" s="274">
        <v>1.67</v>
      </c>
      <c r="J1932" s="456">
        <f t="shared" si="63"/>
        <v>1.67</v>
      </c>
      <c r="K1932" s="583"/>
      <c r="L1932" s="268" t="s">
        <v>2625</v>
      </c>
      <c r="M1932" s="268" t="s">
        <v>2631</v>
      </c>
      <c r="N1932" s="278">
        <f>IFERROR(INDEX('Data Lokasi'!S:S,MATCH('Input Real Tanam&amp;Petik Nanas'!C1932,'Data Lokasi'!C:C,0)),"")</f>
        <v>45453</v>
      </c>
      <c r="O1932" s="278"/>
      <c r="P1932" s="283">
        <f>IFERROR(INDEX('Data Lokasi'!V:V,MATCH(C1932,'Data Lokasi'!C:C,0)),"")</f>
        <v>0</v>
      </c>
      <c r="Q1932" s="304">
        <f t="shared" si="64"/>
        <v>0</v>
      </c>
      <c r="R1932" s="308"/>
    </row>
    <row r="1933" spans="2:18" hidden="1">
      <c r="B1933" s="269">
        <v>46298</v>
      </c>
      <c r="C1933" s="268" t="s">
        <v>142</v>
      </c>
      <c r="D1933" s="274">
        <f>IFERROR(VLOOKUP(C1933,'Data Lokasi'!C:D,2,0),"")</f>
        <v>9.34</v>
      </c>
      <c r="E1933" s="274" t="s">
        <v>2643</v>
      </c>
      <c r="F1933" s="274"/>
      <c r="G1933" s="274"/>
      <c r="H1933" s="274"/>
      <c r="I1933" s="274">
        <v>0.35</v>
      </c>
      <c r="J1933" s="456">
        <f t="shared" si="63"/>
        <v>0.35</v>
      </c>
      <c r="K1933" s="583"/>
      <c r="L1933" s="268" t="s">
        <v>2625</v>
      </c>
      <c r="M1933" s="268" t="s">
        <v>2631</v>
      </c>
      <c r="N1933" s="278">
        <f>IFERROR(INDEX('Data Lokasi'!S:S,MATCH('Input Real Tanam&amp;Petik Nanas'!C1933,'Data Lokasi'!C:C,0)),"")</f>
        <v>44151</v>
      </c>
      <c r="O1933" s="278"/>
      <c r="P1933" s="283">
        <f>IFERROR(INDEX('Data Lokasi'!V:V,MATCH(C1933,'Data Lokasi'!C:C,0)),"")</f>
        <v>0</v>
      </c>
      <c r="Q1933" s="304">
        <f t="shared" si="64"/>
        <v>0</v>
      </c>
      <c r="R1933" s="308"/>
    </row>
    <row r="1934" spans="2:18" hidden="1">
      <c r="B1934" s="269">
        <v>46298</v>
      </c>
      <c r="C1934" s="268" t="s">
        <v>417</v>
      </c>
      <c r="D1934" s="274">
        <f>IFERROR(VLOOKUP(C1934,'Data Lokasi'!C:D,2,0),"")</f>
        <v>10.64</v>
      </c>
      <c r="E1934" s="274" t="s">
        <v>2643</v>
      </c>
      <c r="F1934" s="274"/>
      <c r="G1934" s="274">
        <v>0.06</v>
      </c>
      <c r="H1934" s="274">
        <v>0.04</v>
      </c>
      <c r="I1934" s="274"/>
      <c r="J1934" s="456">
        <f t="shared" si="63"/>
        <v>0.1</v>
      </c>
      <c r="K1934" s="583"/>
      <c r="L1934" s="268" t="s">
        <v>719</v>
      </c>
      <c r="M1934" s="268" t="s">
        <v>2634</v>
      </c>
      <c r="N1934" s="278">
        <f>IFERROR(INDEX('Data Lokasi'!S:S,MATCH('Input Real Tanam&amp;Petik Nanas'!C1934,'Data Lokasi'!C:C,0)),"")</f>
        <v>44385</v>
      </c>
      <c r="O1934" s="278"/>
      <c r="P1934" s="283">
        <f>IFERROR(INDEX('Data Lokasi'!V:V,MATCH(C1934,'Data Lokasi'!C:C,0)),"")</f>
        <v>0</v>
      </c>
      <c r="Q1934" s="304">
        <f t="shared" si="64"/>
        <v>0</v>
      </c>
      <c r="R1934" s="308">
        <v>1</v>
      </c>
    </row>
    <row r="1935" spans="2:18" hidden="1">
      <c r="B1935" s="269">
        <v>46298</v>
      </c>
      <c r="C1935" s="268" t="s">
        <v>554</v>
      </c>
      <c r="D1935" s="274">
        <f>IFERROR(VLOOKUP(C1935,'Data Lokasi'!C:D,2,0),"")</f>
        <v>5.62</v>
      </c>
      <c r="E1935" s="274" t="s">
        <v>2643</v>
      </c>
      <c r="F1935" s="274"/>
      <c r="G1935" s="274">
        <v>0.01</v>
      </c>
      <c r="H1935" s="274">
        <f>0.06+0.22</f>
        <v>0.28000000000000003</v>
      </c>
      <c r="I1935" s="274">
        <v>0.23</v>
      </c>
      <c r="J1935" s="456">
        <f t="shared" si="63"/>
        <v>0.52</v>
      </c>
      <c r="K1935" s="583"/>
      <c r="L1935" s="268" t="s">
        <v>719</v>
      </c>
      <c r="M1935" s="268" t="s">
        <v>2634</v>
      </c>
      <c r="N1935" s="278">
        <f>IFERROR(INDEX('Data Lokasi'!S:S,MATCH('Input Real Tanam&amp;Petik Nanas'!C1935,'Data Lokasi'!C:C,0)),"")</f>
        <v>44655</v>
      </c>
      <c r="O1935" s="278"/>
      <c r="P1935" s="283">
        <f>IFERROR(INDEX('Data Lokasi'!V:V,MATCH(C1935,'Data Lokasi'!C:C,0)),"")</f>
        <v>0</v>
      </c>
      <c r="Q1935" s="304">
        <f t="shared" si="64"/>
        <v>0</v>
      </c>
      <c r="R1935" s="308">
        <v>5</v>
      </c>
    </row>
    <row r="1936" spans="2:18" hidden="1">
      <c r="B1936" s="269">
        <v>46298</v>
      </c>
      <c r="C1936" s="268" t="s">
        <v>381</v>
      </c>
      <c r="D1936" s="274">
        <f>IFERROR(VLOOKUP(C1936,'Data Lokasi'!C:D,2,0),"")</f>
        <v>8.18</v>
      </c>
      <c r="E1936" s="274" t="s">
        <v>2643</v>
      </c>
      <c r="F1936" s="274"/>
      <c r="G1936" s="274"/>
      <c r="H1936" s="274">
        <v>0.01</v>
      </c>
      <c r="I1936" s="274">
        <f>0.04+0.14</f>
        <v>0.18000000000000002</v>
      </c>
      <c r="J1936" s="456">
        <f t="shared" si="63"/>
        <v>0.19000000000000003</v>
      </c>
      <c r="K1936" s="583"/>
      <c r="L1936" s="268" t="s">
        <v>719</v>
      </c>
      <c r="M1936" s="268" t="s">
        <v>2634</v>
      </c>
      <c r="N1936" s="278">
        <f>IFERROR(INDEX('Data Lokasi'!S:S,MATCH('Input Real Tanam&amp;Petik Nanas'!C1936,'Data Lokasi'!C:C,0)),"")</f>
        <v>44335</v>
      </c>
      <c r="O1936" s="278"/>
      <c r="P1936" s="283">
        <f>IFERROR(INDEX('Data Lokasi'!V:V,MATCH(C1936,'Data Lokasi'!C:C,0)),"")</f>
        <v>0</v>
      </c>
      <c r="Q1936" s="304">
        <f t="shared" si="64"/>
        <v>0</v>
      </c>
      <c r="R1936" s="308">
        <v>10</v>
      </c>
    </row>
    <row r="1937" spans="2:18" hidden="1">
      <c r="B1937" s="269">
        <v>46299</v>
      </c>
      <c r="C1937" s="268" t="s">
        <v>2713</v>
      </c>
      <c r="D1937" s="274">
        <f>IFERROR(VLOOKUP(C1937,'Data Lokasi'!C:D,2,0),"")</f>
        <v>10.01</v>
      </c>
      <c r="E1937" s="274" t="s">
        <v>2642</v>
      </c>
      <c r="F1937" s="274"/>
      <c r="G1937" s="274"/>
      <c r="H1937" s="274">
        <v>0.57999999999999996</v>
      </c>
      <c r="I1937" s="274"/>
      <c r="J1937" s="456">
        <f t="shared" si="63"/>
        <v>0.57999999999999996</v>
      </c>
      <c r="K1937" s="583"/>
      <c r="L1937" s="268" t="s">
        <v>719</v>
      </c>
      <c r="M1937" s="268" t="s">
        <v>2631</v>
      </c>
      <c r="N1937" s="278">
        <f>IFERROR(INDEX('Data Lokasi'!S:S,MATCH('Input Real Tanam&amp;Petik Nanas'!C1937,'Data Lokasi'!C:C,0)),"")</f>
        <v>46284</v>
      </c>
      <c r="O1937" s="278"/>
      <c r="P1937" s="283">
        <f>IFERROR(INDEX('Data Lokasi'!V:V,MATCH(C1937,'Data Lokasi'!C:C,0)),"")</f>
        <v>9.0100000000000016</v>
      </c>
      <c r="Q1937" s="304">
        <f t="shared" si="64"/>
        <v>0.90009990009990026</v>
      </c>
      <c r="R1937" s="308"/>
    </row>
    <row r="1938" spans="2:18" hidden="1">
      <c r="B1938" s="269">
        <v>46299</v>
      </c>
      <c r="C1938" s="268" t="s">
        <v>445</v>
      </c>
      <c r="D1938" s="274">
        <f>IFERROR(VLOOKUP(C1938,'Data Lokasi'!C:D,2,0),"")</f>
        <v>10.65</v>
      </c>
      <c r="E1938" s="274" t="s">
        <v>2642</v>
      </c>
      <c r="F1938" s="274"/>
      <c r="G1938" s="274"/>
      <c r="H1938" s="274"/>
      <c r="I1938" s="274">
        <f>0.3+0.71</f>
        <v>1.01</v>
      </c>
      <c r="J1938" s="456">
        <f t="shared" ref="J1938:J1998" si="65">IF(SUM(F1938:I1938)=0,"",(SUM(F1938:I1938)))</f>
        <v>1.01</v>
      </c>
      <c r="K1938" s="583"/>
      <c r="L1938" s="268" t="s">
        <v>2625</v>
      </c>
      <c r="M1938" s="268" t="s">
        <v>2631</v>
      </c>
      <c r="N1938" s="278">
        <f>IFERROR(INDEX('Data Lokasi'!S:S,MATCH('Input Real Tanam&amp;Petik Nanas'!C1938,'Data Lokasi'!C:C,0)),"")</f>
        <v>46292</v>
      </c>
      <c r="O1938" s="278"/>
      <c r="P1938" s="283">
        <f>IFERROR(INDEX('Data Lokasi'!V:V,MATCH(C1938,'Data Lokasi'!C:C,0)),"")</f>
        <v>10.52</v>
      </c>
      <c r="Q1938" s="304">
        <f t="shared" ref="Q1938:Q1969" si="66">IF(ISERROR(P1938/D1938),"",(P1938/D1938))</f>
        <v>0.98779342723004693</v>
      </c>
      <c r="R1938" s="308"/>
    </row>
    <row r="1939" spans="2:18" hidden="1">
      <c r="B1939" s="269">
        <v>46299</v>
      </c>
      <c r="C1939" s="268" t="s">
        <v>125</v>
      </c>
      <c r="D1939" s="274">
        <f>IFERROR(VLOOKUP(C1939,'Data Lokasi'!C:D,2,0),"")</f>
        <v>6.45</v>
      </c>
      <c r="E1939" s="274" t="s">
        <v>2642</v>
      </c>
      <c r="F1939" s="274"/>
      <c r="G1939" s="274"/>
      <c r="H1939" s="274"/>
      <c r="I1939" s="274">
        <f>1+0.54</f>
        <v>1.54</v>
      </c>
      <c r="J1939" s="456">
        <f t="shared" si="65"/>
        <v>1.54</v>
      </c>
      <c r="K1939" s="583"/>
      <c r="L1939" s="268" t="s">
        <v>2625</v>
      </c>
      <c r="M1939" s="268" t="s">
        <v>2631</v>
      </c>
      <c r="N1939" s="278">
        <f>IFERROR(INDEX('Data Lokasi'!S:S,MATCH('Input Real Tanam&amp;Petik Nanas'!C1939,'Data Lokasi'!C:C,0)),"")</f>
        <v>46299</v>
      </c>
      <c r="O1939" s="278"/>
      <c r="P1939" s="283">
        <f>IFERROR(INDEX('Data Lokasi'!V:V,MATCH(C1939,'Data Lokasi'!C:C,0)),"")</f>
        <v>6.4500000000000011</v>
      </c>
      <c r="Q1939" s="304">
        <f t="shared" si="66"/>
        <v>1.0000000000000002</v>
      </c>
      <c r="R1939" s="308"/>
    </row>
    <row r="1940" spans="2:18" hidden="1">
      <c r="B1940" s="269">
        <v>46299</v>
      </c>
      <c r="C1940" s="268" t="s">
        <v>2737</v>
      </c>
      <c r="D1940" s="274">
        <f>IFERROR(VLOOKUP(C1940,'Data Lokasi'!C:D,2,0),"")</f>
        <v>7.19</v>
      </c>
      <c r="E1940" s="274" t="s">
        <v>2642</v>
      </c>
      <c r="F1940" s="274"/>
      <c r="G1940" s="274"/>
      <c r="H1940" s="274">
        <v>0.3</v>
      </c>
      <c r="I1940" s="274"/>
      <c r="J1940" s="456">
        <f t="shared" si="65"/>
        <v>0.3</v>
      </c>
      <c r="K1940" s="583"/>
      <c r="L1940" s="268" t="s">
        <v>719</v>
      </c>
      <c r="M1940" s="268" t="s">
        <v>2634</v>
      </c>
      <c r="N1940" s="278">
        <f>IFERROR(INDEX('Data Lokasi'!S:S,MATCH('Input Real Tanam&amp;Petik Nanas'!C1940,'Data Lokasi'!C:C,0)),"")</f>
        <v>46290</v>
      </c>
      <c r="O1940" s="278"/>
      <c r="P1940" s="283">
        <f>IFERROR(INDEX('Data Lokasi'!V:V,MATCH(C1940,'Data Lokasi'!C:C,0)),"")</f>
        <v>6.8199999999999994</v>
      </c>
      <c r="Q1940" s="304">
        <f t="shared" si="66"/>
        <v>0.94853963838664801</v>
      </c>
      <c r="R1940" s="308"/>
    </row>
    <row r="1941" spans="2:18" hidden="1">
      <c r="B1941" s="269">
        <v>46299</v>
      </c>
      <c r="C1941" s="317" t="s">
        <v>696</v>
      </c>
      <c r="D1941" s="274">
        <f>IFERROR(VLOOKUP(C1941,'Data Lokasi'!C:D,2,0),"")</f>
        <v>12.75</v>
      </c>
      <c r="E1941" s="274" t="s">
        <v>2642</v>
      </c>
      <c r="F1941" s="274"/>
      <c r="G1941" s="274"/>
      <c r="H1941" s="274"/>
      <c r="I1941" s="274">
        <v>0.34</v>
      </c>
      <c r="J1941" s="456">
        <f t="shared" si="65"/>
        <v>0.34</v>
      </c>
      <c r="K1941" s="583"/>
      <c r="L1941" s="268" t="s">
        <v>719</v>
      </c>
      <c r="M1941" s="268" t="s">
        <v>2634</v>
      </c>
      <c r="N1941" s="278">
        <f>IFERROR(INDEX('Data Lokasi'!S:S,MATCH('Input Real Tanam&amp;Petik Nanas'!C1941,'Data Lokasi'!C:C,0)),"")</f>
        <v>46290</v>
      </c>
      <c r="O1941" s="278"/>
      <c r="P1941" s="283">
        <f>IFERROR(INDEX('Data Lokasi'!V:V,MATCH(C1941,'Data Lokasi'!C:C,0)),"")</f>
        <v>9.51</v>
      </c>
      <c r="Q1941" s="304">
        <f t="shared" si="66"/>
        <v>0.74588235294117644</v>
      </c>
      <c r="R1941" s="308"/>
    </row>
    <row r="1942" spans="2:18" hidden="1">
      <c r="B1942" s="269">
        <v>46299</v>
      </c>
      <c r="C1942" s="268" t="s">
        <v>879</v>
      </c>
      <c r="D1942" s="274">
        <f>IFERROR(VLOOKUP(C1942,'Data Lokasi'!C:D,2,0),"")</f>
        <v>5.5</v>
      </c>
      <c r="E1942" s="274" t="s">
        <v>2643</v>
      </c>
      <c r="F1942" s="274"/>
      <c r="G1942" s="274"/>
      <c r="H1942" s="274"/>
      <c r="I1942" s="274">
        <v>0.46</v>
      </c>
      <c r="J1942" s="456">
        <f t="shared" si="65"/>
        <v>0.46</v>
      </c>
      <c r="K1942" s="583"/>
      <c r="L1942" s="268" t="s">
        <v>2625</v>
      </c>
      <c r="M1942" s="268" t="s">
        <v>2631</v>
      </c>
      <c r="N1942" s="278">
        <f>IFERROR(INDEX('Data Lokasi'!S:S,MATCH('Input Real Tanam&amp;Petik Nanas'!C1942,'Data Lokasi'!C:C,0)),"")</f>
        <v>45453</v>
      </c>
      <c r="O1942" s="278"/>
      <c r="P1942" s="283">
        <f>IFERROR(INDEX('Data Lokasi'!V:V,MATCH(C1942,'Data Lokasi'!C:C,0)),"")</f>
        <v>0</v>
      </c>
      <c r="Q1942" s="304">
        <f t="shared" si="66"/>
        <v>0</v>
      </c>
      <c r="R1942" s="308"/>
    </row>
    <row r="1943" spans="2:18" hidden="1">
      <c r="B1943" s="269">
        <v>46299</v>
      </c>
      <c r="C1943" s="268" t="s">
        <v>883</v>
      </c>
      <c r="D1943" s="274">
        <f>IFERROR(VLOOKUP(C1943,'Data Lokasi'!C:D,2,0),"")</f>
        <v>7.22</v>
      </c>
      <c r="E1943" s="274" t="s">
        <v>2643</v>
      </c>
      <c r="F1943" s="274"/>
      <c r="G1943" s="274"/>
      <c r="H1943" s="274"/>
      <c r="I1943" s="274">
        <v>4.1500000000000004</v>
      </c>
      <c r="J1943" s="456">
        <f t="shared" si="65"/>
        <v>4.1500000000000004</v>
      </c>
      <c r="K1943" s="583"/>
      <c r="L1943" s="268" t="s">
        <v>2625</v>
      </c>
      <c r="M1943" s="268" t="s">
        <v>2631</v>
      </c>
      <c r="N1943" s="278">
        <f>IFERROR(INDEX('Data Lokasi'!S:S,MATCH('Input Real Tanam&amp;Petik Nanas'!C1943,'Data Lokasi'!C:C,0)),"")</f>
        <v>45497</v>
      </c>
      <c r="O1943" s="278"/>
      <c r="P1943" s="283">
        <f>IFERROR(INDEX('Data Lokasi'!V:V,MATCH(C1943,'Data Lokasi'!C:C,0)),"")</f>
        <v>0</v>
      </c>
      <c r="Q1943" s="304">
        <f t="shared" si="66"/>
        <v>0</v>
      </c>
      <c r="R1943" s="308"/>
    </row>
    <row r="1944" spans="2:18" hidden="1">
      <c r="B1944" s="269">
        <v>46299</v>
      </c>
      <c r="C1944" s="268" t="s">
        <v>417</v>
      </c>
      <c r="D1944" s="274">
        <f>IFERROR(VLOOKUP(C1944,'Data Lokasi'!C:D,2,0),"")</f>
        <v>10.64</v>
      </c>
      <c r="E1944" s="274" t="s">
        <v>2643</v>
      </c>
      <c r="F1944" s="274"/>
      <c r="G1944" s="274">
        <v>0.08</v>
      </c>
      <c r="H1944" s="274">
        <v>0.06</v>
      </c>
      <c r="I1944" s="274"/>
      <c r="J1944" s="456">
        <f t="shared" si="65"/>
        <v>0.14000000000000001</v>
      </c>
      <c r="K1944" s="583"/>
      <c r="L1944" s="268" t="s">
        <v>719</v>
      </c>
      <c r="M1944" s="268" t="s">
        <v>2634</v>
      </c>
      <c r="N1944" s="278">
        <f>IFERROR(INDEX('Data Lokasi'!S:S,MATCH('Input Real Tanam&amp;Petik Nanas'!C1944,'Data Lokasi'!C:C,0)),"")</f>
        <v>44385</v>
      </c>
      <c r="O1944" s="278"/>
      <c r="P1944" s="283">
        <f>IFERROR(INDEX('Data Lokasi'!V:V,MATCH(C1944,'Data Lokasi'!C:C,0)),"")</f>
        <v>0</v>
      </c>
      <c r="Q1944" s="304">
        <f t="shared" si="66"/>
        <v>0</v>
      </c>
      <c r="R1944" s="308">
        <v>2</v>
      </c>
    </row>
    <row r="1945" spans="2:18" hidden="1">
      <c r="B1945" s="269">
        <v>46299</v>
      </c>
      <c r="C1945" s="268" t="s">
        <v>554</v>
      </c>
      <c r="D1945" s="274">
        <f>IFERROR(VLOOKUP(C1945,'Data Lokasi'!C:D,2,0),"")</f>
        <v>5.62</v>
      </c>
      <c r="E1945" s="274" t="s">
        <v>2643</v>
      </c>
      <c r="F1945" s="274"/>
      <c r="G1945" s="274">
        <v>0.03</v>
      </c>
      <c r="H1945" s="274">
        <f>0.08+0.11</f>
        <v>0.19</v>
      </c>
      <c r="I1945" s="274">
        <v>0.11</v>
      </c>
      <c r="J1945" s="456">
        <f t="shared" si="65"/>
        <v>0.33</v>
      </c>
      <c r="K1945" s="583"/>
      <c r="L1945" s="268" t="s">
        <v>719</v>
      </c>
      <c r="M1945" s="268" t="s">
        <v>2634</v>
      </c>
      <c r="N1945" s="278">
        <f>IFERROR(INDEX('Data Lokasi'!S:S,MATCH('Input Real Tanam&amp;Petik Nanas'!C1945,'Data Lokasi'!C:C,0)),"")</f>
        <v>44655</v>
      </c>
      <c r="O1945" s="278"/>
      <c r="P1945" s="283">
        <f>IFERROR(INDEX('Data Lokasi'!V:V,MATCH(C1945,'Data Lokasi'!C:C,0)),"")</f>
        <v>0</v>
      </c>
      <c r="Q1945" s="304">
        <f t="shared" si="66"/>
        <v>0</v>
      </c>
      <c r="R1945" s="308">
        <v>5</v>
      </c>
    </row>
    <row r="1946" spans="2:18" hidden="1">
      <c r="B1946" s="269">
        <v>46299</v>
      </c>
      <c r="C1946" s="268" t="s">
        <v>432</v>
      </c>
      <c r="D1946" s="274">
        <f>IFERROR(VLOOKUP(C1946,'Data Lokasi'!C:D,2,0),"")</f>
        <v>9.9</v>
      </c>
      <c r="E1946" s="274" t="s">
        <v>2643</v>
      </c>
      <c r="F1946" s="274"/>
      <c r="G1946" s="274"/>
      <c r="H1946" s="274">
        <f>0.02+0.05</f>
        <v>7.0000000000000007E-2</v>
      </c>
      <c r="I1946" s="274">
        <v>0.11</v>
      </c>
      <c r="J1946" s="456">
        <f t="shared" si="65"/>
        <v>0.18</v>
      </c>
      <c r="K1946" s="583"/>
      <c r="L1946" s="268" t="s">
        <v>719</v>
      </c>
      <c r="M1946" s="268" t="s">
        <v>2634</v>
      </c>
      <c r="N1946" s="278">
        <f>IFERROR(INDEX('Data Lokasi'!S:S,MATCH('Input Real Tanam&amp;Petik Nanas'!C1946,'Data Lokasi'!C:C,0)),"")</f>
        <v>44394</v>
      </c>
      <c r="O1946" s="278"/>
      <c r="P1946" s="283">
        <f>IFERROR(INDEX('Data Lokasi'!V:V,MATCH(C1946,'Data Lokasi'!C:C,0)),"")</f>
        <v>0</v>
      </c>
      <c r="Q1946" s="304">
        <f t="shared" si="66"/>
        <v>0</v>
      </c>
      <c r="R1946" s="308">
        <v>3</v>
      </c>
    </row>
    <row r="1947" spans="2:18" hidden="1">
      <c r="B1947" s="269">
        <v>46300</v>
      </c>
      <c r="C1947" s="268" t="s">
        <v>2713</v>
      </c>
      <c r="D1947" s="274">
        <f>IFERROR(VLOOKUP(C1947,'Data Lokasi'!C:D,2,0),"")</f>
        <v>10.01</v>
      </c>
      <c r="E1947" s="274" t="s">
        <v>2642</v>
      </c>
      <c r="F1947" s="274"/>
      <c r="G1947" s="274"/>
      <c r="H1947" s="274">
        <v>0.67</v>
      </c>
      <c r="I1947" s="274"/>
      <c r="J1947" s="456">
        <f t="shared" si="65"/>
        <v>0.67</v>
      </c>
      <c r="K1947" s="583"/>
      <c r="L1947" s="268" t="s">
        <v>719</v>
      </c>
      <c r="M1947" s="268" t="s">
        <v>2631</v>
      </c>
      <c r="N1947" s="278">
        <f>IFERROR(INDEX('Data Lokasi'!S:S,MATCH('Input Real Tanam&amp;Petik Nanas'!C1947,'Data Lokasi'!C:C,0)),"")</f>
        <v>46284</v>
      </c>
      <c r="O1947" s="278"/>
      <c r="P1947" s="283">
        <f>IFERROR(INDEX('Data Lokasi'!V:V,MATCH(C1947,'Data Lokasi'!C:C,0)),"")</f>
        <v>9.0100000000000016</v>
      </c>
      <c r="Q1947" s="304">
        <f t="shared" si="66"/>
        <v>0.90009990009990026</v>
      </c>
      <c r="R1947" s="308"/>
    </row>
    <row r="1948" spans="2:18" hidden="1">
      <c r="B1948" s="269">
        <v>46300</v>
      </c>
      <c r="C1948" s="268" t="s">
        <v>134</v>
      </c>
      <c r="D1948" s="274">
        <f>IFERROR(VLOOKUP(C1948,'Data Lokasi'!C:D,2,0),"")</f>
        <v>4.1900000000000004</v>
      </c>
      <c r="E1948" s="274" t="s">
        <v>2642</v>
      </c>
      <c r="F1948" s="274"/>
      <c r="G1948" s="274"/>
      <c r="H1948" s="274"/>
      <c r="I1948" s="274">
        <v>7.0000000000000007E-2</v>
      </c>
      <c r="J1948" s="456">
        <f t="shared" si="65"/>
        <v>7.0000000000000007E-2</v>
      </c>
      <c r="K1948" s="583"/>
      <c r="L1948" s="268" t="s">
        <v>2625</v>
      </c>
      <c r="M1948" s="268" t="s">
        <v>2631</v>
      </c>
      <c r="N1948" s="278">
        <f>IFERROR(INDEX('Data Lokasi'!S:S,MATCH('Input Real Tanam&amp;Petik Nanas'!C1948,'Data Lokasi'!C:C,0)),"")</f>
        <v>46295</v>
      </c>
      <c r="O1948" s="278"/>
      <c r="P1948" s="283">
        <f>IFERROR(INDEX('Data Lokasi'!V:V,MATCH(C1948,'Data Lokasi'!C:C,0)),"")</f>
        <v>4.1899999999999995</v>
      </c>
      <c r="Q1948" s="304">
        <f t="shared" si="66"/>
        <v>0.99999999999999978</v>
      </c>
      <c r="R1948" s="308"/>
    </row>
    <row r="1949" spans="2:18" hidden="1">
      <c r="B1949" s="269">
        <v>46300</v>
      </c>
      <c r="C1949" s="268" t="s">
        <v>445</v>
      </c>
      <c r="D1949" s="274">
        <f>IFERROR(VLOOKUP(C1949,'Data Lokasi'!C:D,2,0),"")</f>
        <v>10.65</v>
      </c>
      <c r="E1949" s="274" t="s">
        <v>2642</v>
      </c>
      <c r="F1949" s="274"/>
      <c r="G1949" s="274"/>
      <c r="H1949" s="274"/>
      <c r="I1949" s="274">
        <f>0.33+0.56</f>
        <v>0.89000000000000012</v>
      </c>
      <c r="J1949" s="456">
        <f t="shared" si="65"/>
        <v>0.89000000000000012</v>
      </c>
      <c r="K1949" s="583"/>
      <c r="L1949" s="268" t="s">
        <v>2625</v>
      </c>
      <c r="M1949" s="268" t="s">
        <v>2631</v>
      </c>
      <c r="N1949" s="278">
        <f>IFERROR(INDEX('Data Lokasi'!S:S,MATCH('Input Real Tanam&amp;Petik Nanas'!C1949,'Data Lokasi'!C:C,0)),"")</f>
        <v>46292</v>
      </c>
      <c r="O1949" s="278"/>
      <c r="P1949" s="283">
        <f>IFERROR(INDEX('Data Lokasi'!V:V,MATCH(C1949,'Data Lokasi'!C:C,0)),"")</f>
        <v>10.52</v>
      </c>
      <c r="Q1949" s="304">
        <f t="shared" si="66"/>
        <v>0.98779342723004693</v>
      </c>
      <c r="R1949" s="308"/>
    </row>
    <row r="1950" spans="2:18" hidden="1">
      <c r="B1950" s="269">
        <v>46300</v>
      </c>
      <c r="C1950" s="268" t="s">
        <v>125</v>
      </c>
      <c r="D1950" s="274">
        <f>IFERROR(VLOOKUP(C1950,'Data Lokasi'!C:D,2,0),"")</f>
        <v>6.45</v>
      </c>
      <c r="E1950" s="274" t="s">
        <v>2642</v>
      </c>
      <c r="F1950" s="274"/>
      <c r="G1950" s="274"/>
      <c r="H1950" s="274"/>
      <c r="I1950" s="274">
        <v>0.86</v>
      </c>
      <c r="J1950" s="456">
        <f t="shared" si="65"/>
        <v>0.86</v>
      </c>
      <c r="K1950" s="583"/>
      <c r="L1950" s="268" t="s">
        <v>2625</v>
      </c>
      <c r="M1950" s="268" t="s">
        <v>2631</v>
      </c>
      <c r="N1950" s="278">
        <f>IFERROR(INDEX('Data Lokasi'!S:S,MATCH('Input Real Tanam&amp;Petik Nanas'!C1950,'Data Lokasi'!C:C,0)),"")</f>
        <v>46299</v>
      </c>
      <c r="O1950" s="278"/>
      <c r="P1950" s="283">
        <f>IFERROR(INDEX('Data Lokasi'!V:V,MATCH(C1950,'Data Lokasi'!C:C,0)),"")</f>
        <v>6.4500000000000011</v>
      </c>
      <c r="Q1950" s="304">
        <f t="shared" si="66"/>
        <v>1.0000000000000002</v>
      </c>
      <c r="R1950" s="308"/>
    </row>
    <row r="1951" spans="2:18" hidden="1">
      <c r="B1951" s="269">
        <v>46300</v>
      </c>
      <c r="C1951" s="375" t="s">
        <v>696</v>
      </c>
      <c r="D1951" s="274">
        <f>IFERROR(VLOOKUP(C1951,'Data Lokasi'!C:D,2,0),"")</f>
        <v>12.75</v>
      </c>
      <c r="E1951" s="274" t="s">
        <v>2642</v>
      </c>
      <c r="F1951" s="274"/>
      <c r="G1951" s="274"/>
      <c r="H1951" s="274"/>
      <c r="I1951" s="274">
        <v>0.93</v>
      </c>
      <c r="J1951" s="456">
        <f t="shared" si="65"/>
        <v>0.93</v>
      </c>
      <c r="K1951" s="583"/>
      <c r="L1951" s="268" t="s">
        <v>719</v>
      </c>
      <c r="M1951" s="268" t="s">
        <v>2634</v>
      </c>
      <c r="N1951" s="278">
        <f>IFERROR(INDEX('Data Lokasi'!S:S,MATCH('Input Real Tanam&amp;Petik Nanas'!C1951,'Data Lokasi'!C:C,0)),"")</f>
        <v>46290</v>
      </c>
      <c r="O1951" s="278"/>
      <c r="P1951" s="283">
        <f>IFERROR(INDEX('Data Lokasi'!V:V,MATCH(C1951,'Data Lokasi'!C:C,0)),"")</f>
        <v>9.51</v>
      </c>
      <c r="Q1951" s="304">
        <f t="shared" si="66"/>
        <v>0.74588235294117644</v>
      </c>
      <c r="R1951" s="308"/>
    </row>
    <row r="1952" spans="2:18" hidden="1">
      <c r="B1952" s="269">
        <v>46300</v>
      </c>
      <c r="C1952" s="268" t="s">
        <v>125</v>
      </c>
      <c r="D1952" s="274">
        <f>IFERROR(VLOOKUP(C1952,'Data Lokasi'!C:D,2,0),"")</f>
        <v>6.45</v>
      </c>
      <c r="E1952" s="274" t="s">
        <v>2642</v>
      </c>
      <c r="F1952" s="274"/>
      <c r="G1952" s="274"/>
      <c r="H1952" s="274"/>
      <c r="I1952" s="274">
        <v>0.2</v>
      </c>
      <c r="J1952" s="456">
        <f t="shared" si="65"/>
        <v>0.2</v>
      </c>
      <c r="K1952" s="583"/>
      <c r="L1952" s="268" t="s">
        <v>2625</v>
      </c>
      <c r="M1952" s="268" t="s">
        <v>2634</v>
      </c>
      <c r="N1952" s="278">
        <f>IFERROR(INDEX('Data Lokasi'!S:S,MATCH('Input Real Tanam&amp;Petik Nanas'!C1952,'Data Lokasi'!C:C,0)),"")</f>
        <v>46299</v>
      </c>
      <c r="O1952" s="278"/>
      <c r="P1952" s="283">
        <f>IFERROR(INDEX('Data Lokasi'!V:V,MATCH(C1952,'Data Lokasi'!C:C,0)),"")</f>
        <v>6.4500000000000011</v>
      </c>
      <c r="Q1952" s="304">
        <f t="shared" si="66"/>
        <v>1.0000000000000002</v>
      </c>
      <c r="R1952" s="308"/>
    </row>
    <row r="1953" spans="2:18" hidden="1">
      <c r="B1953" s="269">
        <v>46300</v>
      </c>
      <c r="C1953" s="268" t="s">
        <v>2737</v>
      </c>
      <c r="D1953" s="274">
        <f>IFERROR(VLOOKUP(C1953,'Data Lokasi'!C:D,2,0),"")</f>
        <v>7.19</v>
      </c>
      <c r="E1953" s="274" t="s">
        <v>2642</v>
      </c>
      <c r="F1953" s="274"/>
      <c r="G1953" s="274"/>
      <c r="H1953" s="274">
        <v>0.12</v>
      </c>
      <c r="I1953" s="274"/>
      <c r="J1953" s="456">
        <f t="shared" si="65"/>
        <v>0.12</v>
      </c>
      <c r="K1953" s="583"/>
      <c r="L1953" s="268" t="s">
        <v>719</v>
      </c>
      <c r="M1953" s="268" t="s">
        <v>2634</v>
      </c>
      <c r="N1953" s="278">
        <f>IFERROR(INDEX('Data Lokasi'!S:S,MATCH('Input Real Tanam&amp;Petik Nanas'!C1953,'Data Lokasi'!C:C,0)),"")</f>
        <v>46290</v>
      </c>
      <c r="O1953" s="278"/>
      <c r="P1953" s="283">
        <f>IFERROR(INDEX('Data Lokasi'!V:V,MATCH(C1953,'Data Lokasi'!C:C,0)),"")</f>
        <v>6.8199999999999994</v>
      </c>
      <c r="Q1953" s="304">
        <f t="shared" si="66"/>
        <v>0.94853963838664801</v>
      </c>
      <c r="R1953" s="308"/>
    </row>
    <row r="1954" spans="2:18" hidden="1">
      <c r="B1954" s="269">
        <v>46300</v>
      </c>
      <c r="C1954" s="268" t="s">
        <v>2737</v>
      </c>
      <c r="D1954" s="274">
        <f>IFERROR(VLOOKUP(C1954,'Data Lokasi'!C:D,2,0),"")</f>
        <v>7.19</v>
      </c>
      <c r="E1954" s="274" t="s">
        <v>2642</v>
      </c>
      <c r="F1954" s="274"/>
      <c r="G1954" s="274">
        <v>0.06</v>
      </c>
      <c r="H1954" s="274"/>
      <c r="I1954" s="274"/>
      <c r="J1954" s="456">
        <f t="shared" si="65"/>
        <v>0.06</v>
      </c>
      <c r="K1954" s="583"/>
      <c r="L1954" s="268" t="s">
        <v>719</v>
      </c>
      <c r="M1954" s="268" t="s">
        <v>2634</v>
      </c>
      <c r="N1954" s="278">
        <f>IFERROR(INDEX('Data Lokasi'!S:S,MATCH('Input Real Tanam&amp;Petik Nanas'!C1954,'Data Lokasi'!C:C,0)),"")</f>
        <v>46290</v>
      </c>
      <c r="O1954" s="278"/>
      <c r="P1954" s="283">
        <f>IFERROR(INDEX('Data Lokasi'!V:V,MATCH(C1954,'Data Lokasi'!C:C,0)),"")</f>
        <v>6.8199999999999994</v>
      </c>
      <c r="Q1954" s="304">
        <f t="shared" si="66"/>
        <v>0.94853963838664801</v>
      </c>
      <c r="R1954" s="308"/>
    </row>
    <row r="1955" spans="2:18" hidden="1">
      <c r="B1955" s="269">
        <v>46300</v>
      </c>
      <c r="C1955" s="268" t="s">
        <v>883</v>
      </c>
      <c r="D1955" s="274">
        <f>IFERROR(VLOOKUP(C1955,'Data Lokasi'!C:D,2,0),"")</f>
        <v>7.22</v>
      </c>
      <c r="E1955" s="274" t="s">
        <v>2643</v>
      </c>
      <c r="F1955" s="274"/>
      <c r="G1955" s="274"/>
      <c r="H1955" s="274"/>
      <c r="I1955" s="274">
        <v>0.88</v>
      </c>
      <c r="J1955" s="456">
        <f t="shared" si="65"/>
        <v>0.88</v>
      </c>
      <c r="K1955" s="583"/>
      <c r="L1955" s="268" t="s">
        <v>2625</v>
      </c>
      <c r="M1955" s="268" t="s">
        <v>2631</v>
      </c>
      <c r="N1955" s="278">
        <f>IFERROR(INDEX('Data Lokasi'!S:S,MATCH('Input Real Tanam&amp;Petik Nanas'!C1955,'Data Lokasi'!C:C,0)),"")</f>
        <v>45497</v>
      </c>
      <c r="O1955" s="278"/>
      <c r="P1955" s="283">
        <f>IFERROR(INDEX('Data Lokasi'!V:V,MATCH(C1955,'Data Lokasi'!C:C,0)),"")</f>
        <v>0</v>
      </c>
      <c r="Q1955" s="304">
        <f t="shared" si="66"/>
        <v>0</v>
      </c>
      <c r="R1955" s="308"/>
    </row>
    <row r="1956" spans="2:18" hidden="1">
      <c r="B1956" s="269">
        <v>46300</v>
      </c>
      <c r="C1956" s="268" t="s">
        <v>432</v>
      </c>
      <c r="D1956" s="274">
        <f>IFERROR(VLOOKUP(C1956,'Data Lokasi'!C:D,2,0),"")</f>
        <v>9.9</v>
      </c>
      <c r="E1956" s="274" t="s">
        <v>2643</v>
      </c>
      <c r="F1956" s="274"/>
      <c r="G1956" s="274">
        <v>0.05</v>
      </c>
      <c r="H1956" s="274">
        <f>0.16+0.36</f>
        <v>0.52</v>
      </c>
      <c r="I1956" s="274"/>
      <c r="J1956" s="456">
        <f t="shared" si="65"/>
        <v>0.57000000000000006</v>
      </c>
      <c r="K1956" s="583"/>
      <c r="L1956" s="268" t="s">
        <v>719</v>
      </c>
      <c r="M1956" s="268" t="s">
        <v>2634</v>
      </c>
      <c r="N1956" s="278">
        <f>IFERROR(INDEX('Data Lokasi'!S:S,MATCH('Input Real Tanam&amp;Petik Nanas'!C1956,'Data Lokasi'!C:C,0)),"")</f>
        <v>44394</v>
      </c>
      <c r="O1956" s="278"/>
      <c r="P1956" s="283">
        <f>IFERROR(INDEX('Data Lokasi'!V:V,MATCH(C1956,'Data Lokasi'!C:C,0)),"")</f>
        <v>0</v>
      </c>
      <c r="Q1956" s="304">
        <f t="shared" si="66"/>
        <v>0</v>
      </c>
      <c r="R1956" s="308">
        <v>3</v>
      </c>
    </row>
    <row r="1957" spans="2:18" hidden="1">
      <c r="B1957" s="269">
        <v>46300</v>
      </c>
      <c r="C1957" s="268" t="s">
        <v>417</v>
      </c>
      <c r="D1957" s="274">
        <f>IFERROR(VLOOKUP(C1957,'Data Lokasi'!C:D,2,0),"")</f>
        <v>10.64</v>
      </c>
      <c r="E1957" s="274" t="s">
        <v>2643</v>
      </c>
      <c r="F1957" s="274"/>
      <c r="G1957" s="274">
        <v>0.08</v>
      </c>
      <c r="H1957" s="274">
        <v>0.06</v>
      </c>
      <c r="I1957" s="274"/>
      <c r="J1957" s="456">
        <f t="shared" si="65"/>
        <v>0.14000000000000001</v>
      </c>
      <c r="K1957" s="583"/>
      <c r="L1957" s="268" t="s">
        <v>719</v>
      </c>
      <c r="M1957" s="268" t="s">
        <v>2634</v>
      </c>
      <c r="N1957" s="278">
        <f>IFERROR(INDEX('Data Lokasi'!S:S,MATCH('Input Real Tanam&amp;Petik Nanas'!C1957,'Data Lokasi'!C:C,0)),"")</f>
        <v>44385</v>
      </c>
      <c r="O1957" s="278"/>
      <c r="P1957" s="283">
        <f>IFERROR(INDEX('Data Lokasi'!V:V,MATCH(C1957,'Data Lokasi'!C:C,0)),"")</f>
        <v>0</v>
      </c>
      <c r="Q1957" s="304">
        <f t="shared" si="66"/>
        <v>0</v>
      </c>
      <c r="R1957" s="308">
        <v>1</v>
      </c>
    </row>
    <row r="1958" spans="2:18" hidden="1">
      <c r="B1958" s="269">
        <v>46301</v>
      </c>
      <c r="C1958" s="268" t="s">
        <v>2713</v>
      </c>
      <c r="D1958" s="274">
        <f>IFERROR(VLOOKUP(C1958,'Data Lokasi'!C:D,2,0),"")</f>
        <v>10.01</v>
      </c>
      <c r="E1958" s="274" t="s">
        <v>2642</v>
      </c>
      <c r="F1958" s="274"/>
      <c r="G1958" s="274"/>
      <c r="H1958" s="274">
        <v>0.18</v>
      </c>
      <c r="I1958" s="274"/>
      <c r="J1958" s="456">
        <f t="shared" si="65"/>
        <v>0.18</v>
      </c>
      <c r="K1958" s="583"/>
      <c r="L1958" s="268" t="s">
        <v>719</v>
      </c>
      <c r="M1958" s="268" t="s">
        <v>2631</v>
      </c>
      <c r="N1958" s="278">
        <f>IFERROR(INDEX('Data Lokasi'!S:S,MATCH('Input Real Tanam&amp;Petik Nanas'!C1958,'Data Lokasi'!C:C,0)),"")</f>
        <v>46284</v>
      </c>
      <c r="O1958" s="278"/>
      <c r="P1958" s="283">
        <f>IFERROR(INDEX('Data Lokasi'!V:V,MATCH(C1958,'Data Lokasi'!C:C,0)),"")</f>
        <v>9.0100000000000016</v>
      </c>
      <c r="Q1958" s="304">
        <f t="shared" si="66"/>
        <v>0.90009990009990026</v>
      </c>
      <c r="R1958" s="308"/>
    </row>
    <row r="1959" spans="2:18" hidden="1">
      <c r="B1959" s="269">
        <v>46301</v>
      </c>
      <c r="C1959" s="268" t="s">
        <v>445</v>
      </c>
      <c r="D1959" s="274">
        <f>IFERROR(VLOOKUP(C1959,'Data Lokasi'!C:D,2,0),"")</f>
        <v>10.65</v>
      </c>
      <c r="E1959" s="274" t="s">
        <v>2642</v>
      </c>
      <c r="F1959" s="274"/>
      <c r="G1959" s="274"/>
      <c r="H1959" s="274"/>
      <c r="I1959" s="274">
        <v>0.19</v>
      </c>
      <c r="J1959" s="456">
        <f t="shared" si="65"/>
        <v>0.19</v>
      </c>
      <c r="K1959" s="583"/>
      <c r="L1959" s="268" t="s">
        <v>2625</v>
      </c>
      <c r="M1959" s="268" t="s">
        <v>2631</v>
      </c>
      <c r="N1959" s="278">
        <f>IFERROR(INDEX('Data Lokasi'!S:S,MATCH('Input Real Tanam&amp;Petik Nanas'!C1959,'Data Lokasi'!C:C,0)),"")</f>
        <v>46292</v>
      </c>
      <c r="O1959" s="278"/>
      <c r="P1959" s="283">
        <f>IFERROR(INDEX('Data Lokasi'!V:V,MATCH(C1959,'Data Lokasi'!C:C,0)),"")</f>
        <v>10.52</v>
      </c>
      <c r="Q1959" s="304">
        <f t="shared" si="66"/>
        <v>0.98779342723004693</v>
      </c>
      <c r="R1959" s="308"/>
    </row>
    <row r="1960" spans="2:18" hidden="1">
      <c r="B1960" s="269">
        <v>46301</v>
      </c>
      <c r="C1960" s="268" t="s">
        <v>125</v>
      </c>
      <c r="D1960" s="274">
        <f>IFERROR(VLOOKUP(C1960,'Data Lokasi'!C:D,2,0),"")</f>
        <v>6.45</v>
      </c>
      <c r="E1960" s="274" t="s">
        <v>2642</v>
      </c>
      <c r="F1960" s="274"/>
      <c r="G1960" s="274"/>
      <c r="H1960" s="274"/>
      <c r="I1960" s="274">
        <v>0.76</v>
      </c>
      <c r="J1960" s="456">
        <f t="shared" si="65"/>
        <v>0.76</v>
      </c>
      <c r="K1960" s="583"/>
      <c r="L1960" s="268" t="s">
        <v>2625</v>
      </c>
      <c r="M1960" s="268" t="s">
        <v>2631</v>
      </c>
      <c r="N1960" s="278">
        <f>IFERROR(INDEX('Data Lokasi'!S:S,MATCH('Input Real Tanam&amp;Petik Nanas'!C1960,'Data Lokasi'!C:C,0)),"")</f>
        <v>46299</v>
      </c>
      <c r="O1960" s="278"/>
      <c r="P1960" s="283">
        <f>IFERROR(INDEX('Data Lokasi'!V:V,MATCH(C1960,'Data Lokasi'!C:C,0)),"")</f>
        <v>6.4500000000000011</v>
      </c>
      <c r="Q1960" s="304">
        <f t="shared" si="66"/>
        <v>1.0000000000000002</v>
      </c>
      <c r="R1960" s="308"/>
    </row>
    <row r="1961" spans="2:18" hidden="1">
      <c r="B1961" s="269">
        <v>46301</v>
      </c>
      <c r="C1961" s="268" t="s">
        <v>686</v>
      </c>
      <c r="D1961" s="274">
        <f>IFERROR(VLOOKUP(C1961,'Data Lokasi'!C:D,2,0),"")</f>
        <v>8.09</v>
      </c>
      <c r="E1961" s="274" t="s">
        <v>2642</v>
      </c>
      <c r="F1961" s="274"/>
      <c r="G1961" s="274"/>
      <c r="H1961" s="274"/>
      <c r="I1961" s="274">
        <v>1.05</v>
      </c>
      <c r="J1961" s="456">
        <f t="shared" si="65"/>
        <v>1.05</v>
      </c>
      <c r="K1961" s="583"/>
      <c r="L1961" s="268" t="s">
        <v>2625</v>
      </c>
      <c r="M1961" s="268" t="s">
        <v>2631</v>
      </c>
      <c r="N1961" s="278">
        <f>IFERROR(INDEX('Data Lokasi'!S:S,MATCH('Input Real Tanam&amp;Petik Nanas'!C1961,'Data Lokasi'!C:C,0)),"")</f>
        <v>46301</v>
      </c>
      <c r="O1961" s="278"/>
      <c r="P1961" s="283">
        <f>IFERROR(INDEX('Data Lokasi'!V:V,MATCH(C1961,'Data Lokasi'!C:C,0)),"")</f>
        <v>7.7799999999999985</v>
      </c>
      <c r="Q1961" s="304">
        <f t="shared" si="66"/>
        <v>0.96168108776266981</v>
      </c>
      <c r="R1961" s="308"/>
    </row>
    <row r="1962" spans="2:18" hidden="1">
      <c r="B1962" s="269">
        <v>46301</v>
      </c>
      <c r="C1962" s="268" t="s">
        <v>125</v>
      </c>
      <c r="D1962" s="274">
        <f>IFERROR(VLOOKUP(C1962,'Data Lokasi'!C:D,2,0),"")</f>
        <v>6.45</v>
      </c>
      <c r="E1962" s="274" t="s">
        <v>2642</v>
      </c>
      <c r="F1962" s="274"/>
      <c r="G1962" s="274"/>
      <c r="H1962" s="274"/>
      <c r="I1962" s="274">
        <v>0.37</v>
      </c>
      <c r="J1962" s="456">
        <f t="shared" si="65"/>
        <v>0.37</v>
      </c>
      <c r="K1962" s="583"/>
      <c r="L1962" s="268" t="s">
        <v>2625</v>
      </c>
      <c r="M1962" s="268" t="s">
        <v>2634</v>
      </c>
      <c r="N1962" s="278">
        <f>IFERROR(INDEX('Data Lokasi'!S:S,MATCH('Input Real Tanam&amp;Petik Nanas'!C1962,'Data Lokasi'!C:C,0)),"")</f>
        <v>46299</v>
      </c>
      <c r="O1962" s="278"/>
      <c r="P1962" s="283">
        <f>IFERROR(INDEX('Data Lokasi'!V:V,MATCH(C1962,'Data Lokasi'!C:C,0)),"")</f>
        <v>6.4500000000000011</v>
      </c>
      <c r="Q1962" s="304">
        <f t="shared" si="66"/>
        <v>1.0000000000000002</v>
      </c>
      <c r="R1962" s="308"/>
    </row>
    <row r="1963" spans="2:18" hidden="1">
      <c r="B1963" s="269">
        <v>46301</v>
      </c>
      <c r="C1963" s="268" t="s">
        <v>2737</v>
      </c>
      <c r="D1963" s="274">
        <f>IFERROR(VLOOKUP(C1963,'Data Lokasi'!C:D,2,0),"")</f>
        <v>7.19</v>
      </c>
      <c r="E1963" s="274" t="s">
        <v>2642</v>
      </c>
      <c r="F1963" s="274"/>
      <c r="G1963" s="274"/>
      <c r="H1963" s="274">
        <v>0.17</v>
      </c>
      <c r="I1963" s="274"/>
      <c r="J1963" s="456">
        <f t="shared" si="65"/>
        <v>0.17</v>
      </c>
      <c r="K1963" s="583"/>
      <c r="L1963" s="268" t="s">
        <v>719</v>
      </c>
      <c r="M1963" s="268" t="s">
        <v>2634</v>
      </c>
      <c r="N1963" s="278">
        <f>IFERROR(INDEX('Data Lokasi'!S:S,MATCH('Input Real Tanam&amp;Petik Nanas'!C1963,'Data Lokasi'!C:C,0)),"")</f>
        <v>46290</v>
      </c>
      <c r="O1963" s="278"/>
      <c r="P1963" s="283">
        <f>IFERROR(INDEX('Data Lokasi'!V:V,MATCH(C1963,'Data Lokasi'!C:C,0)),"")</f>
        <v>6.8199999999999994</v>
      </c>
      <c r="Q1963" s="304">
        <f t="shared" si="66"/>
        <v>0.94853963838664801</v>
      </c>
      <c r="R1963" s="308"/>
    </row>
    <row r="1964" spans="2:18" hidden="1">
      <c r="B1964" s="269">
        <v>46301</v>
      </c>
      <c r="C1964" s="375" t="s">
        <v>696</v>
      </c>
      <c r="D1964" s="274">
        <f>IFERROR(VLOOKUP(C1964,'Data Lokasi'!C:D,2,0),"")</f>
        <v>12.75</v>
      </c>
      <c r="E1964" s="274" t="s">
        <v>2642</v>
      </c>
      <c r="F1964" s="274"/>
      <c r="G1964" s="274"/>
      <c r="H1964" s="274"/>
      <c r="I1964" s="274">
        <v>0.92</v>
      </c>
      <c r="J1964" s="456">
        <f t="shared" si="65"/>
        <v>0.92</v>
      </c>
      <c r="K1964" s="583"/>
      <c r="L1964" s="268" t="s">
        <v>719</v>
      </c>
      <c r="M1964" s="268" t="s">
        <v>2634</v>
      </c>
      <c r="N1964" s="278">
        <f>IFERROR(INDEX('Data Lokasi'!S:S,MATCH('Input Real Tanam&amp;Petik Nanas'!C1964,'Data Lokasi'!C:C,0)),"")</f>
        <v>46290</v>
      </c>
      <c r="O1964" s="278"/>
      <c r="P1964" s="283">
        <f>IFERROR(INDEX('Data Lokasi'!V:V,MATCH(C1964,'Data Lokasi'!C:C,0)),"")</f>
        <v>9.51</v>
      </c>
      <c r="Q1964" s="304">
        <f t="shared" si="66"/>
        <v>0.74588235294117644</v>
      </c>
      <c r="R1964" s="308"/>
    </row>
    <row r="1965" spans="2:18" hidden="1">
      <c r="B1965" s="269">
        <v>46301</v>
      </c>
      <c r="C1965" s="268" t="s">
        <v>330</v>
      </c>
      <c r="D1965" s="274">
        <f>IFERROR(VLOOKUP(C1965,'Data Lokasi'!C:D,2,0),"")</f>
        <v>4.53</v>
      </c>
      <c r="E1965" s="274" t="s">
        <v>2643</v>
      </c>
      <c r="F1965" s="274"/>
      <c r="G1965" s="274"/>
      <c r="H1965" s="274"/>
      <c r="I1965" s="274">
        <v>0.67</v>
      </c>
      <c r="J1965" s="456">
        <f t="shared" si="65"/>
        <v>0.67</v>
      </c>
      <c r="K1965" s="583"/>
      <c r="L1965" s="268" t="s">
        <v>2625</v>
      </c>
      <c r="M1965" s="268" t="s">
        <v>2631</v>
      </c>
      <c r="N1965" s="278">
        <f>IFERROR(INDEX('Data Lokasi'!S:S,MATCH('Input Real Tanam&amp;Petik Nanas'!C1965,'Data Lokasi'!C:C,0)),"")</f>
        <v>44235</v>
      </c>
      <c r="O1965" s="278"/>
      <c r="P1965" s="283">
        <f>IFERROR(INDEX('Data Lokasi'!V:V,MATCH(C1965,'Data Lokasi'!C:C,0)),"")</f>
        <v>0</v>
      </c>
      <c r="Q1965" s="304">
        <f t="shared" si="66"/>
        <v>0</v>
      </c>
      <c r="R1965" s="308"/>
    </row>
    <row r="1966" spans="2:18" hidden="1">
      <c r="B1966" s="269">
        <v>46301</v>
      </c>
      <c r="C1966" s="268" t="s">
        <v>338</v>
      </c>
      <c r="D1966" s="274">
        <f>IFERROR(VLOOKUP(C1966,'Data Lokasi'!C:D,2,0),"")</f>
        <v>7.96</v>
      </c>
      <c r="E1966" s="274" t="s">
        <v>2643</v>
      </c>
      <c r="F1966" s="274"/>
      <c r="G1966" s="274"/>
      <c r="H1966" s="274"/>
      <c r="I1966" s="274">
        <v>0.89</v>
      </c>
      <c r="J1966" s="456">
        <f t="shared" si="65"/>
        <v>0.89</v>
      </c>
      <c r="K1966" s="583"/>
      <c r="L1966" s="268" t="s">
        <v>2625</v>
      </c>
      <c r="M1966" s="268" t="s">
        <v>2631</v>
      </c>
      <c r="N1966" s="278">
        <f>IFERROR(INDEX('Data Lokasi'!S:S,MATCH('Input Real Tanam&amp;Petik Nanas'!C1966,'Data Lokasi'!C:C,0)),"")</f>
        <v>44239</v>
      </c>
      <c r="O1966" s="278"/>
      <c r="P1966" s="283">
        <f>IFERROR(INDEX('Data Lokasi'!V:V,MATCH(C1966,'Data Lokasi'!C:C,0)),"")</f>
        <v>0</v>
      </c>
      <c r="Q1966" s="304">
        <f t="shared" si="66"/>
        <v>0</v>
      </c>
      <c r="R1966" s="308"/>
    </row>
    <row r="1967" spans="2:18" hidden="1">
      <c r="B1967" s="269">
        <v>46301</v>
      </c>
      <c r="C1967" s="268" t="s">
        <v>417</v>
      </c>
      <c r="D1967" s="274">
        <f>IFERROR(VLOOKUP(C1967,'Data Lokasi'!C:D,2,0),"")</f>
        <v>10.64</v>
      </c>
      <c r="E1967" s="274" t="s">
        <v>2643</v>
      </c>
      <c r="F1967" s="274"/>
      <c r="G1967" s="274">
        <v>7.0000000000000007E-2</v>
      </c>
      <c r="H1967" s="274">
        <v>0.08</v>
      </c>
      <c r="I1967" s="274"/>
      <c r="J1967" s="456">
        <f t="shared" si="65"/>
        <v>0.15000000000000002</v>
      </c>
      <c r="K1967" s="583"/>
      <c r="L1967" s="268" t="s">
        <v>719</v>
      </c>
      <c r="M1967" s="268" t="s">
        <v>2634</v>
      </c>
      <c r="N1967" s="278">
        <f>IFERROR(INDEX('Data Lokasi'!S:S,MATCH('Input Real Tanam&amp;Petik Nanas'!C1967,'Data Lokasi'!C:C,0)),"")</f>
        <v>44385</v>
      </c>
      <c r="O1967" s="278"/>
      <c r="P1967" s="283">
        <f>IFERROR(INDEX('Data Lokasi'!V:V,MATCH(C1967,'Data Lokasi'!C:C,0)),"")</f>
        <v>0</v>
      </c>
      <c r="Q1967" s="304">
        <f t="shared" si="66"/>
        <v>0</v>
      </c>
      <c r="R1967" s="308">
        <v>1</v>
      </c>
    </row>
    <row r="1968" spans="2:18" hidden="1">
      <c r="B1968" s="269">
        <v>46301</v>
      </c>
      <c r="C1968" s="268" t="s">
        <v>428</v>
      </c>
      <c r="D1968" s="274">
        <f>IFERROR(VLOOKUP(C1968,'Data Lokasi'!C:D,2,0),"")</f>
        <v>8.6999999999999993</v>
      </c>
      <c r="E1968" s="274" t="s">
        <v>2643</v>
      </c>
      <c r="F1968" s="274"/>
      <c r="G1968" s="274">
        <v>0.02</v>
      </c>
      <c r="H1968" s="274">
        <f>0.1+0.37</f>
        <v>0.47</v>
      </c>
      <c r="I1968" s="274"/>
      <c r="J1968" s="456">
        <f t="shared" si="65"/>
        <v>0.49</v>
      </c>
      <c r="K1968" s="583"/>
      <c r="L1968" s="268" t="s">
        <v>719</v>
      </c>
      <c r="M1968" s="268" t="s">
        <v>2634</v>
      </c>
      <c r="N1968" s="278">
        <f>IFERROR(INDEX('Data Lokasi'!S:S,MATCH('Input Real Tanam&amp;Petik Nanas'!C1968,'Data Lokasi'!C:C,0)),"")</f>
        <v>44386</v>
      </c>
      <c r="O1968" s="278"/>
      <c r="P1968" s="283">
        <f>IFERROR(INDEX('Data Lokasi'!V:V,MATCH(C1968,'Data Lokasi'!C:C,0)),"")</f>
        <v>0</v>
      </c>
      <c r="Q1968" s="304">
        <f t="shared" si="66"/>
        <v>0</v>
      </c>
      <c r="R1968" s="308">
        <v>3</v>
      </c>
    </row>
    <row r="1969" spans="2:18" hidden="1">
      <c r="B1969" s="269">
        <v>46301</v>
      </c>
      <c r="C1969" s="268" t="s">
        <v>432</v>
      </c>
      <c r="D1969" s="274">
        <f>IFERROR(VLOOKUP(C1969,'Data Lokasi'!C:D,2,0),"")</f>
        <v>9.9</v>
      </c>
      <c r="E1969" s="274" t="s">
        <v>2643</v>
      </c>
      <c r="F1969" s="274"/>
      <c r="G1969" s="274">
        <v>0.01</v>
      </c>
      <c r="H1969" s="274">
        <v>0.15</v>
      </c>
      <c r="I1969" s="274"/>
      <c r="J1969" s="456">
        <f t="shared" si="65"/>
        <v>0.16</v>
      </c>
      <c r="K1969" s="583"/>
      <c r="L1969" s="268" t="s">
        <v>719</v>
      </c>
      <c r="M1969" s="268" t="s">
        <v>2634</v>
      </c>
      <c r="N1969" s="278">
        <f>IFERROR(INDEX('Data Lokasi'!S:S,MATCH('Input Real Tanam&amp;Petik Nanas'!C1969,'Data Lokasi'!C:C,0)),"")</f>
        <v>44394</v>
      </c>
      <c r="O1969" s="278"/>
      <c r="P1969" s="283">
        <f>IFERROR(INDEX('Data Lokasi'!V:V,MATCH(C1969,'Data Lokasi'!C:C,0)),"")</f>
        <v>0</v>
      </c>
      <c r="Q1969" s="304">
        <f t="shared" si="66"/>
        <v>0</v>
      </c>
      <c r="R1969" s="308">
        <v>3</v>
      </c>
    </row>
    <row r="1970" spans="2:18" hidden="1">
      <c r="B1970" s="269">
        <v>46302</v>
      </c>
      <c r="C1970" s="268" t="s">
        <v>445</v>
      </c>
      <c r="D1970" s="274">
        <f>IFERROR(VLOOKUP(C1970,'Data Lokasi'!C:D,2,0),"")</f>
        <v>10.65</v>
      </c>
      <c r="E1970" s="274" t="s">
        <v>2642</v>
      </c>
      <c r="F1970" s="274"/>
      <c r="G1970" s="274"/>
      <c r="H1970" s="274"/>
      <c r="I1970" s="274">
        <v>0.22</v>
      </c>
      <c r="J1970" s="456">
        <f t="shared" si="65"/>
        <v>0.22</v>
      </c>
      <c r="K1970" s="583"/>
      <c r="L1970" s="268" t="s">
        <v>2625</v>
      </c>
      <c r="M1970" s="268" t="s">
        <v>2631</v>
      </c>
      <c r="N1970" s="278">
        <f>IFERROR(INDEX('Data Lokasi'!S:S,MATCH('Input Real Tanam&amp;Petik Nanas'!C1970,'Data Lokasi'!C:C,0)),"")</f>
        <v>46292</v>
      </c>
      <c r="O1970" s="278"/>
      <c r="P1970" s="283">
        <f>IFERROR(INDEX('Data Lokasi'!V:V,MATCH(C1970,'Data Lokasi'!C:C,0)),"")</f>
        <v>10.52</v>
      </c>
      <c r="Q1970" s="304">
        <f t="shared" ref="Q1970:Q1998" si="67">IF(ISERROR(P1970/D1970),"",(P1970/D1970))</f>
        <v>0.98779342723004693</v>
      </c>
      <c r="R1970" s="308"/>
    </row>
    <row r="1971" spans="2:18" hidden="1">
      <c r="B1971" s="269">
        <v>46302</v>
      </c>
      <c r="C1971" s="268" t="s">
        <v>683</v>
      </c>
      <c r="D1971" s="274">
        <f>IFERROR(VLOOKUP(C1971,'Data Lokasi'!C:D,2,0),"")</f>
        <v>7.64</v>
      </c>
      <c r="E1971" s="274" t="s">
        <v>2642</v>
      </c>
      <c r="F1971" s="274"/>
      <c r="G1971" s="274"/>
      <c r="H1971" s="274"/>
      <c r="I1971" s="274">
        <v>0.81</v>
      </c>
      <c r="J1971" s="456">
        <f t="shared" si="65"/>
        <v>0.81</v>
      </c>
      <c r="K1971" s="583"/>
      <c r="L1971" s="268" t="s">
        <v>2625</v>
      </c>
      <c r="M1971" s="268" t="s">
        <v>2631</v>
      </c>
      <c r="N1971" s="278">
        <f>IFERROR(INDEX('Data Lokasi'!S:S,MATCH('Input Real Tanam&amp;Petik Nanas'!C1971,'Data Lokasi'!C:C,0)),"")</f>
        <v>46302</v>
      </c>
      <c r="O1971" s="278"/>
      <c r="P1971" s="283">
        <f>IFERROR(INDEX('Data Lokasi'!V:V,MATCH(C1971,'Data Lokasi'!C:C,0)),"")</f>
        <v>7.0299999999999994</v>
      </c>
      <c r="Q1971" s="304">
        <f t="shared" si="67"/>
        <v>0.92015706806282715</v>
      </c>
      <c r="R1971" s="308"/>
    </row>
    <row r="1972" spans="2:18" hidden="1">
      <c r="B1972" s="269">
        <v>46302</v>
      </c>
      <c r="C1972" s="268" t="s">
        <v>686</v>
      </c>
      <c r="D1972" s="274">
        <f>IFERROR(VLOOKUP(C1972,'Data Lokasi'!C:D,2,0),"")</f>
        <v>8.09</v>
      </c>
      <c r="E1972" s="274" t="s">
        <v>2642</v>
      </c>
      <c r="F1972" s="274"/>
      <c r="G1972" s="274"/>
      <c r="H1972" s="274"/>
      <c r="I1972" s="274">
        <v>1.38</v>
      </c>
      <c r="J1972" s="456">
        <f t="shared" si="65"/>
        <v>1.38</v>
      </c>
      <c r="K1972" s="583"/>
      <c r="L1972" s="268" t="s">
        <v>2625</v>
      </c>
      <c r="M1972" s="268" t="s">
        <v>2631</v>
      </c>
      <c r="N1972" s="278">
        <f>IFERROR(INDEX('Data Lokasi'!S:S,MATCH('Input Real Tanam&amp;Petik Nanas'!C1972,'Data Lokasi'!C:C,0)),"")</f>
        <v>46301</v>
      </c>
      <c r="O1972" s="278"/>
      <c r="P1972" s="283">
        <f>IFERROR(INDEX('Data Lokasi'!V:V,MATCH(C1972,'Data Lokasi'!C:C,0)),"")</f>
        <v>7.7799999999999985</v>
      </c>
      <c r="Q1972" s="304">
        <f t="shared" si="67"/>
        <v>0.96168108776266981</v>
      </c>
      <c r="R1972" s="308"/>
    </row>
    <row r="1973" spans="2:18" hidden="1">
      <c r="B1973" s="269">
        <v>46302</v>
      </c>
      <c r="C1973" s="268" t="s">
        <v>2737</v>
      </c>
      <c r="D1973" s="274">
        <f>IFERROR(VLOOKUP(C1973,'Data Lokasi'!C:D,2,0),"")</f>
        <v>7.19</v>
      </c>
      <c r="E1973" s="274" t="s">
        <v>2642</v>
      </c>
      <c r="F1973" s="274"/>
      <c r="G1973" s="274"/>
      <c r="H1973" s="274">
        <v>0.22</v>
      </c>
      <c r="I1973" s="274"/>
      <c r="J1973" s="456">
        <f t="shared" si="65"/>
        <v>0.22</v>
      </c>
      <c r="K1973" s="583"/>
      <c r="L1973" s="268" t="s">
        <v>719</v>
      </c>
      <c r="M1973" s="268" t="s">
        <v>2634</v>
      </c>
      <c r="N1973" s="278">
        <f>IFERROR(INDEX('Data Lokasi'!S:S,MATCH('Input Real Tanam&amp;Petik Nanas'!C1973,'Data Lokasi'!C:C,0)),"")</f>
        <v>46290</v>
      </c>
      <c r="O1973" s="278"/>
      <c r="P1973" s="283">
        <f>IFERROR(INDEX('Data Lokasi'!V:V,MATCH(C1973,'Data Lokasi'!C:C,0)),"")</f>
        <v>6.8199999999999994</v>
      </c>
      <c r="Q1973" s="304">
        <f t="shared" si="67"/>
        <v>0.94853963838664801</v>
      </c>
      <c r="R1973" s="308"/>
    </row>
    <row r="1974" spans="2:18" hidden="1">
      <c r="B1974" s="269">
        <v>46302</v>
      </c>
      <c r="C1974" s="375" t="s">
        <v>137</v>
      </c>
      <c r="D1974" s="274">
        <f>IFERROR(VLOOKUP(C1974,'Data Lokasi'!C:D,2,0),"")</f>
        <v>6.01</v>
      </c>
      <c r="E1974" s="274" t="s">
        <v>2642</v>
      </c>
      <c r="F1974" s="274"/>
      <c r="G1974" s="274"/>
      <c r="H1974" s="274"/>
      <c r="I1974" s="274">
        <v>0.01</v>
      </c>
      <c r="J1974" s="456">
        <f t="shared" si="65"/>
        <v>0.01</v>
      </c>
      <c r="K1974" s="583"/>
      <c r="L1974" s="268" t="s">
        <v>2625</v>
      </c>
      <c r="M1974" s="268" t="s">
        <v>2634</v>
      </c>
      <c r="N1974" s="278">
        <f>IFERROR(INDEX('Data Lokasi'!S:S,MATCH('Input Real Tanam&amp;Petik Nanas'!C1974,'Data Lokasi'!C:C,0)),"")</f>
        <v>46291</v>
      </c>
      <c r="O1974" s="278"/>
      <c r="P1974" s="283">
        <f>IFERROR(INDEX('Data Lokasi'!V:V,MATCH(C1974,'Data Lokasi'!C:C,0)),"")</f>
        <v>6.0100000000000007</v>
      </c>
      <c r="Q1974" s="304">
        <f t="shared" si="67"/>
        <v>1.0000000000000002</v>
      </c>
      <c r="R1974" s="308"/>
    </row>
    <row r="1975" spans="2:18" hidden="1">
      <c r="B1975" s="269">
        <v>46302</v>
      </c>
      <c r="C1975" s="375" t="s">
        <v>124</v>
      </c>
      <c r="D1975" s="274">
        <f>IFERROR(VLOOKUP(C1975,'Data Lokasi'!C:D,2,0),"")</f>
        <v>3.85</v>
      </c>
      <c r="E1975" s="274" t="s">
        <v>2642</v>
      </c>
      <c r="F1975" s="274"/>
      <c r="G1975" s="274"/>
      <c r="H1975" s="274"/>
      <c r="I1975" s="274">
        <v>0.03</v>
      </c>
      <c r="J1975" s="456">
        <f t="shared" si="65"/>
        <v>0.03</v>
      </c>
      <c r="K1975" s="583"/>
      <c r="L1975" s="268" t="s">
        <v>2625</v>
      </c>
      <c r="M1975" s="268" t="s">
        <v>2634</v>
      </c>
      <c r="N1975" s="278">
        <f>IFERROR(INDEX('Data Lokasi'!S:S,MATCH('Input Real Tanam&amp;Petik Nanas'!C1975,'Data Lokasi'!C:C,0)),"")</f>
        <v>46288</v>
      </c>
      <c r="O1975" s="278"/>
      <c r="P1975" s="283">
        <f>IFERROR(INDEX('Data Lokasi'!V:V,MATCH(C1975,'Data Lokasi'!C:C,0)),"")</f>
        <v>3.8499999999999996</v>
      </c>
      <c r="Q1975" s="304">
        <f t="shared" si="67"/>
        <v>0.99999999999999989</v>
      </c>
      <c r="R1975" s="308"/>
    </row>
    <row r="1976" spans="2:18" hidden="1">
      <c r="B1976" s="269">
        <v>46302</v>
      </c>
      <c r="C1976" s="268" t="s">
        <v>125</v>
      </c>
      <c r="D1976" s="274">
        <f>IFERROR(VLOOKUP(C1976,'Data Lokasi'!C:D,2,0),"")</f>
        <v>6.45</v>
      </c>
      <c r="E1976" s="274" t="s">
        <v>2642</v>
      </c>
      <c r="F1976" s="274"/>
      <c r="G1976" s="274"/>
      <c r="H1976" s="274"/>
      <c r="I1976" s="274">
        <v>0.61</v>
      </c>
      <c r="J1976" s="456">
        <f t="shared" si="65"/>
        <v>0.61</v>
      </c>
      <c r="K1976" s="583"/>
      <c r="L1976" s="268" t="s">
        <v>2625</v>
      </c>
      <c r="M1976" s="268" t="s">
        <v>2634</v>
      </c>
      <c r="N1976" s="278">
        <f>IFERROR(INDEX('Data Lokasi'!S:S,MATCH('Input Real Tanam&amp;Petik Nanas'!C1976,'Data Lokasi'!C:C,0)),"")</f>
        <v>46299</v>
      </c>
      <c r="O1976" s="278"/>
      <c r="P1976" s="283">
        <f>IFERROR(INDEX('Data Lokasi'!V:V,MATCH(C1976,'Data Lokasi'!C:C,0)),"")</f>
        <v>6.4500000000000011</v>
      </c>
      <c r="Q1976" s="304">
        <f t="shared" si="67"/>
        <v>1.0000000000000002</v>
      </c>
      <c r="R1976" s="308"/>
    </row>
    <row r="1977" spans="2:18" hidden="1">
      <c r="B1977" s="269">
        <v>46302</v>
      </c>
      <c r="C1977" s="375" t="s">
        <v>696</v>
      </c>
      <c r="D1977" s="274">
        <f>IFERROR(VLOOKUP(C1977,'Data Lokasi'!C:D,2,0),"")</f>
        <v>12.75</v>
      </c>
      <c r="E1977" s="274" t="s">
        <v>2642</v>
      </c>
      <c r="F1977" s="274"/>
      <c r="G1977" s="274"/>
      <c r="H1977" s="274"/>
      <c r="I1977" s="274">
        <v>0.43</v>
      </c>
      <c r="J1977" s="456">
        <f t="shared" si="65"/>
        <v>0.43</v>
      </c>
      <c r="K1977" s="583"/>
      <c r="L1977" s="268" t="s">
        <v>719</v>
      </c>
      <c r="M1977" s="268" t="s">
        <v>2634</v>
      </c>
      <c r="N1977" s="278">
        <f>IFERROR(INDEX('Data Lokasi'!S:S,MATCH('Input Real Tanam&amp;Petik Nanas'!C1977,'Data Lokasi'!C:C,0)),"")</f>
        <v>46290</v>
      </c>
      <c r="O1977" s="278"/>
      <c r="P1977" s="283">
        <f>IFERROR(INDEX('Data Lokasi'!V:V,MATCH(C1977,'Data Lokasi'!C:C,0)),"")</f>
        <v>9.51</v>
      </c>
      <c r="Q1977" s="304">
        <f t="shared" si="67"/>
        <v>0.74588235294117644</v>
      </c>
      <c r="R1977" s="308"/>
    </row>
    <row r="1978" spans="2:18" hidden="1">
      <c r="B1978" s="269">
        <v>46302</v>
      </c>
      <c r="C1978" s="268" t="s">
        <v>517</v>
      </c>
      <c r="D1978" s="274">
        <f>IFERROR(VLOOKUP(C1978,'Data Lokasi'!C:D,2,0),"")</f>
        <v>3.59</v>
      </c>
      <c r="E1978" s="274" t="s">
        <v>2643</v>
      </c>
      <c r="F1978" s="274"/>
      <c r="G1978" s="274">
        <v>0.01</v>
      </c>
      <c r="H1978" s="274">
        <f>0.04+0.08</f>
        <v>0.12</v>
      </c>
      <c r="I1978" s="274"/>
      <c r="J1978" s="456">
        <f t="shared" si="65"/>
        <v>0.13</v>
      </c>
      <c r="K1978" s="583">
        <v>10050</v>
      </c>
      <c r="L1978" s="268" t="s">
        <v>719</v>
      </c>
      <c r="M1978" s="268" t="s">
        <v>2631</v>
      </c>
      <c r="N1978" s="278">
        <f>IFERROR(INDEX('Data Lokasi'!S:S,MATCH('Input Real Tanam&amp;Petik Nanas'!C1978,'Data Lokasi'!C:C,0)),"")</f>
        <v>44615</v>
      </c>
      <c r="O1978" s="278"/>
      <c r="P1978" s="283">
        <f>IFERROR(INDEX('Data Lokasi'!V:V,MATCH(C1978,'Data Lokasi'!C:C,0)),"")</f>
        <v>0</v>
      </c>
      <c r="Q1978" s="304">
        <f t="shared" si="67"/>
        <v>0</v>
      </c>
      <c r="R1978" s="308"/>
    </row>
    <row r="1979" spans="2:18" hidden="1">
      <c r="B1979" s="269">
        <v>46302</v>
      </c>
      <c r="C1979" s="268" t="s">
        <v>2547</v>
      </c>
      <c r="D1979" s="274">
        <f>IFERROR(VLOOKUP(C1979,'Data Lokasi'!C:D,2,0),"")</f>
        <v>4.97</v>
      </c>
      <c r="E1979" s="274" t="s">
        <v>2643</v>
      </c>
      <c r="F1979" s="274"/>
      <c r="G1979" s="274">
        <v>0.02</v>
      </c>
      <c r="H1979" s="274">
        <f>0.06+0.17</f>
        <v>0.23</v>
      </c>
      <c r="I1979" s="274"/>
      <c r="J1979" s="456">
        <f t="shared" si="65"/>
        <v>0.25</v>
      </c>
      <c r="K1979" s="583">
        <v>18550</v>
      </c>
      <c r="L1979" s="268" t="s">
        <v>719</v>
      </c>
      <c r="M1979" s="268" t="s">
        <v>2631</v>
      </c>
      <c r="N1979" s="278">
        <f>IFERROR(INDEX('Data Lokasi'!S:S,MATCH('Input Real Tanam&amp;Petik Nanas'!C1979,'Data Lokasi'!C:C,0)),"")</f>
        <v>45595</v>
      </c>
      <c r="O1979" s="278"/>
      <c r="P1979" s="283">
        <f>IFERROR(INDEX('Data Lokasi'!V:V,MATCH(C1979,'Data Lokasi'!C:C,0)),"")</f>
        <v>0</v>
      </c>
      <c r="Q1979" s="304">
        <f t="shared" si="67"/>
        <v>0</v>
      </c>
      <c r="R1979" s="308"/>
    </row>
    <row r="1980" spans="2:18" hidden="1">
      <c r="B1980" s="269">
        <v>46302</v>
      </c>
      <c r="C1980" s="268" t="s">
        <v>561</v>
      </c>
      <c r="D1980" s="274">
        <f>IFERROR(VLOOKUP(C1980,'Data Lokasi'!C:D,2,0),"")</f>
        <v>9.5500000000000007</v>
      </c>
      <c r="E1980" s="274" t="s">
        <v>2643</v>
      </c>
      <c r="F1980" s="274"/>
      <c r="G1980" s="274"/>
      <c r="H1980" s="274"/>
      <c r="I1980" s="274">
        <v>0.65</v>
      </c>
      <c r="J1980" s="456">
        <f t="shared" si="65"/>
        <v>0.65</v>
      </c>
      <c r="K1980" s="583">
        <v>47400</v>
      </c>
      <c r="L1980" s="268" t="s">
        <v>2625</v>
      </c>
      <c r="M1980" s="268" t="s">
        <v>2634</v>
      </c>
      <c r="N1980" s="278">
        <f>IFERROR(INDEX('Data Lokasi'!S:S,MATCH('Input Real Tanam&amp;Petik Nanas'!C1980,'Data Lokasi'!C:C,0)),"")</f>
        <v>44666</v>
      </c>
      <c r="O1980" s="278"/>
      <c r="P1980" s="283">
        <f>IFERROR(INDEX('Data Lokasi'!V:V,MATCH(C1980,'Data Lokasi'!C:C,0)),"")</f>
        <v>0</v>
      </c>
      <c r="Q1980" s="304">
        <f t="shared" si="67"/>
        <v>0</v>
      </c>
      <c r="R1980" s="308"/>
    </row>
    <row r="1981" spans="2:18" hidden="1">
      <c r="B1981" s="269">
        <v>46302</v>
      </c>
      <c r="C1981" s="268" t="s">
        <v>561</v>
      </c>
      <c r="D1981" s="274">
        <f>IFERROR(VLOOKUP(C1981,'Data Lokasi'!C:D,2,0),"")</f>
        <v>9.5500000000000007</v>
      </c>
      <c r="E1981" s="274" t="s">
        <v>2643</v>
      </c>
      <c r="F1981" s="274"/>
      <c r="G1981" s="274"/>
      <c r="H1981" s="274"/>
      <c r="I1981" s="274">
        <v>1.24</v>
      </c>
      <c r="J1981" s="456">
        <f t="shared" si="65"/>
        <v>1.24</v>
      </c>
      <c r="K1981" s="583">
        <v>9400</v>
      </c>
      <c r="L1981" s="268" t="s">
        <v>2625</v>
      </c>
      <c r="M1981" s="268" t="s">
        <v>2634</v>
      </c>
      <c r="N1981" s="278">
        <f>IFERROR(INDEX('Data Lokasi'!S:S,MATCH('Input Real Tanam&amp;Petik Nanas'!C1981,'Data Lokasi'!C:C,0)),"")</f>
        <v>44666</v>
      </c>
      <c r="O1981" s="278"/>
      <c r="P1981" s="283">
        <f>IFERROR(INDEX('Data Lokasi'!V:V,MATCH(C1981,'Data Lokasi'!C:C,0)),"")</f>
        <v>0</v>
      </c>
      <c r="Q1981" s="304">
        <f t="shared" si="67"/>
        <v>0</v>
      </c>
      <c r="R1981" s="308"/>
    </row>
    <row r="1982" spans="2:18" hidden="1">
      <c r="B1982" s="269">
        <v>46302</v>
      </c>
      <c r="C1982" s="268" t="s">
        <v>488</v>
      </c>
      <c r="D1982" s="274">
        <f>IFERROR(VLOOKUP(C1982,'Data Lokasi'!C:D,2,0),"")</f>
        <v>11.2</v>
      </c>
      <c r="E1982" s="274" t="s">
        <v>2643</v>
      </c>
      <c r="F1982" s="274"/>
      <c r="G1982" s="274"/>
      <c r="H1982" s="274">
        <f>0.03+0.06</f>
        <v>0.09</v>
      </c>
      <c r="I1982" s="274">
        <f>0.13+0.18</f>
        <v>0.31</v>
      </c>
      <c r="J1982" s="456">
        <f t="shared" si="65"/>
        <v>0.4</v>
      </c>
      <c r="K1982" s="583">
        <v>31850</v>
      </c>
      <c r="L1982" s="268" t="s">
        <v>719</v>
      </c>
      <c r="M1982" s="268" t="s">
        <v>2634</v>
      </c>
      <c r="N1982" s="278">
        <f>IFERROR(INDEX('Data Lokasi'!S:S,MATCH('Input Real Tanam&amp;Petik Nanas'!C1982,'Data Lokasi'!C:C,0)),"")</f>
        <v>44529</v>
      </c>
      <c r="O1982" s="278"/>
      <c r="P1982" s="283">
        <f>IFERROR(INDEX('Data Lokasi'!V:V,MATCH(C1982,'Data Lokasi'!C:C,0)),"")</f>
        <v>0</v>
      </c>
      <c r="Q1982" s="304">
        <f t="shared" si="67"/>
        <v>0</v>
      </c>
      <c r="R1982" s="308">
        <v>7</v>
      </c>
    </row>
    <row r="1983" spans="2:18" hidden="1">
      <c r="B1983" s="269">
        <v>46302</v>
      </c>
      <c r="C1983" s="268" t="s">
        <v>428</v>
      </c>
      <c r="D1983" s="274">
        <f>IFERROR(VLOOKUP(C1983,'Data Lokasi'!C:D,2,0),"")</f>
        <v>8.6999999999999993</v>
      </c>
      <c r="E1983" s="274" t="s">
        <v>2643</v>
      </c>
      <c r="F1983" s="274"/>
      <c r="G1983" s="274">
        <v>0.01</v>
      </c>
      <c r="H1983" s="274">
        <f>0.03+0.05</f>
        <v>0.08</v>
      </c>
      <c r="I1983" s="274"/>
      <c r="J1983" s="456">
        <f t="shared" si="65"/>
        <v>0.09</v>
      </c>
      <c r="K1983" s="583">
        <v>6775</v>
      </c>
      <c r="L1983" s="268" t="s">
        <v>719</v>
      </c>
      <c r="M1983" s="268" t="s">
        <v>2634</v>
      </c>
      <c r="N1983" s="278">
        <f>IFERROR(INDEX('Data Lokasi'!S:S,MATCH('Input Real Tanam&amp;Petik Nanas'!C1983,'Data Lokasi'!C:C,0)),"")</f>
        <v>44386</v>
      </c>
      <c r="O1983" s="278"/>
      <c r="P1983" s="283">
        <f>IFERROR(INDEX('Data Lokasi'!V:V,MATCH(C1983,'Data Lokasi'!C:C,0)),"")</f>
        <v>0</v>
      </c>
      <c r="Q1983" s="304">
        <f t="shared" si="67"/>
        <v>0</v>
      </c>
      <c r="R1983" s="308"/>
    </row>
    <row r="1984" spans="2:18" hidden="1">
      <c r="B1984" s="269">
        <v>46303</v>
      </c>
      <c r="C1984" s="268" t="s">
        <v>683</v>
      </c>
      <c r="D1984" s="274">
        <f>IFERROR(VLOOKUP(C1984,'Data Lokasi'!C:D,2,0),"")</f>
        <v>7.64</v>
      </c>
      <c r="E1984" s="274" t="s">
        <v>2642</v>
      </c>
      <c r="F1984" s="274"/>
      <c r="G1984" s="274"/>
      <c r="H1984" s="274"/>
      <c r="I1984" s="274">
        <v>0.92</v>
      </c>
      <c r="J1984" s="456">
        <f t="shared" si="65"/>
        <v>0.92</v>
      </c>
      <c r="K1984" s="583"/>
      <c r="L1984" s="268" t="s">
        <v>2625</v>
      </c>
      <c r="M1984" s="268" t="s">
        <v>2631</v>
      </c>
      <c r="N1984" s="278">
        <f>IFERROR(INDEX('Data Lokasi'!S:S,MATCH('Input Real Tanam&amp;Petik Nanas'!C1984,'Data Lokasi'!C:C,0)),"")</f>
        <v>46302</v>
      </c>
      <c r="O1984" s="278"/>
      <c r="P1984" s="283">
        <f>IFERROR(INDEX('Data Lokasi'!V:V,MATCH(C1984,'Data Lokasi'!C:C,0)),"")</f>
        <v>7.0299999999999994</v>
      </c>
      <c r="Q1984" s="304">
        <f t="shared" si="67"/>
        <v>0.92015706806282715</v>
      </c>
      <c r="R1984" s="308"/>
    </row>
    <row r="1985" spans="2:18" hidden="1">
      <c r="B1985" s="269">
        <v>46303</v>
      </c>
      <c r="C1985" s="268" t="s">
        <v>686</v>
      </c>
      <c r="D1985" s="274">
        <f>IFERROR(VLOOKUP(C1985,'Data Lokasi'!C:D,2,0),"")</f>
        <v>8.09</v>
      </c>
      <c r="E1985" s="274" t="s">
        <v>2642</v>
      </c>
      <c r="F1985" s="274"/>
      <c r="G1985" s="274"/>
      <c r="H1985" s="274"/>
      <c r="I1985" s="274">
        <v>1.1399999999999999</v>
      </c>
      <c r="J1985" s="456">
        <f t="shared" si="65"/>
        <v>1.1399999999999999</v>
      </c>
      <c r="K1985" s="583"/>
      <c r="L1985" s="268" t="s">
        <v>2625</v>
      </c>
      <c r="M1985" s="268" t="s">
        <v>2631</v>
      </c>
      <c r="N1985" s="278">
        <f>IFERROR(INDEX('Data Lokasi'!S:S,MATCH('Input Real Tanam&amp;Petik Nanas'!C1985,'Data Lokasi'!C:C,0)),"")</f>
        <v>46301</v>
      </c>
      <c r="O1985" s="278"/>
      <c r="P1985" s="283">
        <f>IFERROR(INDEX('Data Lokasi'!V:V,MATCH(C1985,'Data Lokasi'!C:C,0)),"")</f>
        <v>7.7799999999999985</v>
      </c>
      <c r="Q1985" s="304">
        <f t="shared" si="67"/>
        <v>0.96168108776266981</v>
      </c>
      <c r="R1985" s="308"/>
    </row>
    <row r="1986" spans="2:18" hidden="1">
      <c r="B1986" s="269">
        <v>46303</v>
      </c>
      <c r="C1986" s="268" t="s">
        <v>2737</v>
      </c>
      <c r="D1986" s="274">
        <f>IFERROR(VLOOKUP(C1986,'Data Lokasi'!C:D,2,0),"")</f>
        <v>7.19</v>
      </c>
      <c r="E1986" s="274" t="s">
        <v>2642</v>
      </c>
      <c r="F1986" s="274"/>
      <c r="G1986" s="274">
        <v>0.18</v>
      </c>
      <c r="H1986" s="274"/>
      <c r="I1986" s="274"/>
      <c r="J1986" s="456">
        <f t="shared" si="65"/>
        <v>0.18</v>
      </c>
      <c r="K1986" s="583"/>
      <c r="L1986" s="268" t="s">
        <v>719</v>
      </c>
      <c r="M1986" s="268" t="s">
        <v>2631</v>
      </c>
      <c r="N1986" s="278">
        <f>IFERROR(INDEX('Data Lokasi'!S:S,MATCH('Input Real Tanam&amp;Petik Nanas'!C1986,'Data Lokasi'!C:C,0)),"")</f>
        <v>46290</v>
      </c>
      <c r="O1986" s="278"/>
      <c r="P1986" s="283">
        <f>IFERROR(INDEX('Data Lokasi'!V:V,MATCH(C1986,'Data Lokasi'!C:C,0)),"")</f>
        <v>6.8199999999999994</v>
      </c>
      <c r="Q1986" s="304">
        <f t="shared" si="67"/>
        <v>0.94853963838664801</v>
      </c>
      <c r="R1986" s="308"/>
    </row>
    <row r="1987" spans="2:18" hidden="1">
      <c r="B1987" s="269">
        <v>46303</v>
      </c>
      <c r="C1987" s="268" t="s">
        <v>125</v>
      </c>
      <c r="D1987" s="274">
        <f>IFERROR(VLOOKUP(C1987,'Data Lokasi'!C:D,2,0),"")</f>
        <v>6.45</v>
      </c>
      <c r="E1987" s="274" t="s">
        <v>2642</v>
      </c>
      <c r="F1987" s="274"/>
      <c r="G1987" s="274"/>
      <c r="H1987" s="274"/>
      <c r="I1987" s="274">
        <v>0.2</v>
      </c>
      <c r="J1987" s="456">
        <f t="shared" si="65"/>
        <v>0.2</v>
      </c>
      <c r="K1987" s="583"/>
      <c r="L1987" s="268" t="s">
        <v>2625</v>
      </c>
      <c r="M1987" s="268" t="s">
        <v>2631</v>
      </c>
      <c r="N1987" s="278">
        <f>IFERROR(INDEX('Data Lokasi'!S:S,MATCH('Input Real Tanam&amp;Petik Nanas'!C1987,'Data Lokasi'!C:C,0)),"")</f>
        <v>46299</v>
      </c>
      <c r="O1987" s="278"/>
      <c r="P1987" s="283">
        <f>IFERROR(INDEX('Data Lokasi'!V:V,MATCH(C1987,'Data Lokasi'!C:C,0)),"")</f>
        <v>6.4500000000000011</v>
      </c>
      <c r="Q1987" s="304">
        <f t="shared" si="67"/>
        <v>1.0000000000000002</v>
      </c>
      <c r="R1987" s="308"/>
    </row>
    <row r="1988" spans="2:18" hidden="1">
      <c r="B1988" s="269">
        <v>46303</v>
      </c>
      <c r="C1988" s="268" t="s">
        <v>2737</v>
      </c>
      <c r="D1988" s="274">
        <f>IFERROR(VLOOKUP(C1988,'Data Lokasi'!C:D,2,0),"")</f>
        <v>7.19</v>
      </c>
      <c r="E1988" s="274" t="s">
        <v>2642</v>
      </c>
      <c r="F1988" s="274"/>
      <c r="G1988" s="274"/>
      <c r="H1988" s="274">
        <v>0.55000000000000004</v>
      </c>
      <c r="I1988" s="274"/>
      <c r="J1988" s="456">
        <f t="shared" si="65"/>
        <v>0.55000000000000004</v>
      </c>
      <c r="K1988" s="583"/>
      <c r="L1988" s="268" t="s">
        <v>719</v>
      </c>
      <c r="M1988" s="268" t="s">
        <v>2634</v>
      </c>
      <c r="N1988" s="278">
        <f>IFERROR(INDEX('Data Lokasi'!S:S,MATCH('Input Real Tanam&amp;Petik Nanas'!C1988,'Data Lokasi'!C:C,0)),"")</f>
        <v>46290</v>
      </c>
      <c r="O1988" s="278"/>
      <c r="P1988" s="283">
        <f>IFERROR(INDEX('Data Lokasi'!V:V,MATCH(C1988,'Data Lokasi'!C:C,0)),"")</f>
        <v>6.8199999999999994</v>
      </c>
      <c r="Q1988" s="304">
        <f t="shared" si="67"/>
        <v>0.94853963838664801</v>
      </c>
      <c r="R1988" s="308"/>
    </row>
    <row r="1989" spans="2:18" hidden="1">
      <c r="B1989" s="269">
        <v>46303</v>
      </c>
      <c r="C1989" s="268" t="s">
        <v>125</v>
      </c>
      <c r="D1989" s="274">
        <f>IFERROR(VLOOKUP(C1989,'Data Lokasi'!C:D,2,0),"")</f>
        <v>6.45</v>
      </c>
      <c r="E1989" s="274" t="s">
        <v>2642</v>
      </c>
      <c r="F1989" s="274"/>
      <c r="G1989" s="274"/>
      <c r="H1989" s="274"/>
      <c r="I1989" s="274">
        <v>0.56000000000000005</v>
      </c>
      <c r="J1989" s="456">
        <f t="shared" si="65"/>
        <v>0.56000000000000005</v>
      </c>
      <c r="K1989" s="583"/>
      <c r="L1989" s="268" t="s">
        <v>2625</v>
      </c>
      <c r="M1989" s="268" t="s">
        <v>2634</v>
      </c>
      <c r="N1989" s="278">
        <f>IFERROR(INDEX('Data Lokasi'!S:S,MATCH('Input Real Tanam&amp;Petik Nanas'!C1989,'Data Lokasi'!C:C,0)),"")</f>
        <v>46299</v>
      </c>
      <c r="O1989" s="278"/>
      <c r="P1989" s="283">
        <f>IFERROR(INDEX('Data Lokasi'!V:V,MATCH(C1989,'Data Lokasi'!C:C,0)),"")</f>
        <v>6.4500000000000011</v>
      </c>
      <c r="Q1989" s="304">
        <f t="shared" si="67"/>
        <v>1.0000000000000002</v>
      </c>
      <c r="R1989" s="308"/>
    </row>
    <row r="1990" spans="2:18" hidden="1">
      <c r="B1990" s="269">
        <v>46303</v>
      </c>
      <c r="C1990" s="375" t="s">
        <v>696</v>
      </c>
      <c r="D1990" s="274">
        <f>IFERROR(VLOOKUP(C1990,'Data Lokasi'!C:D,2,0),"")</f>
        <v>12.75</v>
      </c>
      <c r="E1990" s="274" t="s">
        <v>2642</v>
      </c>
      <c r="F1990" s="274"/>
      <c r="G1990" s="274"/>
      <c r="H1990" s="274"/>
      <c r="I1990" s="274">
        <v>0.34</v>
      </c>
      <c r="J1990" s="456">
        <f t="shared" si="65"/>
        <v>0.34</v>
      </c>
      <c r="K1990" s="583"/>
      <c r="L1990" s="268" t="s">
        <v>719</v>
      </c>
      <c r="M1990" s="268" t="s">
        <v>2634</v>
      </c>
      <c r="N1990" s="278">
        <f>IFERROR(INDEX('Data Lokasi'!S:S,MATCH('Input Real Tanam&amp;Petik Nanas'!C1990,'Data Lokasi'!C:C,0)),"")</f>
        <v>46290</v>
      </c>
      <c r="O1990" s="278"/>
      <c r="P1990" s="283">
        <f>IFERROR(INDEX('Data Lokasi'!V:V,MATCH(C1990,'Data Lokasi'!C:C,0)),"")</f>
        <v>9.51</v>
      </c>
      <c r="Q1990" s="304">
        <f t="shared" si="67"/>
        <v>0.74588235294117644</v>
      </c>
      <c r="R1990" s="308"/>
    </row>
    <row r="1991" spans="2:18" hidden="1">
      <c r="B1991" s="269">
        <v>46303</v>
      </c>
      <c r="C1991" s="268" t="s">
        <v>517</v>
      </c>
      <c r="D1991" s="274">
        <f>IFERROR(VLOOKUP(C1991,'Data Lokasi'!C:D,2,0),"")</f>
        <v>3.59</v>
      </c>
      <c r="E1991" s="274" t="s">
        <v>2643</v>
      </c>
      <c r="F1991" s="274"/>
      <c r="G1991" s="274">
        <v>1E-3</v>
      </c>
      <c r="H1991" s="274">
        <f>0.005+0.01</f>
        <v>1.4999999999999999E-2</v>
      </c>
      <c r="I1991" s="274"/>
      <c r="J1991" s="456">
        <f t="shared" si="65"/>
        <v>1.6E-2</v>
      </c>
      <c r="K1991" s="583">
        <v>1700</v>
      </c>
      <c r="L1991" s="268" t="s">
        <v>719</v>
      </c>
      <c r="M1991" s="268" t="s">
        <v>2631</v>
      </c>
      <c r="N1991" s="278">
        <f>IFERROR(INDEX('Data Lokasi'!S:S,MATCH('Input Real Tanam&amp;Petik Nanas'!C1991,'Data Lokasi'!C:C,0)),"")</f>
        <v>44615</v>
      </c>
      <c r="O1991" s="278"/>
      <c r="P1991" s="283">
        <f>IFERROR(INDEX('Data Lokasi'!V:V,MATCH(C1991,'Data Lokasi'!C:C,0)),"")</f>
        <v>0</v>
      </c>
      <c r="Q1991" s="304">
        <f t="shared" si="67"/>
        <v>0</v>
      </c>
      <c r="R1991" s="308">
        <v>3</v>
      </c>
    </row>
    <row r="1992" spans="2:18" hidden="1">
      <c r="B1992" s="269">
        <v>46303</v>
      </c>
      <c r="C1992" s="268" t="s">
        <v>2547</v>
      </c>
      <c r="D1992" s="274">
        <f>IFERROR(VLOOKUP(C1992,'Data Lokasi'!C:D,2,0),"")</f>
        <v>4.97</v>
      </c>
      <c r="E1992" s="274" t="s">
        <v>2643</v>
      </c>
      <c r="F1992" s="274"/>
      <c r="G1992" s="274">
        <v>0.04</v>
      </c>
      <c r="H1992" s="274">
        <f>0.11+0.18</f>
        <v>0.28999999999999998</v>
      </c>
      <c r="I1992" s="274"/>
      <c r="J1992" s="456">
        <f t="shared" si="65"/>
        <v>0.32999999999999996</v>
      </c>
      <c r="K1992" s="583">
        <v>25025</v>
      </c>
      <c r="L1992" s="268" t="s">
        <v>719</v>
      </c>
      <c r="M1992" s="268" t="s">
        <v>2631</v>
      </c>
      <c r="N1992" s="278">
        <f>IFERROR(INDEX('Data Lokasi'!S:S,MATCH('Input Real Tanam&amp;Petik Nanas'!C1992,'Data Lokasi'!C:C,0)),"")</f>
        <v>45595</v>
      </c>
      <c r="O1992" s="278"/>
      <c r="P1992" s="283">
        <f>IFERROR(INDEX('Data Lokasi'!V:V,MATCH(C1992,'Data Lokasi'!C:C,0)),"")</f>
        <v>0</v>
      </c>
      <c r="Q1992" s="304">
        <f t="shared" si="67"/>
        <v>0</v>
      </c>
      <c r="R1992" s="308">
        <v>2</v>
      </c>
    </row>
    <row r="1993" spans="2:18" hidden="1">
      <c r="B1993" s="269">
        <v>46303</v>
      </c>
      <c r="C1993" s="268" t="s">
        <v>561</v>
      </c>
      <c r="D1993" s="274">
        <f>IFERROR(VLOOKUP(C1993,'Data Lokasi'!C:D,2,0),"")</f>
        <v>9.5500000000000007</v>
      </c>
      <c r="E1993" s="274" t="s">
        <v>2643</v>
      </c>
      <c r="F1993" s="274"/>
      <c r="G1993" s="274"/>
      <c r="H1993" s="274"/>
      <c r="I1993" s="274">
        <v>0.85</v>
      </c>
      <c r="J1993" s="456">
        <f t="shared" si="65"/>
        <v>0.85</v>
      </c>
      <c r="K1993" s="583">
        <v>62350</v>
      </c>
      <c r="L1993" s="268" t="s">
        <v>2625</v>
      </c>
      <c r="M1993" s="268" t="s">
        <v>2634</v>
      </c>
      <c r="N1993" s="278">
        <f>IFERROR(INDEX('Data Lokasi'!S:S,MATCH('Input Real Tanam&amp;Petik Nanas'!C1993,'Data Lokasi'!C:C,0)),"")</f>
        <v>44666</v>
      </c>
      <c r="O1993" s="278"/>
      <c r="P1993" s="283">
        <f>IFERROR(INDEX('Data Lokasi'!V:V,MATCH(C1993,'Data Lokasi'!C:C,0)),"")</f>
        <v>0</v>
      </c>
      <c r="Q1993" s="304">
        <f t="shared" si="67"/>
        <v>0</v>
      </c>
      <c r="R1993" s="308"/>
    </row>
    <row r="1994" spans="2:18" hidden="1">
      <c r="B1994" s="269">
        <v>46303</v>
      </c>
      <c r="C1994" s="268" t="s">
        <v>561</v>
      </c>
      <c r="D1994" s="274">
        <f>IFERROR(VLOOKUP(C1994,'Data Lokasi'!C:D,2,0),"")</f>
        <v>9.5500000000000007</v>
      </c>
      <c r="E1994" s="274" t="s">
        <v>2643</v>
      </c>
      <c r="F1994" s="274"/>
      <c r="G1994" s="274"/>
      <c r="H1994" s="274"/>
      <c r="I1994" s="274">
        <v>0.43</v>
      </c>
      <c r="J1994" s="456">
        <f t="shared" si="65"/>
        <v>0.43</v>
      </c>
      <c r="K1994" s="583">
        <v>31800</v>
      </c>
      <c r="L1994" s="268" t="s">
        <v>2625</v>
      </c>
      <c r="M1994" s="268" t="s">
        <v>2634</v>
      </c>
      <c r="N1994" s="278">
        <f>IFERROR(INDEX('Data Lokasi'!S:S,MATCH('Input Real Tanam&amp;Petik Nanas'!C1994,'Data Lokasi'!C:C,0)),"")</f>
        <v>44666</v>
      </c>
      <c r="O1994" s="278"/>
      <c r="P1994" s="283">
        <f>IFERROR(INDEX('Data Lokasi'!V:V,MATCH(C1994,'Data Lokasi'!C:C,0)),"")</f>
        <v>0</v>
      </c>
      <c r="Q1994" s="304">
        <f t="shared" si="67"/>
        <v>0</v>
      </c>
      <c r="R1994" s="308"/>
    </row>
    <row r="1995" spans="2:18" hidden="1">
      <c r="B1995" s="269">
        <v>46303</v>
      </c>
      <c r="C1995" s="268" t="s">
        <v>359</v>
      </c>
      <c r="D1995" s="274">
        <f>IFERROR(VLOOKUP(C1995,'Data Lokasi'!C:D,2,0),"")</f>
        <v>10</v>
      </c>
      <c r="E1995" s="274" t="s">
        <v>2643</v>
      </c>
      <c r="F1995" s="274"/>
      <c r="G1995" s="274"/>
      <c r="H1995" s="274"/>
      <c r="I1995" s="274">
        <v>0.49</v>
      </c>
      <c r="J1995" s="456">
        <f t="shared" si="65"/>
        <v>0.49</v>
      </c>
      <c r="K1995" s="583">
        <v>35800</v>
      </c>
      <c r="L1995" s="268" t="s">
        <v>2625</v>
      </c>
      <c r="M1995" s="268" t="s">
        <v>2634</v>
      </c>
      <c r="N1995" s="278">
        <f>IFERROR(INDEX('Data Lokasi'!S:S,MATCH('Input Real Tanam&amp;Petik Nanas'!C1995,'Data Lokasi'!C:C,0)),"")</f>
        <v>44295</v>
      </c>
      <c r="O1995" s="278"/>
      <c r="P1995" s="283">
        <f>IFERROR(INDEX('Data Lokasi'!V:V,MATCH(C1995,'Data Lokasi'!C:C,0)),"")</f>
        <v>0</v>
      </c>
      <c r="Q1995" s="304">
        <f t="shared" si="67"/>
        <v>0</v>
      </c>
      <c r="R1995" s="308"/>
    </row>
    <row r="1996" spans="2:18" hidden="1">
      <c r="B1996" s="269">
        <v>46303</v>
      </c>
      <c r="C1996" s="268" t="s">
        <v>488</v>
      </c>
      <c r="D1996" s="274">
        <f>IFERROR(VLOOKUP(C1996,'Data Lokasi'!C:D,2,0),"")</f>
        <v>11.2</v>
      </c>
      <c r="E1996" s="274" t="s">
        <v>2643</v>
      </c>
      <c r="F1996" s="274"/>
      <c r="G1996" s="274"/>
      <c r="H1996" s="274">
        <f>0.08+0.1</f>
        <v>0.18</v>
      </c>
      <c r="I1996" s="274">
        <f>0.1+0.16</f>
        <v>0.26</v>
      </c>
      <c r="J1996" s="456">
        <f t="shared" si="65"/>
        <v>0.44</v>
      </c>
      <c r="K1996" s="583">
        <v>31800</v>
      </c>
      <c r="L1996" s="268" t="s">
        <v>719</v>
      </c>
      <c r="M1996" s="268" t="s">
        <v>2634</v>
      </c>
      <c r="N1996" s="278">
        <f>IFERROR(INDEX('Data Lokasi'!S:S,MATCH('Input Real Tanam&amp;Petik Nanas'!C1996,'Data Lokasi'!C:C,0)),"")</f>
        <v>44529</v>
      </c>
      <c r="O1996" s="278"/>
      <c r="P1996" s="283">
        <f>IFERROR(INDEX('Data Lokasi'!V:V,MATCH(C1996,'Data Lokasi'!C:C,0)),"")</f>
        <v>0</v>
      </c>
      <c r="Q1996" s="304">
        <f t="shared" si="67"/>
        <v>0</v>
      </c>
      <c r="R1996" s="308">
        <v>7</v>
      </c>
    </row>
    <row r="1997" spans="2:18" hidden="1">
      <c r="B1997" s="269">
        <v>46303</v>
      </c>
      <c r="C1997" s="268" t="s">
        <v>478</v>
      </c>
      <c r="D1997" s="274">
        <f>IFERROR(VLOOKUP(C1997,'Data Lokasi'!C:D,2,0),"")</f>
        <v>6.8</v>
      </c>
      <c r="E1997" s="274" t="s">
        <v>2643</v>
      </c>
      <c r="F1997" s="274"/>
      <c r="G1997" s="274"/>
      <c r="H1997" s="274">
        <v>0.02</v>
      </c>
      <c r="I1997" s="274">
        <v>0.03</v>
      </c>
      <c r="J1997" s="456">
        <f t="shared" si="65"/>
        <v>0.05</v>
      </c>
      <c r="K1997" s="583">
        <v>3250</v>
      </c>
      <c r="L1997" s="268" t="s">
        <v>719</v>
      </c>
      <c r="M1997" s="268" t="s">
        <v>2634</v>
      </c>
      <c r="N1997" s="278">
        <f>IFERROR(INDEX('Data Lokasi'!S:S,MATCH('Input Real Tanam&amp;Petik Nanas'!C1997,'Data Lokasi'!C:C,0)),"")</f>
        <v>44517</v>
      </c>
      <c r="O1997" s="278"/>
      <c r="P1997" s="283">
        <f>IFERROR(INDEX('Data Lokasi'!V:V,MATCH(C1997,'Data Lokasi'!C:C,0)),"")</f>
        <v>0</v>
      </c>
      <c r="Q1997" s="304">
        <f t="shared" si="67"/>
        <v>0</v>
      </c>
      <c r="R1997" s="308">
        <v>7</v>
      </c>
    </row>
    <row r="1998" spans="2:18" hidden="1">
      <c r="B1998" s="269">
        <v>46304</v>
      </c>
      <c r="C1998" s="268" t="s">
        <v>683</v>
      </c>
      <c r="D1998" s="274">
        <f>IFERROR(VLOOKUP(C1998,'Data Lokasi'!C:D,2,0),"")</f>
        <v>7.64</v>
      </c>
      <c r="E1998" s="274" t="s">
        <v>2642</v>
      </c>
      <c r="F1998" s="274"/>
      <c r="G1998" s="274"/>
      <c r="H1998" s="274"/>
      <c r="I1998" s="274">
        <v>0.83</v>
      </c>
      <c r="J1998" s="456">
        <f t="shared" si="65"/>
        <v>0.83</v>
      </c>
      <c r="K1998" s="583"/>
      <c r="L1998" s="268" t="s">
        <v>2625</v>
      </c>
      <c r="M1998" s="268" t="s">
        <v>2631</v>
      </c>
      <c r="N1998" s="278">
        <f>IFERROR(INDEX('Data Lokasi'!S:S,MATCH('Input Real Tanam&amp;Petik Nanas'!C1998,'Data Lokasi'!C:C,0)),"")</f>
        <v>46302</v>
      </c>
      <c r="O1998" s="278"/>
      <c r="P1998" s="283">
        <f>IFERROR(INDEX('Data Lokasi'!V:V,MATCH(C1998,'Data Lokasi'!C:C,0)),"")</f>
        <v>7.0299999999999994</v>
      </c>
      <c r="Q1998" s="304">
        <f t="shared" si="67"/>
        <v>0.92015706806282715</v>
      </c>
      <c r="R1998" s="308"/>
    </row>
    <row r="1999" spans="2:18" hidden="1">
      <c r="B1999" s="269">
        <v>46304</v>
      </c>
      <c r="C1999" s="268" t="s">
        <v>686</v>
      </c>
      <c r="D1999" s="274">
        <f>IFERROR(VLOOKUP(C1999,'Data Lokasi'!C:D,2,0),"")</f>
        <v>8.09</v>
      </c>
      <c r="E1999" s="274" t="s">
        <v>2642</v>
      </c>
      <c r="F1999" s="274"/>
      <c r="G1999" s="274"/>
      <c r="H1999" s="274"/>
      <c r="I1999" s="274">
        <f>0.91+0.57</f>
        <v>1.48</v>
      </c>
      <c r="J1999" s="456">
        <f t="shared" ref="J1999:J2062" si="68">IF(SUM(F1999:I1999)=0,"",(SUM(F1999:I1999)))</f>
        <v>1.48</v>
      </c>
      <c r="K1999" s="583"/>
      <c r="L1999" s="268" t="s">
        <v>2625</v>
      </c>
      <c r="M1999" s="268" t="s">
        <v>2631</v>
      </c>
      <c r="N1999" s="278">
        <f>IFERROR(INDEX('Data Lokasi'!S:S,MATCH('Input Real Tanam&amp;Petik Nanas'!C1999,'Data Lokasi'!C:C,0)),"")</f>
        <v>46301</v>
      </c>
      <c r="O1999" s="278"/>
      <c r="P1999" s="283">
        <f>IFERROR(INDEX('Data Lokasi'!V:V,MATCH(C1999,'Data Lokasi'!C:C,0)),"")</f>
        <v>7.7799999999999985</v>
      </c>
      <c r="Q1999" s="304">
        <f t="shared" ref="Q1999:Q2062" si="69">IF(ISERROR(P1999/D1999),"",(P1999/D1999))</f>
        <v>0.96168108776266981</v>
      </c>
      <c r="R1999" s="308"/>
    </row>
    <row r="2000" spans="2:18" hidden="1">
      <c r="B2000" s="269">
        <v>46304</v>
      </c>
      <c r="C2000" s="268" t="s">
        <v>2737</v>
      </c>
      <c r="D2000" s="274">
        <f>IFERROR(VLOOKUP(C2000,'Data Lokasi'!C:D,2,0),"")</f>
        <v>7.19</v>
      </c>
      <c r="E2000" s="274" t="s">
        <v>2642</v>
      </c>
      <c r="F2000" s="274"/>
      <c r="G2000" s="274">
        <v>0.23</v>
      </c>
      <c r="H2000" s="274"/>
      <c r="I2000" s="274"/>
      <c r="J2000" s="456">
        <f t="shared" si="68"/>
        <v>0.23</v>
      </c>
      <c r="K2000" s="583"/>
      <c r="L2000" s="268" t="s">
        <v>719</v>
      </c>
      <c r="M2000" s="268" t="s">
        <v>2631</v>
      </c>
      <c r="N2000" s="278">
        <f>IFERROR(INDEX('Data Lokasi'!S:S,MATCH('Input Real Tanam&amp;Petik Nanas'!C2000,'Data Lokasi'!C:C,0)),"")</f>
        <v>46290</v>
      </c>
      <c r="O2000" s="278"/>
      <c r="P2000" s="283">
        <f>IFERROR(INDEX('Data Lokasi'!V:V,MATCH(C2000,'Data Lokasi'!C:C,0)),"")</f>
        <v>6.8199999999999994</v>
      </c>
      <c r="Q2000" s="304">
        <f t="shared" si="69"/>
        <v>0.94853963838664801</v>
      </c>
      <c r="R2000" s="308"/>
    </row>
    <row r="2001" spans="2:18" hidden="1">
      <c r="B2001" s="269">
        <v>46304</v>
      </c>
      <c r="C2001" s="268" t="s">
        <v>2713</v>
      </c>
      <c r="D2001" s="274">
        <f>IFERROR(VLOOKUP(C2001,'Data Lokasi'!C:D,2,0),"")</f>
        <v>10.01</v>
      </c>
      <c r="E2001" s="274" t="s">
        <v>2642</v>
      </c>
      <c r="F2001" s="274"/>
      <c r="G2001" s="274"/>
      <c r="H2001" s="274"/>
      <c r="I2001" s="274">
        <v>0.18</v>
      </c>
      <c r="J2001" s="456">
        <f t="shared" si="68"/>
        <v>0.18</v>
      </c>
      <c r="K2001" s="583"/>
      <c r="L2001" s="268" t="s">
        <v>2625</v>
      </c>
      <c r="M2001" s="268" t="s">
        <v>2631</v>
      </c>
      <c r="N2001" s="278">
        <f>IFERROR(INDEX('Data Lokasi'!S:S,MATCH('Input Real Tanam&amp;Petik Nanas'!C2001,'Data Lokasi'!C:C,0)),"")</f>
        <v>46284</v>
      </c>
      <c r="O2001" s="278"/>
      <c r="P2001" s="283">
        <f>IFERROR(INDEX('Data Lokasi'!V:V,MATCH(C2001,'Data Lokasi'!C:C,0)),"")</f>
        <v>9.0100000000000016</v>
      </c>
      <c r="Q2001" s="304">
        <f t="shared" si="69"/>
        <v>0.90009990009990026</v>
      </c>
      <c r="R2001" s="308"/>
    </row>
    <row r="2002" spans="2:18" hidden="1">
      <c r="B2002" s="269">
        <v>46304</v>
      </c>
      <c r="C2002" s="268" t="s">
        <v>2737</v>
      </c>
      <c r="D2002" s="274">
        <f>IFERROR(VLOOKUP(C2002,'Data Lokasi'!C:D,2,0),"")</f>
        <v>7.19</v>
      </c>
      <c r="E2002" s="274" t="s">
        <v>2642</v>
      </c>
      <c r="F2002" s="274"/>
      <c r="G2002" s="274">
        <v>0.03</v>
      </c>
      <c r="H2002" s="274">
        <v>0.2</v>
      </c>
      <c r="I2002" s="274"/>
      <c r="J2002" s="456">
        <f t="shared" si="68"/>
        <v>0.23</v>
      </c>
      <c r="K2002" s="583"/>
      <c r="L2002" s="268" t="s">
        <v>719</v>
      </c>
      <c r="M2002" s="268" t="s">
        <v>2634</v>
      </c>
      <c r="N2002" s="278">
        <f>IFERROR(INDEX('Data Lokasi'!S:S,MATCH('Input Real Tanam&amp;Petik Nanas'!C2002,'Data Lokasi'!C:C,0)),"")</f>
        <v>46290</v>
      </c>
      <c r="O2002" s="278"/>
      <c r="P2002" s="283">
        <f>IFERROR(INDEX('Data Lokasi'!V:V,MATCH(C2002,'Data Lokasi'!C:C,0)),"")</f>
        <v>6.8199999999999994</v>
      </c>
      <c r="Q2002" s="304">
        <f t="shared" si="69"/>
        <v>0.94853963838664801</v>
      </c>
      <c r="R2002" s="308"/>
    </row>
    <row r="2003" spans="2:18" hidden="1">
      <c r="B2003" s="269">
        <v>46304</v>
      </c>
      <c r="C2003" s="268" t="s">
        <v>125</v>
      </c>
      <c r="D2003" s="274">
        <f>IFERROR(VLOOKUP(C2003,'Data Lokasi'!C:D,2,0),"")</f>
        <v>6.45</v>
      </c>
      <c r="E2003" s="274" t="s">
        <v>2642</v>
      </c>
      <c r="F2003" s="274"/>
      <c r="G2003" s="274"/>
      <c r="H2003" s="274"/>
      <c r="I2003" s="274">
        <v>0.6</v>
      </c>
      <c r="J2003" s="456">
        <f t="shared" si="68"/>
        <v>0.6</v>
      </c>
      <c r="K2003" s="583"/>
      <c r="L2003" s="268" t="s">
        <v>2625</v>
      </c>
      <c r="M2003" s="268" t="s">
        <v>2634</v>
      </c>
      <c r="N2003" s="278">
        <f>IFERROR(INDEX('Data Lokasi'!S:S,MATCH('Input Real Tanam&amp;Petik Nanas'!C2003,'Data Lokasi'!C:C,0)),"")</f>
        <v>46299</v>
      </c>
      <c r="O2003" s="278"/>
      <c r="P2003" s="283">
        <f>IFERROR(INDEX('Data Lokasi'!V:V,MATCH(C2003,'Data Lokasi'!C:C,0)),"")</f>
        <v>6.4500000000000011</v>
      </c>
      <c r="Q2003" s="304">
        <f t="shared" si="69"/>
        <v>1.0000000000000002</v>
      </c>
      <c r="R2003" s="308"/>
    </row>
    <row r="2004" spans="2:18" hidden="1">
      <c r="B2004" s="269">
        <v>46304</v>
      </c>
      <c r="C2004" s="375" t="s">
        <v>696</v>
      </c>
      <c r="D2004" s="274">
        <f>IFERROR(VLOOKUP(C2004,'Data Lokasi'!C:D,2,0),"")</f>
        <v>12.75</v>
      </c>
      <c r="E2004" s="274" t="s">
        <v>2642</v>
      </c>
      <c r="F2004" s="274"/>
      <c r="G2004" s="274"/>
      <c r="H2004" s="274"/>
      <c r="I2004" s="274">
        <v>0.24</v>
      </c>
      <c r="J2004" s="456">
        <f t="shared" si="68"/>
        <v>0.24</v>
      </c>
      <c r="K2004" s="583"/>
      <c r="L2004" s="268" t="s">
        <v>719</v>
      </c>
      <c r="M2004" s="268" t="s">
        <v>2634</v>
      </c>
      <c r="N2004" s="278">
        <f>IFERROR(INDEX('Data Lokasi'!S:S,MATCH('Input Real Tanam&amp;Petik Nanas'!C2004,'Data Lokasi'!C:C,0)),"")</f>
        <v>46290</v>
      </c>
      <c r="O2004" s="278"/>
      <c r="P2004" s="283">
        <f>IFERROR(INDEX('Data Lokasi'!V:V,MATCH(C2004,'Data Lokasi'!C:C,0)),"")</f>
        <v>9.51</v>
      </c>
      <c r="Q2004" s="304">
        <f t="shared" si="69"/>
        <v>0.74588235294117644</v>
      </c>
      <c r="R2004" s="308"/>
    </row>
    <row r="2005" spans="2:18" hidden="1">
      <c r="B2005" s="269">
        <v>46304</v>
      </c>
      <c r="C2005" s="268" t="s">
        <v>280</v>
      </c>
      <c r="D2005" s="274">
        <f>IFERROR(VLOOKUP(C2005,'Data Lokasi'!C:D,2,0),"")</f>
        <v>9.2200000000000006</v>
      </c>
      <c r="E2005" s="274" t="s">
        <v>2642</v>
      </c>
      <c r="F2005" s="274"/>
      <c r="G2005" s="274"/>
      <c r="H2005" s="274"/>
      <c r="I2005" s="274">
        <f>0.94+0.46</f>
        <v>1.4</v>
      </c>
      <c r="J2005" s="456">
        <f t="shared" si="68"/>
        <v>1.4</v>
      </c>
      <c r="K2005" s="583"/>
      <c r="L2005" s="268" t="s">
        <v>719</v>
      </c>
      <c r="M2005" s="268" t="s">
        <v>2634</v>
      </c>
      <c r="N2005" s="278">
        <f>IFERROR(INDEX('Data Lokasi'!S:S,MATCH('Input Real Tanam&amp;Petik Nanas'!C2005,'Data Lokasi'!C:C,0)),"")</f>
        <v>46304</v>
      </c>
      <c r="O2005" s="278"/>
      <c r="P2005" s="283">
        <f>IFERROR(INDEX('Data Lokasi'!V:V,MATCH(C2005,'Data Lokasi'!C:C,0)),"")</f>
        <v>5.3400000000000007</v>
      </c>
      <c r="Q2005" s="304">
        <f t="shared" si="69"/>
        <v>0.57917570498915405</v>
      </c>
      <c r="R2005" s="308"/>
    </row>
    <row r="2006" spans="2:18" hidden="1">
      <c r="B2006" s="269">
        <v>46304</v>
      </c>
      <c r="C2006" s="268" t="s">
        <v>2548</v>
      </c>
      <c r="D2006" s="274">
        <f>IFERROR(VLOOKUP(C2006,'Data Lokasi'!C:D,2,0),"")</f>
        <v>6.83</v>
      </c>
      <c r="E2006" s="274" t="s">
        <v>2643</v>
      </c>
      <c r="F2006" s="274"/>
      <c r="G2006" s="274">
        <v>0.04</v>
      </c>
      <c r="H2006" s="274">
        <f>0.11+0.16</f>
        <v>0.27</v>
      </c>
      <c r="I2006" s="274"/>
      <c r="J2006" s="456">
        <f t="shared" si="68"/>
        <v>0.31</v>
      </c>
      <c r="K2006" s="583">
        <v>24175</v>
      </c>
      <c r="L2006" s="268" t="s">
        <v>719</v>
      </c>
      <c r="M2006" s="268" t="s">
        <v>2631</v>
      </c>
      <c r="N2006" s="278">
        <f>IFERROR(INDEX('Data Lokasi'!S:S,MATCH('Input Real Tanam&amp;Petik Nanas'!C2006,'Data Lokasi'!C:C,0)),"")</f>
        <v>45600</v>
      </c>
      <c r="O2006" s="278"/>
      <c r="P2006" s="283">
        <f>IFERROR(INDEX('Data Lokasi'!V:V,MATCH(C2006,'Data Lokasi'!C:C,0)),"")</f>
        <v>0</v>
      </c>
      <c r="Q2006" s="304">
        <f t="shared" si="69"/>
        <v>0</v>
      </c>
      <c r="R2006" s="308">
        <v>2</v>
      </c>
    </row>
    <row r="2007" spans="2:18" hidden="1">
      <c r="B2007" s="269">
        <v>46304</v>
      </c>
      <c r="C2007" s="590" t="s">
        <v>2537</v>
      </c>
      <c r="D2007" s="274">
        <f>IFERROR(VLOOKUP(C2007,'Data Lokasi'!C:D,2,0),"")</f>
        <v>7.2</v>
      </c>
      <c r="E2007" s="274" t="s">
        <v>2643</v>
      </c>
      <c r="F2007" s="274"/>
      <c r="G2007" s="274"/>
      <c r="H2007" s="274"/>
      <c r="I2007" s="274">
        <v>0.75</v>
      </c>
      <c r="J2007" s="456">
        <f t="shared" si="68"/>
        <v>0.75</v>
      </c>
      <c r="K2007" s="583">
        <v>54750</v>
      </c>
      <c r="L2007" s="268" t="s">
        <v>2625</v>
      </c>
      <c r="M2007" s="268" t="s">
        <v>2631</v>
      </c>
      <c r="N2007" s="278">
        <f>IFERROR(INDEX('Data Lokasi'!S:S,MATCH('Input Real Tanam&amp;Petik Nanas'!C2007,'Data Lokasi'!C:C,0)),"")</f>
        <v>45355</v>
      </c>
      <c r="O2007" s="278"/>
      <c r="P2007" s="283">
        <f>IFERROR(INDEX('Data Lokasi'!V:V,MATCH(C2007,'Data Lokasi'!C:C,0)),"")</f>
        <v>0</v>
      </c>
      <c r="Q2007" s="304">
        <f t="shared" si="69"/>
        <v>0</v>
      </c>
      <c r="R2007" s="308"/>
    </row>
    <row r="2008" spans="2:18" hidden="1">
      <c r="B2008" s="269">
        <v>46304</v>
      </c>
      <c r="C2008" s="268" t="s">
        <v>363</v>
      </c>
      <c r="D2008" s="274">
        <f>IFERROR(VLOOKUP(C2008,'Data Lokasi'!C:D,2,0),"")</f>
        <v>7.66</v>
      </c>
      <c r="E2008" s="274" t="s">
        <v>2643</v>
      </c>
      <c r="F2008" s="274"/>
      <c r="G2008" s="274"/>
      <c r="H2008" s="274"/>
      <c r="I2008" s="274">
        <v>0.54</v>
      </c>
      <c r="J2008" s="456">
        <f t="shared" si="68"/>
        <v>0.54</v>
      </c>
      <c r="K2008" s="583">
        <v>40000</v>
      </c>
      <c r="L2008" s="268" t="s">
        <v>2625</v>
      </c>
      <c r="M2008" s="268" t="s">
        <v>2631</v>
      </c>
      <c r="N2008" s="278">
        <f>IFERROR(INDEX('Data Lokasi'!S:S,MATCH('Input Real Tanam&amp;Petik Nanas'!C2008,'Data Lokasi'!C:C,0)),"")</f>
        <v>44296</v>
      </c>
      <c r="O2008" s="278"/>
      <c r="P2008" s="283">
        <f>IFERROR(INDEX('Data Lokasi'!V:V,MATCH(C2008,'Data Lokasi'!C:C,0)),"")</f>
        <v>0</v>
      </c>
      <c r="Q2008" s="304">
        <f t="shared" si="69"/>
        <v>0</v>
      </c>
      <c r="R2008" s="308"/>
    </row>
    <row r="2009" spans="2:18" hidden="1">
      <c r="B2009" s="269">
        <v>46304</v>
      </c>
      <c r="C2009" s="268" t="s">
        <v>561</v>
      </c>
      <c r="D2009" s="274">
        <f>IFERROR(VLOOKUP(C2009,'Data Lokasi'!C:D,2,0),"")</f>
        <v>9.5500000000000007</v>
      </c>
      <c r="E2009" s="274" t="s">
        <v>2643</v>
      </c>
      <c r="F2009" s="274"/>
      <c r="G2009" s="274"/>
      <c r="H2009" s="274"/>
      <c r="I2009" s="274">
        <v>0.34</v>
      </c>
      <c r="J2009" s="456">
        <f t="shared" si="68"/>
        <v>0.34</v>
      </c>
      <c r="K2009" s="583">
        <v>24800</v>
      </c>
      <c r="L2009" s="268" t="s">
        <v>2625</v>
      </c>
      <c r="M2009" s="268" t="s">
        <v>2634</v>
      </c>
      <c r="N2009" s="278">
        <f>IFERROR(INDEX('Data Lokasi'!S:S,MATCH('Input Real Tanam&amp;Petik Nanas'!C2009,'Data Lokasi'!C:C,0)),"")</f>
        <v>44666</v>
      </c>
      <c r="O2009" s="278"/>
      <c r="P2009" s="283">
        <f>IFERROR(INDEX('Data Lokasi'!V:V,MATCH(C2009,'Data Lokasi'!C:C,0)),"")</f>
        <v>0</v>
      </c>
      <c r="Q2009" s="304">
        <f t="shared" si="69"/>
        <v>0</v>
      </c>
      <c r="R2009" s="308"/>
    </row>
    <row r="2010" spans="2:18" hidden="1">
      <c r="B2010" s="269">
        <v>46304</v>
      </c>
      <c r="C2010" s="268" t="s">
        <v>359</v>
      </c>
      <c r="D2010" s="274">
        <f>IFERROR(VLOOKUP(C2010,'Data Lokasi'!C:D,2,0),"")</f>
        <v>10</v>
      </c>
      <c r="E2010" s="274" t="s">
        <v>2643</v>
      </c>
      <c r="F2010" s="274"/>
      <c r="G2010" s="274"/>
      <c r="H2010" s="274"/>
      <c r="I2010" s="274">
        <v>1.38</v>
      </c>
      <c r="J2010" s="456">
        <f t="shared" si="68"/>
        <v>1.38</v>
      </c>
      <c r="K2010" s="583">
        <v>101300</v>
      </c>
      <c r="L2010" s="268" t="s">
        <v>2625</v>
      </c>
      <c r="M2010" s="268" t="s">
        <v>2634</v>
      </c>
      <c r="N2010" s="278">
        <f>IFERROR(INDEX('Data Lokasi'!S:S,MATCH('Input Real Tanam&amp;Petik Nanas'!C2010,'Data Lokasi'!C:C,0)),"")</f>
        <v>44295</v>
      </c>
      <c r="O2010" s="278"/>
      <c r="P2010" s="283">
        <f>IFERROR(INDEX('Data Lokasi'!V:V,MATCH(C2010,'Data Lokasi'!C:C,0)),"")</f>
        <v>0</v>
      </c>
      <c r="Q2010" s="304">
        <f t="shared" si="69"/>
        <v>0</v>
      </c>
      <c r="R2010" s="308"/>
    </row>
    <row r="2011" spans="2:18" hidden="1">
      <c r="B2011" s="269">
        <v>46304</v>
      </c>
      <c r="C2011" s="268" t="s">
        <v>488</v>
      </c>
      <c r="D2011" s="274">
        <f>IFERROR(VLOOKUP(C2011,'Data Lokasi'!C:D,2,0),"")</f>
        <v>11.2</v>
      </c>
      <c r="E2011" s="274" t="s">
        <v>2643</v>
      </c>
      <c r="F2011" s="274"/>
      <c r="G2011" s="274"/>
      <c r="H2011" s="274">
        <f>0+0.03</f>
        <v>0.03</v>
      </c>
      <c r="I2011" s="274">
        <f>0.02+0.1</f>
        <v>0.12000000000000001</v>
      </c>
      <c r="J2011" s="456">
        <f t="shared" si="68"/>
        <v>0.15000000000000002</v>
      </c>
      <c r="K2011" s="583">
        <v>11300</v>
      </c>
      <c r="L2011" s="268" t="s">
        <v>719</v>
      </c>
      <c r="M2011" s="268" t="s">
        <v>2634</v>
      </c>
      <c r="N2011" s="278">
        <f>IFERROR(INDEX('Data Lokasi'!S:S,MATCH('Input Real Tanam&amp;Petik Nanas'!C2011,'Data Lokasi'!C:C,0)),"")</f>
        <v>44529</v>
      </c>
      <c r="O2011" s="278"/>
      <c r="P2011" s="283">
        <f>IFERROR(INDEX('Data Lokasi'!V:V,MATCH(C2011,'Data Lokasi'!C:C,0)),"")</f>
        <v>0</v>
      </c>
      <c r="Q2011" s="304">
        <f t="shared" si="69"/>
        <v>0</v>
      </c>
      <c r="R2011" s="308">
        <v>7</v>
      </c>
    </row>
    <row r="2012" spans="2:18" hidden="1">
      <c r="B2012" s="269">
        <v>46305</v>
      </c>
      <c r="C2012" s="268" t="s">
        <v>2737</v>
      </c>
      <c r="D2012" s="274">
        <f>IFERROR(VLOOKUP(C2012,'Data Lokasi'!C:D,2,0),"")</f>
        <v>7.19</v>
      </c>
      <c r="E2012" s="274" t="s">
        <v>2642</v>
      </c>
      <c r="F2012" s="274"/>
      <c r="G2012" s="274"/>
      <c r="H2012" s="274">
        <v>0.04</v>
      </c>
      <c r="I2012" s="274"/>
      <c r="J2012" s="456">
        <f t="shared" si="68"/>
        <v>0.04</v>
      </c>
      <c r="K2012" s="583"/>
      <c r="L2012" s="268" t="s">
        <v>719</v>
      </c>
      <c r="M2012" s="268" t="s">
        <v>2634</v>
      </c>
      <c r="N2012" s="278">
        <f>IFERROR(INDEX('Data Lokasi'!S:S,MATCH('Input Real Tanam&amp;Petik Nanas'!C2012,'Data Lokasi'!C:C,0)),"")</f>
        <v>46290</v>
      </c>
      <c r="O2012" s="278"/>
      <c r="P2012" s="283">
        <f>IFERROR(INDEX('Data Lokasi'!V:V,MATCH(C2012,'Data Lokasi'!C:C,0)),"")</f>
        <v>6.8199999999999994</v>
      </c>
      <c r="Q2012" s="304">
        <f t="shared" si="69"/>
        <v>0.94853963838664801</v>
      </c>
      <c r="R2012" s="308"/>
    </row>
    <row r="2013" spans="2:18" hidden="1">
      <c r="B2013" s="269">
        <v>46305</v>
      </c>
      <c r="C2013" s="268" t="s">
        <v>125</v>
      </c>
      <c r="D2013" s="274">
        <f>IFERROR(VLOOKUP(C2013,'Data Lokasi'!C:D,2,0),"")</f>
        <v>6.45</v>
      </c>
      <c r="E2013" s="274" t="s">
        <v>2642</v>
      </c>
      <c r="F2013" s="274"/>
      <c r="G2013" s="274"/>
      <c r="H2013" s="274"/>
      <c r="I2013" s="274">
        <v>0.33</v>
      </c>
      <c r="J2013" s="456">
        <f t="shared" si="68"/>
        <v>0.33</v>
      </c>
      <c r="K2013" s="583"/>
      <c r="L2013" s="268" t="s">
        <v>2625</v>
      </c>
      <c r="M2013" s="268" t="s">
        <v>2634</v>
      </c>
      <c r="N2013" s="278">
        <f>IFERROR(INDEX('Data Lokasi'!S:S,MATCH('Input Real Tanam&amp;Petik Nanas'!C2013,'Data Lokasi'!C:C,0)),"")</f>
        <v>46299</v>
      </c>
      <c r="O2013" s="278"/>
      <c r="P2013" s="283">
        <f>IFERROR(INDEX('Data Lokasi'!V:V,MATCH(C2013,'Data Lokasi'!C:C,0)),"")</f>
        <v>6.4500000000000011</v>
      </c>
      <c r="Q2013" s="304">
        <f t="shared" si="69"/>
        <v>1.0000000000000002</v>
      </c>
      <c r="R2013" s="308"/>
    </row>
    <row r="2014" spans="2:18" hidden="1">
      <c r="B2014" s="269">
        <v>46305</v>
      </c>
      <c r="C2014" s="375" t="s">
        <v>696</v>
      </c>
      <c r="D2014" s="274">
        <f>IFERROR(VLOOKUP(C2014,'Data Lokasi'!C:D,2,0),"")</f>
        <v>12.75</v>
      </c>
      <c r="E2014" s="274" t="s">
        <v>2642</v>
      </c>
      <c r="F2014" s="274"/>
      <c r="G2014" s="274"/>
      <c r="H2014" s="274"/>
      <c r="I2014" s="274">
        <v>0.27</v>
      </c>
      <c r="J2014" s="456">
        <f t="shared" si="68"/>
        <v>0.27</v>
      </c>
      <c r="K2014" s="583"/>
      <c r="L2014" s="268" t="s">
        <v>719</v>
      </c>
      <c r="M2014" s="268" t="s">
        <v>2634</v>
      </c>
      <c r="N2014" s="278">
        <f>IFERROR(INDEX('Data Lokasi'!S:S,MATCH('Input Real Tanam&amp;Petik Nanas'!C2014,'Data Lokasi'!C:C,0)),"")</f>
        <v>46290</v>
      </c>
      <c r="O2014" s="278"/>
      <c r="P2014" s="283">
        <f>IFERROR(INDEX('Data Lokasi'!V:V,MATCH(C2014,'Data Lokasi'!C:C,0)),"")</f>
        <v>9.51</v>
      </c>
      <c r="Q2014" s="304">
        <f t="shared" si="69"/>
        <v>0.74588235294117644</v>
      </c>
      <c r="R2014" s="308"/>
    </row>
    <row r="2015" spans="2:18" hidden="1">
      <c r="B2015" s="269">
        <v>46305</v>
      </c>
      <c r="C2015" s="268" t="s">
        <v>280</v>
      </c>
      <c r="D2015" s="274">
        <f>IFERROR(VLOOKUP(C2015,'Data Lokasi'!C:D,2,0),"")</f>
        <v>9.2200000000000006</v>
      </c>
      <c r="E2015" s="274" t="s">
        <v>2642</v>
      </c>
      <c r="F2015" s="274"/>
      <c r="G2015" s="274"/>
      <c r="H2015" s="274"/>
      <c r="I2015" s="274">
        <v>1.06</v>
      </c>
      <c r="J2015" s="456">
        <f t="shared" si="68"/>
        <v>1.06</v>
      </c>
      <c r="K2015" s="583"/>
      <c r="L2015" s="268" t="s">
        <v>2625</v>
      </c>
      <c r="M2015" s="268" t="s">
        <v>2634</v>
      </c>
      <c r="N2015" s="278">
        <f>IFERROR(INDEX('Data Lokasi'!S:S,MATCH('Input Real Tanam&amp;Petik Nanas'!C2015,'Data Lokasi'!C:C,0)),"")</f>
        <v>46304</v>
      </c>
      <c r="O2015" s="278"/>
      <c r="P2015" s="283">
        <f>IFERROR(INDEX('Data Lokasi'!V:V,MATCH(C2015,'Data Lokasi'!C:C,0)),"")</f>
        <v>5.3400000000000007</v>
      </c>
      <c r="Q2015" s="304">
        <f t="shared" si="69"/>
        <v>0.57917570498915405</v>
      </c>
      <c r="R2015" s="308"/>
    </row>
    <row r="2016" spans="2:18" hidden="1">
      <c r="B2016" s="269">
        <v>46305</v>
      </c>
      <c r="C2016" s="268" t="s">
        <v>2713</v>
      </c>
      <c r="D2016" s="274">
        <f>IFERROR(VLOOKUP(C2016,'Data Lokasi'!C:D,2,0),"")</f>
        <v>10.01</v>
      </c>
      <c r="E2016" s="274" t="s">
        <v>2642</v>
      </c>
      <c r="F2016" s="274"/>
      <c r="G2016" s="274"/>
      <c r="H2016" s="274">
        <v>0.78</v>
      </c>
      <c r="I2016" s="274"/>
      <c r="J2016" s="456">
        <f t="shared" si="68"/>
        <v>0.78</v>
      </c>
      <c r="K2016" s="583"/>
      <c r="L2016" s="268" t="s">
        <v>719</v>
      </c>
      <c r="M2016" s="268" t="s">
        <v>2631</v>
      </c>
      <c r="N2016" s="278">
        <f>IFERROR(INDEX('Data Lokasi'!S:S,MATCH('Input Real Tanam&amp;Petik Nanas'!C2016,'Data Lokasi'!C:C,0)),"")</f>
        <v>46284</v>
      </c>
      <c r="O2016" s="278"/>
      <c r="P2016" s="283">
        <f>IFERROR(INDEX('Data Lokasi'!V:V,MATCH(C2016,'Data Lokasi'!C:C,0)),"")</f>
        <v>9.0100000000000016</v>
      </c>
      <c r="Q2016" s="304">
        <f t="shared" si="69"/>
        <v>0.90009990009990026</v>
      </c>
      <c r="R2016" s="308"/>
    </row>
    <row r="2017" spans="2:18" hidden="1">
      <c r="B2017" s="269">
        <v>46305</v>
      </c>
      <c r="C2017" s="268" t="s">
        <v>686</v>
      </c>
      <c r="D2017" s="274">
        <f>IFERROR(VLOOKUP(C2017,'Data Lokasi'!C:D,2,0),"")</f>
        <v>8.09</v>
      </c>
      <c r="E2017" s="274" t="s">
        <v>2642</v>
      </c>
      <c r="F2017" s="274"/>
      <c r="G2017" s="274"/>
      <c r="H2017" s="274"/>
      <c r="I2017" s="274">
        <v>1.26</v>
      </c>
      <c r="J2017" s="456">
        <f t="shared" si="68"/>
        <v>1.26</v>
      </c>
      <c r="K2017" s="583"/>
      <c r="L2017" s="268" t="s">
        <v>2625</v>
      </c>
      <c r="M2017" s="268" t="s">
        <v>2631</v>
      </c>
      <c r="N2017" s="278">
        <f>IFERROR(INDEX('Data Lokasi'!S:S,MATCH('Input Real Tanam&amp;Petik Nanas'!C2017,'Data Lokasi'!C:C,0)),"")</f>
        <v>46301</v>
      </c>
      <c r="O2017" s="278"/>
      <c r="P2017" s="283">
        <f>IFERROR(INDEX('Data Lokasi'!V:V,MATCH(C2017,'Data Lokasi'!C:C,0)),"")</f>
        <v>7.7799999999999985</v>
      </c>
      <c r="Q2017" s="304">
        <f t="shared" si="69"/>
        <v>0.96168108776266981</v>
      </c>
      <c r="R2017" s="308"/>
    </row>
    <row r="2018" spans="2:18" hidden="1">
      <c r="B2018" s="269">
        <v>46305</v>
      </c>
      <c r="C2018" s="268" t="s">
        <v>2737</v>
      </c>
      <c r="D2018" s="274">
        <f>IFERROR(VLOOKUP(C2018,'Data Lokasi'!C:D,2,0),"")</f>
        <v>7.19</v>
      </c>
      <c r="E2018" s="274" t="s">
        <v>2642</v>
      </c>
      <c r="F2018" s="274"/>
      <c r="G2018" s="274"/>
      <c r="H2018" s="274">
        <v>0.02</v>
      </c>
      <c r="I2018" s="274"/>
      <c r="J2018" s="456">
        <f t="shared" si="68"/>
        <v>0.02</v>
      </c>
      <c r="K2018" s="583"/>
      <c r="L2018" s="268" t="s">
        <v>719</v>
      </c>
      <c r="M2018" s="268" t="s">
        <v>2631</v>
      </c>
      <c r="N2018" s="278">
        <f>IFERROR(INDEX('Data Lokasi'!S:S,MATCH('Input Real Tanam&amp;Petik Nanas'!C2018,'Data Lokasi'!C:C,0)),"")</f>
        <v>46290</v>
      </c>
      <c r="O2018" s="278"/>
      <c r="P2018" s="283">
        <f>IFERROR(INDEX('Data Lokasi'!V:V,MATCH(C2018,'Data Lokasi'!C:C,0)),"")</f>
        <v>6.8199999999999994</v>
      </c>
      <c r="Q2018" s="304">
        <f t="shared" si="69"/>
        <v>0.94853963838664801</v>
      </c>
      <c r="R2018" s="308"/>
    </row>
    <row r="2019" spans="2:18" hidden="1">
      <c r="B2019" s="269">
        <v>46305</v>
      </c>
      <c r="C2019" s="268" t="s">
        <v>683</v>
      </c>
      <c r="D2019" s="274">
        <f>IFERROR(VLOOKUP(C2019,'Data Lokasi'!C:D,2,0),"")</f>
        <v>7.64</v>
      </c>
      <c r="E2019" s="274" t="s">
        <v>2642</v>
      </c>
      <c r="F2019" s="274"/>
      <c r="G2019" s="274"/>
      <c r="H2019" s="274"/>
      <c r="I2019" s="274">
        <v>0.36</v>
      </c>
      <c r="J2019" s="456">
        <f t="shared" si="68"/>
        <v>0.36</v>
      </c>
      <c r="K2019" s="583"/>
      <c r="L2019" s="268" t="s">
        <v>2625</v>
      </c>
      <c r="M2019" s="268" t="s">
        <v>2631</v>
      </c>
      <c r="N2019" s="278">
        <f>IFERROR(INDEX('Data Lokasi'!S:S,MATCH('Input Real Tanam&amp;Petik Nanas'!C2019,'Data Lokasi'!C:C,0)),"")</f>
        <v>46302</v>
      </c>
      <c r="O2019" s="278"/>
      <c r="P2019" s="283">
        <f>IFERROR(INDEX('Data Lokasi'!V:V,MATCH(C2019,'Data Lokasi'!C:C,0)),"")</f>
        <v>7.0299999999999994</v>
      </c>
      <c r="Q2019" s="304">
        <f t="shared" si="69"/>
        <v>0.92015706806282715</v>
      </c>
      <c r="R2019" s="308"/>
    </row>
    <row r="2020" spans="2:18" hidden="1">
      <c r="B2020" s="269">
        <v>46306</v>
      </c>
      <c r="C2020" s="268" t="s">
        <v>686</v>
      </c>
      <c r="D2020" s="274">
        <f>IFERROR(VLOOKUP(C2020,'Data Lokasi'!C:D,2,0),"")</f>
        <v>8.09</v>
      </c>
      <c r="E2020" s="274" t="s">
        <v>2642</v>
      </c>
      <c r="F2020" s="274"/>
      <c r="G2020" s="274"/>
      <c r="H2020" s="274"/>
      <c r="I2020" s="274">
        <v>1.01</v>
      </c>
      <c r="J2020" s="456">
        <f t="shared" si="68"/>
        <v>1.01</v>
      </c>
      <c r="K2020" s="583"/>
      <c r="L2020" s="268" t="s">
        <v>2625</v>
      </c>
      <c r="M2020" s="268" t="s">
        <v>2631</v>
      </c>
      <c r="N2020" s="278">
        <f>IFERROR(INDEX('Data Lokasi'!S:S,MATCH('Input Real Tanam&amp;Petik Nanas'!C2020,'Data Lokasi'!C:C,0)),"")</f>
        <v>46301</v>
      </c>
      <c r="O2020" s="278"/>
      <c r="P2020" s="283">
        <f>IFERROR(INDEX('Data Lokasi'!V:V,MATCH(C2020,'Data Lokasi'!C:C,0)),"")</f>
        <v>7.7799999999999985</v>
      </c>
      <c r="Q2020" s="304">
        <f t="shared" si="69"/>
        <v>0.96168108776266981</v>
      </c>
      <c r="R2020" s="308"/>
    </row>
    <row r="2021" spans="2:18" hidden="1">
      <c r="B2021" s="269">
        <v>46306</v>
      </c>
      <c r="C2021" s="268" t="s">
        <v>683</v>
      </c>
      <c r="D2021" s="274">
        <f>IFERROR(VLOOKUP(C2021,'Data Lokasi'!C:D,2,0),"")</f>
        <v>7.64</v>
      </c>
      <c r="E2021" s="274" t="s">
        <v>2642</v>
      </c>
      <c r="F2021" s="274"/>
      <c r="G2021" s="274"/>
      <c r="H2021" s="274"/>
      <c r="I2021" s="274">
        <f>0.62+0.37</f>
        <v>0.99</v>
      </c>
      <c r="J2021" s="456">
        <f t="shared" si="68"/>
        <v>0.99</v>
      </c>
      <c r="K2021" s="583"/>
      <c r="L2021" s="268" t="s">
        <v>2625</v>
      </c>
      <c r="M2021" s="268" t="s">
        <v>2631</v>
      </c>
      <c r="N2021" s="278">
        <f>IFERROR(INDEX('Data Lokasi'!S:S,MATCH('Input Real Tanam&amp;Petik Nanas'!C2021,'Data Lokasi'!C:C,0)),"")</f>
        <v>46302</v>
      </c>
      <c r="O2021" s="278"/>
      <c r="P2021" s="283">
        <f>IFERROR(INDEX('Data Lokasi'!V:V,MATCH(C2021,'Data Lokasi'!C:C,0)),"")</f>
        <v>7.0299999999999994</v>
      </c>
      <c r="Q2021" s="304">
        <f t="shared" si="69"/>
        <v>0.92015706806282715</v>
      </c>
      <c r="R2021" s="308"/>
    </row>
    <row r="2022" spans="2:18" hidden="1">
      <c r="B2022" s="269">
        <v>46306</v>
      </c>
      <c r="C2022" s="268" t="s">
        <v>2713</v>
      </c>
      <c r="D2022" s="274">
        <f>IFERROR(VLOOKUP(C2022,'Data Lokasi'!C:D,2,0),"")</f>
        <v>10.01</v>
      </c>
      <c r="E2022" s="274" t="s">
        <v>2642</v>
      </c>
      <c r="F2022" s="274"/>
      <c r="G2022" s="274">
        <v>0.18</v>
      </c>
      <c r="H2022" s="274"/>
      <c r="I2022" s="274"/>
      <c r="J2022" s="456">
        <f t="shared" si="68"/>
        <v>0.18</v>
      </c>
      <c r="K2022" s="583"/>
      <c r="L2022" s="268" t="s">
        <v>719</v>
      </c>
      <c r="M2022" s="268" t="s">
        <v>2631</v>
      </c>
      <c r="N2022" s="278">
        <f>IFERROR(INDEX('Data Lokasi'!S:S,MATCH('Input Real Tanam&amp;Petik Nanas'!C2022,'Data Lokasi'!C:C,0)),"")</f>
        <v>46284</v>
      </c>
      <c r="O2022" s="278"/>
      <c r="P2022" s="283">
        <f>IFERROR(INDEX('Data Lokasi'!V:V,MATCH(C2022,'Data Lokasi'!C:C,0)),"")</f>
        <v>9.0100000000000016</v>
      </c>
      <c r="Q2022" s="304">
        <f t="shared" si="69"/>
        <v>0.90009990009990026</v>
      </c>
      <c r="R2022" s="308"/>
    </row>
    <row r="2023" spans="2:18" hidden="1">
      <c r="B2023" s="269">
        <v>46306</v>
      </c>
      <c r="C2023" s="268" t="s">
        <v>306</v>
      </c>
      <c r="D2023" s="274">
        <f>IFERROR(VLOOKUP(C2023,'Data Lokasi'!C:D,2,0),"")</f>
        <v>6.68</v>
      </c>
      <c r="E2023" s="274" t="s">
        <v>2642</v>
      </c>
      <c r="F2023" s="274"/>
      <c r="G2023" s="274"/>
      <c r="H2023" s="274"/>
      <c r="I2023" s="274">
        <v>0.28000000000000003</v>
      </c>
      <c r="J2023" s="456">
        <f t="shared" si="68"/>
        <v>0.28000000000000003</v>
      </c>
      <c r="K2023" s="583"/>
      <c r="L2023" s="268" t="s">
        <v>2625</v>
      </c>
      <c r="M2023" s="268" t="s">
        <v>2631</v>
      </c>
      <c r="N2023" s="278">
        <f>IFERROR(INDEX('Data Lokasi'!S:S,MATCH('Input Real Tanam&amp;Petik Nanas'!C2023,'Data Lokasi'!C:C,0)),"")</f>
        <v>46306</v>
      </c>
      <c r="O2023" s="278"/>
      <c r="P2023" s="283">
        <f>IFERROR(INDEX('Data Lokasi'!V:V,MATCH(C2023,'Data Lokasi'!C:C,0)),"")</f>
        <v>0.58000000000000007</v>
      </c>
      <c r="Q2023" s="304">
        <f t="shared" si="69"/>
        <v>8.682634730538924E-2</v>
      </c>
      <c r="R2023" s="308"/>
    </row>
    <row r="2024" spans="2:18" hidden="1">
      <c r="B2024" s="269">
        <v>46306</v>
      </c>
      <c r="C2024" s="268" t="s">
        <v>2737</v>
      </c>
      <c r="D2024" s="274">
        <f>IFERROR(VLOOKUP(C2024,'Data Lokasi'!C:D,2,0),"")</f>
        <v>7.19</v>
      </c>
      <c r="E2024" s="274" t="s">
        <v>2642</v>
      </c>
      <c r="F2024" s="274"/>
      <c r="G2024" s="274"/>
      <c r="H2024" s="274">
        <v>0.06</v>
      </c>
      <c r="I2024" s="274"/>
      <c r="J2024" s="456">
        <f t="shared" si="68"/>
        <v>0.06</v>
      </c>
      <c r="K2024" s="583"/>
      <c r="L2024" s="268" t="s">
        <v>719</v>
      </c>
      <c r="M2024" s="268" t="s">
        <v>2634</v>
      </c>
      <c r="N2024" s="278">
        <f>IFERROR(INDEX('Data Lokasi'!S:S,MATCH('Input Real Tanam&amp;Petik Nanas'!C2024,'Data Lokasi'!C:C,0)),"")</f>
        <v>46290</v>
      </c>
      <c r="O2024" s="278"/>
      <c r="P2024" s="283">
        <f>IFERROR(INDEX('Data Lokasi'!V:V,MATCH(C2024,'Data Lokasi'!C:C,0)),"")</f>
        <v>6.8199999999999994</v>
      </c>
      <c r="Q2024" s="304">
        <f t="shared" si="69"/>
        <v>0.94853963838664801</v>
      </c>
      <c r="R2024" s="308"/>
    </row>
    <row r="2025" spans="2:18" hidden="1">
      <c r="B2025" s="269">
        <v>46306</v>
      </c>
      <c r="C2025" s="268" t="s">
        <v>125</v>
      </c>
      <c r="D2025" s="274">
        <f>IFERROR(VLOOKUP(C2025,'Data Lokasi'!C:D,2,0),"")</f>
        <v>6.45</v>
      </c>
      <c r="E2025" s="274" t="s">
        <v>2642</v>
      </c>
      <c r="F2025" s="274"/>
      <c r="G2025" s="274"/>
      <c r="H2025" s="274"/>
      <c r="I2025" s="274">
        <v>0.2</v>
      </c>
      <c r="J2025" s="456">
        <f t="shared" si="68"/>
        <v>0.2</v>
      </c>
      <c r="K2025" s="583"/>
      <c r="L2025" s="268" t="s">
        <v>2625</v>
      </c>
      <c r="M2025" s="268" t="s">
        <v>2634</v>
      </c>
      <c r="N2025" s="278">
        <f>IFERROR(INDEX('Data Lokasi'!S:S,MATCH('Input Real Tanam&amp;Petik Nanas'!C2025,'Data Lokasi'!C:C,0)),"")</f>
        <v>46299</v>
      </c>
      <c r="O2025" s="278"/>
      <c r="P2025" s="283">
        <f>IFERROR(INDEX('Data Lokasi'!V:V,MATCH(C2025,'Data Lokasi'!C:C,0)),"")</f>
        <v>6.4500000000000011</v>
      </c>
      <c r="Q2025" s="304">
        <f t="shared" si="69"/>
        <v>1.0000000000000002</v>
      </c>
      <c r="R2025" s="308"/>
    </row>
    <row r="2026" spans="2:18" hidden="1">
      <c r="B2026" s="269">
        <v>46306</v>
      </c>
      <c r="C2026" s="375" t="s">
        <v>696</v>
      </c>
      <c r="D2026" s="274">
        <f>IFERROR(VLOOKUP(C2026,'Data Lokasi'!C:D,2,0),"")</f>
        <v>12.75</v>
      </c>
      <c r="E2026" s="274" t="s">
        <v>2642</v>
      </c>
      <c r="F2026" s="274"/>
      <c r="G2026" s="274"/>
      <c r="H2026" s="274"/>
      <c r="I2026" s="274">
        <v>0.18</v>
      </c>
      <c r="J2026" s="456">
        <f t="shared" si="68"/>
        <v>0.18</v>
      </c>
      <c r="K2026" s="583"/>
      <c r="L2026" s="268" t="s">
        <v>719</v>
      </c>
      <c r="M2026" s="268" t="s">
        <v>2634</v>
      </c>
      <c r="N2026" s="278">
        <f>IFERROR(INDEX('Data Lokasi'!S:S,MATCH('Input Real Tanam&amp;Petik Nanas'!C2026,'Data Lokasi'!C:C,0)),"")</f>
        <v>46290</v>
      </c>
      <c r="O2026" s="278"/>
      <c r="P2026" s="283">
        <f>IFERROR(INDEX('Data Lokasi'!V:V,MATCH(C2026,'Data Lokasi'!C:C,0)),"")</f>
        <v>9.51</v>
      </c>
      <c r="Q2026" s="304">
        <f t="shared" si="69"/>
        <v>0.74588235294117644</v>
      </c>
      <c r="R2026" s="308"/>
    </row>
    <row r="2027" spans="2:18" hidden="1">
      <c r="B2027" s="269">
        <v>46306</v>
      </c>
      <c r="C2027" s="268" t="s">
        <v>280</v>
      </c>
      <c r="D2027" s="274">
        <f>IFERROR(VLOOKUP(C2027,'Data Lokasi'!C:D,2,0),"")</f>
        <v>9.2200000000000006</v>
      </c>
      <c r="E2027" s="274" t="s">
        <v>2642</v>
      </c>
      <c r="F2027" s="274"/>
      <c r="G2027" s="274"/>
      <c r="H2027" s="274"/>
      <c r="I2027" s="274">
        <v>1.37</v>
      </c>
      <c r="J2027" s="456">
        <f t="shared" si="68"/>
        <v>1.37</v>
      </c>
      <c r="K2027" s="583"/>
      <c r="L2027" s="268" t="s">
        <v>2625</v>
      </c>
      <c r="M2027" s="268" t="s">
        <v>2634</v>
      </c>
      <c r="N2027" s="278">
        <f>IFERROR(INDEX('Data Lokasi'!S:S,MATCH('Input Real Tanam&amp;Petik Nanas'!C2027,'Data Lokasi'!C:C,0)),"")</f>
        <v>46304</v>
      </c>
      <c r="O2027" s="278"/>
      <c r="P2027" s="283">
        <f>IFERROR(INDEX('Data Lokasi'!V:V,MATCH(C2027,'Data Lokasi'!C:C,0)),"")</f>
        <v>5.3400000000000007</v>
      </c>
      <c r="Q2027" s="304">
        <f t="shared" si="69"/>
        <v>0.57917570498915405</v>
      </c>
      <c r="R2027" s="308"/>
    </row>
    <row r="2028" spans="2:18" hidden="1">
      <c r="B2028" s="269">
        <v>46305</v>
      </c>
      <c r="C2028" s="268" t="s">
        <v>478</v>
      </c>
      <c r="D2028" s="274">
        <f>IFERROR(VLOOKUP(C2028,'Data Lokasi'!C:D,2,0),"")</f>
        <v>6.8</v>
      </c>
      <c r="E2028" s="274" t="s">
        <v>2643</v>
      </c>
      <c r="F2028" s="274"/>
      <c r="G2028" s="274"/>
      <c r="H2028" s="274">
        <f>0.01+0.03</f>
        <v>0.04</v>
      </c>
      <c r="I2028" s="274">
        <f>0.04+0.09</f>
        <v>0.13</v>
      </c>
      <c r="J2028" s="456">
        <f t="shared" si="68"/>
        <v>0.17</v>
      </c>
      <c r="K2028" s="583">
        <v>13200</v>
      </c>
      <c r="L2028" s="268" t="s">
        <v>719</v>
      </c>
      <c r="M2028" s="268" t="s">
        <v>2634</v>
      </c>
      <c r="N2028" s="278">
        <f>IFERROR(INDEX('Data Lokasi'!S:S,MATCH('Input Real Tanam&amp;Petik Nanas'!C2028,'Data Lokasi'!C:C,0)),"")</f>
        <v>44517</v>
      </c>
      <c r="O2028" s="278"/>
      <c r="P2028" s="283">
        <f>IFERROR(INDEX('Data Lokasi'!V:V,MATCH(C2028,'Data Lokasi'!C:C,0)),"")</f>
        <v>0</v>
      </c>
      <c r="Q2028" s="304">
        <f t="shared" si="69"/>
        <v>0</v>
      </c>
      <c r="R2028" s="308">
        <v>7</v>
      </c>
    </row>
    <row r="2029" spans="2:18" hidden="1">
      <c r="B2029" s="269">
        <v>46305</v>
      </c>
      <c r="C2029" s="268" t="s">
        <v>2565</v>
      </c>
      <c r="D2029" s="274">
        <f>IFERROR(VLOOKUP(C2029,'Data Lokasi'!C:D,2,0),"")</f>
        <v>8.15</v>
      </c>
      <c r="E2029" s="274" t="s">
        <v>2643</v>
      </c>
      <c r="F2029" s="274"/>
      <c r="G2029" s="274"/>
      <c r="H2029" s="274"/>
      <c r="I2029" s="274">
        <v>2.76</v>
      </c>
      <c r="J2029" s="456">
        <f t="shared" si="68"/>
        <v>2.76</v>
      </c>
      <c r="K2029" s="583">
        <v>202950</v>
      </c>
      <c r="L2029" s="268" t="s">
        <v>2625</v>
      </c>
      <c r="M2029" s="268" t="s">
        <v>2631</v>
      </c>
      <c r="N2029" s="278">
        <f>IFERROR(INDEX('Data Lokasi'!S:S,MATCH('Input Real Tanam&amp;Petik Nanas'!C2029,'Data Lokasi'!C:C,0)),"")</f>
        <v>45827</v>
      </c>
      <c r="O2029" s="278"/>
      <c r="P2029" s="283">
        <f>IFERROR(INDEX('Data Lokasi'!V:V,MATCH(C2029,'Data Lokasi'!C:C,0)),"")</f>
        <v>0</v>
      </c>
      <c r="Q2029" s="304">
        <f t="shared" si="69"/>
        <v>0</v>
      </c>
      <c r="R2029" s="308"/>
    </row>
    <row r="2030" spans="2:18" hidden="1">
      <c r="B2030" s="269">
        <v>46305</v>
      </c>
      <c r="C2030" s="268" t="s">
        <v>2548</v>
      </c>
      <c r="D2030" s="274">
        <f>IFERROR(VLOOKUP(C2030,'Data Lokasi'!C:D,2,0),"")</f>
        <v>6.83</v>
      </c>
      <c r="E2030" s="274" t="s">
        <v>2643</v>
      </c>
      <c r="F2030" s="274"/>
      <c r="G2030" s="274">
        <v>8.9999999999999993E-3</v>
      </c>
      <c r="H2030" s="274">
        <f>0.03+0.06</f>
        <v>0.09</v>
      </c>
      <c r="I2030" s="274"/>
      <c r="J2030" s="456">
        <f t="shared" si="68"/>
        <v>9.8999999999999991E-2</v>
      </c>
      <c r="K2030" s="583">
        <v>8150</v>
      </c>
      <c r="L2030" s="268" t="s">
        <v>719</v>
      </c>
      <c r="M2030" s="268" t="s">
        <v>2631</v>
      </c>
      <c r="N2030" s="278">
        <f>IFERROR(INDEX('Data Lokasi'!S:S,MATCH('Input Real Tanam&amp;Petik Nanas'!C2030,'Data Lokasi'!C:C,0)),"")</f>
        <v>45600</v>
      </c>
      <c r="O2030" s="278"/>
      <c r="P2030" s="283">
        <f>IFERROR(INDEX('Data Lokasi'!V:V,MATCH(C2030,'Data Lokasi'!C:C,0)),"")</f>
        <v>0</v>
      </c>
      <c r="Q2030" s="304">
        <f t="shared" si="69"/>
        <v>0</v>
      </c>
      <c r="R2030" s="308">
        <v>2</v>
      </c>
    </row>
    <row r="2031" spans="2:18" hidden="1">
      <c r="B2031" s="269">
        <v>46306</v>
      </c>
      <c r="C2031" s="268" t="s">
        <v>570</v>
      </c>
      <c r="D2031" s="274">
        <f>IFERROR(VLOOKUP(C2031,'Data Lokasi'!C:D,2,0),"")</f>
        <v>10.58</v>
      </c>
      <c r="E2031" s="274" t="s">
        <v>2643</v>
      </c>
      <c r="F2031" s="274"/>
      <c r="G2031" s="274"/>
      <c r="H2031" s="274"/>
      <c r="I2031" s="274">
        <v>1.98</v>
      </c>
      <c r="J2031" s="456">
        <f t="shared" si="68"/>
        <v>1.98</v>
      </c>
      <c r="K2031" s="583">
        <v>145050</v>
      </c>
      <c r="L2031" s="268" t="s">
        <v>2625</v>
      </c>
      <c r="M2031" s="268" t="s">
        <v>2634</v>
      </c>
      <c r="N2031" s="278">
        <f>IFERROR(INDEX('Data Lokasi'!S:S,MATCH('Input Real Tanam&amp;Petik Nanas'!C2031,'Data Lokasi'!C:C,0)),"")</f>
        <v>44692</v>
      </c>
      <c r="O2031" s="278"/>
      <c r="P2031" s="283">
        <f>IFERROR(INDEX('Data Lokasi'!V:V,MATCH(C2031,'Data Lokasi'!C:C,0)),"")</f>
        <v>0</v>
      </c>
      <c r="Q2031" s="304">
        <f t="shared" si="69"/>
        <v>0</v>
      </c>
      <c r="R2031" s="308"/>
    </row>
    <row r="2032" spans="2:18" hidden="1">
      <c r="B2032" s="269">
        <v>46306</v>
      </c>
      <c r="C2032" s="268" t="s">
        <v>2565</v>
      </c>
      <c r="D2032" s="274">
        <f>IFERROR(VLOOKUP(C2032,'Data Lokasi'!C:D,2,0),"")</f>
        <v>8.15</v>
      </c>
      <c r="E2032" s="274" t="s">
        <v>2643</v>
      </c>
      <c r="F2032" s="274"/>
      <c r="G2032" s="274"/>
      <c r="H2032" s="274"/>
      <c r="I2032" s="274">
        <v>0.68</v>
      </c>
      <c r="J2032" s="456">
        <f t="shared" si="68"/>
        <v>0.68</v>
      </c>
      <c r="K2032" s="583">
        <v>49950</v>
      </c>
      <c r="L2032" s="268" t="s">
        <v>2625</v>
      </c>
      <c r="M2032" s="268" t="s">
        <v>2631</v>
      </c>
      <c r="N2032" s="278">
        <f>IFERROR(INDEX('Data Lokasi'!S:S,MATCH('Input Real Tanam&amp;Petik Nanas'!C2032,'Data Lokasi'!C:C,0)),"")</f>
        <v>45827</v>
      </c>
      <c r="O2032" s="278"/>
      <c r="P2032" s="283">
        <f>IFERROR(INDEX('Data Lokasi'!V:V,MATCH(C2032,'Data Lokasi'!C:C,0)),"")</f>
        <v>0</v>
      </c>
      <c r="Q2032" s="304">
        <f t="shared" si="69"/>
        <v>0</v>
      </c>
      <c r="R2032" s="308"/>
    </row>
    <row r="2033" spans="2:18" hidden="1">
      <c r="B2033" s="269">
        <v>46307</v>
      </c>
      <c r="C2033" s="268" t="s">
        <v>125</v>
      </c>
      <c r="D2033" s="274">
        <f>IFERROR(VLOOKUP(C2033,'Data Lokasi'!C:D,2,0),"")</f>
        <v>6.45</v>
      </c>
      <c r="E2033" s="274" t="s">
        <v>2642</v>
      </c>
      <c r="F2033" s="274"/>
      <c r="G2033" s="274"/>
      <c r="H2033" s="274"/>
      <c r="I2033" s="274">
        <v>0.22</v>
      </c>
      <c r="J2033" s="456">
        <f t="shared" si="68"/>
        <v>0.22</v>
      </c>
      <c r="K2033" s="583"/>
      <c r="L2033" s="268" t="s">
        <v>2625</v>
      </c>
      <c r="M2033" s="268" t="s">
        <v>2634</v>
      </c>
      <c r="N2033" s="278">
        <f>IFERROR(INDEX('Data Lokasi'!S:S,MATCH('Input Real Tanam&amp;Petik Nanas'!C2033,'Data Lokasi'!C:C,0)),"")</f>
        <v>46299</v>
      </c>
      <c r="O2033" s="278"/>
      <c r="P2033" s="283">
        <f>IFERROR(INDEX('Data Lokasi'!V:V,MATCH(C2033,'Data Lokasi'!C:C,0)),"")</f>
        <v>6.4500000000000011</v>
      </c>
      <c r="Q2033" s="304">
        <f t="shared" si="69"/>
        <v>1.0000000000000002</v>
      </c>
      <c r="R2033" s="308"/>
    </row>
    <row r="2034" spans="2:18" hidden="1">
      <c r="B2034" s="269">
        <v>46307</v>
      </c>
      <c r="C2034" s="375" t="s">
        <v>696</v>
      </c>
      <c r="D2034" s="274">
        <f>IFERROR(VLOOKUP(C2034,'Data Lokasi'!C:D,2,0),"")</f>
        <v>12.75</v>
      </c>
      <c r="E2034" s="274" t="s">
        <v>2642</v>
      </c>
      <c r="F2034" s="274"/>
      <c r="G2034" s="274"/>
      <c r="H2034" s="274"/>
      <c r="I2034" s="274">
        <v>0.08</v>
      </c>
      <c r="J2034" s="456">
        <f t="shared" si="68"/>
        <v>0.08</v>
      </c>
      <c r="K2034" s="583"/>
      <c r="L2034" s="268" t="s">
        <v>719</v>
      </c>
      <c r="M2034" s="268" t="s">
        <v>2634</v>
      </c>
      <c r="N2034" s="278">
        <f>IFERROR(INDEX('Data Lokasi'!S:S,MATCH('Input Real Tanam&amp;Petik Nanas'!C2034,'Data Lokasi'!C:C,0)),"")</f>
        <v>46290</v>
      </c>
      <c r="O2034" s="278"/>
      <c r="P2034" s="283">
        <f>IFERROR(INDEX('Data Lokasi'!V:V,MATCH(C2034,'Data Lokasi'!C:C,0)),"")</f>
        <v>9.51</v>
      </c>
      <c r="Q2034" s="304">
        <f t="shared" si="69"/>
        <v>0.74588235294117644</v>
      </c>
      <c r="R2034" s="308"/>
    </row>
    <row r="2035" spans="2:18" hidden="1">
      <c r="B2035" s="269">
        <v>46307</v>
      </c>
      <c r="C2035" s="268" t="s">
        <v>280</v>
      </c>
      <c r="D2035" s="274">
        <f>IFERROR(VLOOKUP(C2035,'Data Lokasi'!C:D,2,0),"")</f>
        <v>9.2200000000000006</v>
      </c>
      <c r="E2035" s="274" t="s">
        <v>2642</v>
      </c>
      <c r="F2035" s="274"/>
      <c r="G2035" s="274"/>
      <c r="H2035" s="274"/>
      <c r="I2035" s="274">
        <v>0.56000000000000005</v>
      </c>
      <c r="J2035" s="456">
        <f t="shared" si="68"/>
        <v>0.56000000000000005</v>
      </c>
      <c r="K2035" s="583"/>
      <c r="L2035" s="268" t="s">
        <v>2625</v>
      </c>
      <c r="M2035" s="268" t="s">
        <v>2634</v>
      </c>
      <c r="N2035" s="278">
        <f>IFERROR(INDEX('Data Lokasi'!S:S,MATCH('Input Real Tanam&amp;Petik Nanas'!C2035,'Data Lokasi'!C:C,0)),"")</f>
        <v>46304</v>
      </c>
      <c r="O2035" s="278"/>
      <c r="P2035" s="283">
        <f>IFERROR(INDEX('Data Lokasi'!V:V,MATCH(C2035,'Data Lokasi'!C:C,0)),"")</f>
        <v>5.3400000000000007</v>
      </c>
      <c r="Q2035" s="304">
        <f t="shared" si="69"/>
        <v>0.57917570498915405</v>
      </c>
      <c r="R2035" s="308"/>
    </row>
    <row r="2036" spans="2:18" hidden="1">
      <c r="B2036" s="269">
        <v>46307</v>
      </c>
      <c r="C2036" s="268" t="s">
        <v>683</v>
      </c>
      <c r="D2036" s="274">
        <f>IFERROR(VLOOKUP(C2036,'Data Lokasi'!C:D,2,0),"")</f>
        <v>7.64</v>
      </c>
      <c r="E2036" s="274" t="s">
        <v>2642</v>
      </c>
      <c r="F2036" s="274"/>
      <c r="G2036" s="274"/>
      <c r="H2036" s="274"/>
      <c r="I2036" s="274">
        <v>1.47</v>
      </c>
      <c r="J2036" s="456">
        <f t="shared" si="68"/>
        <v>1.47</v>
      </c>
      <c r="K2036" s="583"/>
      <c r="L2036" s="268" t="s">
        <v>2625</v>
      </c>
      <c r="M2036" s="268" t="s">
        <v>2631</v>
      </c>
      <c r="N2036" s="278">
        <f>IFERROR(INDEX('Data Lokasi'!S:S,MATCH('Input Real Tanam&amp;Petik Nanas'!C2036,'Data Lokasi'!C:C,0)),"")</f>
        <v>46302</v>
      </c>
      <c r="O2036" s="278"/>
      <c r="P2036" s="283">
        <f>IFERROR(INDEX('Data Lokasi'!V:V,MATCH(C2036,'Data Lokasi'!C:C,0)),"")</f>
        <v>7.0299999999999994</v>
      </c>
      <c r="Q2036" s="304">
        <f t="shared" si="69"/>
        <v>0.92015706806282715</v>
      </c>
      <c r="R2036" s="308"/>
    </row>
    <row r="2037" spans="2:18" hidden="1">
      <c r="B2037" s="269">
        <v>46307</v>
      </c>
      <c r="C2037" s="268" t="s">
        <v>134</v>
      </c>
      <c r="D2037" s="274">
        <f>IFERROR(VLOOKUP(C2037,'Data Lokasi'!C:D,2,0),"")</f>
        <v>4.1900000000000004</v>
      </c>
      <c r="E2037" s="274" t="s">
        <v>2642</v>
      </c>
      <c r="F2037" s="274"/>
      <c r="G2037" s="274"/>
      <c r="H2037" s="274"/>
      <c r="I2037" s="274">
        <v>0.42</v>
      </c>
      <c r="J2037" s="456">
        <f t="shared" si="68"/>
        <v>0.42</v>
      </c>
      <c r="K2037" s="583"/>
      <c r="L2037" s="268" t="s">
        <v>2625</v>
      </c>
      <c r="M2037" s="268" t="s">
        <v>2631</v>
      </c>
      <c r="N2037" s="278">
        <f>IFERROR(INDEX('Data Lokasi'!S:S,MATCH('Input Real Tanam&amp;Petik Nanas'!C2037,'Data Lokasi'!C:C,0)),"")</f>
        <v>46295</v>
      </c>
      <c r="O2037" s="278"/>
      <c r="P2037" s="283">
        <f>IFERROR(INDEX('Data Lokasi'!V:V,MATCH(C2037,'Data Lokasi'!C:C,0)),"")</f>
        <v>4.1899999999999995</v>
      </c>
      <c r="Q2037" s="304">
        <f t="shared" si="69"/>
        <v>0.99999999999999978</v>
      </c>
      <c r="R2037" s="308"/>
    </row>
    <row r="2038" spans="2:18" hidden="1">
      <c r="B2038" s="269">
        <v>46307</v>
      </c>
      <c r="C2038" s="268" t="s">
        <v>306</v>
      </c>
      <c r="D2038" s="274">
        <f>IFERROR(VLOOKUP(C2038,'Data Lokasi'!C:D,2,0),"")</f>
        <v>6.68</v>
      </c>
      <c r="E2038" s="274" t="s">
        <v>2642</v>
      </c>
      <c r="F2038" s="274"/>
      <c r="G2038" s="274"/>
      <c r="H2038" s="274"/>
      <c r="I2038" s="274">
        <v>0.16</v>
      </c>
      <c r="J2038" s="456">
        <f t="shared" si="68"/>
        <v>0.16</v>
      </c>
      <c r="K2038" s="583"/>
      <c r="L2038" s="268" t="s">
        <v>2625</v>
      </c>
      <c r="M2038" s="268" t="s">
        <v>2631</v>
      </c>
      <c r="N2038" s="278">
        <f>IFERROR(INDEX('Data Lokasi'!S:S,MATCH('Input Real Tanam&amp;Petik Nanas'!C2038,'Data Lokasi'!C:C,0)),"")</f>
        <v>46306</v>
      </c>
      <c r="O2038" s="278"/>
      <c r="P2038" s="283">
        <f>IFERROR(INDEX('Data Lokasi'!V:V,MATCH(C2038,'Data Lokasi'!C:C,0)),"")</f>
        <v>0.58000000000000007</v>
      </c>
      <c r="Q2038" s="304">
        <f t="shared" si="69"/>
        <v>8.682634730538924E-2</v>
      </c>
      <c r="R2038" s="308"/>
    </row>
    <row r="2039" spans="2:18" hidden="1">
      <c r="B2039" s="269">
        <v>46307</v>
      </c>
      <c r="C2039" s="268" t="s">
        <v>686</v>
      </c>
      <c r="D2039" s="274">
        <f>IFERROR(VLOOKUP(C2039,'Data Lokasi'!C:D,2,0),"")</f>
        <v>8.09</v>
      </c>
      <c r="E2039" s="274" t="s">
        <v>2642</v>
      </c>
      <c r="F2039" s="274"/>
      <c r="G2039" s="274"/>
      <c r="H2039" s="274"/>
      <c r="I2039" s="274">
        <v>0.22</v>
      </c>
      <c r="J2039" s="456">
        <f t="shared" si="68"/>
        <v>0.22</v>
      </c>
      <c r="K2039" s="583"/>
      <c r="L2039" s="268" t="s">
        <v>2625</v>
      </c>
      <c r="M2039" s="268" t="s">
        <v>2631</v>
      </c>
      <c r="N2039" s="278">
        <f>IFERROR(INDEX('Data Lokasi'!S:S,MATCH('Input Real Tanam&amp;Petik Nanas'!C2039,'Data Lokasi'!C:C,0)),"")</f>
        <v>46301</v>
      </c>
      <c r="O2039" s="278"/>
      <c r="P2039" s="283">
        <f>IFERROR(INDEX('Data Lokasi'!V:V,MATCH(C2039,'Data Lokasi'!C:C,0)),"")</f>
        <v>7.7799999999999985</v>
      </c>
      <c r="Q2039" s="304">
        <f t="shared" si="69"/>
        <v>0.96168108776266981</v>
      </c>
      <c r="R2039" s="308"/>
    </row>
    <row r="2040" spans="2:18" hidden="1">
      <c r="B2040" s="269">
        <v>46307</v>
      </c>
      <c r="C2040" s="268" t="s">
        <v>514</v>
      </c>
      <c r="D2040" s="274">
        <f>IFERROR(VLOOKUP(C2040,'Data Lokasi'!C:D,2,0),"")</f>
        <v>9.68</v>
      </c>
      <c r="E2040" s="274" t="s">
        <v>2643</v>
      </c>
      <c r="F2040" s="274"/>
      <c r="G2040" s="274">
        <v>5.0000000000000001E-3</v>
      </c>
      <c r="H2040" s="274">
        <f>0.03+0.09</f>
        <v>0.12</v>
      </c>
      <c r="I2040" s="274"/>
      <c r="J2040" s="456">
        <f t="shared" si="68"/>
        <v>0.125</v>
      </c>
      <c r="K2040" s="583">
        <v>9525</v>
      </c>
      <c r="L2040" s="268" t="s">
        <v>719</v>
      </c>
      <c r="M2040" s="268" t="s">
        <v>2631</v>
      </c>
      <c r="N2040" s="278">
        <f>IFERROR(INDEX('Data Lokasi'!S:S,MATCH('Input Real Tanam&amp;Petik Nanas'!C2040,'Data Lokasi'!C:C,0)),"")</f>
        <v>44578</v>
      </c>
      <c r="O2040" s="278"/>
      <c r="P2040" s="283">
        <f>IFERROR(INDEX('Data Lokasi'!V:V,MATCH(C2040,'Data Lokasi'!C:C,0)),"")</f>
        <v>0</v>
      </c>
      <c r="Q2040" s="304">
        <f t="shared" si="69"/>
        <v>0</v>
      </c>
      <c r="R2040" s="308">
        <v>2</v>
      </c>
    </row>
    <row r="2041" spans="2:18" hidden="1">
      <c r="B2041" s="269">
        <v>46307</v>
      </c>
      <c r="C2041" s="268" t="s">
        <v>2565</v>
      </c>
      <c r="D2041" s="274">
        <f>IFERROR(VLOOKUP(C2041,'Data Lokasi'!C:D,2,0),"")</f>
        <v>8.15</v>
      </c>
      <c r="E2041" s="274" t="s">
        <v>2643</v>
      </c>
      <c r="F2041" s="274"/>
      <c r="G2041" s="274"/>
      <c r="H2041" s="274"/>
      <c r="I2041" s="274">
        <v>0.57999999999999996</v>
      </c>
      <c r="J2041" s="456">
        <f t="shared" si="68"/>
        <v>0.57999999999999996</v>
      </c>
      <c r="K2041" s="583">
        <v>42900</v>
      </c>
      <c r="L2041" s="268" t="s">
        <v>2625</v>
      </c>
      <c r="M2041" s="268" t="s">
        <v>2631</v>
      </c>
      <c r="N2041" s="278">
        <f>IFERROR(INDEX('Data Lokasi'!S:S,MATCH('Input Real Tanam&amp;Petik Nanas'!C2041,'Data Lokasi'!C:C,0)),"")</f>
        <v>45827</v>
      </c>
      <c r="O2041" s="278"/>
      <c r="P2041" s="283">
        <f>IFERROR(INDEX('Data Lokasi'!V:V,MATCH(C2041,'Data Lokasi'!C:C,0)),"")</f>
        <v>0</v>
      </c>
      <c r="Q2041" s="304">
        <f t="shared" si="69"/>
        <v>0</v>
      </c>
      <c r="R2041" s="308"/>
    </row>
    <row r="2042" spans="2:18" hidden="1">
      <c r="B2042" s="269">
        <v>46307</v>
      </c>
      <c r="C2042" s="268" t="s">
        <v>570</v>
      </c>
      <c r="D2042" s="274">
        <f>IFERROR(VLOOKUP(C2042,'Data Lokasi'!C:D,2,0),"")</f>
        <v>10.58</v>
      </c>
      <c r="E2042" s="274" t="s">
        <v>2643</v>
      </c>
      <c r="F2042" s="274"/>
      <c r="G2042" s="274"/>
      <c r="H2042" s="274"/>
      <c r="I2042" s="274">
        <v>0.97</v>
      </c>
      <c r="J2042" s="456">
        <f t="shared" si="68"/>
        <v>0.97</v>
      </c>
      <c r="K2042" s="583">
        <v>71250</v>
      </c>
      <c r="L2042" s="268" t="s">
        <v>2625</v>
      </c>
      <c r="M2042" s="268" t="s">
        <v>2634</v>
      </c>
      <c r="N2042" s="278">
        <f>IFERROR(INDEX('Data Lokasi'!S:S,MATCH('Input Real Tanam&amp;Petik Nanas'!C2042,'Data Lokasi'!C:C,0)),"")</f>
        <v>44692</v>
      </c>
      <c r="O2042" s="278"/>
      <c r="P2042" s="283">
        <f>IFERROR(INDEX('Data Lokasi'!V:V,MATCH(C2042,'Data Lokasi'!C:C,0)),"")</f>
        <v>0</v>
      </c>
      <c r="Q2042" s="304">
        <f t="shared" si="69"/>
        <v>0</v>
      </c>
      <c r="R2042" s="308"/>
    </row>
    <row r="2043" spans="2:18" hidden="1">
      <c r="B2043" s="269">
        <v>46307</v>
      </c>
      <c r="C2043" s="268" t="s">
        <v>561</v>
      </c>
      <c r="D2043" s="274">
        <f>IFERROR(VLOOKUP(C2043,'Data Lokasi'!C:D,2,0),"")</f>
        <v>9.5500000000000007</v>
      </c>
      <c r="E2043" s="274" t="s">
        <v>2643</v>
      </c>
      <c r="F2043" s="274"/>
      <c r="G2043" s="274"/>
      <c r="H2043" s="274"/>
      <c r="I2043" s="274">
        <v>0.21</v>
      </c>
      <c r="J2043" s="456">
        <f t="shared" si="68"/>
        <v>0.21</v>
      </c>
      <c r="K2043" s="583">
        <v>15250</v>
      </c>
      <c r="L2043" s="268" t="s">
        <v>2625</v>
      </c>
      <c r="M2043" s="268" t="s">
        <v>2634</v>
      </c>
      <c r="N2043" s="278">
        <f>IFERROR(INDEX('Data Lokasi'!S:S,MATCH('Input Real Tanam&amp;Petik Nanas'!C2043,'Data Lokasi'!C:C,0)),"")</f>
        <v>44666</v>
      </c>
      <c r="O2043" s="278"/>
      <c r="P2043" s="283">
        <f>IFERROR(INDEX('Data Lokasi'!V:V,MATCH(C2043,'Data Lokasi'!C:C,0)),"")</f>
        <v>0</v>
      </c>
      <c r="Q2043" s="304">
        <f t="shared" si="69"/>
        <v>0</v>
      </c>
      <c r="R2043" s="308"/>
    </row>
    <row r="2044" spans="2:18" hidden="1">
      <c r="B2044" s="269">
        <v>46307</v>
      </c>
      <c r="C2044" s="268" t="s">
        <v>359</v>
      </c>
      <c r="D2044" s="274">
        <f>IFERROR(VLOOKUP(C2044,'Data Lokasi'!C:D,2,0),"")</f>
        <v>10</v>
      </c>
      <c r="E2044" s="274" t="s">
        <v>2643</v>
      </c>
      <c r="F2044" s="274"/>
      <c r="G2044" s="274"/>
      <c r="H2044" s="274"/>
      <c r="I2044" s="274">
        <v>0.24</v>
      </c>
      <c r="J2044" s="456">
        <f t="shared" si="68"/>
        <v>0.24</v>
      </c>
      <c r="K2044" s="583">
        <v>17400</v>
      </c>
      <c r="L2044" s="268" t="s">
        <v>2625</v>
      </c>
      <c r="M2044" s="268" t="s">
        <v>2634</v>
      </c>
      <c r="N2044" s="278">
        <f>IFERROR(INDEX('Data Lokasi'!S:S,MATCH('Input Real Tanam&amp;Petik Nanas'!C2044,'Data Lokasi'!C:C,0)),"")</f>
        <v>44295</v>
      </c>
      <c r="O2044" s="278"/>
      <c r="P2044" s="283">
        <f>IFERROR(INDEX('Data Lokasi'!V:V,MATCH(C2044,'Data Lokasi'!C:C,0)),"")</f>
        <v>0</v>
      </c>
      <c r="Q2044" s="304">
        <f t="shared" si="69"/>
        <v>0</v>
      </c>
      <c r="R2044" s="308"/>
    </row>
    <row r="2045" spans="2:18" hidden="1">
      <c r="B2045" s="269">
        <v>46307</v>
      </c>
      <c r="C2045" s="268" t="s">
        <v>395</v>
      </c>
      <c r="D2045" s="274">
        <f>IFERROR(VLOOKUP(C2045,'Data Lokasi'!C:D,2,0),"")</f>
        <v>6.32</v>
      </c>
      <c r="E2045" s="274" t="s">
        <v>2643</v>
      </c>
      <c r="F2045" s="274"/>
      <c r="G2045" s="274"/>
      <c r="H2045" s="274">
        <v>0.06</v>
      </c>
      <c r="I2045" s="274">
        <f>0.09+0.47</f>
        <v>0.55999999999999994</v>
      </c>
      <c r="J2045" s="456">
        <f t="shared" si="68"/>
        <v>0.61999999999999988</v>
      </c>
      <c r="K2045" s="583">
        <v>45275</v>
      </c>
      <c r="L2045" s="268" t="s">
        <v>719</v>
      </c>
      <c r="M2045" s="268" t="s">
        <v>2634</v>
      </c>
      <c r="N2045" s="278">
        <f>IFERROR(INDEX('Data Lokasi'!S:S,MATCH('Input Real Tanam&amp;Petik Nanas'!C2045,'Data Lokasi'!C:C,0)),"")</f>
        <v>44369</v>
      </c>
      <c r="O2045" s="278"/>
      <c r="P2045" s="283">
        <f>IFERROR(INDEX('Data Lokasi'!V:V,MATCH(C2045,'Data Lokasi'!C:C,0)),"")</f>
        <v>0</v>
      </c>
      <c r="Q2045" s="304">
        <f t="shared" si="69"/>
        <v>0</v>
      </c>
      <c r="R2045" s="308">
        <v>9</v>
      </c>
    </row>
    <row r="2046" spans="2:18" hidden="1">
      <c r="B2046" s="269">
        <v>46308</v>
      </c>
      <c r="C2046" s="268" t="s">
        <v>445</v>
      </c>
      <c r="D2046" s="274">
        <f>IFERROR(VLOOKUP(C2046,'Data Lokasi'!C:D,2,0),"")</f>
        <v>10.65</v>
      </c>
      <c r="E2046" s="274" t="s">
        <v>2642</v>
      </c>
      <c r="F2046" s="274"/>
      <c r="G2046" s="274"/>
      <c r="H2046" s="274"/>
      <c r="I2046" s="274">
        <v>0.08</v>
      </c>
      <c r="J2046" s="456">
        <f t="shared" si="68"/>
        <v>0.08</v>
      </c>
      <c r="K2046" s="583"/>
      <c r="L2046" s="268" t="s">
        <v>2625</v>
      </c>
      <c r="M2046" s="268" t="s">
        <v>2631</v>
      </c>
      <c r="N2046" s="278">
        <f>IFERROR(INDEX('Data Lokasi'!S:S,MATCH('Input Real Tanam&amp;Petik Nanas'!C2046,'Data Lokasi'!C:C,0)),"")</f>
        <v>46292</v>
      </c>
      <c r="O2046" s="278"/>
      <c r="P2046" s="283">
        <f>IFERROR(INDEX('Data Lokasi'!V:V,MATCH(C2046,'Data Lokasi'!C:C,0)),"")</f>
        <v>10.52</v>
      </c>
      <c r="Q2046" s="304">
        <f t="shared" si="69"/>
        <v>0.98779342723004693</v>
      </c>
      <c r="R2046" s="308"/>
    </row>
    <row r="2047" spans="2:18" hidden="1">
      <c r="B2047" s="269">
        <v>46308</v>
      </c>
      <c r="C2047" s="268" t="s">
        <v>2713</v>
      </c>
      <c r="D2047" s="274">
        <f>IFERROR(VLOOKUP(C2047,'Data Lokasi'!C:D,2,0),"")</f>
        <v>10.01</v>
      </c>
      <c r="E2047" s="274" t="s">
        <v>2642</v>
      </c>
      <c r="F2047" s="274"/>
      <c r="G2047" s="274"/>
      <c r="H2047" s="274">
        <v>0.21</v>
      </c>
      <c r="I2047" s="274"/>
      <c r="J2047" s="456">
        <f t="shared" si="68"/>
        <v>0.21</v>
      </c>
      <c r="K2047" s="583"/>
      <c r="L2047" s="268" t="s">
        <v>719</v>
      </c>
      <c r="M2047" s="268" t="s">
        <v>2631</v>
      </c>
      <c r="N2047" s="278">
        <f>IFERROR(INDEX('Data Lokasi'!S:S,MATCH('Input Real Tanam&amp;Petik Nanas'!C2047,'Data Lokasi'!C:C,0)),"")</f>
        <v>46284</v>
      </c>
      <c r="O2047" s="278"/>
      <c r="P2047" s="283">
        <f>IFERROR(INDEX('Data Lokasi'!V:V,MATCH(C2047,'Data Lokasi'!C:C,0)),"")</f>
        <v>9.0100000000000016</v>
      </c>
      <c r="Q2047" s="304">
        <f t="shared" si="69"/>
        <v>0.90009990009990026</v>
      </c>
      <c r="R2047" s="308"/>
    </row>
    <row r="2048" spans="2:18" hidden="1">
      <c r="B2048" s="269">
        <v>46308</v>
      </c>
      <c r="C2048" s="268" t="s">
        <v>686</v>
      </c>
      <c r="D2048" s="274">
        <f>IFERROR(VLOOKUP(C2048,'Data Lokasi'!C:D,2,0),"")</f>
        <v>8.09</v>
      </c>
      <c r="E2048" s="274" t="s">
        <v>2642</v>
      </c>
      <c r="F2048" s="274"/>
      <c r="G2048" s="274"/>
      <c r="H2048" s="274"/>
      <c r="I2048" s="274">
        <v>0.24</v>
      </c>
      <c r="J2048" s="456">
        <f t="shared" si="68"/>
        <v>0.24</v>
      </c>
      <c r="K2048" s="583"/>
      <c r="L2048" s="268" t="s">
        <v>2625</v>
      </c>
      <c r="M2048" s="268" t="s">
        <v>2631</v>
      </c>
      <c r="N2048" s="278">
        <f>IFERROR(INDEX('Data Lokasi'!S:S,MATCH('Input Real Tanam&amp;Petik Nanas'!C2048,'Data Lokasi'!C:C,0)),"")</f>
        <v>46301</v>
      </c>
      <c r="O2048" s="278"/>
      <c r="P2048" s="283">
        <f>IFERROR(INDEX('Data Lokasi'!V:V,MATCH(C2048,'Data Lokasi'!C:C,0)),"")</f>
        <v>7.7799999999999985</v>
      </c>
      <c r="Q2048" s="304">
        <f t="shared" si="69"/>
        <v>0.96168108776266981</v>
      </c>
      <c r="R2048" s="308"/>
    </row>
    <row r="2049" spans="2:18" hidden="1">
      <c r="B2049" s="269">
        <v>46308</v>
      </c>
      <c r="C2049" s="268" t="s">
        <v>683</v>
      </c>
      <c r="D2049" s="274">
        <f>IFERROR(VLOOKUP(C2049,'Data Lokasi'!C:D,2,0),"")</f>
        <v>7.64</v>
      </c>
      <c r="E2049" s="274" t="s">
        <v>2642</v>
      </c>
      <c r="F2049" s="274"/>
      <c r="G2049" s="274"/>
      <c r="H2049" s="274"/>
      <c r="I2049" s="274">
        <v>1.65</v>
      </c>
      <c r="J2049" s="456">
        <f t="shared" si="68"/>
        <v>1.65</v>
      </c>
      <c r="K2049" s="583"/>
      <c r="L2049" s="268" t="s">
        <v>2625</v>
      </c>
      <c r="M2049" s="268" t="s">
        <v>2631</v>
      </c>
      <c r="N2049" s="278">
        <f>IFERROR(INDEX('Data Lokasi'!S:S,MATCH('Input Real Tanam&amp;Petik Nanas'!C2049,'Data Lokasi'!C:C,0)),"")</f>
        <v>46302</v>
      </c>
      <c r="O2049" s="278"/>
      <c r="P2049" s="283">
        <f>IFERROR(INDEX('Data Lokasi'!V:V,MATCH(C2049,'Data Lokasi'!C:C,0)),"")</f>
        <v>7.0299999999999994</v>
      </c>
      <c r="Q2049" s="304">
        <f t="shared" si="69"/>
        <v>0.92015706806282715</v>
      </c>
      <c r="R2049" s="308"/>
    </row>
    <row r="2050" spans="2:18" hidden="1">
      <c r="B2050" s="269">
        <v>46308</v>
      </c>
      <c r="C2050" s="268" t="s">
        <v>306</v>
      </c>
      <c r="D2050" s="274">
        <f>IFERROR(VLOOKUP(C2050,'Data Lokasi'!C:D,2,0),"")</f>
        <v>6.68</v>
      </c>
      <c r="E2050" s="274" t="s">
        <v>2642</v>
      </c>
      <c r="F2050" s="274"/>
      <c r="G2050" s="274"/>
      <c r="H2050" s="274"/>
      <c r="I2050" s="274">
        <v>0.14000000000000001</v>
      </c>
      <c r="J2050" s="456">
        <f t="shared" si="68"/>
        <v>0.14000000000000001</v>
      </c>
      <c r="K2050" s="583"/>
      <c r="L2050" s="268" t="s">
        <v>2625</v>
      </c>
      <c r="M2050" s="268" t="s">
        <v>2631</v>
      </c>
      <c r="N2050" s="278">
        <f>IFERROR(INDEX('Data Lokasi'!S:S,MATCH('Input Real Tanam&amp;Petik Nanas'!C2050,'Data Lokasi'!C:C,0)),"")</f>
        <v>46306</v>
      </c>
      <c r="O2050" s="278"/>
      <c r="P2050" s="283">
        <f>IFERROR(INDEX('Data Lokasi'!V:V,MATCH(C2050,'Data Lokasi'!C:C,0)),"")</f>
        <v>0.58000000000000007</v>
      </c>
      <c r="Q2050" s="304">
        <f t="shared" si="69"/>
        <v>8.682634730538924E-2</v>
      </c>
      <c r="R2050" s="308"/>
    </row>
    <row r="2051" spans="2:18" hidden="1">
      <c r="B2051" s="269">
        <v>46308</v>
      </c>
      <c r="C2051" s="375" t="s">
        <v>696</v>
      </c>
      <c r="D2051" s="274">
        <f>IFERROR(VLOOKUP(C2051,'Data Lokasi'!C:D,2,0),"")</f>
        <v>12.75</v>
      </c>
      <c r="E2051" s="274" t="s">
        <v>2642</v>
      </c>
      <c r="F2051" s="274"/>
      <c r="G2051" s="274"/>
      <c r="H2051" s="274"/>
      <c r="I2051" s="274">
        <v>0.43</v>
      </c>
      <c r="J2051" s="456">
        <f t="shared" si="68"/>
        <v>0.43</v>
      </c>
      <c r="K2051" s="583"/>
      <c r="L2051" s="268" t="s">
        <v>719</v>
      </c>
      <c r="M2051" s="268" t="s">
        <v>2634</v>
      </c>
      <c r="N2051" s="278">
        <f>IFERROR(INDEX('Data Lokasi'!S:S,MATCH('Input Real Tanam&amp;Petik Nanas'!C2051,'Data Lokasi'!C:C,0)),"")</f>
        <v>46290</v>
      </c>
      <c r="O2051" s="278"/>
      <c r="P2051" s="283">
        <f>IFERROR(INDEX('Data Lokasi'!V:V,MATCH(C2051,'Data Lokasi'!C:C,0)),"")</f>
        <v>9.51</v>
      </c>
      <c r="Q2051" s="304">
        <f t="shared" si="69"/>
        <v>0.74588235294117644</v>
      </c>
      <c r="R2051" s="308"/>
    </row>
    <row r="2052" spans="2:18" hidden="1">
      <c r="B2052" s="269">
        <v>46308</v>
      </c>
      <c r="C2052" s="268" t="s">
        <v>280</v>
      </c>
      <c r="D2052" s="274">
        <f>IFERROR(VLOOKUP(C2052,'Data Lokasi'!C:D,2,0),"")</f>
        <v>9.2200000000000006</v>
      </c>
      <c r="E2052" s="274" t="s">
        <v>2642</v>
      </c>
      <c r="F2052" s="274"/>
      <c r="G2052" s="274"/>
      <c r="H2052" s="274"/>
      <c r="I2052" s="274">
        <v>0.95</v>
      </c>
      <c r="J2052" s="456">
        <f t="shared" si="68"/>
        <v>0.95</v>
      </c>
      <c r="K2052" s="583"/>
      <c r="L2052" s="268" t="s">
        <v>2625</v>
      </c>
      <c r="M2052" s="268" t="s">
        <v>2634</v>
      </c>
      <c r="N2052" s="278">
        <f>IFERROR(INDEX('Data Lokasi'!S:S,MATCH('Input Real Tanam&amp;Petik Nanas'!C2052,'Data Lokasi'!C:C,0)),"")</f>
        <v>46304</v>
      </c>
      <c r="O2052" s="278"/>
      <c r="P2052" s="283">
        <f>IFERROR(INDEX('Data Lokasi'!V:V,MATCH(C2052,'Data Lokasi'!C:C,0)),"")</f>
        <v>5.3400000000000007</v>
      </c>
      <c r="Q2052" s="304">
        <f t="shared" si="69"/>
        <v>0.57917570498915405</v>
      </c>
      <c r="R2052" s="308"/>
    </row>
    <row r="2053" spans="2:18" hidden="1">
      <c r="B2053" s="269">
        <v>46308</v>
      </c>
      <c r="C2053" s="268" t="s">
        <v>514</v>
      </c>
      <c r="D2053" s="274">
        <f>IFERROR(VLOOKUP(C2053,'Data Lokasi'!C:D,2,0),"")</f>
        <v>9.68</v>
      </c>
      <c r="E2053" s="274" t="s">
        <v>2643</v>
      </c>
      <c r="F2053" s="274"/>
      <c r="G2053" s="274">
        <v>0.01</v>
      </c>
      <c r="H2053" s="274">
        <f>0.02+0.09</f>
        <v>0.11</v>
      </c>
      <c r="I2053" s="274"/>
      <c r="J2053" s="456">
        <f t="shared" si="68"/>
        <v>0.12</v>
      </c>
      <c r="K2053" s="583">
        <v>9450</v>
      </c>
      <c r="L2053" s="268" t="s">
        <v>719</v>
      </c>
      <c r="M2053" s="268" t="s">
        <v>2631</v>
      </c>
      <c r="N2053" s="278">
        <f>IFERROR(INDEX('Data Lokasi'!S:S,MATCH('Input Real Tanam&amp;Petik Nanas'!C2053,'Data Lokasi'!C:C,0)),"")</f>
        <v>44578</v>
      </c>
      <c r="O2053" s="278"/>
      <c r="P2053" s="283">
        <f>IFERROR(INDEX('Data Lokasi'!V:V,MATCH(C2053,'Data Lokasi'!C:C,0)),"")</f>
        <v>0</v>
      </c>
      <c r="Q2053" s="304">
        <f t="shared" si="69"/>
        <v>0</v>
      </c>
      <c r="R2053" s="308">
        <v>2</v>
      </c>
    </row>
    <row r="2054" spans="2:18" hidden="1">
      <c r="B2054" s="269">
        <v>46308</v>
      </c>
      <c r="C2054" s="268" t="s">
        <v>561</v>
      </c>
      <c r="D2054" s="274">
        <f>IFERROR(VLOOKUP(C2054,'Data Lokasi'!C:D,2,0),"")</f>
        <v>9.5500000000000007</v>
      </c>
      <c r="E2054" s="274" t="s">
        <v>2643</v>
      </c>
      <c r="F2054" s="274"/>
      <c r="G2054" s="274"/>
      <c r="H2054" s="274"/>
      <c r="I2054" s="274">
        <v>0.19</v>
      </c>
      <c r="J2054" s="456">
        <f t="shared" si="68"/>
        <v>0.19</v>
      </c>
      <c r="K2054" s="583">
        <v>14150</v>
      </c>
      <c r="L2054" s="268" t="s">
        <v>2625</v>
      </c>
      <c r="M2054" s="268" t="s">
        <v>2634</v>
      </c>
      <c r="N2054" s="278">
        <f>IFERROR(INDEX('Data Lokasi'!S:S,MATCH('Input Real Tanam&amp;Petik Nanas'!C2054,'Data Lokasi'!C:C,0)),"")</f>
        <v>44666</v>
      </c>
      <c r="O2054" s="278"/>
      <c r="P2054" s="283">
        <f>IFERROR(INDEX('Data Lokasi'!V:V,MATCH(C2054,'Data Lokasi'!C:C,0)),"")</f>
        <v>0</v>
      </c>
      <c r="Q2054" s="304">
        <f t="shared" si="69"/>
        <v>0</v>
      </c>
      <c r="R2054" s="308"/>
    </row>
    <row r="2055" spans="2:18" hidden="1">
      <c r="B2055" s="269">
        <v>46308</v>
      </c>
      <c r="C2055" s="268" t="s">
        <v>359</v>
      </c>
      <c r="D2055" s="274">
        <f>IFERROR(VLOOKUP(C2055,'Data Lokasi'!C:D,2,0),"")</f>
        <v>10</v>
      </c>
      <c r="E2055" s="274" t="s">
        <v>2643</v>
      </c>
      <c r="F2055" s="274"/>
      <c r="G2055" s="274"/>
      <c r="H2055" s="274"/>
      <c r="I2055" s="274">
        <v>0.15</v>
      </c>
      <c r="J2055" s="456">
        <f t="shared" si="68"/>
        <v>0.15</v>
      </c>
      <c r="K2055" s="583">
        <v>10900</v>
      </c>
      <c r="L2055" s="268" t="s">
        <v>2625</v>
      </c>
      <c r="M2055" s="268" t="s">
        <v>2634</v>
      </c>
      <c r="N2055" s="278">
        <f>IFERROR(INDEX('Data Lokasi'!S:S,MATCH('Input Real Tanam&amp;Petik Nanas'!C2055,'Data Lokasi'!C:C,0)),"")</f>
        <v>44295</v>
      </c>
      <c r="O2055" s="278"/>
      <c r="P2055" s="283">
        <f>IFERROR(INDEX('Data Lokasi'!V:V,MATCH(C2055,'Data Lokasi'!C:C,0)),"")</f>
        <v>0</v>
      </c>
      <c r="Q2055" s="304">
        <f t="shared" si="69"/>
        <v>0</v>
      </c>
      <c r="R2055" s="308"/>
    </row>
    <row r="2056" spans="2:18" hidden="1">
      <c r="B2056" s="269">
        <v>46308</v>
      </c>
      <c r="C2056" s="268" t="s">
        <v>371</v>
      </c>
      <c r="D2056" s="274">
        <f>IFERROR(VLOOKUP(C2056,'Data Lokasi'!C:D,2,0),"")</f>
        <v>7.06</v>
      </c>
      <c r="E2056" s="274" t="s">
        <v>2643</v>
      </c>
      <c r="F2056" s="274"/>
      <c r="G2056" s="274"/>
      <c r="H2056" s="274">
        <v>0.02</v>
      </c>
      <c r="I2056" s="274">
        <f>0.09+0.39</f>
        <v>0.48</v>
      </c>
      <c r="J2056" s="456">
        <f t="shared" si="68"/>
        <v>0.5</v>
      </c>
      <c r="K2056" s="583">
        <v>36350</v>
      </c>
      <c r="L2056" s="268" t="s">
        <v>719</v>
      </c>
      <c r="M2056" s="268" t="s">
        <v>2634</v>
      </c>
      <c r="N2056" s="278">
        <f>IFERROR(INDEX('Data Lokasi'!S:S,MATCH('Input Real Tanam&amp;Petik Nanas'!C2056,'Data Lokasi'!C:C,0)),"")</f>
        <v>44335</v>
      </c>
      <c r="O2056" s="278"/>
      <c r="P2056" s="283">
        <f>IFERROR(INDEX('Data Lokasi'!V:V,MATCH(C2056,'Data Lokasi'!C:C,0)),"")</f>
        <v>0</v>
      </c>
      <c r="Q2056" s="304">
        <f t="shared" si="69"/>
        <v>0</v>
      </c>
      <c r="R2056" s="308"/>
    </row>
    <row r="2057" spans="2:18" hidden="1">
      <c r="B2057" s="269">
        <v>46308</v>
      </c>
      <c r="C2057" s="268" t="s">
        <v>2542</v>
      </c>
      <c r="D2057" s="274">
        <f>IFERROR(VLOOKUP(C2057,'Data Lokasi'!C:D,2,0),"")</f>
        <v>0.6</v>
      </c>
      <c r="E2057" s="274" t="s">
        <v>2643</v>
      </c>
      <c r="F2057" s="274"/>
      <c r="G2057" s="274"/>
      <c r="H2057" s="274">
        <v>0.01</v>
      </c>
      <c r="I2057" s="274">
        <v>0.12</v>
      </c>
      <c r="J2057" s="456">
        <f t="shared" si="68"/>
        <v>0.13</v>
      </c>
      <c r="K2057" s="583">
        <v>9425</v>
      </c>
      <c r="L2057" s="268" t="s">
        <v>719</v>
      </c>
      <c r="M2057" s="268" t="s">
        <v>2634</v>
      </c>
      <c r="N2057" s="278">
        <f>IFERROR(INDEX('Data Lokasi'!S:S,MATCH('Input Real Tanam&amp;Petik Nanas'!C2057,'Data Lokasi'!C:C,0)),"")</f>
        <v>45431</v>
      </c>
      <c r="O2057" s="278"/>
      <c r="P2057" s="283">
        <f>IFERROR(INDEX('Data Lokasi'!V:V,MATCH(C2057,'Data Lokasi'!C:C,0)),"")</f>
        <v>0</v>
      </c>
      <c r="Q2057" s="304">
        <f t="shared" si="69"/>
        <v>0</v>
      </c>
      <c r="R2057" s="308"/>
    </row>
    <row r="2058" spans="2:18" hidden="1">
      <c r="B2058" s="269">
        <v>46308</v>
      </c>
      <c r="C2058" s="268" t="s">
        <v>2541</v>
      </c>
      <c r="D2058" s="274">
        <f>IFERROR(VLOOKUP(C2058,'Data Lokasi'!C:D,2,0),"")</f>
        <v>7.73</v>
      </c>
      <c r="E2058" s="274" t="s">
        <v>2643</v>
      </c>
      <c r="F2058" s="274"/>
      <c r="G2058" s="274"/>
      <c r="H2058" s="274"/>
      <c r="I2058" s="274">
        <v>0.76</v>
      </c>
      <c r="J2058" s="456">
        <f t="shared" si="68"/>
        <v>0.76</v>
      </c>
      <c r="K2058" s="583">
        <v>55850</v>
      </c>
      <c r="L2058" s="268" t="s">
        <v>2625</v>
      </c>
      <c r="M2058" s="268" t="s">
        <v>2634</v>
      </c>
      <c r="N2058" s="278">
        <f>IFERROR(INDEX('Data Lokasi'!S:S,MATCH('Input Real Tanam&amp;Petik Nanas'!C2058,'Data Lokasi'!C:C,0)),"")</f>
        <v>45409</v>
      </c>
      <c r="O2058" s="278"/>
      <c r="P2058" s="283">
        <f>IFERROR(INDEX('Data Lokasi'!V:V,MATCH(C2058,'Data Lokasi'!C:C,0)),"")</f>
        <v>0</v>
      </c>
      <c r="Q2058" s="304">
        <f t="shared" si="69"/>
        <v>0</v>
      </c>
      <c r="R2058" s="308"/>
    </row>
    <row r="2059" spans="2:18" hidden="1">
      <c r="B2059" s="269"/>
      <c r="C2059" s="268"/>
      <c r="D2059" s="274" t="str">
        <f>IFERROR(VLOOKUP(C2059,'Data Lokasi'!C:D,2,0),"")</f>
        <v/>
      </c>
      <c r="E2059" s="274"/>
      <c r="F2059" s="274"/>
      <c r="G2059" s="274"/>
      <c r="H2059" s="274"/>
      <c r="I2059" s="274"/>
      <c r="J2059" s="456" t="str">
        <f t="shared" si="68"/>
        <v/>
      </c>
      <c r="K2059" s="583"/>
      <c r="L2059" s="268"/>
      <c r="M2059" s="268"/>
      <c r="N2059" s="278" t="str">
        <f>IFERROR(INDEX('Data Lokasi'!S:S,MATCH('Input Real Tanam&amp;Petik Nanas'!C2059,'Data Lokasi'!C:C,0)),"")</f>
        <v/>
      </c>
      <c r="O2059" s="278"/>
      <c r="P2059" s="283" t="str">
        <f>IFERROR(INDEX('Data Lokasi'!V:V,MATCH(C2059,'Data Lokasi'!C:C,0)),"")</f>
        <v/>
      </c>
      <c r="Q2059" s="304" t="str">
        <f t="shared" si="69"/>
        <v/>
      </c>
      <c r="R2059" s="308"/>
    </row>
    <row r="2060" spans="2:18" hidden="1">
      <c r="B2060" s="269"/>
      <c r="C2060" s="268"/>
      <c r="D2060" s="274" t="str">
        <f>IFERROR(VLOOKUP(C2060,'Data Lokasi'!C:D,2,0),"")</f>
        <v/>
      </c>
      <c r="E2060" s="274"/>
      <c r="F2060" s="274"/>
      <c r="G2060" s="274"/>
      <c r="H2060" s="274"/>
      <c r="I2060" s="274"/>
      <c r="J2060" s="456" t="str">
        <f t="shared" si="68"/>
        <v/>
      </c>
      <c r="K2060" s="583"/>
      <c r="L2060" s="268"/>
      <c r="M2060" s="268"/>
      <c r="N2060" s="278" t="str">
        <f>IFERROR(INDEX('Data Lokasi'!S:S,MATCH('Input Real Tanam&amp;Petik Nanas'!C2060,'Data Lokasi'!C:C,0)),"")</f>
        <v/>
      </c>
      <c r="O2060" s="278"/>
      <c r="P2060" s="283" t="str">
        <f>IFERROR(INDEX('Data Lokasi'!V:V,MATCH(C2060,'Data Lokasi'!C:C,0)),"")</f>
        <v/>
      </c>
      <c r="Q2060" s="304" t="str">
        <f t="shared" si="69"/>
        <v/>
      </c>
      <c r="R2060" s="308"/>
    </row>
    <row r="2061" spans="2:18" hidden="1">
      <c r="B2061" s="269"/>
      <c r="C2061" s="268"/>
      <c r="D2061" s="274" t="str">
        <f>IFERROR(VLOOKUP(C2061,'Data Lokasi'!C:D,2,0),"")</f>
        <v/>
      </c>
      <c r="E2061" s="274"/>
      <c r="F2061" s="274"/>
      <c r="G2061" s="274"/>
      <c r="H2061" s="274"/>
      <c r="I2061" s="274"/>
      <c r="J2061" s="456" t="str">
        <f t="shared" si="68"/>
        <v/>
      </c>
      <c r="K2061" s="583"/>
      <c r="L2061" s="268"/>
      <c r="M2061" s="268"/>
      <c r="N2061" s="278" t="str">
        <f>IFERROR(INDEX('Data Lokasi'!S:S,MATCH('Input Real Tanam&amp;Petik Nanas'!C2061,'Data Lokasi'!C:C,0)),"")</f>
        <v/>
      </c>
      <c r="O2061" s="278"/>
      <c r="P2061" s="283" t="str">
        <f>IFERROR(INDEX('Data Lokasi'!V:V,MATCH(C2061,'Data Lokasi'!C:C,0)),"")</f>
        <v/>
      </c>
      <c r="Q2061" s="304" t="str">
        <f t="shared" si="69"/>
        <v/>
      </c>
      <c r="R2061" s="308"/>
    </row>
    <row r="2062" spans="2:18" hidden="1">
      <c r="B2062" s="269"/>
      <c r="C2062" s="268"/>
      <c r="D2062" s="274" t="str">
        <f>IFERROR(VLOOKUP(C2062,'Data Lokasi'!C:D,2,0),"")</f>
        <v/>
      </c>
      <c r="E2062" s="274"/>
      <c r="F2062" s="274"/>
      <c r="G2062" s="274"/>
      <c r="H2062" s="274"/>
      <c r="I2062" s="274"/>
      <c r="J2062" s="456" t="str">
        <f t="shared" si="68"/>
        <v/>
      </c>
      <c r="K2062" s="583"/>
      <c r="L2062" s="268"/>
      <c r="M2062" s="268"/>
      <c r="N2062" s="278" t="str">
        <f>IFERROR(INDEX('Data Lokasi'!S:S,MATCH('Input Real Tanam&amp;Petik Nanas'!C2062,'Data Lokasi'!C:C,0)),"")</f>
        <v/>
      </c>
      <c r="O2062" s="278"/>
      <c r="P2062" s="283" t="str">
        <f>IFERROR(INDEX('Data Lokasi'!V:V,MATCH(C2062,'Data Lokasi'!C:C,0)),"")</f>
        <v/>
      </c>
      <c r="Q2062" s="304" t="str">
        <f t="shared" si="69"/>
        <v/>
      </c>
      <c r="R2062" s="308"/>
    </row>
    <row r="2063" spans="2:18" hidden="1">
      <c r="B2063" s="269"/>
      <c r="C2063" s="268"/>
      <c r="D2063" s="274" t="str">
        <f>IFERROR(VLOOKUP(C2063,'Data Lokasi'!C:D,2,0),"")</f>
        <v/>
      </c>
      <c r="E2063" s="274"/>
      <c r="F2063" s="274"/>
      <c r="G2063" s="274"/>
      <c r="H2063" s="274"/>
      <c r="I2063" s="274"/>
      <c r="J2063" s="456" t="str">
        <f t="shared" ref="J2063:J2108" si="70">IF(SUM(F2063:I2063)=0,"",(SUM(F2063:I2063)))</f>
        <v/>
      </c>
      <c r="K2063" s="583"/>
      <c r="L2063" s="268"/>
      <c r="M2063" s="268"/>
      <c r="N2063" s="278" t="str">
        <f>IFERROR(INDEX('Data Lokasi'!S:S,MATCH('Input Real Tanam&amp;Petik Nanas'!C2063,'Data Lokasi'!C:C,0)),"")</f>
        <v/>
      </c>
      <c r="O2063" s="278"/>
      <c r="P2063" s="283" t="str">
        <f>IFERROR(INDEX('Data Lokasi'!V:V,MATCH(C2063,'Data Lokasi'!C:C,0)),"")</f>
        <v/>
      </c>
      <c r="Q2063" s="304" t="str">
        <f t="shared" ref="Q2063:Q2108" si="71">IF(ISERROR(P2063/D2063),"",(P2063/D2063))</f>
        <v/>
      </c>
      <c r="R2063" s="308"/>
    </row>
    <row r="2064" spans="2:18" hidden="1">
      <c r="B2064" s="269"/>
      <c r="C2064" s="268"/>
      <c r="D2064" s="274" t="str">
        <f>IFERROR(VLOOKUP(C2064,'Data Lokasi'!C:D,2,0),"")</f>
        <v/>
      </c>
      <c r="E2064" s="274"/>
      <c r="F2064" s="274"/>
      <c r="G2064" s="274"/>
      <c r="H2064" s="274"/>
      <c r="I2064" s="274"/>
      <c r="J2064" s="456" t="str">
        <f t="shared" si="70"/>
        <v/>
      </c>
      <c r="K2064" s="583"/>
      <c r="L2064" s="268"/>
      <c r="M2064" s="268"/>
      <c r="N2064" s="278" t="str">
        <f>IFERROR(INDEX('Data Lokasi'!S:S,MATCH('Input Real Tanam&amp;Petik Nanas'!C2064,'Data Lokasi'!C:C,0)),"")</f>
        <v/>
      </c>
      <c r="O2064" s="278"/>
      <c r="P2064" s="283" t="str">
        <f>IFERROR(INDEX('Data Lokasi'!V:V,MATCH(C2064,'Data Lokasi'!C:C,0)),"")</f>
        <v/>
      </c>
      <c r="Q2064" s="304" t="str">
        <f t="shared" si="71"/>
        <v/>
      </c>
      <c r="R2064" s="308"/>
    </row>
    <row r="2065" spans="2:18" hidden="1">
      <c r="B2065" s="269"/>
      <c r="C2065" s="268"/>
      <c r="D2065" s="274" t="str">
        <f>IFERROR(VLOOKUP(C2065,'Data Lokasi'!C:D,2,0),"")</f>
        <v/>
      </c>
      <c r="E2065" s="274"/>
      <c r="F2065" s="274"/>
      <c r="G2065" s="274"/>
      <c r="H2065" s="274"/>
      <c r="I2065" s="274"/>
      <c r="J2065" s="456" t="str">
        <f t="shared" si="70"/>
        <v/>
      </c>
      <c r="K2065" s="583"/>
      <c r="L2065" s="268"/>
      <c r="M2065" s="268"/>
      <c r="N2065" s="278" t="str">
        <f>IFERROR(INDEX('Data Lokasi'!S:S,MATCH('Input Real Tanam&amp;Petik Nanas'!C2065,'Data Lokasi'!C:C,0)),"")</f>
        <v/>
      </c>
      <c r="O2065" s="278"/>
      <c r="P2065" s="283" t="str">
        <f>IFERROR(INDEX('Data Lokasi'!V:V,MATCH(C2065,'Data Lokasi'!C:C,0)),"")</f>
        <v/>
      </c>
      <c r="Q2065" s="304" t="str">
        <f t="shared" si="71"/>
        <v/>
      </c>
      <c r="R2065" s="308"/>
    </row>
    <row r="2066" spans="2:18" hidden="1">
      <c r="B2066" s="269"/>
      <c r="C2066" s="268"/>
      <c r="D2066" s="274" t="str">
        <f>IFERROR(VLOOKUP(C2066,'Data Lokasi'!C:D,2,0),"")</f>
        <v/>
      </c>
      <c r="E2066" s="274"/>
      <c r="F2066" s="274"/>
      <c r="G2066" s="274"/>
      <c r="H2066" s="274"/>
      <c r="I2066" s="274"/>
      <c r="J2066" s="456" t="str">
        <f t="shared" si="70"/>
        <v/>
      </c>
      <c r="K2066" s="583"/>
      <c r="L2066" s="268"/>
      <c r="M2066" s="268"/>
      <c r="N2066" s="278" t="str">
        <f>IFERROR(INDEX('Data Lokasi'!S:S,MATCH('Input Real Tanam&amp;Petik Nanas'!C2066,'Data Lokasi'!C:C,0)),"")</f>
        <v/>
      </c>
      <c r="O2066" s="278"/>
      <c r="P2066" s="283" t="str">
        <f>IFERROR(INDEX('Data Lokasi'!V:V,MATCH(C2066,'Data Lokasi'!C:C,0)),"")</f>
        <v/>
      </c>
      <c r="Q2066" s="304" t="str">
        <f t="shared" si="71"/>
        <v/>
      </c>
      <c r="R2066" s="308"/>
    </row>
    <row r="2067" spans="2:18" hidden="1">
      <c r="B2067" s="269"/>
      <c r="C2067" s="268"/>
      <c r="D2067" s="274" t="str">
        <f>IFERROR(VLOOKUP(C2067,'Data Lokasi'!C:D,2,0),"")</f>
        <v/>
      </c>
      <c r="E2067" s="274"/>
      <c r="F2067" s="274"/>
      <c r="G2067" s="274"/>
      <c r="H2067" s="274"/>
      <c r="I2067" s="274"/>
      <c r="J2067" s="456" t="str">
        <f t="shared" si="70"/>
        <v/>
      </c>
      <c r="K2067" s="583"/>
      <c r="L2067" s="268"/>
      <c r="M2067" s="268"/>
      <c r="N2067" s="278" t="str">
        <f>IFERROR(INDEX('Data Lokasi'!S:S,MATCH('Input Real Tanam&amp;Petik Nanas'!C2067,'Data Lokasi'!C:C,0)),"")</f>
        <v/>
      </c>
      <c r="O2067" s="278"/>
      <c r="P2067" s="283" t="str">
        <f>IFERROR(INDEX('Data Lokasi'!V:V,MATCH(C2067,'Data Lokasi'!C:C,0)),"")</f>
        <v/>
      </c>
      <c r="Q2067" s="304" t="str">
        <f t="shared" si="71"/>
        <v/>
      </c>
      <c r="R2067" s="308"/>
    </row>
    <row r="2068" spans="2:18" hidden="1">
      <c r="B2068" s="269"/>
      <c r="C2068" s="268"/>
      <c r="D2068" s="274" t="str">
        <f>IFERROR(VLOOKUP(C2068,'Data Lokasi'!C:D,2,0),"")</f>
        <v/>
      </c>
      <c r="E2068" s="274"/>
      <c r="F2068" s="274"/>
      <c r="G2068" s="274"/>
      <c r="H2068" s="274"/>
      <c r="I2068" s="274"/>
      <c r="J2068" s="456" t="str">
        <f t="shared" si="70"/>
        <v/>
      </c>
      <c r="K2068" s="583"/>
      <c r="L2068" s="268"/>
      <c r="M2068" s="268"/>
      <c r="N2068" s="278" t="str">
        <f>IFERROR(INDEX('Data Lokasi'!S:S,MATCH('Input Real Tanam&amp;Petik Nanas'!C2068,'Data Lokasi'!C:C,0)),"")</f>
        <v/>
      </c>
      <c r="O2068" s="278"/>
      <c r="P2068" s="283" t="str">
        <f>IFERROR(INDEX('Data Lokasi'!V:V,MATCH(C2068,'Data Lokasi'!C:C,0)),"")</f>
        <v/>
      </c>
      <c r="Q2068" s="304" t="str">
        <f t="shared" si="71"/>
        <v/>
      </c>
      <c r="R2068" s="308"/>
    </row>
    <row r="2069" spans="2:18" hidden="1">
      <c r="B2069" s="269"/>
      <c r="C2069" s="268"/>
      <c r="D2069" s="274" t="str">
        <f>IFERROR(VLOOKUP(C2069,'Data Lokasi'!C:D,2,0),"")</f>
        <v/>
      </c>
      <c r="E2069" s="274"/>
      <c r="F2069" s="274"/>
      <c r="G2069" s="274"/>
      <c r="H2069" s="274"/>
      <c r="I2069" s="274"/>
      <c r="J2069" s="456" t="str">
        <f t="shared" si="70"/>
        <v/>
      </c>
      <c r="K2069" s="583"/>
      <c r="L2069" s="268"/>
      <c r="M2069" s="268"/>
      <c r="N2069" s="278" t="str">
        <f>IFERROR(INDEX('Data Lokasi'!S:S,MATCH('Input Real Tanam&amp;Petik Nanas'!C2069,'Data Lokasi'!C:C,0)),"")</f>
        <v/>
      </c>
      <c r="O2069" s="278"/>
      <c r="P2069" s="283" t="str">
        <f>IFERROR(INDEX('Data Lokasi'!V:V,MATCH(C2069,'Data Lokasi'!C:C,0)),"")</f>
        <v/>
      </c>
      <c r="Q2069" s="304" t="str">
        <f t="shared" si="71"/>
        <v/>
      </c>
      <c r="R2069" s="308"/>
    </row>
    <row r="2070" spans="2:18" hidden="1">
      <c r="B2070" s="269"/>
      <c r="C2070" s="268"/>
      <c r="D2070" s="274" t="str">
        <f>IFERROR(VLOOKUP(C2070,'Data Lokasi'!C:D,2,0),"")</f>
        <v/>
      </c>
      <c r="E2070" s="274"/>
      <c r="F2070" s="274"/>
      <c r="G2070" s="274"/>
      <c r="H2070" s="274"/>
      <c r="I2070" s="274"/>
      <c r="J2070" s="456" t="str">
        <f t="shared" si="70"/>
        <v/>
      </c>
      <c r="K2070" s="583"/>
      <c r="L2070" s="268"/>
      <c r="M2070" s="268"/>
      <c r="N2070" s="278" t="str">
        <f>IFERROR(INDEX('Data Lokasi'!S:S,MATCH('Input Real Tanam&amp;Petik Nanas'!C2070,'Data Lokasi'!C:C,0)),"")</f>
        <v/>
      </c>
      <c r="O2070" s="278"/>
      <c r="P2070" s="283" t="str">
        <f>IFERROR(INDEX('Data Lokasi'!V:V,MATCH(C2070,'Data Lokasi'!C:C,0)),"")</f>
        <v/>
      </c>
      <c r="Q2070" s="304" t="str">
        <f t="shared" si="71"/>
        <v/>
      </c>
      <c r="R2070" s="308"/>
    </row>
    <row r="2071" spans="2:18" hidden="1">
      <c r="B2071" s="269"/>
      <c r="C2071" s="268"/>
      <c r="D2071" s="274" t="str">
        <f>IFERROR(VLOOKUP(C2071,'Data Lokasi'!C:D,2,0),"")</f>
        <v/>
      </c>
      <c r="E2071" s="274"/>
      <c r="F2071" s="274"/>
      <c r="G2071" s="274"/>
      <c r="H2071" s="274"/>
      <c r="I2071" s="274"/>
      <c r="J2071" s="456" t="str">
        <f t="shared" si="70"/>
        <v/>
      </c>
      <c r="K2071" s="583"/>
      <c r="L2071" s="268"/>
      <c r="M2071" s="268"/>
      <c r="N2071" s="278" t="str">
        <f>IFERROR(INDEX('Data Lokasi'!S:S,MATCH('Input Real Tanam&amp;Petik Nanas'!C2071,'Data Lokasi'!C:C,0)),"")</f>
        <v/>
      </c>
      <c r="O2071" s="278"/>
      <c r="P2071" s="283" t="str">
        <f>IFERROR(INDEX('Data Lokasi'!V:V,MATCH(C2071,'Data Lokasi'!C:C,0)),"")</f>
        <v/>
      </c>
      <c r="Q2071" s="304" t="str">
        <f t="shared" si="71"/>
        <v/>
      </c>
      <c r="R2071" s="308"/>
    </row>
    <row r="2072" spans="2:18" hidden="1">
      <c r="B2072" s="269"/>
      <c r="C2072" s="268"/>
      <c r="D2072" s="274" t="str">
        <f>IFERROR(VLOOKUP(C2072,'Data Lokasi'!C:D,2,0),"")</f>
        <v/>
      </c>
      <c r="E2072" s="274"/>
      <c r="F2072" s="274"/>
      <c r="G2072" s="274"/>
      <c r="H2072" s="274"/>
      <c r="I2072" s="274"/>
      <c r="J2072" s="456" t="str">
        <f t="shared" si="70"/>
        <v/>
      </c>
      <c r="K2072" s="583"/>
      <c r="L2072" s="268"/>
      <c r="M2072" s="268"/>
      <c r="N2072" s="278" t="str">
        <f>IFERROR(INDEX('Data Lokasi'!S:S,MATCH('Input Real Tanam&amp;Petik Nanas'!C2072,'Data Lokasi'!C:C,0)),"")</f>
        <v/>
      </c>
      <c r="O2072" s="278"/>
      <c r="P2072" s="283" t="str">
        <f>IFERROR(INDEX('Data Lokasi'!V:V,MATCH(C2072,'Data Lokasi'!C:C,0)),"")</f>
        <v/>
      </c>
      <c r="Q2072" s="304" t="str">
        <f t="shared" si="71"/>
        <v/>
      </c>
      <c r="R2072" s="308"/>
    </row>
    <row r="2073" spans="2:18" hidden="1">
      <c r="B2073" s="269"/>
      <c r="C2073" s="268"/>
      <c r="D2073" s="274" t="str">
        <f>IFERROR(VLOOKUP(C2073,'Data Lokasi'!C:D,2,0),"")</f>
        <v/>
      </c>
      <c r="E2073" s="274"/>
      <c r="F2073" s="274"/>
      <c r="G2073" s="274"/>
      <c r="H2073" s="274"/>
      <c r="I2073" s="274"/>
      <c r="J2073" s="456" t="str">
        <f t="shared" si="70"/>
        <v/>
      </c>
      <c r="K2073" s="583"/>
      <c r="L2073" s="268"/>
      <c r="M2073" s="268"/>
      <c r="N2073" s="278" t="str">
        <f>IFERROR(INDEX('Data Lokasi'!S:S,MATCH('Input Real Tanam&amp;Petik Nanas'!C2073,'Data Lokasi'!C:C,0)),"")</f>
        <v/>
      </c>
      <c r="O2073" s="278"/>
      <c r="P2073" s="283" t="str">
        <f>IFERROR(INDEX('Data Lokasi'!V:V,MATCH(C2073,'Data Lokasi'!C:C,0)),"")</f>
        <v/>
      </c>
      <c r="Q2073" s="304" t="str">
        <f t="shared" si="71"/>
        <v/>
      </c>
      <c r="R2073" s="308"/>
    </row>
    <row r="2074" spans="2:18" hidden="1">
      <c r="B2074" s="269"/>
      <c r="C2074" s="268"/>
      <c r="D2074" s="274" t="str">
        <f>IFERROR(VLOOKUP(C2074,'Data Lokasi'!C:D,2,0),"")</f>
        <v/>
      </c>
      <c r="E2074" s="274"/>
      <c r="F2074" s="274"/>
      <c r="G2074" s="274"/>
      <c r="H2074" s="274"/>
      <c r="I2074" s="274"/>
      <c r="J2074" s="456" t="str">
        <f t="shared" si="70"/>
        <v/>
      </c>
      <c r="K2074" s="583"/>
      <c r="L2074" s="268"/>
      <c r="M2074" s="268"/>
      <c r="N2074" s="278" t="str">
        <f>IFERROR(INDEX('Data Lokasi'!S:S,MATCH('Input Real Tanam&amp;Petik Nanas'!C2074,'Data Lokasi'!C:C,0)),"")</f>
        <v/>
      </c>
      <c r="O2074" s="278"/>
      <c r="P2074" s="283" t="str">
        <f>IFERROR(INDEX('Data Lokasi'!V:V,MATCH(C2074,'Data Lokasi'!C:C,0)),"")</f>
        <v/>
      </c>
      <c r="Q2074" s="304" t="str">
        <f t="shared" si="71"/>
        <v/>
      </c>
      <c r="R2074" s="308"/>
    </row>
    <row r="2075" spans="2:18" hidden="1">
      <c r="B2075" s="269"/>
      <c r="C2075" s="268"/>
      <c r="D2075" s="274" t="str">
        <f>IFERROR(VLOOKUP(C2075,'Data Lokasi'!C:D,2,0),"")</f>
        <v/>
      </c>
      <c r="E2075" s="274"/>
      <c r="F2075" s="274"/>
      <c r="G2075" s="274"/>
      <c r="H2075" s="274"/>
      <c r="I2075" s="274"/>
      <c r="J2075" s="456" t="str">
        <f t="shared" si="70"/>
        <v/>
      </c>
      <c r="K2075" s="583"/>
      <c r="L2075" s="268"/>
      <c r="M2075" s="268"/>
      <c r="N2075" s="278" t="str">
        <f>IFERROR(INDEX('Data Lokasi'!S:S,MATCH('Input Real Tanam&amp;Petik Nanas'!C2075,'Data Lokasi'!C:C,0)),"")</f>
        <v/>
      </c>
      <c r="O2075" s="278"/>
      <c r="P2075" s="283" t="str">
        <f>IFERROR(INDEX('Data Lokasi'!V:V,MATCH(C2075,'Data Lokasi'!C:C,0)),"")</f>
        <v/>
      </c>
      <c r="Q2075" s="304" t="str">
        <f t="shared" si="71"/>
        <v/>
      </c>
      <c r="R2075" s="308"/>
    </row>
    <row r="2076" spans="2:18" hidden="1">
      <c r="B2076" s="269"/>
      <c r="C2076" s="268"/>
      <c r="D2076" s="274" t="str">
        <f>IFERROR(VLOOKUP(C2076,'Data Lokasi'!C:D,2,0),"")</f>
        <v/>
      </c>
      <c r="E2076" s="274"/>
      <c r="F2076" s="274"/>
      <c r="G2076" s="274"/>
      <c r="H2076" s="274"/>
      <c r="I2076" s="274"/>
      <c r="J2076" s="456" t="str">
        <f t="shared" si="70"/>
        <v/>
      </c>
      <c r="K2076" s="583"/>
      <c r="L2076" s="268"/>
      <c r="M2076" s="268"/>
      <c r="N2076" s="278" t="str">
        <f>IFERROR(INDEX('Data Lokasi'!S:S,MATCH('Input Real Tanam&amp;Petik Nanas'!C2076,'Data Lokasi'!C:C,0)),"")</f>
        <v/>
      </c>
      <c r="O2076" s="278"/>
      <c r="P2076" s="283" t="str">
        <f>IFERROR(INDEX('Data Lokasi'!V:V,MATCH(C2076,'Data Lokasi'!C:C,0)),"")</f>
        <v/>
      </c>
      <c r="Q2076" s="304" t="str">
        <f t="shared" si="71"/>
        <v/>
      </c>
      <c r="R2076" s="308"/>
    </row>
    <row r="2077" spans="2:18" hidden="1">
      <c r="B2077" s="269"/>
      <c r="C2077" s="268"/>
      <c r="D2077" s="274" t="str">
        <f>IFERROR(VLOOKUP(C2077,'Data Lokasi'!C:D,2,0),"")</f>
        <v/>
      </c>
      <c r="E2077" s="274"/>
      <c r="F2077" s="274"/>
      <c r="G2077" s="274"/>
      <c r="H2077" s="274"/>
      <c r="I2077" s="274"/>
      <c r="J2077" s="456" t="str">
        <f t="shared" si="70"/>
        <v/>
      </c>
      <c r="K2077" s="583"/>
      <c r="L2077" s="268"/>
      <c r="M2077" s="268"/>
      <c r="N2077" s="278" t="str">
        <f>IFERROR(INDEX('Data Lokasi'!S:S,MATCH('Input Real Tanam&amp;Petik Nanas'!C2077,'Data Lokasi'!C:C,0)),"")</f>
        <v/>
      </c>
      <c r="O2077" s="278"/>
      <c r="P2077" s="283" t="str">
        <f>IFERROR(INDEX('Data Lokasi'!V:V,MATCH(C2077,'Data Lokasi'!C:C,0)),"")</f>
        <v/>
      </c>
      <c r="Q2077" s="304" t="str">
        <f t="shared" si="71"/>
        <v/>
      </c>
      <c r="R2077" s="308"/>
    </row>
    <row r="2078" spans="2:18" hidden="1">
      <c r="B2078" s="269"/>
      <c r="C2078" s="268"/>
      <c r="D2078" s="274" t="str">
        <f>IFERROR(VLOOKUP(C2078,'Data Lokasi'!C:D,2,0),"")</f>
        <v/>
      </c>
      <c r="E2078" s="274"/>
      <c r="F2078" s="274"/>
      <c r="G2078" s="274"/>
      <c r="H2078" s="274"/>
      <c r="I2078" s="274"/>
      <c r="J2078" s="456" t="str">
        <f t="shared" si="70"/>
        <v/>
      </c>
      <c r="K2078" s="583"/>
      <c r="L2078" s="268"/>
      <c r="M2078" s="268"/>
      <c r="N2078" s="278" t="str">
        <f>IFERROR(INDEX('Data Lokasi'!S:S,MATCH('Input Real Tanam&amp;Petik Nanas'!C2078,'Data Lokasi'!C:C,0)),"")</f>
        <v/>
      </c>
      <c r="O2078" s="278"/>
      <c r="P2078" s="283" t="str">
        <f>IFERROR(INDEX('Data Lokasi'!V:V,MATCH(C2078,'Data Lokasi'!C:C,0)),"")</f>
        <v/>
      </c>
      <c r="Q2078" s="304" t="str">
        <f t="shared" si="71"/>
        <v/>
      </c>
      <c r="R2078" s="308"/>
    </row>
    <row r="2079" spans="2:18" hidden="1">
      <c r="B2079" s="269"/>
      <c r="C2079" s="268"/>
      <c r="D2079" s="274" t="str">
        <f>IFERROR(VLOOKUP(C2079,'Data Lokasi'!C:D,2,0),"")</f>
        <v/>
      </c>
      <c r="E2079" s="274"/>
      <c r="F2079" s="274"/>
      <c r="G2079" s="274"/>
      <c r="H2079" s="274"/>
      <c r="I2079" s="274"/>
      <c r="J2079" s="456" t="str">
        <f t="shared" si="70"/>
        <v/>
      </c>
      <c r="K2079" s="583"/>
      <c r="L2079" s="268"/>
      <c r="M2079" s="268"/>
      <c r="N2079" s="278" t="str">
        <f>IFERROR(INDEX('Data Lokasi'!S:S,MATCH('Input Real Tanam&amp;Petik Nanas'!C2079,'Data Lokasi'!C:C,0)),"")</f>
        <v/>
      </c>
      <c r="O2079" s="278"/>
      <c r="P2079" s="283" t="str">
        <f>IFERROR(INDEX('Data Lokasi'!V:V,MATCH(C2079,'Data Lokasi'!C:C,0)),"")</f>
        <v/>
      </c>
      <c r="Q2079" s="304" t="str">
        <f t="shared" si="71"/>
        <v/>
      </c>
      <c r="R2079" s="308"/>
    </row>
    <row r="2080" spans="2:18" hidden="1">
      <c r="B2080" s="269"/>
      <c r="C2080" s="268"/>
      <c r="D2080" s="274" t="str">
        <f>IFERROR(VLOOKUP(C2080,'Data Lokasi'!C:D,2,0),"")</f>
        <v/>
      </c>
      <c r="E2080" s="274"/>
      <c r="F2080" s="274"/>
      <c r="G2080" s="274"/>
      <c r="H2080" s="274"/>
      <c r="I2080" s="274"/>
      <c r="J2080" s="456" t="str">
        <f t="shared" si="70"/>
        <v/>
      </c>
      <c r="K2080" s="583"/>
      <c r="L2080" s="268"/>
      <c r="M2080" s="268"/>
      <c r="N2080" s="278" t="str">
        <f>IFERROR(INDEX('Data Lokasi'!S:S,MATCH('Input Real Tanam&amp;Petik Nanas'!C2080,'Data Lokasi'!C:C,0)),"")</f>
        <v/>
      </c>
      <c r="O2080" s="278"/>
      <c r="P2080" s="283" t="str">
        <f>IFERROR(INDEX('Data Lokasi'!V:V,MATCH(C2080,'Data Lokasi'!C:C,0)),"")</f>
        <v/>
      </c>
      <c r="Q2080" s="304" t="str">
        <f t="shared" si="71"/>
        <v/>
      </c>
      <c r="R2080" s="308"/>
    </row>
    <row r="2081" spans="2:18" hidden="1">
      <c r="B2081" s="269"/>
      <c r="C2081" s="268"/>
      <c r="D2081" s="274" t="str">
        <f>IFERROR(VLOOKUP(C2081,'Data Lokasi'!C:D,2,0),"")</f>
        <v/>
      </c>
      <c r="E2081" s="274"/>
      <c r="F2081" s="274"/>
      <c r="G2081" s="274"/>
      <c r="H2081" s="274"/>
      <c r="I2081" s="274"/>
      <c r="J2081" s="456" t="str">
        <f t="shared" si="70"/>
        <v/>
      </c>
      <c r="K2081" s="583"/>
      <c r="L2081" s="268"/>
      <c r="M2081" s="268"/>
      <c r="N2081" s="278" t="str">
        <f>IFERROR(INDEX('Data Lokasi'!S:S,MATCH('Input Real Tanam&amp;Petik Nanas'!C2081,'Data Lokasi'!C:C,0)),"")</f>
        <v/>
      </c>
      <c r="O2081" s="278"/>
      <c r="P2081" s="283" t="str">
        <f>IFERROR(INDEX('Data Lokasi'!V:V,MATCH(C2081,'Data Lokasi'!C:C,0)),"")</f>
        <v/>
      </c>
      <c r="Q2081" s="304" t="str">
        <f t="shared" si="71"/>
        <v/>
      </c>
      <c r="R2081" s="308"/>
    </row>
    <row r="2082" spans="2:18" hidden="1">
      <c r="B2082" s="269"/>
      <c r="C2082" s="268"/>
      <c r="D2082" s="274" t="str">
        <f>IFERROR(VLOOKUP(C2082,'Data Lokasi'!C:D,2,0),"")</f>
        <v/>
      </c>
      <c r="E2082" s="274"/>
      <c r="F2082" s="274"/>
      <c r="G2082" s="274"/>
      <c r="H2082" s="274"/>
      <c r="I2082" s="274"/>
      <c r="J2082" s="456" t="str">
        <f t="shared" si="70"/>
        <v/>
      </c>
      <c r="K2082" s="583"/>
      <c r="L2082" s="268"/>
      <c r="M2082" s="268"/>
      <c r="N2082" s="278" t="str">
        <f>IFERROR(INDEX('Data Lokasi'!S:S,MATCH('Input Real Tanam&amp;Petik Nanas'!C2082,'Data Lokasi'!C:C,0)),"")</f>
        <v/>
      </c>
      <c r="O2082" s="278"/>
      <c r="P2082" s="283" t="str">
        <f>IFERROR(INDEX('Data Lokasi'!V:V,MATCH(C2082,'Data Lokasi'!C:C,0)),"")</f>
        <v/>
      </c>
      <c r="Q2082" s="304" t="str">
        <f t="shared" si="71"/>
        <v/>
      </c>
      <c r="R2082" s="308"/>
    </row>
    <row r="2083" spans="2:18" hidden="1">
      <c r="B2083" s="269"/>
      <c r="C2083" s="268"/>
      <c r="D2083" s="274" t="str">
        <f>IFERROR(VLOOKUP(C2083,'Data Lokasi'!C:D,2,0),"")</f>
        <v/>
      </c>
      <c r="E2083" s="274"/>
      <c r="F2083" s="274"/>
      <c r="G2083" s="274"/>
      <c r="H2083" s="274"/>
      <c r="I2083" s="274"/>
      <c r="J2083" s="456" t="str">
        <f t="shared" si="70"/>
        <v/>
      </c>
      <c r="K2083" s="583"/>
      <c r="L2083" s="268"/>
      <c r="M2083" s="268"/>
      <c r="N2083" s="278" t="str">
        <f>IFERROR(INDEX('Data Lokasi'!S:S,MATCH('Input Real Tanam&amp;Petik Nanas'!C2083,'Data Lokasi'!C:C,0)),"")</f>
        <v/>
      </c>
      <c r="O2083" s="278"/>
      <c r="P2083" s="283" t="str">
        <f>IFERROR(INDEX('Data Lokasi'!V:V,MATCH(C2083,'Data Lokasi'!C:C,0)),"")</f>
        <v/>
      </c>
      <c r="Q2083" s="304" t="str">
        <f t="shared" si="71"/>
        <v/>
      </c>
      <c r="R2083" s="308"/>
    </row>
    <row r="2084" spans="2:18" hidden="1">
      <c r="B2084" s="269"/>
      <c r="C2084" s="268"/>
      <c r="D2084" s="274" t="str">
        <f>IFERROR(VLOOKUP(C2084,'Data Lokasi'!C:D,2,0),"")</f>
        <v/>
      </c>
      <c r="E2084" s="274"/>
      <c r="F2084" s="274"/>
      <c r="G2084" s="274"/>
      <c r="H2084" s="274"/>
      <c r="I2084" s="274"/>
      <c r="J2084" s="456" t="str">
        <f t="shared" si="70"/>
        <v/>
      </c>
      <c r="K2084" s="583"/>
      <c r="L2084" s="268"/>
      <c r="M2084" s="268"/>
      <c r="N2084" s="278" t="str">
        <f>IFERROR(INDEX('Data Lokasi'!S:S,MATCH('Input Real Tanam&amp;Petik Nanas'!C2084,'Data Lokasi'!C:C,0)),"")</f>
        <v/>
      </c>
      <c r="O2084" s="278"/>
      <c r="P2084" s="283" t="str">
        <f>IFERROR(INDEX('Data Lokasi'!V:V,MATCH(C2084,'Data Lokasi'!C:C,0)),"")</f>
        <v/>
      </c>
      <c r="Q2084" s="304" t="str">
        <f t="shared" si="71"/>
        <v/>
      </c>
      <c r="R2084" s="308"/>
    </row>
    <row r="2085" spans="2:18" hidden="1">
      <c r="B2085" s="269"/>
      <c r="C2085" s="268"/>
      <c r="D2085" s="274" t="str">
        <f>IFERROR(VLOOKUP(C2085,'Data Lokasi'!C:D,2,0),"")</f>
        <v/>
      </c>
      <c r="E2085" s="274"/>
      <c r="F2085" s="274"/>
      <c r="G2085" s="274"/>
      <c r="H2085" s="274"/>
      <c r="I2085" s="274"/>
      <c r="J2085" s="456" t="str">
        <f t="shared" si="70"/>
        <v/>
      </c>
      <c r="K2085" s="583"/>
      <c r="L2085" s="268"/>
      <c r="M2085" s="268"/>
      <c r="N2085" s="278" t="str">
        <f>IFERROR(INDEX('Data Lokasi'!S:S,MATCH('Input Real Tanam&amp;Petik Nanas'!C2085,'Data Lokasi'!C:C,0)),"")</f>
        <v/>
      </c>
      <c r="O2085" s="278"/>
      <c r="P2085" s="283" t="str">
        <f>IFERROR(INDEX('Data Lokasi'!V:V,MATCH(C2085,'Data Lokasi'!C:C,0)),"")</f>
        <v/>
      </c>
      <c r="Q2085" s="304" t="str">
        <f t="shared" si="71"/>
        <v/>
      </c>
      <c r="R2085" s="308"/>
    </row>
    <row r="2086" spans="2:18" hidden="1">
      <c r="B2086" s="269"/>
      <c r="C2086" s="268"/>
      <c r="D2086" s="274" t="str">
        <f>IFERROR(VLOOKUP(C2086,'Data Lokasi'!C:D,2,0),"")</f>
        <v/>
      </c>
      <c r="E2086" s="274"/>
      <c r="F2086" s="274"/>
      <c r="G2086" s="274"/>
      <c r="H2086" s="274"/>
      <c r="I2086" s="274"/>
      <c r="J2086" s="456" t="str">
        <f t="shared" si="70"/>
        <v/>
      </c>
      <c r="K2086" s="583"/>
      <c r="L2086" s="268"/>
      <c r="M2086" s="268"/>
      <c r="N2086" s="278" t="str">
        <f>IFERROR(INDEX('Data Lokasi'!S:S,MATCH('Input Real Tanam&amp;Petik Nanas'!C2086,'Data Lokasi'!C:C,0)),"")</f>
        <v/>
      </c>
      <c r="O2086" s="278"/>
      <c r="P2086" s="283" t="str">
        <f>IFERROR(INDEX('Data Lokasi'!V:V,MATCH(C2086,'Data Lokasi'!C:C,0)),"")</f>
        <v/>
      </c>
      <c r="Q2086" s="304" t="str">
        <f t="shared" si="71"/>
        <v/>
      </c>
      <c r="R2086" s="308"/>
    </row>
    <row r="2087" spans="2:18" hidden="1">
      <c r="B2087" s="269"/>
      <c r="C2087" s="268"/>
      <c r="D2087" s="274" t="str">
        <f>IFERROR(VLOOKUP(C2087,'Data Lokasi'!C:D,2,0),"")</f>
        <v/>
      </c>
      <c r="E2087" s="274"/>
      <c r="F2087" s="274"/>
      <c r="G2087" s="274"/>
      <c r="H2087" s="274"/>
      <c r="I2087" s="274"/>
      <c r="J2087" s="456" t="str">
        <f t="shared" si="70"/>
        <v/>
      </c>
      <c r="K2087" s="583"/>
      <c r="L2087" s="268"/>
      <c r="M2087" s="268"/>
      <c r="N2087" s="278" t="str">
        <f>IFERROR(INDEX('Data Lokasi'!S:S,MATCH('Input Real Tanam&amp;Petik Nanas'!C2087,'Data Lokasi'!C:C,0)),"")</f>
        <v/>
      </c>
      <c r="O2087" s="278"/>
      <c r="P2087" s="283" t="str">
        <f>IFERROR(INDEX('Data Lokasi'!V:V,MATCH(C2087,'Data Lokasi'!C:C,0)),"")</f>
        <v/>
      </c>
      <c r="Q2087" s="304" t="str">
        <f t="shared" si="71"/>
        <v/>
      </c>
      <c r="R2087" s="308"/>
    </row>
    <row r="2088" spans="2:18" hidden="1">
      <c r="B2088" s="269"/>
      <c r="C2088" s="268"/>
      <c r="D2088" s="274" t="str">
        <f>IFERROR(VLOOKUP(C2088,'Data Lokasi'!C:D,2,0),"")</f>
        <v/>
      </c>
      <c r="E2088" s="274"/>
      <c r="F2088" s="274"/>
      <c r="G2088" s="274"/>
      <c r="H2088" s="274"/>
      <c r="I2088" s="274"/>
      <c r="J2088" s="456" t="str">
        <f t="shared" si="70"/>
        <v/>
      </c>
      <c r="K2088" s="583"/>
      <c r="L2088" s="268"/>
      <c r="M2088" s="268"/>
      <c r="N2088" s="278" t="str">
        <f>IFERROR(INDEX('Data Lokasi'!S:S,MATCH('Input Real Tanam&amp;Petik Nanas'!C2088,'Data Lokasi'!C:C,0)),"")</f>
        <v/>
      </c>
      <c r="O2088" s="278"/>
      <c r="P2088" s="283" t="str">
        <f>IFERROR(INDEX('Data Lokasi'!V:V,MATCH(C2088,'Data Lokasi'!C:C,0)),"")</f>
        <v/>
      </c>
      <c r="Q2088" s="304" t="str">
        <f t="shared" si="71"/>
        <v/>
      </c>
      <c r="R2088" s="308"/>
    </row>
    <row r="2089" spans="2:18" hidden="1">
      <c r="B2089" s="269"/>
      <c r="C2089" s="268"/>
      <c r="D2089" s="274" t="str">
        <f>IFERROR(VLOOKUP(C2089,'Data Lokasi'!C:D,2,0),"")</f>
        <v/>
      </c>
      <c r="E2089" s="274"/>
      <c r="F2089" s="274"/>
      <c r="G2089" s="274"/>
      <c r="H2089" s="274"/>
      <c r="I2089" s="274"/>
      <c r="J2089" s="456" t="str">
        <f t="shared" si="70"/>
        <v/>
      </c>
      <c r="K2089" s="583"/>
      <c r="L2089" s="268"/>
      <c r="M2089" s="268"/>
      <c r="N2089" s="278" t="str">
        <f>IFERROR(INDEX('Data Lokasi'!S:S,MATCH('Input Real Tanam&amp;Petik Nanas'!C2089,'Data Lokasi'!C:C,0)),"")</f>
        <v/>
      </c>
      <c r="O2089" s="278"/>
      <c r="P2089" s="283" t="str">
        <f>IFERROR(INDEX('Data Lokasi'!V:V,MATCH(C2089,'Data Lokasi'!C:C,0)),"")</f>
        <v/>
      </c>
      <c r="Q2089" s="304" t="str">
        <f t="shared" si="71"/>
        <v/>
      </c>
      <c r="R2089" s="308"/>
    </row>
    <row r="2090" spans="2:18" hidden="1">
      <c r="B2090" s="269"/>
      <c r="C2090" s="268"/>
      <c r="D2090" s="274" t="str">
        <f>IFERROR(VLOOKUP(C2090,'Data Lokasi'!C:D,2,0),"")</f>
        <v/>
      </c>
      <c r="E2090" s="274"/>
      <c r="F2090" s="274"/>
      <c r="G2090" s="274"/>
      <c r="H2090" s="274"/>
      <c r="I2090" s="274"/>
      <c r="J2090" s="456" t="str">
        <f t="shared" si="70"/>
        <v/>
      </c>
      <c r="K2090" s="583"/>
      <c r="L2090" s="268"/>
      <c r="M2090" s="268"/>
      <c r="N2090" s="278" t="str">
        <f>IFERROR(INDEX('Data Lokasi'!S:S,MATCH('Input Real Tanam&amp;Petik Nanas'!C2090,'Data Lokasi'!C:C,0)),"")</f>
        <v/>
      </c>
      <c r="O2090" s="278"/>
      <c r="P2090" s="283" t="str">
        <f>IFERROR(INDEX('Data Lokasi'!V:V,MATCH(C2090,'Data Lokasi'!C:C,0)),"")</f>
        <v/>
      </c>
      <c r="Q2090" s="304" t="str">
        <f t="shared" si="71"/>
        <v/>
      </c>
      <c r="R2090" s="308"/>
    </row>
    <row r="2091" spans="2:18" hidden="1">
      <c r="B2091" s="269"/>
      <c r="C2091" s="268"/>
      <c r="D2091" s="274" t="str">
        <f>IFERROR(VLOOKUP(C2091,'Data Lokasi'!C:D,2,0),"")</f>
        <v/>
      </c>
      <c r="E2091" s="274"/>
      <c r="F2091" s="274"/>
      <c r="G2091" s="274"/>
      <c r="H2091" s="274"/>
      <c r="I2091" s="274"/>
      <c r="J2091" s="456" t="str">
        <f t="shared" si="70"/>
        <v/>
      </c>
      <c r="K2091" s="583"/>
      <c r="L2091" s="268"/>
      <c r="M2091" s="268"/>
      <c r="N2091" s="278" t="str">
        <f>IFERROR(INDEX('Data Lokasi'!S:S,MATCH('Input Real Tanam&amp;Petik Nanas'!C2091,'Data Lokasi'!C:C,0)),"")</f>
        <v/>
      </c>
      <c r="O2091" s="278"/>
      <c r="P2091" s="283" t="str">
        <f>IFERROR(INDEX('Data Lokasi'!V:V,MATCH(C2091,'Data Lokasi'!C:C,0)),"")</f>
        <v/>
      </c>
      <c r="Q2091" s="304" t="str">
        <f t="shared" si="71"/>
        <v/>
      </c>
      <c r="R2091" s="308"/>
    </row>
    <row r="2092" spans="2:18" hidden="1">
      <c r="B2092" s="269"/>
      <c r="C2092" s="268"/>
      <c r="D2092" s="274" t="str">
        <f>IFERROR(VLOOKUP(C2092,'Data Lokasi'!C:D,2,0),"")</f>
        <v/>
      </c>
      <c r="E2092" s="274"/>
      <c r="F2092" s="274"/>
      <c r="G2092" s="274"/>
      <c r="H2092" s="274"/>
      <c r="I2092" s="274"/>
      <c r="J2092" s="456" t="str">
        <f t="shared" si="70"/>
        <v/>
      </c>
      <c r="K2092" s="583"/>
      <c r="L2092" s="268"/>
      <c r="M2092" s="268"/>
      <c r="N2092" s="278" t="str">
        <f>IFERROR(INDEX('Data Lokasi'!S:S,MATCH('Input Real Tanam&amp;Petik Nanas'!C2092,'Data Lokasi'!C:C,0)),"")</f>
        <v/>
      </c>
      <c r="O2092" s="278"/>
      <c r="P2092" s="283" t="str">
        <f>IFERROR(INDEX('Data Lokasi'!V:V,MATCH(C2092,'Data Lokasi'!C:C,0)),"")</f>
        <v/>
      </c>
      <c r="Q2092" s="304" t="str">
        <f t="shared" si="71"/>
        <v/>
      </c>
      <c r="R2092" s="308"/>
    </row>
    <row r="2093" spans="2:18" hidden="1">
      <c r="B2093" s="269"/>
      <c r="C2093" s="268"/>
      <c r="D2093" s="274" t="str">
        <f>IFERROR(VLOOKUP(C2093,'Data Lokasi'!C:D,2,0),"")</f>
        <v/>
      </c>
      <c r="E2093" s="274"/>
      <c r="F2093" s="274"/>
      <c r="G2093" s="274"/>
      <c r="H2093" s="274"/>
      <c r="I2093" s="274"/>
      <c r="J2093" s="456" t="str">
        <f t="shared" si="70"/>
        <v/>
      </c>
      <c r="K2093" s="583"/>
      <c r="L2093" s="268"/>
      <c r="M2093" s="268"/>
      <c r="N2093" s="278" t="str">
        <f>IFERROR(INDEX('Data Lokasi'!S:S,MATCH('Input Real Tanam&amp;Petik Nanas'!C2093,'Data Lokasi'!C:C,0)),"")</f>
        <v/>
      </c>
      <c r="O2093" s="278"/>
      <c r="P2093" s="283" t="str">
        <f>IFERROR(INDEX('Data Lokasi'!V:V,MATCH(C2093,'Data Lokasi'!C:C,0)),"")</f>
        <v/>
      </c>
      <c r="Q2093" s="304" t="str">
        <f t="shared" si="71"/>
        <v/>
      </c>
      <c r="R2093" s="308"/>
    </row>
    <row r="2094" spans="2:18" hidden="1">
      <c r="B2094" s="269"/>
      <c r="C2094" s="268"/>
      <c r="D2094" s="274" t="str">
        <f>IFERROR(VLOOKUP(C2094,'Data Lokasi'!C:D,2,0),"")</f>
        <v/>
      </c>
      <c r="E2094" s="274"/>
      <c r="F2094" s="274"/>
      <c r="G2094" s="274"/>
      <c r="H2094" s="274"/>
      <c r="I2094" s="274"/>
      <c r="J2094" s="456" t="str">
        <f t="shared" si="70"/>
        <v/>
      </c>
      <c r="K2094" s="583"/>
      <c r="L2094" s="268"/>
      <c r="M2094" s="268"/>
      <c r="N2094" s="278" t="str">
        <f>IFERROR(INDEX('Data Lokasi'!S:S,MATCH('Input Real Tanam&amp;Petik Nanas'!C2094,'Data Lokasi'!C:C,0)),"")</f>
        <v/>
      </c>
      <c r="O2094" s="278"/>
      <c r="P2094" s="283" t="str">
        <f>IFERROR(INDEX('Data Lokasi'!V:V,MATCH(C2094,'Data Lokasi'!C:C,0)),"")</f>
        <v/>
      </c>
      <c r="Q2094" s="304" t="str">
        <f t="shared" si="71"/>
        <v/>
      </c>
      <c r="R2094" s="308"/>
    </row>
    <row r="2095" spans="2:18" hidden="1">
      <c r="B2095" s="269"/>
      <c r="C2095" s="268"/>
      <c r="D2095" s="274" t="str">
        <f>IFERROR(VLOOKUP(C2095,'Data Lokasi'!C:D,2,0),"")</f>
        <v/>
      </c>
      <c r="E2095" s="274"/>
      <c r="F2095" s="274"/>
      <c r="G2095" s="274"/>
      <c r="H2095" s="274"/>
      <c r="I2095" s="274"/>
      <c r="J2095" s="456" t="str">
        <f t="shared" si="70"/>
        <v/>
      </c>
      <c r="K2095" s="583"/>
      <c r="L2095" s="268"/>
      <c r="M2095" s="268"/>
      <c r="N2095" s="278" t="str">
        <f>IFERROR(INDEX('Data Lokasi'!S:S,MATCH('Input Real Tanam&amp;Petik Nanas'!C2095,'Data Lokasi'!C:C,0)),"")</f>
        <v/>
      </c>
      <c r="O2095" s="278"/>
      <c r="P2095" s="283" t="str">
        <f>IFERROR(INDEX('Data Lokasi'!V:V,MATCH(C2095,'Data Lokasi'!C:C,0)),"")</f>
        <v/>
      </c>
      <c r="Q2095" s="304" t="str">
        <f t="shared" si="71"/>
        <v/>
      </c>
      <c r="R2095" s="308"/>
    </row>
    <row r="2096" spans="2:18" hidden="1">
      <c r="B2096" s="269"/>
      <c r="C2096" s="268"/>
      <c r="D2096" s="274" t="str">
        <f>IFERROR(VLOOKUP(C2096,'Data Lokasi'!C:D,2,0),"")</f>
        <v/>
      </c>
      <c r="E2096" s="274"/>
      <c r="F2096" s="274"/>
      <c r="G2096" s="274"/>
      <c r="H2096" s="274"/>
      <c r="I2096" s="274"/>
      <c r="J2096" s="456" t="str">
        <f t="shared" si="70"/>
        <v/>
      </c>
      <c r="K2096" s="583"/>
      <c r="L2096" s="268"/>
      <c r="M2096" s="268"/>
      <c r="N2096" s="278" t="str">
        <f>IFERROR(INDEX('Data Lokasi'!S:S,MATCH('Input Real Tanam&amp;Petik Nanas'!C2096,'Data Lokasi'!C:C,0)),"")</f>
        <v/>
      </c>
      <c r="O2096" s="278"/>
      <c r="P2096" s="283" t="str">
        <f>IFERROR(INDEX('Data Lokasi'!V:V,MATCH(C2096,'Data Lokasi'!C:C,0)),"")</f>
        <v/>
      </c>
      <c r="Q2096" s="304" t="str">
        <f t="shared" si="71"/>
        <v/>
      </c>
      <c r="R2096" s="308"/>
    </row>
    <row r="2097" spans="2:18" hidden="1">
      <c r="B2097" s="269"/>
      <c r="C2097" s="268"/>
      <c r="D2097" s="274" t="str">
        <f>IFERROR(VLOOKUP(C2097,'Data Lokasi'!C:D,2,0),"")</f>
        <v/>
      </c>
      <c r="E2097" s="274"/>
      <c r="F2097" s="274"/>
      <c r="G2097" s="274"/>
      <c r="H2097" s="274"/>
      <c r="I2097" s="274"/>
      <c r="J2097" s="456" t="str">
        <f t="shared" si="70"/>
        <v/>
      </c>
      <c r="K2097" s="583"/>
      <c r="L2097" s="268"/>
      <c r="M2097" s="268"/>
      <c r="N2097" s="278" t="str">
        <f>IFERROR(INDEX('Data Lokasi'!S:S,MATCH('Input Real Tanam&amp;Petik Nanas'!C2097,'Data Lokasi'!C:C,0)),"")</f>
        <v/>
      </c>
      <c r="O2097" s="278"/>
      <c r="P2097" s="283" t="str">
        <f>IFERROR(INDEX('Data Lokasi'!V:V,MATCH(C2097,'Data Lokasi'!C:C,0)),"")</f>
        <v/>
      </c>
      <c r="Q2097" s="304" t="str">
        <f t="shared" si="71"/>
        <v/>
      </c>
      <c r="R2097" s="308"/>
    </row>
    <row r="2098" spans="2:18" hidden="1">
      <c r="B2098" s="269"/>
      <c r="C2098" s="268"/>
      <c r="D2098" s="274" t="str">
        <f>IFERROR(VLOOKUP(C2098,'Data Lokasi'!C:D,2,0),"")</f>
        <v/>
      </c>
      <c r="E2098" s="274"/>
      <c r="F2098" s="274"/>
      <c r="G2098" s="274"/>
      <c r="H2098" s="274"/>
      <c r="I2098" s="274"/>
      <c r="J2098" s="456" t="str">
        <f t="shared" si="70"/>
        <v/>
      </c>
      <c r="K2098" s="583"/>
      <c r="L2098" s="268"/>
      <c r="M2098" s="268"/>
      <c r="N2098" s="278" t="str">
        <f>IFERROR(INDEX('Data Lokasi'!S:S,MATCH('Input Real Tanam&amp;Petik Nanas'!C2098,'Data Lokasi'!C:C,0)),"")</f>
        <v/>
      </c>
      <c r="O2098" s="278"/>
      <c r="P2098" s="283" t="str">
        <f>IFERROR(INDEX('Data Lokasi'!V:V,MATCH(C2098,'Data Lokasi'!C:C,0)),"")</f>
        <v/>
      </c>
      <c r="Q2098" s="304" t="str">
        <f t="shared" si="71"/>
        <v/>
      </c>
      <c r="R2098" s="308"/>
    </row>
    <row r="2099" spans="2:18" hidden="1">
      <c r="B2099" s="269"/>
      <c r="C2099" s="268"/>
      <c r="D2099" s="274" t="str">
        <f>IFERROR(VLOOKUP(C2099,'Data Lokasi'!C:D,2,0),"")</f>
        <v/>
      </c>
      <c r="E2099" s="274"/>
      <c r="F2099" s="274"/>
      <c r="G2099" s="274"/>
      <c r="H2099" s="274"/>
      <c r="I2099" s="274"/>
      <c r="J2099" s="456" t="str">
        <f t="shared" si="70"/>
        <v/>
      </c>
      <c r="K2099" s="583"/>
      <c r="L2099" s="268"/>
      <c r="M2099" s="268"/>
      <c r="N2099" s="278" t="str">
        <f>IFERROR(INDEX('Data Lokasi'!S:S,MATCH('Input Real Tanam&amp;Petik Nanas'!C2099,'Data Lokasi'!C:C,0)),"")</f>
        <v/>
      </c>
      <c r="O2099" s="278"/>
      <c r="P2099" s="283" t="str">
        <f>IFERROR(INDEX('Data Lokasi'!V:V,MATCH(C2099,'Data Lokasi'!C:C,0)),"")</f>
        <v/>
      </c>
      <c r="Q2099" s="304" t="str">
        <f t="shared" si="71"/>
        <v/>
      </c>
      <c r="R2099" s="308"/>
    </row>
    <row r="2100" spans="2:18" hidden="1">
      <c r="B2100" s="269"/>
      <c r="C2100" s="268"/>
      <c r="D2100" s="274" t="str">
        <f>IFERROR(VLOOKUP(C2100,'Data Lokasi'!C:D,2,0),"")</f>
        <v/>
      </c>
      <c r="E2100" s="274"/>
      <c r="F2100" s="274"/>
      <c r="G2100" s="274"/>
      <c r="H2100" s="274"/>
      <c r="I2100" s="274"/>
      <c r="J2100" s="456" t="str">
        <f t="shared" si="70"/>
        <v/>
      </c>
      <c r="K2100" s="583"/>
      <c r="L2100" s="268"/>
      <c r="M2100" s="268"/>
      <c r="N2100" s="278" t="str">
        <f>IFERROR(INDEX('Data Lokasi'!S:S,MATCH('Input Real Tanam&amp;Petik Nanas'!C2100,'Data Lokasi'!C:C,0)),"")</f>
        <v/>
      </c>
      <c r="O2100" s="278"/>
      <c r="P2100" s="283" t="str">
        <f>IFERROR(INDEX('Data Lokasi'!V:V,MATCH(C2100,'Data Lokasi'!C:C,0)),"")</f>
        <v/>
      </c>
      <c r="Q2100" s="304" t="str">
        <f t="shared" si="71"/>
        <v/>
      </c>
      <c r="R2100" s="308"/>
    </row>
    <row r="2101" spans="2:18" hidden="1">
      <c r="B2101" s="269"/>
      <c r="C2101" s="268"/>
      <c r="D2101" s="274" t="str">
        <f>IFERROR(VLOOKUP(C2101,'Data Lokasi'!C:D,2,0),"")</f>
        <v/>
      </c>
      <c r="E2101" s="274"/>
      <c r="F2101" s="274"/>
      <c r="G2101" s="274"/>
      <c r="H2101" s="274"/>
      <c r="I2101" s="274"/>
      <c r="J2101" s="456" t="str">
        <f t="shared" si="70"/>
        <v/>
      </c>
      <c r="K2101" s="583"/>
      <c r="L2101" s="268"/>
      <c r="M2101" s="268"/>
      <c r="N2101" s="278" t="str">
        <f>IFERROR(INDEX('Data Lokasi'!S:S,MATCH('Input Real Tanam&amp;Petik Nanas'!C2101,'Data Lokasi'!C:C,0)),"")</f>
        <v/>
      </c>
      <c r="O2101" s="278"/>
      <c r="P2101" s="283" t="str">
        <f>IFERROR(INDEX('Data Lokasi'!V:V,MATCH(C2101,'Data Lokasi'!C:C,0)),"")</f>
        <v/>
      </c>
      <c r="Q2101" s="304" t="str">
        <f t="shared" si="71"/>
        <v/>
      </c>
      <c r="R2101" s="308"/>
    </row>
    <row r="2102" spans="2:18" hidden="1">
      <c r="B2102" s="269"/>
      <c r="C2102" s="268"/>
      <c r="D2102" s="274" t="str">
        <f>IFERROR(VLOOKUP(C2102,'Data Lokasi'!C:D,2,0),"")</f>
        <v/>
      </c>
      <c r="E2102" s="274"/>
      <c r="F2102" s="274"/>
      <c r="G2102" s="274"/>
      <c r="H2102" s="274"/>
      <c r="I2102" s="274"/>
      <c r="J2102" s="456" t="str">
        <f t="shared" si="70"/>
        <v/>
      </c>
      <c r="K2102" s="583"/>
      <c r="L2102" s="268"/>
      <c r="M2102" s="268"/>
      <c r="N2102" s="278" t="str">
        <f>IFERROR(INDEX('Data Lokasi'!S:S,MATCH('Input Real Tanam&amp;Petik Nanas'!C2102,'Data Lokasi'!C:C,0)),"")</f>
        <v/>
      </c>
      <c r="O2102" s="278"/>
      <c r="P2102" s="283" t="str">
        <f>IFERROR(INDEX('Data Lokasi'!V:V,MATCH(C2102,'Data Lokasi'!C:C,0)),"")</f>
        <v/>
      </c>
      <c r="Q2102" s="304" t="str">
        <f t="shared" si="71"/>
        <v/>
      </c>
      <c r="R2102" s="308"/>
    </row>
    <row r="2103" spans="2:18" hidden="1">
      <c r="B2103" s="269"/>
      <c r="C2103" s="268"/>
      <c r="D2103" s="274" t="str">
        <f>IFERROR(VLOOKUP(C2103,'Data Lokasi'!C:D,2,0),"")</f>
        <v/>
      </c>
      <c r="E2103" s="274"/>
      <c r="F2103" s="274"/>
      <c r="G2103" s="274"/>
      <c r="H2103" s="274"/>
      <c r="I2103" s="274"/>
      <c r="J2103" s="456" t="str">
        <f t="shared" si="70"/>
        <v/>
      </c>
      <c r="K2103" s="583"/>
      <c r="L2103" s="268"/>
      <c r="M2103" s="268"/>
      <c r="N2103" s="278" t="str">
        <f>IFERROR(INDEX('Data Lokasi'!S:S,MATCH('Input Real Tanam&amp;Petik Nanas'!C2103,'Data Lokasi'!C:C,0)),"")</f>
        <v/>
      </c>
      <c r="O2103" s="278"/>
      <c r="P2103" s="283" t="str">
        <f>IFERROR(INDEX('Data Lokasi'!V:V,MATCH(C2103,'Data Lokasi'!C:C,0)),"")</f>
        <v/>
      </c>
      <c r="Q2103" s="304" t="str">
        <f t="shared" si="71"/>
        <v/>
      </c>
      <c r="R2103" s="308"/>
    </row>
    <row r="2104" spans="2:18" hidden="1">
      <c r="B2104" s="269"/>
      <c r="C2104" s="268"/>
      <c r="D2104" s="274" t="str">
        <f>IFERROR(VLOOKUP(C2104,'Data Lokasi'!C:D,2,0),"")</f>
        <v/>
      </c>
      <c r="E2104" s="274"/>
      <c r="F2104" s="274"/>
      <c r="G2104" s="274"/>
      <c r="H2104" s="274"/>
      <c r="I2104" s="274"/>
      <c r="J2104" s="456" t="str">
        <f t="shared" si="70"/>
        <v/>
      </c>
      <c r="K2104" s="583"/>
      <c r="L2104" s="268"/>
      <c r="M2104" s="268"/>
      <c r="N2104" s="278" t="str">
        <f>IFERROR(INDEX('Data Lokasi'!S:S,MATCH('Input Real Tanam&amp;Petik Nanas'!C2104,'Data Lokasi'!C:C,0)),"")</f>
        <v/>
      </c>
      <c r="O2104" s="278"/>
      <c r="P2104" s="283" t="str">
        <f>IFERROR(INDEX('Data Lokasi'!V:V,MATCH(C2104,'Data Lokasi'!C:C,0)),"")</f>
        <v/>
      </c>
      <c r="Q2104" s="304" t="str">
        <f t="shared" si="71"/>
        <v/>
      </c>
      <c r="R2104" s="308"/>
    </row>
    <row r="2105" spans="2:18" hidden="1">
      <c r="B2105" s="269"/>
      <c r="C2105" s="268"/>
      <c r="D2105" s="274" t="str">
        <f>IFERROR(VLOOKUP(C2105,'Data Lokasi'!C:D,2,0),"")</f>
        <v/>
      </c>
      <c r="E2105" s="274"/>
      <c r="F2105" s="274"/>
      <c r="G2105" s="274"/>
      <c r="H2105" s="274"/>
      <c r="I2105" s="274"/>
      <c r="J2105" s="456" t="str">
        <f t="shared" si="70"/>
        <v/>
      </c>
      <c r="K2105" s="583"/>
      <c r="L2105" s="268"/>
      <c r="M2105" s="268"/>
      <c r="N2105" s="278" t="str">
        <f>IFERROR(INDEX('Data Lokasi'!S:S,MATCH('Input Real Tanam&amp;Petik Nanas'!C2105,'Data Lokasi'!C:C,0)),"")</f>
        <v/>
      </c>
      <c r="O2105" s="278"/>
      <c r="P2105" s="283" t="str">
        <f>IFERROR(INDEX('Data Lokasi'!V:V,MATCH(C2105,'Data Lokasi'!C:C,0)),"")</f>
        <v/>
      </c>
      <c r="Q2105" s="304" t="str">
        <f t="shared" si="71"/>
        <v/>
      </c>
      <c r="R2105" s="308"/>
    </row>
    <row r="2106" spans="2:18" hidden="1">
      <c r="B2106" s="269"/>
      <c r="C2106" s="268"/>
      <c r="D2106" s="274" t="str">
        <f>IFERROR(VLOOKUP(C2106,'Data Lokasi'!C:D,2,0),"")</f>
        <v/>
      </c>
      <c r="E2106" s="274"/>
      <c r="F2106" s="274"/>
      <c r="G2106" s="274"/>
      <c r="H2106" s="274"/>
      <c r="I2106" s="274"/>
      <c r="J2106" s="456" t="str">
        <f t="shared" si="70"/>
        <v/>
      </c>
      <c r="K2106" s="583"/>
      <c r="L2106" s="268"/>
      <c r="M2106" s="268"/>
      <c r="N2106" s="278" t="str">
        <f>IFERROR(INDEX('Data Lokasi'!S:S,MATCH('Input Real Tanam&amp;Petik Nanas'!C2106,'Data Lokasi'!C:C,0)),"")</f>
        <v/>
      </c>
      <c r="O2106" s="278"/>
      <c r="P2106" s="283" t="str">
        <f>IFERROR(INDEX('Data Lokasi'!V:V,MATCH(C2106,'Data Lokasi'!C:C,0)),"")</f>
        <v/>
      </c>
      <c r="Q2106" s="304" t="str">
        <f t="shared" si="71"/>
        <v/>
      </c>
      <c r="R2106" s="308"/>
    </row>
    <row r="2107" spans="2:18" hidden="1">
      <c r="B2107" s="269"/>
      <c r="C2107" s="268"/>
      <c r="D2107" s="274" t="str">
        <f>IFERROR(VLOOKUP(C2107,'Data Lokasi'!C:D,2,0),"")</f>
        <v/>
      </c>
      <c r="E2107" s="274"/>
      <c r="F2107" s="274"/>
      <c r="G2107" s="274"/>
      <c r="H2107" s="274"/>
      <c r="I2107" s="274"/>
      <c r="J2107" s="456" t="str">
        <f t="shared" si="70"/>
        <v/>
      </c>
      <c r="K2107" s="583"/>
      <c r="L2107" s="268"/>
      <c r="M2107" s="268"/>
      <c r="N2107" s="278" t="str">
        <f>IFERROR(INDEX('Data Lokasi'!S:S,MATCH('Input Real Tanam&amp;Petik Nanas'!C2107,'Data Lokasi'!C:C,0)),"")</f>
        <v/>
      </c>
      <c r="O2107" s="278"/>
      <c r="P2107" s="283" t="str">
        <f>IFERROR(INDEX('Data Lokasi'!V:V,MATCH(C2107,'Data Lokasi'!C:C,0)),"")</f>
        <v/>
      </c>
      <c r="Q2107" s="304" t="str">
        <f t="shared" si="71"/>
        <v/>
      </c>
      <c r="R2107" s="308"/>
    </row>
    <row r="2108" spans="2:18" hidden="1">
      <c r="B2108" s="269"/>
      <c r="C2108" s="268"/>
      <c r="D2108" s="274" t="str">
        <f>IFERROR(VLOOKUP(C2108,'Data Lokasi'!C:D,2,0),"")</f>
        <v/>
      </c>
      <c r="E2108" s="274"/>
      <c r="F2108" s="274"/>
      <c r="G2108" s="274"/>
      <c r="H2108" s="274"/>
      <c r="I2108" s="274"/>
      <c r="J2108" s="456" t="str">
        <f t="shared" si="70"/>
        <v/>
      </c>
      <c r="K2108" s="583"/>
      <c r="L2108" s="268"/>
      <c r="M2108" s="268"/>
      <c r="N2108" s="278" t="str">
        <f>IFERROR(INDEX('Data Lokasi'!S:S,MATCH('Input Real Tanam&amp;Petik Nanas'!C2108,'Data Lokasi'!C:C,0)),"")</f>
        <v/>
      </c>
      <c r="O2108" s="278"/>
      <c r="P2108" s="283" t="str">
        <f>IFERROR(INDEX('Data Lokasi'!V:V,MATCH(C2108,'Data Lokasi'!C:C,0)),"")</f>
        <v/>
      </c>
      <c r="Q2108" s="304" t="str">
        <f t="shared" si="71"/>
        <v/>
      </c>
      <c r="R2108" s="308"/>
    </row>
    <row r="2109" spans="2:18" hidden="1">
      <c r="B2109" s="270" t="s">
        <v>2675</v>
      </c>
      <c r="C2109" s="270" t="s">
        <v>2675</v>
      </c>
      <c r="D2109" s="270" t="s">
        <v>2675</v>
      </c>
      <c r="E2109" s="270" t="s">
        <v>2675</v>
      </c>
      <c r="F2109" s="270" t="s">
        <v>2675</v>
      </c>
      <c r="G2109" s="270" t="s">
        <v>2675</v>
      </c>
      <c r="H2109" s="270" t="s">
        <v>2675</v>
      </c>
      <c r="I2109" s="270" t="s">
        <v>2675</v>
      </c>
      <c r="J2109" s="457" t="s">
        <v>2675</v>
      </c>
      <c r="K2109" s="584"/>
      <c r="L2109" s="270" t="s">
        <v>2675</v>
      </c>
      <c r="M2109" s="270" t="s">
        <v>2675</v>
      </c>
      <c r="N2109" s="270" t="s">
        <v>2675</v>
      </c>
      <c r="O2109" s="270" t="s">
        <v>2675</v>
      </c>
      <c r="P2109" s="270" t="s">
        <v>2675</v>
      </c>
      <c r="Q2109" s="270" t="s">
        <v>2675</v>
      </c>
      <c r="R2109" s="270" t="s">
        <v>2675</v>
      </c>
    </row>
    <row r="2111" spans="2:18">
      <c r="I2111" s="559"/>
    </row>
  </sheetData>
  <autoFilter ref="B7:AA2109" xr:uid="{11E3757B-5E19-4AD4-9A45-CAE43AA4C2A6}">
    <filterColumn colId="0">
      <filters>
        <dateGroupItem year="2026" month="9" dateTimeGrouping="month"/>
      </filters>
    </filterColumn>
    <filterColumn colId="3">
      <filters>
        <filter val="Tanam Bibit"/>
      </filters>
    </filterColumn>
  </autoFilter>
  <mergeCells count="8">
    <mergeCell ref="C6:C7"/>
    <mergeCell ref="B6:B7"/>
    <mergeCell ref="Q6:Q7"/>
    <mergeCell ref="M6:M7"/>
    <mergeCell ref="L6:L7"/>
    <mergeCell ref="J6:J7"/>
    <mergeCell ref="E6:E7"/>
    <mergeCell ref="K6:K7"/>
  </mergeCells>
  <conditionalFormatting sqref="Q1:R1048576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{07D08825-93C8-4DD8-958B-17A69CE8D64C}</x14:id>
        </ext>
      </extLst>
    </cfRule>
  </conditionalFormatting>
  <dataValidations count="3">
    <dataValidation type="list" allowBlank="1" showInputMessage="1" showErrorMessage="1" sqref="M2110:M1048576 M2:M2108" xr:uid="{B6967C27-8AF7-4BE2-8757-1E2A4D78EE8A}">
      <formula1>"Timur,Barat"</formula1>
    </dataValidation>
    <dataValidation type="list" allowBlank="1" showInputMessage="1" showErrorMessage="1" sqref="L2110:L1048576 L2:L2108" xr:uid="{C2286833-2B63-448B-BB98-A97A2917DD4F}">
      <formula1>"Sucker,Crown"</formula1>
    </dataValidation>
    <dataValidation type="list" allowBlank="1" showInputMessage="1" showErrorMessage="1" sqref="E2110:E1048576 E2:E2108" xr:uid="{570FBDFB-E6F3-4B34-97FE-88C2C86A2B14}">
      <formula1>"Tanam Bibit,Petik Bibit"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D08825-93C8-4DD8-958B-17A69CE8D6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Q1:R1048576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4435-8F6A-46E1-ABC3-191089FBAB24}">
  <dimension ref="A1:U580"/>
  <sheetViews>
    <sheetView showGridLines="0" topLeftCell="A222" workbookViewId="0">
      <selection activeCell="A238" sqref="A238"/>
    </sheetView>
  </sheetViews>
  <sheetFormatPr defaultRowHeight="14.4"/>
  <cols>
    <col min="1" max="1" width="15.6640625" style="524" customWidth="1"/>
    <col min="2" max="2" width="33.109375" customWidth="1"/>
    <col min="3" max="3" width="11.109375" customWidth="1"/>
    <col min="4" max="4" width="15.44140625" customWidth="1"/>
    <col min="5" max="5" width="9.109375" style="30"/>
  </cols>
  <sheetData>
    <row r="1" spans="1:9">
      <c r="A1" s="537"/>
      <c r="B1" s="538"/>
      <c r="C1" s="538"/>
      <c r="D1" s="538"/>
      <c r="E1" s="539"/>
      <c r="F1" s="538"/>
    </row>
    <row r="2" spans="1:9">
      <c r="A2" s="537"/>
      <c r="B2" s="538"/>
      <c r="C2" s="538"/>
      <c r="D2" s="538"/>
      <c r="E2" s="539"/>
      <c r="F2" s="538"/>
    </row>
    <row r="3" spans="1:9">
      <c r="A3" s="537"/>
      <c r="B3" s="538"/>
      <c r="C3" s="538"/>
      <c r="D3" s="538"/>
      <c r="E3" s="539"/>
      <c r="F3" s="538"/>
    </row>
    <row r="5" spans="1:9" ht="27" customHeight="1" thickBot="1">
      <c r="A5" s="525" t="s">
        <v>729</v>
      </c>
      <c r="B5" s="526" t="s">
        <v>2748</v>
      </c>
      <c r="C5" s="526" t="s">
        <v>2636</v>
      </c>
      <c r="D5" s="526" t="s">
        <v>2749</v>
      </c>
      <c r="E5" s="526" t="s">
        <v>2750</v>
      </c>
      <c r="F5" s="527" t="s">
        <v>2630</v>
      </c>
      <c r="H5" s="543" t="s">
        <v>729</v>
      </c>
      <c r="I5" s="547">
        <v>46307</v>
      </c>
    </row>
    <row r="6" spans="1:9" ht="15" thickTop="1">
      <c r="A6" s="533">
        <v>46289</v>
      </c>
      <c r="B6" s="534" t="s">
        <v>441</v>
      </c>
      <c r="C6" s="534" t="s">
        <v>719</v>
      </c>
      <c r="D6" s="534" t="s">
        <v>2713</v>
      </c>
      <c r="E6" s="535">
        <v>0.08</v>
      </c>
      <c r="F6" s="536" t="s">
        <v>2631</v>
      </c>
      <c r="H6" s="545" t="s">
        <v>2630</v>
      </c>
      <c r="I6" s="545" t="s">
        <v>2631</v>
      </c>
    </row>
    <row r="7" spans="1:9">
      <c r="A7" s="528">
        <v>46294</v>
      </c>
      <c r="B7" s="531" t="s">
        <v>465</v>
      </c>
      <c r="C7" s="531" t="s">
        <v>2625</v>
      </c>
      <c r="D7" s="532" t="s">
        <v>137</v>
      </c>
      <c r="E7" s="529">
        <v>0.37</v>
      </c>
      <c r="F7" s="530" t="s">
        <v>2631</v>
      </c>
      <c r="H7" t="s">
        <v>2636</v>
      </c>
      <c r="I7" t="s">
        <v>2632</v>
      </c>
    </row>
    <row r="8" spans="1:9">
      <c r="A8" s="528">
        <v>46294</v>
      </c>
      <c r="B8" s="531" t="s">
        <v>465</v>
      </c>
      <c r="C8" s="531" t="s">
        <v>2625</v>
      </c>
      <c r="D8" s="531" t="s">
        <v>445</v>
      </c>
      <c r="E8" s="529">
        <v>0.16</v>
      </c>
      <c r="F8" s="530" t="s">
        <v>2631</v>
      </c>
      <c r="H8" s="544" t="s">
        <v>719</v>
      </c>
      <c r="I8" s="546">
        <f>SUMIFS($E:$E,$A:$A,$I$5,$C:$C,$H8,$F:$F,$I$6)</f>
        <v>0.08</v>
      </c>
    </row>
    <row r="9" spans="1:9">
      <c r="A9" s="528">
        <v>46294</v>
      </c>
      <c r="B9" s="531" t="s">
        <v>569</v>
      </c>
      <c r="C9" s="531" t="s">
        <v>2625</v>
      </c>
      <c r="D9" s="532" t="s">
        <v>137</v>
      </c>
      <c r="E9" s="529">
        <v>0.16</v>
      </c>
      <c r="F9" s="530" t="s">
        <v>2631</v>
      </c>
      <c r="H9" t="s">
        <v>2625</v>
      </c>
      <c r="I9" s="36">
        <f>SUMIFS($E:$E,$A:$A,$I$5,$C:$C,$H9,$F:$F,$I$6)</f>
        <v>2.67</v>
      </c>
    </row>
    <row r="10" spans="1:9">
      <c r="A10" s="528">
        <v>46294</v>
      </c>
      <c r="B10" s="531" t="s">
        <v>569</v>
      </c>
      <c r="C10" s="531" t="s">
        <v>2625</v>
      </c>
      <c r="D10" s="531" t="s">
        <v>445</v>
      </c>
      <c r="E10" s="529">
        <v>0.16</v>
      </c>
      <c r="F10" s="530" t="s">
        <v>2631</v>
      </c>
      <c r="H10" s="544" t="s">
        <v>12</v>
      </c>
      <c r="I10" s="546">
        <f>SUM(I8:I9)</f>
        <v>2.75</v>
      </c>
    </row>
    <row r="11" spans="1:9">
      <c r="A11" s="528">
        <v>46294</v>
      </c>
      <c r="B11" s="531" t="s">
        <v>569</v>
      </c>
      <c r="C11" s="531" t="s">
        <v>2625</v>
      </c>
      <c r="D11" s="531" t="s">
        <v>689</v>
      </c>
      <c r="E11" s="529">
        <v>0.06</v>
      </c>
      <c r="F11" s="530" t="s">
        <v>2631</v>
      </c>
      <c r="H11" s="545" t="s">
        <v>2630</v>
      </c>
      <c r="I11" s="545" t="s">
        <v>2634</v>
      </c>
    </row>
    <row r="12" spans="1:9">
      <c r="A12" s="528">
        <v>46294</v>
      </c>
      <c r="B12" s="531" t="s">
        <v>2755</v>
      </c>
      <c r="C12" s="531" t="s">
        <v>2625</v>
      </c>
      <c r="D12" s="531" t="s">
        <v>679</v>
      </c>
      <c r="E12" s="529">
        <v>0.1</v>
      </c>
      <c r="F12" s="530" t="s">
        <v>2631</v>
      </c>
      <c r="H12" t="s">
        <v>2636</v>
      </c>
      <c r="I12" t="s">
        <v>2632</v>
      </c>
    </row>
    <row r="13" spans="1:9">
      <c r="A13" s="528">
        <v>46294</v>
      </c>
      <c r="B13" s="531" t="s">
        <v>2755</v>
      </c>
      <c r="C13" s="531" t="s">
        <v>2625</v>
      </c>
      <c r="D13" s="531" t="s">
        <v>652</v>
      </c>
      <c r="E13" s="529">
        <v>0.13</v>
      </c>
      <c r="F13" s="530" t="s">
        <v>2631</v>
      </c>
      <c r="H13" s="544" t="s">
        <v>719</v>
      </c>
      <c r="I13" s="546">
        <f>SUMIFS($E:$E,$A:$A,$I$5,$C:$C,$H13,$F:$F,$I$11)</f>
        <v>0.31</v>
      </c>
    </row>
    <row r="14" spans="1:9">
      <c r="A14" s="528">
        <v>46294</v>
      </c>
      <c r="B14" s="531" t="s">
        <v>2755</v>
      </c>
      <c r="C14" s="531" t="s">
        <v>2625</v>
      </c>
      <c r="D14" s="531" t="s">
        <v>445</v>
      </c>
      <c r="E14" s="529">
        <v>0.85</v>
      </c>
      <c r="F14" s="530" t="s">
        <v>2631</v>
      </c>
      <c r="H14" t="s">
        <v>2625</v>
      </c>
      <c r="I14" s="36">
        <f>SUMIFS($E:$E,$A:$A,$I$5,$C:$C,$H14,$F:$F,$I$11)</f>
        <v>0.08</v>
      </c>
    </row>
    <row r="15" spans="1:9">
      <c r="A15" s="528">
        <v>46294</v>
      </c>
      <c r="B15" s="531" t="s">
        <v>2755</v>
      </c>
      <c r="C15" s="531" t="s">
        <v>2625</v>
      </c>
      <c r="D15" s="531" t="s">
        <v>710</v>
      </c>
      <c r="E15" s="529">
        <v>0.06</v>
      </c>
      <c r="F15" s="530" t="s">
        <v>2631</v>
      </c>
      <c r="H15" s="544" t="s">
        <v>12</v>
      </c>
      <c r="I15" s="546">
        <f>SUM(I13:I14)</f>
        <v>0.39</v>
      </c>
    </row>
    <row r="16" spans="1:9">
      <c r="A16" s="528">
        <v>46294</v>
      </c>
      <c r="B16" s="531" t="s">
        <v>2755</v>
      </c>
      <c r="C16" s="531" t="s">
        <v>2625</v>
      </c>
      <c r="D16" s="531" t="s">
        <v>212</v>
      </c>
      <c r="E16" s="529">
        <v>0.15</v>
      </c>
      <c r="F16" s="530" t="s">
        <v>2631</v>
      </c>
    </row>
    <row r="17" spans="1:6">
      <c r="A17" s="528">
        <v>46294</v>
      </c>
      <c r="B17" s="531" t="s">
        <v>2755</v>
      </c>
      <c r="C17" s="531" t="s">
        <v>719</v>
      </c>
      <c r="D17" s="531" t="s">
        <v>694</v>
      </c>
      <c r="E17" s="529">
        <v>0.03</v>
      </c>
      <c r="F17" s="530" t="s">
        <v>2631</v>
      </c>
    </row>
    <row r="18" spans="1:6">
      <c r="A18" s="528">
        <v>46294</v>
      </c>
      <c r="B18" s="531" t="s">
        <v>2755</v>
      </c>
      <c r="C18" s="531" t="s">
        <v>719</v>
      </c>
      <c r="D18" s="531" t="s">
        <v>308</v>
      </c>
      <c r="E18" s="529">
        <v>0.03</v>
      </c>
      <c r="F18" s="530" t="s">
        <v>2631</v>
      </c>
    </row>
    <row r="19" spans="1:6">
      <c r="A19" s="528">
        <v>46294</v>
      </c>
      <c r="B19" s="531" t="s">
        <v>432</v>
      </c>
      <c r="C19" s="531" t="s">
        <v>719</v>
      </c>
      <c r="D19" s="531" t="s">
        <v>2713</v>
      </c>
      <c r="E19" s="529">
        <v>0.24</v>
      </c>
      <c r="F19" s="530" t="s">
        <v>2631</v>
      </c>
    </row>
    <row r="20" spans="1:6">
      <c r="A20" s="528">
        <v>46294</v>
      </c>
      <c r="B20" s="531" t="s">
        <v>432</v>
      </c>
      <c r="C20" s="531" t="s">
        <v>719</v>
      </c>
      <c r="D20" s="531" t="s">
        <v>2737</v>
      </c>
      <c r="E20" s="529">
        <v>0.12</v>
      </c>
      <c r="F20" s="530" t="s">
        <v>2631</v>
      </c>
    </row>
    <row r="21" spans="1:6">
      <c r="A21" s="528">
        <v>46294</v>
      </c>
      <c r="B21" s="540" t="s">
        <v>2752</v>
      </c>
      <c r="C21" s="540" t="s">
        <v>719</v>
      </c>
      <c r="D21" s="540" t="s">
        <v>2737</v>
      </c>
      <c r="E21" s="529">
        <v>0.2</v>
      </c>
      <c r="F21" s="541" t="s">
        <v>2634</v>
      </c>
    </row>
    <row r="22" spans="1:6">
      <c r="A22" s="528">
        <v>46294</v>
      </c>
      <c r="B22" s="540" t="s">
        <v>2752</v>
      </c>
      <c r="C22" s="540" t="s">
        <v>719</v>
      </c>
      <c r="D22" s="540" t="s">
        <v>366</v>
      </c>
      <c r="E22" s="529">
        <v>0.08</v>
      </c>
      <c r="F22" s="541" t="s">
        <v>2634</v>
      </c>
    </row>
    <row r="23" spans="1:6">
      <c r="A23" s="528">
        <v>46294</v>
      </c>
      <c r="B23" s="540" t="s">
        <v>488</v>
      </c>
      <c r="C23" s="540" t="s">
        <v>719</v>
      </c>
      <c r="D23" s="540" t="s">
        <v>2737</v>
      </c>
      <c r="E23" s="529">
        <v>0.23</v>
      </c>
      <c r="F23" s="541" t="s">
        <v>2634</v>
      </c>
    </row>
    <row r="24" spans="1:6">
      <c r="A24" s="528">
        <v>46294</v>
      </c>
      <c r="B24" s="540" t="s">
        <v>488</v>
      </c>
      <c r="C24" s="540" t="s">
        <v>719</v>
      </c>
      <c r="D24" s="540" t="s">
        <v>552</v>
      </c>
      <c r="E24" s="529">
        <v>0.06</v>
      </c>
      <c r="F24" s="541" t="s">
        <v>2634</v>
      </c>
    </row>
    <row r="25" spans="1:6">
      <c r="A25" s="528">
        <v>46294</v>
      </c>
      <c r="B25" s="540" t="s">
        <v>488</v>
      </c>
      <c r="C25" s="540" t="s">
        <v>719</v>
      </c>
      <c r="D25" s="540" t="s">
        <v>2756</v>
      </c>
      <c r="E25" s="529">
        <v>0.03</v>
      </c>
      <c r="F25" s="541" t="s">
        <v>2634</v>
      </c>
    </row>
    <row r="26" spans="1:6">
      <c r="A26" s="528">
        <v>46294</v>
      </c>
      <c r="B26" s="540" t="s">
        <v>472</v>
      </c>
      <c r="C26" s="540" t="s">
        <v>719</v>
      </c>
      <c r="D26" s="542" t="s">
        <v>696</v>
      </c>
      <c r="E26" s="529">
        <v>0.41</v>
      </c>
      <c r="F26" s="541" t="s">
        <v>2634</v>
      </c>
    </row>
    <row r="27" spans="1:6">
      <c r="A27" s="528">
        <v>46294</v>
      </c>
      <c r="B27" s="540" t="s">
        <v>472</v>
      </c>
      <c r="C27" s="540" t="s">
        <v>719</v>
      </c>
      <c r="D27" s="540" t="s">
        <v>669</v>
      </c>
      <c r="E27" s="529">
        <v>0.04</v>
      </c>
      <c r="F27" s="541" t="s">
        <v>2634</v>
      </c>
    </row>
    <row r="28" spans="1:6">
      <c r="A28" s="528">
        <v>46294</v>
      </c>
      <c r="B28" s="540" t="s">
        <v>472</v>
      </c>
      <c r="C28" s="540" t="s">
        <v>719</v>
      </c>
      <c r="D28" s="540" t="s">
        <v>650</v>
      </c>
      <c r="E28" s="529">
        <v>0.04</v>
      </c>
      <c r="F28" s="541" t="s">
        <v>2634</v>
      </c>
    </row>
    <row r="29" spans="1:6">
      <c r="A29" s="528">
        <v>46294</v>
      </c>
      <c r="B29" s="540" t="s">
        <v>351</v>
      </c>
      <c r="C29" s="540" t="s">
        <v>2625</v>
      </c>
      <c r="D29" s="540" t="s">
        <v>250</v>
      </c>
      <c r="E29" s="529">
        <v>7.0000000000000007E-2</v>
      </c>
      <c r="F29" s="541" t="s">
        <v>2634</v>
      </c>
    </row>
    <row r="30" spans="1:6">
      <c r="A30" s="528">
        <v>46295</v>
      </c>
      <c r="B30" s="531"/>
      <c r="C30" s="555" t="s">
        <v>719</v>
      </c>
      <c r="D30" s="555" t="s">
        <v>2713</v>
      </c>
      <c r="E30" s="529">
        <v>0.06</v>
      </c>
      <c r="F30" s="557" t="s">
        <v>2631</v>
      </c>
    </row>
    <row r="31" spans="1:6">
      <c r="A31" s="528">
        <v>46295</v>
      </c>
      <c r="B31" s="531"/>
      <c r="C31" s="555" t="s">
        <v>719</v>
      </c>
      <c r="D31" s="555" t="s">
        <v>148</v>
      </c>
      <c r="E31" s="529">
        <v>0.05</v>
      </c>
      <c r="F31" s="557" t="s">
        <v>2631</v>
      </c>
    </row>
    <row r="32" spans="1:6">
      <c r="A32" s="528">
        <v>46295</v>
      </c>
      <c r="B32" s="531"/>
      <c r="C32" s="555" t="s">
        <v>719</v>
      </c>
      <c r="D32" s="556" t="s">
        <v>696</v>
      </c>
      <c r="E32" s="529">
        <v>0.47</v>
      </c>
      <c r="F32" s="557" t="s">
        <v>2631</v>
      </c>
    </row>
    <row r="33" spans="1:6">
      <c r="A33" s="528">
        <v>46295</v>
      </c>
      <c r="B33" s="531"/>
      <c r="C33" s="555" t="s">
        <v>719</v>
      </c>
      <c r="D33" s="555" t="s">
        <v>2713</v>
      </c>
      <c r="E33" s="529">
        <v>0.16</v>
      </c>
      <c r="F33" s="557" t="s">
        <v>2631</v>
      </c>
    </row>
    <row r="34" spans="1:6">
      <c r="A34" s="528">
        <v>46295</v>
      </c>
      <c r="B34" s="531"/>
      <c r="C34" s="555" t="s">
        <v>719</v>
      </c>
      <c r="D34" s="555" t="s">
        <v>2713</v>
      </c>
      <c r="E34" s="529">
        <v>7.0000000000000007E-2</v>
      </c>
      <c r="F34" s="557" t="s">
        <v>2631</v>
      </c>
    </row>
    <row r="35" spans="1:6">
      <c r="A35" s="528">
        <v>46295</v>
      </c>
      <c r="B35" s="531"/>
      <c r="C35" s="555" t="s">
        <v>719</v>
      </c>
      <c r="D35" s="555" t="s">
        <v>2713</v>
      </c>
      <c r="E35" s="529">
        <v>0.06</v>
      </c>
      <c r="F35" s="557" t="s">
        <v>2631</v>
      </c>
    </row>
    <row r="36" spans="1:6">
      <c r="A36" s="528">
        <v>46295</v>
      </c>
      <c r="B36" s="531"/>
      <c r="C36" s="555" t="s">
        <v>719</v>
      </c>
      <c r="D36" s="555" t="s">
        <v>445</v>
      </c>
      <c r="E36" s="529">
        <v>0.4</v>
      </c>
      <c r="F36" s="557" t="s">
        <v>2631</v>
      </c>
    </row>
    <row r="37" spans="1:6">
      <c r="A37" s="528">
        <v>46295</v>
      </c>
      <c r="B37" s="560" t="s">
        <v>531</v>
      </c>
      <c r="C37" s="555" t="s">
        <v>2625</v>
      </c>
      <c r="D37" s="555" t="s">
        <v>134</v>
      </c>
      <c r="E37" s="529">
        <v>0.44</v>
      </c>
      <c r="F37" s="557" t="s">
        <v>2631</v>
      </c>
    </row>
    <row r="38" spans="1:6">
      <c r="A38" s="528">
        <v>46295</v>
      </c>
      <c r="B38" s="531"/>
      <c r="C38" s="555" t="s">
        <v>2625</v>
      </c>
      <c r="D38" s="556" t="s">
        <v>137</v>
      </c>
      <c r="E38" s="529">
        <v>0.08</v>
      </c>
      <c r="F38" s="557" t="s">
        <v>2631</v>
      </c>
    </row>
    <row r="39" spans="1:6">
      <c r="A39" s="528">
        <v>46295</v>
      </c>
      <c r="B39" s="531"/>
      <c r="C39" s="555" t="s">
        <v>2625</v>
      </c>
      <c r="D39" s="555" t="s">
        <v>445</v>
      </c>
      <c r="E39" s="529">
        <v>0.33</v>
      </c>
      <c r="F39" s="557" t="s">
        <v>2631</v>
      </c>
    </row>
    <row r="40" spans="1:6">
      <c r="A40" s="528">
        <v>46295</v>
      </c>
      <c r="B40" s="560" t="s">
        <v>254</v>
      </c>
      <c r="C40" s="555" t="s">
        <v>2625</v>
      </c>
      <c r="D40" s="555" t="s">
        <v>134</v>
      </c>
      <c r="E40" s="529">
        <v>1.55</v>
      </c>
      <c r="F40" s="557" t="s">
        <v>2631</v>
      </c>
    </row>
    <row r="41" spans="1:6">
      <c r="A41" s="528">
        <v>46295</v>
      </c>
      <c r="B41" s="531"/>
      <c r="C41" s="555" t="s">
        <v>2625</v>
      </c>
      <c r="D41" s="555" t="s">
        <v>652</v>
      </c>
      <c r="E41" s="529">
        <v>0.15</v>
      </c>
      <c r="F41" s="557" t="s">
        <v>2631</v>
      </c>
    </row>
    <row r="42" spans="1:6">
      <c r="A42" s="528">
        <v>46295</v>
      </c>
      <c r="B42" s="531"/>
      <c r="C42" s="555" t="s">
        <v>2625</v>
      </c>
      <c r="D42" s="555" t="s">
        <v>689</v>
      </c>
      <c r="E42" s="529">
        <v>7.0000000000000007E-2</v>
      </c>
      <c r="F42" s="557" t="s">
        <v>2631</v>
      </c>
    </row>
    <row r="43" spans="1:6">
      <c r="A43" s="528">
        <v>46295</v>
      </c>
      <c r="B43" s="531"/>
      <c r="C43" s="555" t="s">
        <v>2625</v>
      </c>
      <c r="D43" s="555" t="s">
        <v>212</v>
      </c>
      <c r="E43" s="529">
        <v>0.15</v>
      </c>
      <c r="F43" s="557" t="s">
        <v>2631</v>
      </c>
    </row>
    <row r="44" spans="1:6">
      <c r="A44" s="528">
        <v>46295</v>
      </c>
      <c r="B44" s="531"/>
      <c r="C44" s="555" t="s">
        <v>719</v>
      </c>
      <c r="D44" s="555" t="s">
        <v>694</v>
      </c>
      <c r="E44" s="529">
        <v>0.06</v>
      </c>
      <c r="F44" s="557" t="s">
        <v>2631</v>
      </c>
    </row>
    <row r="45" spans="1:6">
      <c r="A45" s="528">
        <v>46295</v>
      </c>
      <c r="B45" s="531"/>
      <c r="C45" s="555" t="s">
        <v>719</v>
      </c>
      <c r="D45" s="555" t="s">
        <v>2737</v>
      </c>
      <c r="E45" s="529">
        <v>0.06</v>
      </c>
      <c r="F45" s="557" t="s">
        <v>2631</v>
      </c>
    </row>
    <row r="46" spans="1:6">
      <c r="A46" s="528">
        <v>46295</v>
      </c>
      <c r="B46" s="531"/>
      <c r="C46" s="555" t="s">
        <v>719</v>
      </c>
      <c r="D46" s="555" t="s">
        <v>2591</v>
      </c>
      <c r="E46" s="529">
        <v>7.0000000000000007E-2</v>
      </c>
      <c r="F46" s="557" t="s">
        <v>2631</v>
      </c>
    </row>
    <row r="47" spans="1:6">
      <c r="A47" s="528">
        <v>46295</v>
      </c>
      <c r="B47" s="531"/>
      <c r="C47" s="555" t="s">
        <v>719</v>
      </c>
      <c r="D47" s="555" t="s">
        <v>308</v>
      </c>
      <c r="E47" s="529">
        <v>7.0000000000000007E-2</v>
      </c>
      <c r="F47" s="557" t="s">
        <v>2631</v>
      </c>
    </row>
    <row r="48" spans="1:6">
      <c r="A48" s="528">
        <v>46295</v>
      </c>
      <c r="B48" s="531"/>
      <c r="C48" s="555" t="s">
        <v>719</v>
      </c>
      <c r="D48" s="555" t="s">
        <v>2614</v>
      </c>
      <c r="E48" s="529">
        <v>0.06</v>
      </c>
      <c r="F48" s="541" t="s">
        <v>2634</v>
      </c>
    </row>
    <row r="49" spans="1:6">
      <c r="A49" s="528">
        <v>46295</v>
      </c>
      <c r="B49" s="531"/>
      <c r="C49" s="555" t="s">
        <v>719</v>
      </c>
      <c r="D49" s="555" t="s">
        <v>163</v>
      </c>
      <c r="E49" s="529">
        <v>0.06</v>
      </c>
      <c r="F49" s="541" t="s">
        <v>2634</v>
      </c>
    </row>
    <row r="50" spans="1:6">
      <c r="A50" s="528">
        <v>46295</v>
      </c>
      <c r="B50" s="531"/>
      <c r="C50" s="555" t="s">
        <v>719</v>
      </c>
      <c r="D50" s="555" t="s">
        <v>2610</v>
      </c>
      <c r="E50" s="529">
        <v>0.04</v>
      </c>
      <c r="F50" s="541" t="s">
        <v>2634</v>
      </c>
    </row>
    <row r="51" spans="1:6">
      <c r="A51" s="528">
        <v>46295</v>
      </c>
      <c r="B51" s="531"/>
      <c r="C51" s="555" t="s">
        <v>719</v>
      </c>
      <c r="D51" s="555" t="s">
        <v>2756</v>
      </c>
      <c r="E51" s="529">
        <v>0.04</v>
      </c>
      <c r="F51" s="541" t="s">
        <v>2634</v>
      </c>
    </row>
    <row r="52" spans="1:6">
      <c r="A52" s="528">
        <v>46295</v>
      </c>
      <c r="B52" s="531"/>
      <c r="C52" s="555" t="s">
        <v>719</v>
      </c>
      <c r="D52" s="558" t="s">
        <v>696</v>
      </c>
      <c r="E52" s="529">
        <v>0.22</v>
      </c>
      <c r="F52" s="541" t="s">
        <v>2634</v>
      </c>
    </row>
    <row r="53" spans="1:6">
      <c r="A53" s="528">
        <v>46295</v>
      </c>
      <c r="B53" s="531"/>
      <c r="C53" s="555" t="s">
        <v>2625</v>
      </c>
      <c r="D53" s="555" t="s">
        <v>212</v>
      </c>
      <c r="E53" s="529">
        <v>0.16</v>
      </c>
      <c r="F53" s="541" t="s">
        <v>2634</v>
      </c>
    </row>
    <row r="54" spans="1:6">
      <c r="A54" s="528">
        <v>46295</v>
      </c>
      <c r="B54" s="531"/>
      <c r="C54" s="555" t="s">
        <v>719</v>
      </c>
      <c r="D54" s="555" t="s">
        <v>2737</v>
      </c>
      <c r="E54" s="529">
        <v>0.15</v>
      </c>
      <c r="F54" s="541" t="s">
        <v>2634</v>
      </c>
    </row>
    <row r="55" spans="1:6">
      <c r="A55" s="528">
        <v>46295</v>
      </c>
      <c r="B55" s="531"/>
      <c r="C55" s="555" t="s">
        <v>719</v>
      </c>
      <c r="D55" s="555" t="s">
        <v>669</v>
      </c>
      <c r="E55" s="529">
        <v>0.06</v>
      </c>
      <c r="F55" s="541" t="s">
        <v>2634</v>
      </c>
    </row>
    <row r="56" spans="1:6">
      <c r="A56" s="528">
        <v>46295</v>
      </c>
      <c r="B56" s="531"/>
      <c r="C56" s="555" t="s">
        <v>719</v>
      </c>
      <c r="D56" s="555" t="s">
        <v>2737</v>
      </c>
      <c r="E56" s="529">
        <v>0.15</v>
      </c>
      <c r="F56" s="541" t="s">
        <v>2634</v>
      </c>
    </row>
    <row r="57" spans="1:6">
      <c r="A57" s="528">
        <v>46295</v>
      </c>
      <c r="B57" s="531"/>
      <c r="C57" s="555" t="s">
        <v>719</v>
      </c>
      <c r="D57" s="555" t="s">
        <v>552</v>
      </c>
      <c r="E57" s="529">
        <v>0.06</v>
      </c>
      <c r="F57" s="541" t="s">
        <v>2634</v>
      </c>
    </row>
    <row r="58" spans="1:6">
      <c r="A58" s="528">
        <v>46296</v>
      </c>
      <c r="B58" s="562" t="s">
        <v>536</v>
      </c>
      <c r="C58" s="562" t="s">
        <v>2625</v>
      </c>
      <c r="D58" s="562" t="s">
        <v>445</v>
      </c>
      <c r="E58" s="529">
        <v>0.06</v>
      </c>
      <c r="F58" s="563" t="s">
        <v>2631</v>
      </c>
    </row>
    <row r="59" spans="1:6">
      <c r="A59" s="528">
        <v>46296</v>
      </c>
      <c r="B59" s="562" t="s">
        <v>441</v>
      </c>
      <c r="C59" s="562" t="s">
        <v>719</v>
      </c>
      <c r="D59" s="562" t="s">
        <v>2713</v>
      </c>
      <c r="E59" s="529">
        <v>0.06</v>
      </c>
      <c r="F59" s="563" t="s">
        <v>2631</v>
      </c>
    </row>
    <row r="60" spans="1:6">
      <c r="A60" s="528">
        <v>46296</v>
      </c>
      <c r="B60" s="562" t="s">
        <v>441</v>
      </c>
      <c r="C60" s="562" t="s">
        <v>719</v>
      </c>
      <c r="D60" s="564" t="s">
        <v>696</v>
      </c>
      <c r="E60" s="529">
        <v>0.13</v>
      </c>
      <c r="F60" s="563" t="s">
        <v>2631</v>
      </c>
    </row>
    <row r="61" spans="1:6">
      <c r="A61" s="528">
        <v>46296</v>
      </c>
      <c r="B61" s="562" t="s">
        <v>492</v>
      </c>
      <c r="C61" s="562" t="s">
        <v>719</v>
      </c>
      <c r="D61" s="562" t="s">
        <v>2713</v>
      </c>
      <c r="E61" s="529">
        <v>0.2</v>
      </c>
      <c r="F61" s="563" t="s">
        <v>2631</v>
      </c>
    </row>
    <row r="62" spans="1:6">
      <c r="A62" s="528">
        <v>46296</v>
      </c>
      <c r="B62" s="562" t="s">
        <v>492</v>
      </c>
      <c r="C62" s="562" t="s">
        <v>719</v>
      </c>
      <c r="D62" s="562" t="s">
        <v>2737</v>
      </c>
      <c r="E62" s="529">
        <v>0.14000000000000001</v>
      </c>
      <c r="F62" s="563" t="s">
        <v>2631</v>
      </c>
    </row>
    <row r="63" spans="1:6">
      <c r="A63" s="528">
        <v>46296</v>
      </c>
      <c r="B63" s="562" t="s">
        <v>2560</v>
      </c>
      <c r="C63" s="562" t="s">
        <v>2625</v>
      </c>
      <c r="D63" s="562" t="s">
        <v>445</v>
      </c>
      <c r="E63" s="529">
        <v>0.25</v>
      </c>
      <c r="F63" s="563" t="s">
        <v>2631</v>
      </c>
    </row>
    <row r="64" spans="1:6">
      <c r="A64" s="528">
        <v>46296</v>
      </c>
      <c r="B64" s="562" t="s">
        <v>2560</v>
      </c>
      <c r="C64" s="562" t="s">
        <v>2625</v>
      </c>
      <c r="D64" s="562" t="s">
        <v>134</v>
      </c>
      <c r="E64" s="529">
        <v>0.74</v>
      </c>
      <c r="F64" s="563" t="s">
        <v>2631</v>
      </c>
    </row>
    <row r="65" spans="1:6">
      <c r="A65" s="528">
        <v>46296</v>
      </c>
      <c r="B65" s="562" t="s">
        <v>531</v>
      </c>
      <c r="C65" s="562" t="s">
        <v>2625</v>
      </c>
      <c r="D65" s="562" t="s">
        <v>445</v>
      </c>
      <c r="E65" s="529">
        <v>0.08</v>
      </c>
      <c r="F65" s="563" t="s">
        <v>2631</v>
      </c>
    </row>
    <row r="66" spans="1:6">
      <c r="A66" s="528">
        <v>46296</v>
      </c>
      <c r="B66" s="562" t="s">
        <v>531</v>
      </c>
      <c r="C66" s="562" t="s">
        <v>2625</v>
      </c>
      <c r="D66" s="562" t="s">
        <v>134</v>
      </c>
      <c r="E66" s="529">
        <v>0.3</v>
      </c>
      <c r="F66" s="563" t="s">
        <v>2631</v>
      </c>
    </row>
    <row r="67" spans="1:6">
      <c r="A67" s="528">
        <v>46296</v>
      </c>
      <c r="B67" s="562" t="s">
        <v>534</v>
      </c>
      <c r="C67" s="562" t="s">
        <v>719</v>
      </c>
      <c r="D67" s="562" t="s">
        <v>2737</v>
      </c>
      <c r="E67" s="529">
        <v>0.05</v>
      </c>
      <c r="F67" s="563" t="s">
        <v>2631</v>
      </c>
    </row>
    <row r="68" spans="1:6">
      <c r="A68" s="528">
        <v>46296</v>
      </c>
      <c r="B68" s="562" t="s">
        <v>360</v>
      </c>
      <c r="C68" s="562" t="s">
        <v>719</v>
      </c>
      <c r="D68" s="562" t="s">
        <v>2713</v>
      </c>
      <c r="E68" s="529">
        <v>0.24</v>
      </c>
      <c r="F68" s="563" t="s">
        <v>2631</v>
      </c>
    </row>
    <row r="69" spans="1:6">
      <c r="A69" s="528">
        <v>46296</v>
      </c>
      <c r="B69" s="562" t="s">
        <v>256</v>
      </c>
      <c r="C69" s="562" t="s">
        <v>719</v>
      </c>
      <c r="D69" s="562" t="s">
        <v>237</v>
      </c>
      <c r="E69" s="529">
        <v>0.16</v>
      </c>
      <c r="F69" s="563" t="s">
        <v>2631</v>
      </c>
    </row>
    <row r="70" spans="1:6">
      <c r="A70" s="528">
        <v>46296</v>
      </c>
      <c r="B70" s="562" t="s">
        <v>256</v>
      </c>
      <c r="C70" s="562" t="s">
        <v>719</v>
      </c>
      <c r="D70" s="562" t="s">
        <v>689</v>
      </c>
      <c r="E70" s="529">
        <v>7.0000000000000007E-2</v>
      </c>
      <c r="F70" s="563" t="s">
        <v>2631</v>
      </c>
    </row>
    <row r="71" spans="1:6">
      <c r="A71" s="528">
        <v>46296</v>
      </c>
      <c r="B71" s="562" t="s">
        <v>256</v>
      </c>
      <c r="C71" s="562" t="s">
        <v>719</v>
      </c>
      <c r="D71" s="562" t="s">
        <v>134</v>
      </c>
      <c r="E71" s="529">
        <v>1.05</v>
      </c>
      <c r="F71" s="563" t="s">
        <v>2631</v>
      </c>
    </row>
    <row r="72" spans="1:6">
      <c r="A72" s="528">
        <v>46296</v>
      </c>
      <c r="B72" s="562" t="s">
        <v>256</v>
      </c>
      <c r="C72" s="562" t="s">
        <v>719</v>
      </c>
      <c r="D72" s="562" t="s">
        <v>212</v>
      </c>
      <c r="E72" s="529">
        <v>0.15</v>
      </c>
      <c r="F72" s="563" t="s">
        <v>2631</v>
      </c>
    </row>
    <row r="73" spans="1:6">
      <c r="A73" s="528">
        <v>46296</v>
      </c>
      <c r="B73" s="562" t="s">
        <v>256</v>
      </c>
      <c r="C73" s="562" t="s">
        <v>719</v>
      </c>
      <c r="D73" s="562" t="s">
        <v>2428</v>
      </c>
      <c r="E73" s="529">
        <v>0.05</v>
      </c>
      <c r="F73" s="563" t="s">
        <v>2631</v>
      </c>
    </row>
    <row r="74" spans="1:6">
      <c r="A74" s="528">
        <v>46296</v>
      </c>
      <c r="B74" s="562" t="s">
        <v>432</v>
      </c>
      <c r="C74" s="562" t="s">
        <v>719</v>
      </c>
      <c r="D74" s="562" t="s">
        <v>2713</v>
      </c>
      <c r="E74" s="529">
        <v>0.05</v>
      </c>
      <c r="F74" s="563" t="s">
        <v>2631</v>
      </c>
    </row>
    <row r="75" spans="1:6">
      <c r="A75" s="528">
        <v>46296</v>
      </c>
      <c r="B75" s="562" t="s">
        <v>409</v>
      </c>
      <c r="C75" s="562" t="s">
        <v>719</v>
      </c>
      <c r="D75" s="564" t="s">
        <v>696</v>
      </c>
      <c r="E75" s="529">
        <v>0.25</v>
      </c>
      <c r="F75" s="563" t="s">
        <v>2634</v>
      </c>
    </row>
    <row r="76" spans="1:6">
      <c r="A76" s="528">
        <v>46296</v>
      </c>
      <c r="B76" s="562" t="s">
        <v>559</v>
      </c>
      <c r="C76" s="562" t="s">
        <v>719</v>
      </c>
      <c r="D76" s="562" t="s">
        <v>2737</v>
      </c>
      <c r="E76" s="529">
        <v>0.17</v>
      </c>
      <c r="F76" s="563" t="s">
        <v>2634</v>
      </c>
    </row>
    <row r="77" spans="1:6">
      <c r="A77" s="528">
        <v>46296</v>
      </c>
      <c r="B77" s="562" t="s">
        <v>559</v>
      </c>
      <c r="C77" s="562" t="s">
        <v>719</v>
      </c>
      <c r="D77" s="562" t="s">
        <v>552</v>
      </c>
      <c r="E77" s="529">
        <v>0.05</v>
      </c>
      <c r="F77" s="563" t="s">
        <v>2634</v>
      </c>
    </row>
    <row r="78" spans="1:6">
      <c r="A78" s="528">
        <v>46296</v>
      </c>
      <c r="B78" s="562" t="s">
        <v>559</v>
      </c>
      <c r="C78" s="562" t="s">
        <v>719</v>
      </c>
      <c r="D78" s="562" t="s">
        <v>641</v>
      </c>
      <c r="E78" s="529">
        <v>0.05</v>
      </c>
      <c r="F78" s="563" t="s">
        <v>2634</v>
      </c>
    </row>
    <row r="79" spans="1:6">
      <c r="A79" s="528">
        <v>46296</v>
      </c>
      <c r="B79" s="562" t="s">
        <v>559</v>
      </c>
      <c r="C79" s="562" t="s">
        <v>719</v>
      </c>
      <c r="D79" s="562" t="s">
        <v>650</v>
      </c>
      <c r="E79" s="529">
        <v>0.05</v>
      </c>
      <c r="F79" s="563" t="s">
        <v>2634</v>
      </c>
    </row>
    <row r="80" spans="1:6">
      <c r="A80" s="528">
        <v>46296</v>
      </c>
      <c r="B80" s="562" t="s">
        <v>360</v>
      </c>
      <c r="C80" s="562" t="s">
        <v>719</v>
      </c>
      <c r="D80" s="564" t="s">
        <v>696</v>
      </c>
      <c r="E80" s="529">
        <v>0.1</v>
      </c>
      <c r="F80" s="563" t="s">
        <v>2634</v>
      </c>
    </row>
    <row r="81" spans="1:6">
      <c r="A81" s="528">
        <v>46296</v>
      </c>
      <c r="B81" s="562" t="s">
        <v>2752</v>
      </c>
      <c r="C81" s="562" t="s">
        <v>719</v>
      </c>
      <c r="D81" s="562" t="s">
        <v>563</v>
      </c>
      <c r="E81" s="529">
        <v>0.04</v>
      </c>
      <c r="F81" s="563" t="s">
        <v>2634</v>
      </c>
    </row>
    <row r="82" spans="1:6">
      <c r="A82" s="528">
        <v>46296</v>
      </c>
      <c r="B82" s="562" t="s">
        <v>2752</v>
      </c>
      <c r="C82" s="562" t="s">
        <v>719</v>
      </c>
      <c r="D82" s="562" t="s">
        <v>2610</v>
      </c>
      <c r="E82" s="529">
        <v>0.04</v>
      </c>
      <c r="F82" s="563" t="s">
        <v>2634</v>
      </c>
    </row>
    <row r="83" spans="1:6">
      <c r="A83" s="528">
        <v>46296</v>
      </c>
      <c r="B83" s="562" t="s">
        <v>523</v>
      </c>
      <c r="C83" s="562" t="s">
        <v>719</v>
      </c>
      <c r="D83" s="562" t="s">
        <v>2737</v>
      </c>
      <c r="E83" s="529">
        <v>0.06</v>
      </c>
      <c r="F83" s="563" t="s">
        <v>2634</v>
      </c>
    </row>
    <row r="84" spans="1:6">
      <c r="A84" s="528">
        <v>46296</v>
      </c>
      <c r="B84" s="562" t="s">
        <v>523</v>
      </c>
      <c r="C84" s="562" t="s">
        <v>719</v>
      </c>
      <c r="D84" s="562" t="s">
        <v>2610</v>
      </c>
      <c r="E84" s="529">
        <v>0.03</v>
      </c>
      <c r="F84" s="563" t="s">
        <v>2634</v>
      </c>
    </row>
    <row r="85" spans="1:6">
      <c r="A85" s="528">
        <v>46297</v>
      </c>
      <c r="B85" s="565" t="s">
        <v>514</v>
      </c>
      <c r="C85" s="565" t="s">
        <v>719</v>
      </c>
      <c r="D85" s="565" t="s">
        <v>2713</v>
      </c>
      <c r="E85" s="529">
        <v>0.46</v>
      </c>
      <c r="F85" s="567" t="s">
        <v>2631</v>
      </c>
    </row>
    <row r="86" spans="1:6">
      <c r="A86" s="528">
        <v>46297</v>
      </c>
      <c r="B86" s="565" t="s">
        <v>441</v>
      </c>
      <c r="C86" s="565" t="s">
        <v>719</v>
      </c>
      <c r="D86" s="565" t="s">
        <v>2713</v>
      </c>
      <c r="E86" s="529">
        <v>0.05</v>
      </c>
      <c r="F86" s="567" t="s">
        <v>2631</v>
      </c>
    </row>
    <row r="87" spans="1:6">
      <c r="A87" s="528">
        <v>46297</v>
      </c>
      <c r="B87" s="565" t="s">
        <v>441</v>
      </c>
      <c r="C87" s="565" t="s">
        <v>719</v>
      </c>
      <c r="D87" s="566" t="s">
        <v>696</v>
      </c>
      <c r="E87" s="529">
        <v>0.13</v>
      </c>
      <c r="F87" s="567" t="s">
        <v>2631</v>
      </c>
    </row>
    <row r="88" spans="1:6">
      <c r="A88" s="528">
        <v>46297</v>
      </c>
      <c r="B88" s="565" t="s">
        <v>2560</v>
      </c>
      <c r="C88" s="565" t="s">
        <v>2625</v>
      </c>
      <c r="D88" s="565" t="s">
        <v>251</v>
      </c>
      <c r="E88" s="529">
        <v>0.14000000000000001</v>
      </c>
      <c r="F88" s="567" t="s">
        <v>2631</v>
      </c>
    </row>
    <row r="89" spans="1:6">
      <c r="A89" s="528">
        <v>46297</v>
      </c>
      <c r="B89" s="565" t="s">
        <v>2560</v>
      </c>
      <c r="C89" s="565" t="s">
        <v>2625</v>
      </c>
      <c r="D89" s="565" t="s">
        <v>445</v>
      </c>
      <c r="E89" s="529">
        <v>0.6</v>
      </c>
      <c r="F89" s="567" t="s">
        <v>2631</v>
      </c>
    </row>
    <row r="90" spans="1:6">
      <c r="A90" s="528">
        <v>46297</v>
      </c>
      <c r="B90" s="565" t="s">
        <v>2560</v>
      </c>
      <c r="C90" s="565" t="s">
        <v>2625</v>
      </c>
      <c r="D90" s="565" t="s">
        <v>134</v>
      </c>
      <c r="E90" s="529">
        <v>0.3</v>
      </c>
      <c r="F90" s="567" t="s">
        <v>2631</v>
      </c>
    </row>
    <row r="91" spans="1:6">
      <c r="A91" s="528">
        <v>46297</v>
      </c>
      <c r="B91" s="565" t="s">
        <v>498</v>
      </c>
      <c r="C91" s="565" t="s">
        <v>719</v>
      </c>
      <c r="D91" s="565" t="s">
        <v>2713</v>
      </c>
      <c r="E91" s="529">
        <v>0.16</v>
      </c>
      <c r="F91" s="567" t="s">
        <v>2631</v>
      </c>
    </row>
    <row r="92" spans="1:6">
      <c r="A92" s="528">
        <v>46297</v>
      </c>
      <c r="B92" s="565" t="s">
        <v>143</v>
      </c>
      <c r="C92" s="565" t="s">
        <v>2625</v>
      </c>
      <c r="D92" s="565" t="s">
        <v>445</v>
      </c>
      <c r="E92" s="529">
        <v>0.86</v>
      </c>
      <c r="F92" s="567" t="s">
        <v>2631</v>
      </c>
    </row>
    <row r="93" spans="1:6">
      <c r="A93" s="528">
        <v>46297</v>
      </c>
      <c r="B93" s="565" t="s">
        <v>143</v>
      </c>
      <c r="C93" s="565" t="s">
        <v>2625</v>
      </c>
      <c r="D93" s="565" t="s">
        <v>134</v>
      </c>
      <c r="E93" s="529">
        <v>7.0000000000000007E-2</v>
      </c>
      <c r="F93" s="567" t="s">
        <v>2631</v>
      </c>
    </row>
    <row r="94" spans="1:6">
      <c r="A94" s="528">
        <v>46297</v>
      </c>
      <c r="B94" s="565" t="s">
        <v>531</v>
      </c>
      <c r="C94" s="565" t="s">
        <v>2625</v>
      </c>
      <c r="D94" s="565" t="s">
        <v>685</v>
      </c>
      <c r="E94" s="529">
        <v>7.0000000000000007E-2</v>
      </c>
      <c r="F94" s="567" t="s">
        <v>2631</v>
      </c>
    </row>
    <row r="95" spans="1:6">
      <c r="A95" s="528">
        <v>46297</v>
      </c>
      <c r="B95" s="565" t="s">
        <v>531</v>
      </c>
      <c r="C95" s="565" t="s">
        <v>2625</v>
      </c>
      <c r="D95" s="565" t="s">
        <v>445</v>
      </c>
      <c r="E95" s="529">
        <v>0.36</v>
      </c>
      <c r="F95" s="567" t="s">
        <v>2631</v>
      </c>
    </row>
    <row r="96" spans="1:6">
      <c r="A96" s="528">
        <v>46297</v>
      </c>
      <c r="B96" s="565" t="s">
        <v>401</v>
      </c>
      <c r="C96" s="565" t="s">
        <v>2625</v>
      </c>
      <c r="D96" s="565" t="s">
        <v>445</v>
      </c>
      <c r="E96" s="529">
        <v>0.2</v>
      </c>
      <c r="F96" s="567" t="s">
        <v>2631</v>
      </c>
    </row>
    <row r="97" spans="1:6">
      <c r="A97" s="528">
        <v>46297</v>
      </c>
      <c r="B97" s="565" t="s">
        <v>401</v>
      </c>
      <c r="C97" s="565" t="s">
        <v>719</v>
      </c>
      <c r="D97" s="565" t="s">
        <v>694</v>
      </c>
      <c r="E97" s="529">
        <v>0.03</v>
      </c>
      <c r="F97" s="567" t="s">
        <v>2631</v>
      </c>
    </row>
    <row r="98" spans="1:6">
      <c r="A98" s="528">
        <v>46297</v>
      </c>
      <c r="B98" s="565" t="s">
        <v>534</v>
      </c>
      <c r="C98" s="565" t="s">
        <v>719</v>
      </c>
      <c r="D98" s="565" t="s">
        <v>2713</v>
      </c>
      <c r="E98" s="529">
        <v>0.2</v>
      </c>
      <c r="F98" s="567" t="s">
        <v>2631</v>
      </c>
    </row>
    <row r="99" spans="1:6">
      <c r="A99" s="528">
        <v>46297</v>
      </c>
      <c r="B99" s="565" t="s">
        <v>432</v>
      </c>
      <c r="C99" s="565" t="s">
        <v>719</v>
      </c>
      <c r="D99" s="565" t="s">
        <v>2713</v>
      </c>
      <c r="E99" s="529">
        <v>0.06</v>
      </c>
      <c r="F99" s="567" t="s">
        <v>2631</v>
      </c>
    </row>
    <row r="100" spans="1:6">
      <c r="A100" s="528">
        <v>46297</v>
      </c>
      <c r="B100" s="565" t="s">
        <v>432</v>
      </c>
      <c r="C100" s="565" t="s">
        <v>719</v>
      </c>
      <c r="D100" s="565" t="s">
        <v>2737</v>
      </c>
      <c r="E100" s="529">
        <v>0.06</v>
      </c>
      <c r="F100" s="567" t="s">
        <v>2631</v>
      </c>
    </row>
    <row r="101" spans="1:6">
      <c r="A101" s="528">
        <v>46297</v>
      </c>
      <c r="B101" s="565" t="s">
        <v>409</v>
      </c>
      <c r="C101" s="565" t="s">
        <v>719</v>
      </c>
      <c r="D101" s="566" t="s">
        <v>696</v>
      </c>
      <c r="E101" s="529">
        <v>0.61</v>
      </c>
      <c r="F101" s="567" t="s">
        <v>2634</v>
      </c>
    </row>
    <row r="102" spans="1:6">
      <c r="A102" s="528">
        <v>46297</v>
      </c>
      <c r="B102" s="565" t="s">
        <v>409</v>
      </c>
      <c r="C102" s="565" t="s">
        <v>719</v>
      </c>
      <c r="D102" s="565" t="s">
        <v>2737</v>
      </c>
      <c r="E102" s="529">
        <v>0.12</v>
      </c>
      <c r="F102" s="567" t="s">
        <v>2634</v>
      </c>
    </row>
    <row r="103" spans="1:6">
      <c r="A103" s="528">
        <v>46297</v>
      </c>
      <c r="B103" s="565" t="s">
        <v>409</v>
      </c>
      <c r="C103" s="565" t="s">
        <v>719</v>
      </c>
      <c r="D103" s="565" t="s">
        <v>552</v>
      </c>
      <c r="E103" s="529">
        <v>0.06</v>
      </c>
      <c r="F103" s="567" t="s">
        <v>2634</v>
      </c>
    </row>
    <row r="104" spans="1:6">
      <c r="A104" s="528">
        <v>46297</v>
      </c>
      <c r="B104" s="565" t="s">
        <v>428</v>
      </c>
      <c r="C104" s="565" t="s">
        <v>719</v>
      </c>
      <c r="D104" s="565" t="s">
        <v>163</v>
      </c>
      <c r="E104" s="529">
        <v>0.04</v>
      </c>
      <c r="F104" s="567" t="s">
        <v>2634</v>
      </c>
    </row>
    <row r="105" spans="1:6">
      <c r="A105" s="528">
        <v>46297</v>
      </c>
      <c r="B105" s="565" t="s">
        <v>360</v>
      </c>
      <c r="C105" s="565" t="s">
        <v>719</v>
      </c>
      <c r="D105" s="566" t="s">
        <v>696</v>
      </c>
      <c r="E105" s="529">
        <v>0.3</v>
      </c>
      <c r="F105" s="567" t="s">
        <v>2634</v>
      </c>
    </row>
    <row r="106" spans="1:6">
      <c r="A106" s="528">
        <v>46297</v>
      </c>
      <c r="B106" s="565" t="s">
        <v>432</v>
      </c>
      <c r="C106" s="565" t="s">
        <v>719</v>
      </c>
      <c r="D106" s="565" t="s">
        <v>563</v>
      </c>
      <c r="E106" s="529">
        <v>0.04</v>
      </c>
      <c r="F106" s="567" t="s">
        <v>2634</v>
      </c>
    </row>
    <row r="107" spans="1:6">
      <c r="A107" s="528">
        <v>46297</v>
      </c>
      <c r="B107" s="565" t="s">
        <v>432</v>
      </c>
      <c r="C107" s="565" t="s">
        <v>719</v>
      </c>
      <c r="D107" s="565" t="s">
        <v>366</v>
      </c>
      <c r="E107" s="529">
        <v>0.04</v>
      </c>
      <c r="F107" s="567" t="s">
        <v>2634</v>
      </c>
    </row>
    <row r="108" spans="1:6">
      <c r="A108" s="528">
        <v>46297</v>
      </c>
      <c r="B108" s="565" t="s">
        <v>432</v>
      </c>
      <c r="C108" s="565" t="s">
        <v>719</v>
      </c>
      <c r="D108" s="565" t="s">
        <v>373</v>
      </c>
      <c r="E108" s="529">
        <v>0.04</v>
      </c>
      <c r="F108" s="567" t="s">
        <v>2634</v>
      </c>
    </row>
    <row r="109" spans="1:6">
      <c r="A109" s="528">
        <v>46298</v>
      </c>
      <c r="B109" s="568" t="s">
        <v>1705</v>
      </c>
      <c r="C109" s="568" t="s">
        <v>2625</v>
      </c>
      <c r="D109" s="568" t="s">
        <v>652</v>
      </c>
      <c r="E109" s="529">
        <v>0.25</v>
      </c>
      <c r="F109" s="570" t="s">
        <v>2631</v>
      </c>
    </row>
    <row r="110" spans="1:6">
      <c r="A110" s="528">
        <v>46298</v>
      </c>
      <c r="B110" s="568" t="s">
        <v>1705</v>
      </c>
      <c r="C110" s="568" t="s">
        <v>2625</v>
      </c>
      <c r="D110" s="568" t="s">
        <v>251</v>
      </c>
      <c r="E110" s="529">
        <v>0.14000000000000001</v>
      </c>
      <c r="F110" s="570" t="s">
        <v>2631</v>
      </c>
    </row>
    <row r="111" spans="1:6">
      <c r="A111" s="528">
        <v>46298</v>
      </c>
      <c r="B111" s="568" t="s">
        <v>1705</v>
      </c>
      <c r="C111" s="568" t="s">
        <v>2625</v>
      </c>
      <c r="D111" s="568" t="s">
        <v>445</v>
      </c>
      <c r="E111" s="529">
        <v>0.15</v>
      </c>
      <c r="F111" s="570" t="s">
        <v>2631</v>
      </c>
    </row>
    <row r="112" spans="1:6">
      <c r="A112" s="528">
        <v>46298</v>
      </c>
      <c r="B112" s="568" t="s">
        <v>1705</v>
      </c>
      <c r="C112" s="568" t="s">
        <v>2625</v>
      </c>
      <c r="D112" s="568" t="s">
        <v>125</v>
      </c>
      <c r="E112" s="529">
        <v>1</v>
      </c>
      <c r="F112" s="570" t="s">
        <v>2631</v>
      </c>
    </row>
    <row r="113" spans="1:6">
      <c r="A113" s="528">
        <v>46298</v>
      </c>
      <c r="B113" s="568" t="s">
        <v>514</v>
      </c>
      <c r="C113" s="568" t="s">
        <v>719</v>
      </c>
      <c r="D113" s="568" t="s">
        <v>2713</v>
      </c>
      <c r="E113" s="529">
        <v>0.27</v>
      </c>
      <c r="F113" s="570" t="s">
        <v>2631</v>
      </c>
    </row>
    <row r="114" spans="1:6">
      <c r="A114" s="528">
        <v>46298</v>
      </c>
      <c r="B114" s="568" t="s">
        <v>498</v>
      </c>
      <c r="C114" s="568" t="s">
        <v>719</v>
      </c>
      <c r="D114" s="568" t="s">
        <v>2737</v>
      </c>
      <c r="E114" s="529">
        <v>0.06</v>
      </c>
      <c r="F114" s="570" t="s">
        <v>2631</v>
      </c>
    </row>
    <row r="115" spans="1:6">
      <c r="A115" s="528">
        <v>46298</v>
      </c>
      <c r="B115" s="568" t="s">
        <v>498</v>
      </c>
      <c r="C115" s="568" t="s">
        <v>719</v>
      </c>
      <c r="D115" s="568" t="s">
        <v>2713</v>
      </c>
      <c r="E115" s="529">
        <v>0.38</v>
      </c>
      <c r="F115" s="570" t="s">
        <v>2631</v>
      </c>
    </row>
    <row r="116" spans="1:6">
      <c r="A116" s="528">
        <v>46298</v>
      </c>
      <c r="B116" s="568" t="s">
        <v>498</v>
      </c>
      <c r="C116" s="568" t="s">
        <v>719</v>
      </c>
      <c r="D116" s="568" t="s">
        <v>343</v>
      </c>
      <c r="E116" s="529">
        <v>0.03</v>
      </c>
      <c r="F116" s="570" t="s">
        <v>2631</v>
      </c>
    </row>
    <row r="117" spans="1:6">
      <c r="A117" s="528">
        <v>46298</v>
      </c>
      <c r="B117" s="568" t="s">
        <v>531</v>
      </c>
      <c r="C117" s="568" t="s">
        <v>2625</v>
      </c>
      <c r="D117" s="568" t="s">
        <v>445</v>
      </c>
      <c r="E117" s="529">
        <v>0.1</v>
      </c>
      <c r="F117" s="570" t="s">
        <v>2631</v>
      </c>
    </row>
    <row r="118" spans="1:6">
      <c r="A118" s="528">
        <v>46298</v>
      </c>
      <c r="B118" s="568" t="s">
        <v>531</v>
      </c>
      <c r="C118" s="568" t="s">
        <v>2625</v>
      </c>
      <c r="D118" s="568" t="s">
        <v>125</v>
      </c>
      <c r="E118" s="529">
        <v>0.09</v>
      </c>
      <c r="F118" s="570" t="s">
        <v>2631</v>
      </c>
    </row>
    <row r="119" spans="1:6">
      <c r="A119" s="528">
        <v>46298</v>
      </c>
      <c r="B119" s="568" t="s">
        <v>2758</v>
      </c>
      <c r="C119" s="568" t="s">
        <v>719</v>
      </c>
      <c r="D119" s="568" t="s">
        <v>694</v>
      </c>
      <c r="E119" s="529">
        <v>0.04</v>
      </c>
      <c r="F119" s="570" t="s">
        <v>2631</v>
      </c>
    </row>
    <row r="120" spans="1:6">
      <c r="A120" s="528">
        <v>46298</v>
      </c>
      <c r="B120" s="568" t="s">
        <v>142</v>
      </c>
      <c r="C120" s="568" t="s">
        <v>2625</v>
      </c>
      <c r="D120" s="568" t="s">
        <v>689</v>
      </c>
      <c r="E120" s="529">
        <v>0.06</v>
      </c>
      <c r="F120" s="570" t="s">
        <v>2631</v>
      </c>
    </row>
    <row r="121" spans="1:6">
      <c r="A121" s="528">
        <v>46298</v>
      </c>
      <c r="B121" s="568" t="s">
        <v>142</v>
      </c>
      <c r="C121" s="568" t="s">
        <v>2625</v>
      </c>
      <c r="D121" s="568" t="s">
        <v>445</v>
      </c>
      <c r="E121" s="529">
        <v>0.4</v>
      </c>
      <c r="F121" s="570" t="s">
        <v>2631</v>
      </c>
    </row>
    <row r="122" spans="1:6">
      <c r="A122" s="528">
        <v>46298</v>
      </c>
      <c r="B122" s="568" t="s">
        <v>142</v>
      </c>
      <c r="C122" s="568" t="s">
        <v>2625</v>
      </c>
      <c r="D122" s="568" t="s">
        <v>125</v>
      </c>
      <c r="E122" s="529">
        <v>1.2</v>
      </c>
      <c r="F122" s="570" t="s">
        <v>2631</v>
      </c>
    </row>
    <row r="123" spans="1:6">
      <c r="A123" s="528">
        <v>46298</v>
      </c>
      <c r="B123" s="568" t="s">
        <v>142</v>
      </c>
      <c r="C123" s="568" t="s">
        <v>2625</v>
      </c>
      <c r="D123" s="568" t="s">
        <v>134</v>
      </c>
      <c r="E123" s="529">
        <v>7.0000000000000007E-2</v>
      </c>
      <c r="F123" s="570" t="s">
        <v>2631</v>
      </c>
    </row>
    <row r="124" spans="1:6">
      <c r="A124" s="528">
        <v>46298</v>
      </c>
      <c r="B124" s="568" t="s">
        <v>534</v>
      </c>
      <c r="C124" s="568" t="s">
        <v>719</v>
      </c>
      <c r="D124" s="569" t="s">
        <v>696</v>
      </c>
      <c r="E124" s="529">
        <v>0.15</v>
      </c>
      <c r="F124" s="570" t="s">
        <v>2631</v>
      </c>
    </row>
    <row r="125" spans="1:6">
      <c r="A125" s="528">
        <v>46298</v>
      </c>
      <c r="B125" s="568" t="s">
        <v>2759</v>
      </c>
      <c r="C125" s="568" t="s">
        <v>719</v>
      </c>
      <c r="D125" s="568" t="s">
        <v>2737</v>
      </c>
      <c r="E125" s="529">
        <v>0.04</v>
      </c>
      <c r="F125" s="570" t="s">
        <v>2631</v>
      </c>
    </row>
    <row r="126" spans="1:6">
      <c r="A126" s="528">
        <v>46298</v>
      </c>
      <c r="B126" s="568" t="s">
        <v>381</v>
      </c>
      <c r="C126" s="568" t="s">
        <v>719</v>
      </c>
      <c r="D126" s="571" t="s">
        <v>696</v>
      </c>
      <c r="E126" s="529">
        <v>0.35</v>
      </c>
      <c r="F126" s="570" t="s">
        <v>2634</v>
      </c>
    </row>
    <row r="127" spans="1:6">
      <c r="A127" s="528">
        <v>46298</v>
      </c>
      <c r="B127" s="568" t="s">
        <v>381</v>
      </c>
      <c r="C127" s="568" t="s">
        <v>719</v>
      </c>
      <c r="D127" s="568" t="s">
        <v>641</v>
      </c>
      <c r="E127" s="529">
        <v>0.04</v>
      </c>
      <c r="F127" s="570" t="s">
        <v>2634</v>
      </c>
    </row>
    <row r="128" spans="1:6">
      <c r="A128" s="528">
        <v>46298</v>
      </c>
      <c r="B128" s="568" t="s">
        <v>476</v>
      </c>
      <c r="C128" s="568" t="s">
        <v>719</v>
      </c>
      <c r="D128" s="571" t="s">
        <v>696</v>
      </c>
      <c r="E128" s="529">
        <v>0.15</v>
      </c>
      <c r="F128" s="570" t="s">
        <v>2634</v>
      </c>
    </row>
    <row r="129" spans="1:6">
      <c r="A129" s="528">
        <v>46298</v>
      </c>
      <c r="B129" s="568" t="s">
        <v>360</v>
      </c>
      <c r="C129" s="568" t="s">
        <v>719</v>
      </c>
      <c r="D129" s="571" t="s">
        <v>696</v>
      </c>
      <c r="E129" s="529">
        <v>0.16</v>
      </c>
      <c r="F129" s="570" t="s">
        <v>2634</v>
      </c>
    </row>
    <row r="130" spans="1:6">
      <c r="A130" s="528">
        <v>46298</v>
      </c>
      <c r="B130" s="568" t="s">
        <v>432</v>
      </c>
      <c r="C130" s="568" t="s">
        <v>719</v>
      </c>
      <c r="D130" s="568" t="s">
        <v>2610</v>
      </c>
      <c r="E130" s="529">
        <v>0.06</v>
      </c>
      <c r="F130" s="570" t="s">
        <v>2634</v>
      </c>
    </row>
    <row r="131" spans="1:6">
      <c r="A131" s="528">
        <v>46299</v>
      </c>
      <c r="B131" s="568" t="s">
        <v>554</v>
      </c>
      <c r="C131" s="568" t="s">
        <v>719</v>
      </c>
      <c r="D131" s="571" t="s">
        <v>696</v>
      </c>
      <c r="E131" s="529">
        <v>0.17</v>
      </c>
      <c r="F131" s="570" t="s">
        <v>2634</v>
      </c>
    </row>
    <row r="132" spans="1:6">
      <c r="A132" s="528">
        <v>46299</v>
      </c>
      <c r="B132" s="568" t="s">
        <v>554</v>
      </c>
      <c r="C132" s="568" t="s">
        <v>719</v>
      </c>
      <c r="D132" s="568" t="s">
        <v>2737</v>
      </c>
      <c r="E132" s="529">
        <v>0.18</v>
      </c>
      <c r="F132" s="570" t="s">
        <v>2634</v>
      </c>
    </row>
    <row r="133" spans="1:6">
      <c r="A133" s="528">
        <v>46299</v>
      </c>
      <c r="B133" s="568" t="s">
        <v>381</v>
      </c>
      <c r="C133" s="568" t="s">
        <v>719</v>
      </c>
      <c r="D133" s="571" t="s">
        <v>696</v>
      </c>
      <c r="E133" s="529">
        <v>0.17</v>
      </c>
      <c r="F133" s="570" t="s">
        <v>2634</v>
      </c>
    </row>
    <row r="134" spans="1:6">
      <c r="A134" s="528">
        <v>46299</v>
      </c>
      <c r="B134" s="568" t="s">
        <v>534</v>
      </c>
      <c r="C134" s="568" t="s">
        <v>719</v>
      </c>
      <c r="D134" s="571" t="s">
        <v>696</v>
      </c>
      <c r="E134" s="529">
        <v>0.09</v>
      </c>
      <c r="F134" s="570" t="s">
        <v>2634</v>
      </c>
    </row>
    <row r="135" spans="1:6">
      <c r="A135" s="528">
        <v>46299</v>
      </c>
      <c r="B135" s="568" t="s">
        <v>2752</v>
      </c>
      <c r="C135" s="568" t="s">
        <v>719</v>
      </c>
      <c r="D135" s="568" t="s">
        <v>343</v>
      </c>
      <c r="E135" s="529">
        <v>0.04</v>
      </c>
      <c r="F135" s="570" t="s">
        <v>2634</v>
      </c>
    </row>
    <row r="136" spans="1:6">
      <c r="A136" s="528">
        <v>46299</v>
      </c>
      <c r="B136" s="568" t="s">
        <v>559</v>
      </c>
      <c r="C136" s="568" t="s">
        <v>719</v>
      </c>
      <c r="D136" s="568" t="s">
        <v>26</v>
      </c>
      <c r="E136" s="529">
        <v>0.04</v>
      </c>
      <c r="F136" s="570" t="s">
        <v>2634</v>
      </c>
    </row>
    <row r="137" spans="1:6">
      <c r="A137" s="528">
        <v>46299</v>
      </c>
      <c r="B137" s="568" t="s">
        <v>1706</v>
      </c>
      <c r="C137" s="568" t="s">
        <v>2625</v>
      </c>
      <c r="D137" s="568" t="s">
        <v>652</v>
      </c>
      <c r="E137" s="529">
        <v>0.14000000000000001</v>
      </c>
      <c r="F137" s="570" t="s">
        <v>2631</v>
      </c>
    </row>
    <row r="138" spans="1:6">
      <c r="A138" s="528">
        <v>46299</v>
      </c>
      <c r="B138" s="568" t="s">
        <v>1706</v>
      </c>
      <c r="C138" s="568" t="s">
        <v>2625</v>
      </c>
      <c r="D138" s="568" t="s">
        <v>688</v>
      </c>
      <c r="E138" s="529">
        <v>0.14000000000000001</v>
      </c>
      <c r="F138" s="570" t="s">
        <v>2631</v>
      </c>
    </row>
    <row r="139" spans="1:6">
      <c r="A139" s="528">
        <v>46299</v>
      </c>
      <c r="B139" s="568" t="s">
        <v>1706</v>
      </c>
      <c r="C139" s="568" t="s">
        <v>2625</v>
      </c>
      <c r="D139" s="568" t="s">
        <v>125</v>
      </c>
      <c r="E139" s="529">
        <v>0.7</v>
      </c>
      <c r="F139" s="570" t="s">
        <v>2631</v>
      </c>
    </row>
    <row r="140" spans="1:6">
      <c r="A140" s="528">
        <v>46299</v>
      </c>
      <c r="B140" s="568" t="s">
        <v>498</v>
      </c>
      <c r="C140" s="568" t="s">
        <v>719</v>
      </c>
      <c r="D140" s="568" t="s">
        <v>2713</v>
      </c>
      <c r="E140" s="529">
        <v>0.12</v>
      </c>
      <c r="F140" s="570" t="s">
        <v>2631</v>
      </c>
    </row>
    <row r="141" spans="1:6">
      <c r="A141" s="528">
        <v>46299</v>
      </c>
      <c r="B141" s="568" t="s">
        <v>2760</v>
      </c>
      <c r="C141" s="568" t="s">
        <v>2625</v>
      </c>
      <c r="D141" s="568" t="s">
        <v>237</v>
      </c>
      <c r="E141" s="529">
        <v>0.14000000000000001</v>
      </c>
      <c r="F141" s="570" t="s">
        <v>2631</v>
      </c>
    </row>
    <row r="142" spans="1:6">
      <c r="A142" s="528">
        <v>46299</v>
      </c>
      <c r="B142" s="568" t="s">
        <v>2760</v>
      </c>
      <c r="C142" s="568" t="s">
        <v>2625</v>
      </c>
      <c r="D142" s="568" t="s">
        <v>689</v>
      </c>
      <c r="E142" s="529">
        <v>0.14000000000000001</v>
      </c>
      <c r="F142" s="570" t="s">
        <v>2631</v>
      </c>
    </row>
    <row r="143" spans="1:6">
      <c r="A143" s="528">
        <v>46299</v>
      </c>
      <c r="B143" s="568" t="s">
        <v>142</v>
      </c>
      <c r="C143" s="568" t="s">
        <v>2625</v>
      </c>
      <c r="D143" s="568" t="s">
        <v>702</v>
      </c>
      <c r="E143" s="529">
        <v>0.18</v>
      </c>
      <c r="F143" s="570" t="s">
        <v>2631</v>
      </c>
    </row>
    <row r="144" spans="1:6">
      <c r="A144" s="528">
        <v>46299</v>
      </c>
      <c r="B144" s="568" t="s">
        <v>142</v>
      </c>
      <c r="C144" s="568" t="s">
        <v>2625</v>
      </c>
      <c r="D144" s="568" t="s">
        <v>125</v>
      </c>
      <c r="E144" s="529">
        <v>0.12</v>
      </c>
      <c r="F144" s="570" t="s">
        <v>2631</v>
      </c>
    </row>
    <row r="145" spans="1:6">
      <c r="A145" s="528">
        <v>46299</v>
      </c>
      <c r="B145" s="568" t="s">
        <v>142</v>
      </c>
      <c r="C145" s="568" t="s">
        <v>2625</v>
      </c>
      <c r="D145" s="568" t="s">
        <v>708</v>
      </c>
      <c r="E145" s="529">
        <v>0.14000000000000001</v>
      </c>
      <c r="F145" s="570" t="s">
        <v>2631</v>
      </c>
    </row>
    <row r="146" spans="1:6">
      <c r="A146" s="528">
        <v>46299</v>
      </c>
      <c r="B146" s="568" t="s">
        <v>142</v>
      </c>
      <c r="C146" s="568" t="s">
        <v>719</v>
      </c>
      <c r="D146" s="568" t="s">
        <v>694</v>
      </c>
      <c r="E146" s="529">
        <v>0.05</v>
      </c>
      <c r="F146" s="570" t="s">
        <v>2631</v>
      </c>
    </row>
    <row r="147" spans="1:6">
      <c r="A147" s="528">
        <v>46299</v>
      </c>
      <c r="B147" s="568" t="s">
        <v>142</v>
      </c>
      <c r="C147" s="568" t="s">
        <v>719</v>
      </c>
      <c r="D147" s="568" t="s">
        <v>343</v>
      </c>
      <c r="E147" s="529">
        <v>0.03</v>
      </c>
      <c r="F147" s="570" t="s">
        <v>2631</v>
      </c>
    </row>
    <row r="148" spans="1:6">
      <c r="A148" s="528">
        <v>46300</v>
      </c>
      <c r="B148" s="572" t="s">
        <v>1706</v>
      </c>
      <c r="C148" s="572" t="s">
        <v>719</v>
      </c>
      <c r="D148" s="572" t="s">
        <v>333</v>
      </c>
      <c r="E148" s="529">
        <v>0.04</v>
      </c>
      <c r="F148" s="570" t="s">
        <v>2631</v>
      </c>
    </row>
    <row r="149" spans="1:6">
      <c r="A149" s="528">
        <v>46300</v>
      </c>
      <c r="B149" s="572" t="s">
        <v>1706</v>
      </c>
      <c r="C149" s="572" t="s">
        <v>719</v>
      </c>
      <c r="D149" s="572" t="s">
        <v>210</v>
      </c>
      <c r="E149" s="529">
        <v>0.04</v>
      </c>
      <c r="F149" s="570" t="s">
        <v>2631</v>
      </c>
    </row>
    <row r="150" spans="1:6">
      <c r="A150" s="528">
        <v>46300</v>
      </c>
      <c r="B150" s="572" t="s">
        <v>1706</v>
      </c>
      <c r="C150" s="572" t="s">
        <v>719</v>
      </c>
      <c r="D150" s="572" t="s">
        <v>694</v>
      </c>
      <c r="E150" s="529">
        <v>0.04</v>
      </c>
      <c r="F150" s="570" t="s">
        <v>2631</v>
      </c>
    </row>
    <row r="151" spans="1:6">
      <c r="A151" s="528">
        <v>46300</v>
      </c>
      <c r="B151" s="572" t="s">
        <v>2763</v>
      </c>
      <c r="C151" s="572" t="s">
        <v>2625</v>
      </c>
      <c r="D151" s="572" t="s">
        <v>688</v>
      </c>
      <c r="E151" s="529">
        <v>0.13</v>
      </c>
      <c r="F151" s="570" t="s">
        <v>2631</v>
      </c>
    </row>
    <row r="152" spans="1:6">
      <c r="A152" s="528">
        <v>46300</v>
      </c>
      <c r="B152" s="572" t="s">
        <v>2763</v>
      </c>
      <c r="C152" s="572" t="s">
        <v>2625</v>
      </c>
      <c r="D152" s="572" t="s">
        <v>237</v>
      </c>
      <c r="E152" s="529">
        <v>0.13</v>
      </c>
      <c r="F152" s="570" t="s">
        <v>2631</v>
      </c>
    </row>
    <row r="153" spans="1:6">
      <c r="A153" s="528">
        <v>46300</v>
      </c>
      <c r="B153" s="572" t="s">
        <v>1706</v>
      </c>
      <c r="C153" s="572" t="s">
        <v>2625</v>
      </c>
      <c r="D153" s="572" t="s">
        <v>125</v>
      </c>
      <c r="E153" s="529">
        <v>0.51</v>
      </c>
      <c r="F153" s="570" t="s">
        <v>2631</v>
      </c>
    </row>
    <row r="154" spans="1:6">
      <c r="A154" s="528">
        <v>46300</v>
      </c>
      <c r="B154" s="572" t="s">
        <v>879</v>
      </c>
      <c r="C154" s="572" t="s">
        <v>2625</v>
      </c>
      <c r="D154" s="572" t="s">
        <v>688</v>
      </c>
      <c r="E154" s="529">
        <v>0.15</v>
      </c>
      <c r="F154" s="570" t="s">
        <v>2631</v>
      </c>
    </row>
    <row r="155" spans="1:6">
      <c r="A155" s="528">
        <v>46300</v>
      </c>
      <c r="B155" s="572" t="s">
        <v>879</v>
      </c>
      <c r="C155" s="572" t="s">
        <v>2625</v>
      </c>
      <c r="D155" s="572" t="s">
        <v>2762</v>
      </c>
      <c r="E155" s="529">
        <v>0.15</v>
      </c>
      <c r="F155" s="570" t="s">
        <v>2631</v>
      </c>
    </row>
    <row r="156" spans="1:6">
      <c r="A156" s="528">
        <v>46300</v>
      </c>
      <c r="B156" s="572" t="s">
        <v>879</v>
      </c>
      <c r="C156" s="572" t="s">
        <v>2625</v>
      </c>
      <c r="D156" s="572" t="s">
        <v>125</v>
      </c>
      <c r="E156" s="529">
        <v>0.87</v>
      </c>
      <c r="F156" s="570" t="s">
        <v>2631</v>
      </c>
    </row>
    <row r="157" spans="1:6">
      <c r="A157" s="528">
        <v>46300</v>
      </c>
      <c r="B157" s="572" t="s">
        <v>879</v>
      </c>
      <c r="C157" s="572" t="s">
        <v>2625</v>
      </c>
      <c r="D157" s="572" t="s">
        <v>212</v>
      </c>
      <c r="E157" s="529">
        <v>0.3</v>
      </c>
      <c r="F157" s="570" t="s">
        <v>2631</v>
      </c>
    </row>
    <row r="158" spans="1:6">
      <c r="A158" s="528">
        <v>46300</v>
      </c>
      <c r="B158" s="572" t="s">
        <v>2764</v>
      </c>
      <c r="C158" s="572" t="s">
        <v>719</v>
      </c>
      <c r="D158" s="572" t="s">
        <v>2713</v>
      </c>
      <c r="E158" s="529">
        <v>0.04</v>
      </c>
      <c r="F158" s="570" t="s">
        <v>2631</v>
      </c>
    </row>
    <row r="159" spans="1:6">
      <c r="A159" s="528">
        <v>46300</v>
      </c>
      <c r="B159" s="572" t="s">
        <v>2765</v>
      </c>
      <c r="C159" s="572" t="s">
        <v>719</v>
      </c>
      <c r="D159" s="573" t="s">
        <v>696</v>
      </c>
      <c r="E159" s="529">
        <v>0.21</v>
      </c>
      <c r="F159" s="574" t="s">
        <v>2634</v>
      </c>
    </row>
    <row r="160" spans="1:6">
      <c r="A160" s="528">
        <v>46300</v>
      </c>
      <c r="B160" s="572" t="s">
        <v>2765</v>
      </c>
      <c r="C160" s="572" t="s">
        <v>719</v>
      </c>
      <c r="D160" s="572" t="s">
        <v>2737</v>
      </c>
      <c r="E160" s="529">
        <v>0.38</v>
      </c>
      <c r="F160" s="574" t="s">
        <v>2634</v>
      </c>
    </row>
    <row r="161" spans="1:6">
      <c r="A161" s="528">
        <v>46300</v>
      </c>
      <c r="B161" s="572" t="s">
        <v>477</v>
      </c>
      <c r="C161" s="572" t="s">
        <v>719</v>
      </c>
      <c r="D161" s="572" t="s">
        <v>2610</v>
      </c>
      <c r="E161" s="529">
        <v>0.04</v>
      </c>
      <c r="F161" s="574" t="s">
        <v>2634</v>
      </c>
    </row>
    <row r="162" spans="1:6">
      <c r="A162" s="528">
        <v>46300</v>
      </c>
      <c r="B162" s="572" t="s">
        <v>2558</v>
      </c>
      <c r="C162" s="572" t="s">
        <v>2625</v>
      </c>
      <c r="D162" s="572" t="s">
        <v>250</v>
      </c>
      <c r="E162" s="529">
        <v>7.0000000000000007E-2</v>
      </c>
      <c r="F162" s="574" t="s">
        <v>2634</v>
      </c>
    </row>
    <row r="163" spans="1:6">
      <c r="A163" s="528">
        <v>46301</v>
      </c>
      <c r="B163" s="575" t="s">
        <v>2767</v>
      </c>
      <c r="C163" s="575" t="s">
        <v>719</v>
      </c>
      <c r="D163" s="575" t="s">
        <v>2737</v>
      </c>
      <c r="E163" s="529">
        <v>0.48</v>
      </c>
      <c r="F163" s="574" t="s">
        <v>2634</v>
      </c>
    </row>
    <row r="164" spans="1:6">
      <c r="A164" s="528">
        <v>46301</v>
      </c>
      <c r="B164" s="575" t="s">
        <v>2767</v>
      </c>
      <c r="C164" s="575" t="s">
        <v>719</v>
      </c>
      <c r="D164" s="575" t="s">
        <v>2737</v>
      </c>
      <c r="E164" s="529">
        <v>0.08</v>
      </c>
      <c r="F164" s="574" t="s">
        <v>2634</v>
      </c>
    </row>
    <row r="165" spans="1:6">
      <c r="A165" s="528">
        <v>46301</v>
      </c>
      <c r="B165" s="575" t="s">
        <v>2767</v>
      </c>
      <c r="C165" s="575" t="s">
        <v>719</v>
      </c>
      <c r="D165" s="575" t="s">
        <v>2756</v>
      </c>
      <c r="E165" s="529">
        <v>0.03</v>
      </c>
      <c r="F165" s="574" t="s">
        <v>2634</v>
      </c>
    </row>
    <row r="166" spans="1:6">
      <c r="A166" s="528">
        <v>46301</v>
      </c>
      <c r="B166" s="575" t="s">
        <v>142</v>
      </c>
      <c r="C166" s="575" t="s">
        <v>719</v>
      </c>
      <c r="D166" s="575" t="s">
        <v>2766</v>
      </c>
      <c r="E166" s="529">
        <v>0.04</v>
      </c>
      <c r="F166" s="574" t="s">
        <v>2634</v>
      </c>
    </row>
    <row r="167" spans="1:6">
      <c r="A167" s="528">
        <v>46301</v>
      </c>
      <c r="B167" s="575" t="s">
        <v>142</v>
      </c>
      <c r="C167" s="575" t="s">
        <v>719</v>
      </c>
      <c r="D167" s="575" t="s">
        <v>552</v>
      </c>
      <c r="E167" s="529">
        <v>0.04</v>
      </c>
      <c r="F167" s="574" t="s">
        <v>2634</v>
      </c>
    </row>
    <row r="168" spans="1:6">
      <c r="A168" s="528">
        <v>46301</v>
      </c>
      <c r="B168" s="575" t="s">
        <v>1706</v>
      </c>
      <c r="C168" s="575" t="s">
        <v>2625</v>
      </c>
      <c r="D168" s="575" t="s">
        <v>686</v>
      </c>
      <c r="E168" s="529">
        <v>2.74</v>
      </c>
      <c r="F168" s="576" t="s">
        <v>2631</v>
      </c>
    </row>
    <row r="169" spans="1:6">
      <c r="A169" s="528">
        <v>46301</v>
      </c>
      <c r="B169" s="575" t="s">
        <v>879</v>
      </c>
      <c r="C169" s="575" t="s">
        <v>2625</v>
      </c>
      <c r="D169" s="575" t="s">
        <v>686</v>
      </c>
      <c r="E169" s="529">
        <v>1.1299999999999999</v>
      </c>
      <c r="F169" s="576" t="s">
        <v>2631</v>
      </c>
    </row>
    <row r="170" spans="1:6">
      <c r="A170" s="528">
        <v>46301</v>
      </c>
      <c r="B170" s="575" t="s">
        <v>879</v>
      </c>
      <c r="C170" s="575" t="s">
        <v>2625</v>
      </c>
      <c r="D170" s="575" t="s">
        <v>125</v>
      </c>
      <c r="E170" s="529">
        <v>0.32</v>
      </c>
      <c r="F170" s="576" t="s">
        <v>2631</v>
      </c>
    </row>
    <row r="171" spans="1:6">
      <c r="A171" s="528">
        <v>46301</v>
      </c>
      <c r="B171" s="575" t="s">
        <v>879</v>
      </c>
      <c r="C171" s="575" t="s">
        <v>2625</v>
      </c>
      <c r="D171" s="575" t="s">
        <v>689</v>
      </c>
      <c r="E171" s="529">
        <v>0.14000000000000001</v>
      </c>
      <c r="F171" s="576" t="s">
        <v>2631</v>
      </c>
    </row>
    <row r="172" spans="1:6">
      <c r="A172" s="528">
        <v>46301</v>
      </c>
      <c r="B172" s="575" t="s">
        <v>879</v>
      </c>
      <c r="C172" s="575" t="s">
        <v>719</v>
      </c>
      <c r="D172" s="575" t="s">
        <v>694</v>
      </c>
      <c r="E172" s="529">
        <v>0.05</v>
      </c>
      <c r="F172" s="576" t="s">
        <v>2631</v>
      </c>
    </row>
    <row r="173" spans="1:6">
      <c r="A173" s="528">
        <v>46301</v>
      </c>
      <c r="B173" s="575" t="s">
        <v>531</v>
      </c>
      <c r="C173" s="575" t="s">
        <v>2625</v>
      </c>
      <c r="D173" s="575" t="s">
        <v>125</v>
      </c>
      <c r="E173" s="529">
        <v>0.1</v>
      </c>
      <c r="F173" s="576" t="s">
        <v>2631</v>
      </c>
    </row>
    <row r="174" spans="1:6">
      <c r="A174" s="528">
        <v>46301</v>
      </c>
      <c r="B174" s="575" t="s">
        <v>360</v>
      </c>
      <c r="C174" s="575" t="s">
        <v>719</v>
      </c>
      <c r="D174" s="575" t="s">
        <v>343</v>
      </c>
      <c r="E174" s="529">
        <v>0.04</v>
      </c>
      <c r="F174" s="576" t="s">
        <v>2631</v>
      </c>
    </row>
    <row r="175" spans="1:6">
      <c r="A175" s="528">
        <v>46301</v>
      </c>
      <c r="B175" s="575" t="s">
        <v>879</v>
      </c>
      <c r="C175" s="575" t="s">
        <v>2625</v>
      </c>
      <c r="D175" s="575" t="s">
        <v>683</v>
      </c>
      <c r="E175" s="529">
        <v>1.1299999999999999</v>
      </c>
      <c r="F175" s="576" t="s">
        <v>2631</v>
      </c>
    </row>
    <row r="176" spans="1:6">
      <c r="A176" s="528">
        <v>46302</v>
      </c>
      <c r="B176" s="577" t="s">
        <v>1705</v>
      </c>
      <c r="C176" s="577" t="s">
        <v>719</v>
      </c>
      <c r="D176" s="577" t="s">
        <v>333</v>
      </c>
      <c r="E176" s="529">
        <v>0.04</v>
      </c>
      <c r="F176" s="576" t="s">
        <v>2631</v>
      </c>
    </row>
    <row r="177" spans="1:6">
      <c r="A177" s="528">
        <v>46302</v>
      </c>
      <c r="B177" s="577" t="s">
        <v>1706</v>
      </c>
      <c r="C177" s="577" t="s">
        <v>2625</v>
      </c>
      <c r="D177" s="577" t="s">
        <v>686</v>
      </c>
      <c r="E177" s="529">
        <v>0.16</v>
      </c>
      <c r="F177" s="576" t="s">
        <v>2631</v>
      </c>
    </row>
    <row r="178" spans="1:6">
      <c r="A178" s="528">
        <v>46302</v>
      </c>
      <c r="B178" s="577" t="s">
        <v>879</v>
      </c>
      <c r="C178" s="577" t="s">
        <v>719</v>
      </c>
      <c r="D178" s="577" t="s">
        <v>2579</v>
      </c>
      <c r="E178" s="529">
        <v>0.06</v>
      </c>
      <c r="F178" s="576" t="s">
        <v>2631</v>
      </c>
    </row>
    <row r="179" spans="1:6">
      <c r="A179" s="528">
        <v>46302</v>
      </c>
      <c r="B179" s="577" t="s">
        <v>879</v>
      </c>
      <c r="C179" s="577" t="s">
        <v>2625</v>
      </c>
      <c r="D179" s="577" t="s">
        <v>686</v>
      </c>
      <c r="E179" s="529">
        <v>0.35</v>
      </c>
      <c r="F179" s="576" t="s">
        <v>2631</v>
      </c>
    </row>
    <row r="180" spans="1:6">
      <c r="A180" s="528">
        <v>46302</v>
      </c>
      <c r="B180" s="577" t="s">
        <v>2769</v>
      </c>
      <c r="C180" s="577" t="s">
        <v>2625</v>
      </c>
      <c r="D180" s="577" t="s">
        <v>686</v>
      </c>
      <c r="E180" s="529">
        <v>1.23</v>
      </c>
      <c r="F180" s="576" t="s">
        <v>2631</v>
      </c>
    </row>
    <row r="181" spans="1:6">
      <c r="A181" s="528">
        <v>46302</v>
      </c>
      <c r="B181" s="577" t="s">
        <v>531</v>
      </c>
      <c r="C181" s="577" t="s">
        <v>2625</v>
      </c>
      <c r="D181" s="577" t="s">
        <v>237</v>
      </c>
      <c r="E181" s="529">
        <v>0.06</v>
      </c>
      <c r="F181" s="576" t="s">
        <v>2631</v>
      </c>
    </row>
    <row r="182" spans="1:6">
      <c r="A182" s="528">
        <v>46302</v>
      </c>
      <c r="B182" s="577" t="s">
        <v>2767</v>
      </c>
      <c r="C182" s="577" t="s">
        <v>719</v>
      </c>
      <c r="D182" s="577" t="s">
        <v>2737</v>
      </c>
      <c r="E182" s="529">
        <v>0.21</v>
      </c>
      <c r="F182" s="578" t="s">
        <v>2634</v>
      </c>
    </row>
    <row r="183" spans="1:6">
      <c r="A183" s="528">
        <v>46302</v>
      </c>
      <c r="B183" s="577" t="s">
        <v>2767</v>
      </c>
      <c r="C183" s="577" t="s">
        <v>719</v>
      </c>
      <c r="D183" s="577" t="s">
        <v>163</v>
      </c>
      <c r="E183" s="529">
        <v>0.04</v>
      </c>
      <c r="F183" s="578" t="s">
        <v>2634</v>
      </c>
    </row>
    <row r="184" spans="1:6">
      <c r="A184" s="528">
        <v>46302</v>
      </c>
      <c r="B184" s="577" t="s">
        <v>2767</v>
      </c>
      <c r="C184" s="577" t="s">
        <v>719</v>
      </c>
      <c r="D184" s="577" t="s">
        <v>26</v>
      </c>
      <c r="E184" s="529">
        <v>0.04</v>
      </c>
      <c r="F184" s="578" t="s">
        <v>2634</v>
      </c>
    </row>
    <row r="185" spans="1:6">
      <c r="A185" s="528">
        <v>46302</v>
      </c>
      <c r="B185" s="577" t="s">
        <v>2767</v>
      </c>
      <c r="C185" s="577" t="s">
        <v>719</v>
      </c>
      <c r="D185" s="577" t="s">
        <v>669</v>
      </c>
      <c r="E185" s="529">
        <v>0.04</v>
      </c>
      <c r="F185" s="578" t="s">
        <v>2634</v>
      </c>
    </row>
    <row r="186" spans="1:6">
      <c r="A186" s="528">
        <v>46302</v>
      </c>
      <c r="B186" s="577" t="s">
        <v>428</v>
      </c>
      <c r="C186" s="577" t="s">
        <v>719</v>
      </c>
      <c r="D186" s="577" t="s">
        <v>2737</v>
      </c>
      <c r="E186" s="529">
        <v>0.38</v>
      </c>
      <c r="F186" s="578" t="s">
        <v>2634</v>
      </c>
    </row>
    <row r="187" spans="1:6">
      <c r="A187" s="528">
        <v>46302</v>
      </c>
      <c r="B187" s="577" t="s">
        <v>351</v>
      </c>
      <c r="C187" s="577" t="s">
        <v>2625</v>
      </c>
      <c r="D187" s="577" t="s">
        <v>125</v>
      </c>
      <c r="E187" s="529">
        <v>0.1</v>
      </c>
      <c r="F187" s="578" t="s">
        <v>2634</v>
      </c>
    </row>
    <row r="188" spans="1:6">
      <c r="A188" s="528">
        <v>46303</v>
      </c>
      <c r="B188" s="586" t="s">
        <v>508</v>
      </c>
      <c r="C188" s="586" t="s">
        <v>2625</v>
      </c>
      <c r="D188" s="586" t="s">
        <v>686</v>
      </c>
      <c r="E188" s="529">
        <v>0.13</v>
      </c>
      <c r="F188" s="587" t="s">
        <v>2631</v>
      </c>
    </row>
    <row r="189" spans="1:6">
      <c r="A189" s="528">
        <v>46303</v>
      </c>
      <c r="B189" s="586" t="s">
        <v>517</v>
      </c>
      <c r="C189" s="586" t="s">
        <v>719</v>
      </c>
      <c r="D189" s="586" t="s">
        <v>2713</v>
      </c>
      <c r="E189" s="529">
        <v>0.08</v>
      </c>
      <c r="F189" s="587" t="s">
        <v>2631</v>
      </c>
    </row>
    <row r="190" spans="1:6">
      <c r="A190" s="528">
        <v>46303</v>
      </c>
      <c r="B190" s="586" t="s">
        <v>879</v>
      </c>
      <c r="C190" s="586" t="s">
        <v>2625</v>
      </c>
      <c r="D190" s="586" t="s">
        <v>686</v>
      </c>
      <c r="E190" s="529">
        <v>0.15</v>
      </c>
      <c r="F190" s="587" t="s">
        <v>2631</v>
      </c>
    </row>
    <row r="191" spans="1:6">
      <c r="A191" s="528">
        <v>46303</v>
      </c>
      <c r="B191" s="586" t="s">
        <v>879</v>
      </c>
      <c r="C191" s="586" t="s">
        <v>719</v>
      </c>
      <c r="D191" s="586" t="s">
        <v>660</v>
      </c>
      <c r="E191" s="529">
        <v>0.06</v>
      </c>
      <c r="F191" s="587" t="s">
        <v>2631</v>
      </c>
    </row>
    <row r="192" spans="1:6">
      <c r="A192" s="528">
        <v>46303</v>
      </c>
      <c r="B192" s="586" t="s">
        <v>2547</v>
      </c>
      <c r="C192" s="586" t="s">
        <v>719</v>
      </c>
      <c r="D192" s="586" t="s">
        <v>2713</v>
      </c>
      <c r="E192" s="529">
        <v>0.23</v>
      </c>
      <c r="F192" s="587" t="s">
        <v>2631</v>
      </c>
    </row>
    <row r="193" spans="1:21">
      <c r="A193" s="528">
        <v>46303</v>
      </c>
      <c r="B193" s="586" t="s">
        <v>2769</v>
      </c>
      <c r="C193" s="586" t="s">
        <v>2625</v>
      </c>
      <c r="D193" s="586" t="s">
        <v>686</v>
      </c>
      <c r="E193" s="529">
        <v>0.1</v>
      </c>
      <c r="F193" s="587" t="s">
        <v>2631</v>
      </c>
    </row>
    <row r="194" spans="1:21">
      <c r="A194" s="528">
        <v>46303</v>
      </c>
      <c r="B194" s="586" t="s">
        <v>488</v>
      </c>
      <c r="C194" s="586" t="s">
        <v>719</v>
      </c>
      <c r="D194" s="588" t="s">
        <v>696</v>
      </c>
      <c r="E194" s="529">
        <v>0.27</v>
      </c>
      <c r="F194" s="587" t="s">
        <v>2634</v>
      </c>
    </row>
    <row r="195" spans="1:21">
      <c r="A195" s="528">
        <v>46303</v>
      </c>
      <c r="B195" s="586" t="s">
        <v>488</v>
      </c>
      <c r="C195" s="586" t="s">
        <v>719</v>
      </c>
      <c r="D195" s="586" t="s">
        <v>2737</v>
      </c>
      <c r="E195" s="529">
        <v>0.12</v>
      </c>
      <c r="F195" s="587" t="s">
        <v>2634</v>
      </c>
    </row>
    <row r="196" spans="1:21">
      <c r="A196" s="528">
        <v>46303</v>
      </c>
      <c r="B196" s="586" t="s">
        <v>428</v>
      </c>
      <c r="C196" s="586" t="s">
        <v>719</v>
      </c>
      <c r="D196" s="586" t="s">
        <v>552</v>
      </c>
      <c r="E196" s="529">
        <v>0.04</v>
      </c>
      <c r="F196" s="587" t="s">
        <v>2634</v>
      </c>
    </row>
    <row r="197" spans="1:21">
      <c r="A197" s="528">
        <v>46303</v>
      </c>
      <c r="B197" s="586" t="s">
        <v>2767</v>
      </c>
      <c r="C197" s="586" t="s">
        <v>719</v>
      </c>
      <c r="D197" s="586" t="s">
        <v>2614</v>
      </c>
      <c r="E197" s="529">
        <v>0.04</v>
      </c>
      <c r="F197" s="587" t="s">
        <v>2634</v>
      </c>
    </row>
    <row r="198" spans="1:21">
      <c r="A198" s="528">
        <v>46303</v>
      </c>
      <c r="B198" s="586" t="s">
        <v>2767</v>
      </c>
      <c r="C198" s="586" t="s">
        <v>719</v>
      </c>
      <c r="D198" s="586" t="s">
        <v>373</v>
      </c>
      <c r="E198" s="529">
        <v>0.04</v>
      </c>
      <c r="F198" s="587" t="s">
        <v>2634</v>
      </c>
    </row>
    <row r="199" spans="1:21">
      <c r="A199" s="528">
        <v>46304</v>
      </c>
      <c r="B199" s="591" t="s">
        <v>536</v>
      </c>
      <c r="C199" s="591" t="s">
        <v>2625</v>
      </c>
      <c r="D199" s="591" t="s">
        <v>686</v>
      </c>
      <c r="E199" s="529">
        <v>0.15</v>
      </c>
      <c r="F199" s="592" t="s">
        <v>2631</v>
      </c>
    </row>
    <row r="200" spans="1:21">
      <c r="A200" s="528">
        <v>46304</v>
      </c>
      <c r="B200" s="591" t="s">
        <v>883</v>
      </c>
      <c r="C200" s="591" t="s">
        <v>719</v>
      </c>
      <c r="D200" s="591" t="s">
        <v>694</v>
      </c>
      <c r="E200" s="529">
        <v>0.05</v>
      </c>
      <c r="F200" s="592" t="s">
        <v>2631</v>
      </c>
    </row>
    <row r="201" spans="1:21">
      <c r="A201" s="528">
        <v>46304</v>
      </c>
      <c r="B201" s="591" t="s">
        <v>517</v>
      </c>
      <c r="C201" s="591" t="s">
        <v>719</v>
      </c>
      <c r="D201" s="591" t="s">
        <v>2713</v>
      </c>
      <c r="E201" s="529">
        <v>0.1</v>
      </c>
      <c r="F201" s="592" t="s">
        <v>2631</v>
      </c>
    </row>
    <row r="202" spans="1:21">
      <c r="A202" s="528">
        <v>46304</v>
      </c>
      <c r="B202" s="591" t="s">
        <v>2769</v>
      </c>
      <c r="C202" s="591" t="s">
        <v>719</v>
      </c>
      <c r="D202" s="591" t="s">
        <v>2713</v>
      </c>
      <c r="E202" s="529">
        <v>0.05</v>
      </c>
      <c r="F202" s="592" t="s">
        <v>2631</v>
      </c>
    </row>
    <row r="203" spans="1:21">
      <c r="A203" s="528">
        <v>46304</v>
      </c>
      <c r="B203" s="591" t="s">
        <v>2769</v>
      </c>
      <c r="C203" s="591" t="s">
        <v>719</v>
      </c>
      <c r="D203" s="591" t="s">
        <v>694</v>
      </c>
      <c r="E203" s="529">
        <v>0.03</v>
      </c>
      <c r="F203" s="592" t="s">
        <v>2631</v>
      </c>
    </row>
    <row r="204" spans="1:21">
      <c r="A204" s="528">
        <v>46304</v>
      </c>
      <c r="B204" s="591" t="s">
        <v>2769</v>
      </c>
      <c r="C204" s="591" t="s">
        <v>719</v>
      </c>
      <c r="D204" s="591" t="s">
        <v>2603</v>
      </c>
      <c r="E204" s="529">
        <v>0.05</v>
      </c>
      <c r="F204" s="592" t="s">
        <v>2631</v>
      </c>
    </row>
    <row r="205" spans="1:21">
      <c r="A205" s="528">
        <v>46304</v>
      </c>
      <c r="B205" s="591" t="s">
        <v>2547</v>
      </c>
      <c r="C205" s="591" t="s">
        <v>719</v>
      </c>
      <c r="D205" s="591" t="s">
        <v>2713</v>
      </c>
      <c r="E205" s="529">
        <v>0.33</v>
      </c>
      <c r="F205" s="592" t="s">
        <v>2631</v>
      </c>
      <c r="N205" t="s">
        <v>1706</v>
      </c>
      <c r="O205" t="s">
        <v>879</v>
      </c>
      <c r="P205" t="s">
        <v>1706</v>
      </c>
      <c r="Q205" t="s">
        <v>879</v>
      </c>
      <c r="R205" t="s">
        <v>2769</v>
      </c>
      <c r="S205" t="s">
        <v>508</v>
      </c>
      <c r="T205" t="s">
        <v>879</v>
      </c>
      <c r="U205" t="s">
        <v>2769</v>
      </c>
    </row>
    <row r="206" spans="1:21">
      <c r="A206" s="528">
        <v>46304</v>
      </c>
      <c r="B206" s="591" t="s">
        <v>488</v>
      </c>
      <c r="C206" s="591" t="s">
        <v>719</v>
      </c>
      <c r="D206" s="593" t="s">
        <v>696</v>
      </c>
      <c r="E206" s="529">
        <v>0.23</v>
      </c>
      <c r="F206" s="592" t="s">
        <v>2634</v>
      </c>
    </row>
    <row r="207" spans="1:21">
      <c r="A207" s="528">
        <v>46304</v>
      </c>
      <c r="B207" s="591" t="s">
        <v>488</v>
      </c>
      <c r="C207" s="591" t="s">
        <v>719</v>
      </c>
      <c r="D207" s="591" t="s">
        <v>669</v>
      </c>
      <c r="E207" s="529">
        <v>0.04</v>
      </c>
      <c r="F207" s="592" t="s">
        <v>2634</v>
      </c>
    </row>
    <row r="208" spans="1:21">
      <c r="A208" s="528">
        <v>46304</v>
      </c>
      <c r="B208" s="591" t="s">
        <v>488</v>
      </c>
      <c r="C208" s="591" t="s">
        <v>719</v>
      </c>
      <c r="D208" s="591" t="s">
        <v>229</v>
      </c>
      <c r="E208" s="529">
        <v>0.04</v>
      </c>
      <c r="F208" s="592" t="s">
        <v>2634</v>
      </c>
    </row>
    <row r="209" spans="1:6">
      <c r="A209" s="528">
        <v>46304</v>
      </c>
      <c r="B209" s="591" t="s">
        <v>561</v>
      </c>
      <c r="C209" s="591" t="s">
        <v>2625</v>
      </c>
      <c r="D209" s="591" t="s">
        <v>280</v>
      </c>
      <c r="E209" s="529">
        <v>2.2599999999999998</v>
      </c>
      <c r="F209" s="592" t="s">
        <v>2634</v>
      </c>
    </row>
    <row r="210" spans="1:6">
      <c r="A210" s="528">
        <v>46304</v>
      </c>
      <c r="B210" s="591" t="s">
        <v>561</v>
      </c>
      <c r="C210" s="591" t="s">
        <v>2625</v>
      </c>
      <c r="D210" s="591" t="s">
        <v>212</v>
      </c>
      <c r="E210" s="529">
        <v>7.0000000000000007E-2</v>
      </c>
      <c r="F210" s="592" t="s">
        <v>2634</v>
      </c>
    </row>
    <row r="211" spans="1:6">
      <c r="A211" s="528">
        <v>46304</v>
      </c>
      <c r="B211" s="591" t="s">
        <v>359</v>
      </c>
      <c r="C211" s="591" t="s">
        <v>2625</v>
      </c>
      <c r="D211" s="591" t="s">
        <v>280</v>
      </c>
      <c r="E211" s="529">
        <v>0.26</v>
      </c>
      <c r="F211" s="592" t="s">
        <v>2634</v>
      </c>
    </row>
    <row r="212" spans="1:6">
      <c r="A212" s="528">
        <v>46304</v>
      </c>
      <c r="B212" s="591" t="s">
        <v>359</v>
      </c>
      <c r="C212" s="591" t="s">
        <v>2625</v>
      </c>
      <c r="D212" s="591" t="s">
        <v>250</v>
      </c>
      <c r="E212" s="529">
        <v>0.12</v>
      </c>
      <c r="F212" s="592" t="s">
        <v>2634</v>
      </c>
    </row>
    <row r="213" spans="1:6">
      <c r="A213" s="528">
        <v>46304</v>
      </c>
      <c r="B213" s="591" t="s">
        <v>2558</v>
      </c>
      <c r="C213" s="591" t="s">
        <v>2625</v>
      </c>
      <c r="D213" s="591" t="s">
        <v>280</v>
      </c>
      <c r="E213" s="529">
        <v>0.05</v>
      </c>
      <c r="F213" s="592" t="s">
        <v>2634</v>
      </c>
    </row>
    <row r="214" spans="1:6">
      <c r="A214" s="528">
        <v>46304</v>
      </c>
      <c r="B214" s="591" t="s">
        <v>351</v>
      </c>
      <c r="C214" s="591" t="s">
        <v>2625</v>
      </c>
      <c r="D214" s="591" t="s">
        <v>280</v>
      </c>
      <c r="E214" s="529">
        <v>0.16</v>
      </c>
      <c r="F214" s="592" t="s">
        <v>2634</v>
      </c>
    </row>
    <row r="215" spans="1:6">
      <c r="A215" s="528">
        <v>46306</v>
      </c>
      <c r="B215" s="595" t="s">
        <v>883</v>
      </c>
      <c r="C215" s="595" t="s">
        <v>719</v>
      </c>
      <c r="D215" s="595" t="s">
        <v>660</v>
      </c>
      <c r="E215" s="529">
        <v>0.04</v>
      </c>
      <c r="F215" s="596" t="s">
        <v>2631</v>
      </c>
    </row>
    <row r="216" spans="1:6">
      <c r="A216" s="528">
        <v>46306</v>
      </c>
      <c r="B216" s="595" t="s">
        <v>883</v>
      </c>
      <c r="C216" s="595" t="s">
        <v>719</v>
      </c>
      <c r="D216" s="595" t="s">
        <v>663</v>
      </c>
      <c r="E216" s="529">
        <v>0.04</v>
      </c>
      <c r="F216" s="596" t="s">
        <v>2631</v>
      </c>
    </row>
    <row r="217" spans="1:6">
      <c r="A217" s="528">
        <v>46306</v>
      </c>
      <c r="B217" s="595" t="s">
        <v>883</v>
      </c>
      <c r="C217" s="595" t="s">
        <v>719</v>
      </c>
      <c r="D217" s="595" t="s">
        <v>694</v>
      </c>
      <c r="E217" s="529">
        <v>0.04</v>
      </c>
      <c r="F217" s="596" t="s">
        <v>2631</v>
      </c>
    </row>
    <row r="218" spans="1:6">
      <c r="A218" s="528">
        <v>46306</v>
      </c>
      <c r="B218" s="595" t="s">
        <v>883</v>
      </c>
      <c r="C218" s="595" t="s">
        <v>719</v>
      </c>
      <c r="D218" s="595" t="s">
        <v>2603</v>
      </c>
      <c r="E218" s="529">
        <v>0.04</v>
      </c>
      <c r="F218" s="596" t="s">
        <v>2631</v>
      </c>
    </row>
    <row r="219" spans="1:6">
      <c r="A219" s="528">
        <v>46306</v>
      </c>
      <c r="B219" s="595" t="s">
        <v>2774</v>
      </c>
      <c r="C219" s="595" t="s">
        <v>719</v>
      </c>
      <c r="D219" s="595" t="s">
        <v>2713</v>
      </c>
      <c r="E219" s="529">
        <v>0.11</v>
      </c>
      <c r="F219" s="596" t="s">
        <v>2631</v>
      </c>
    </row>
    <row r="220" spans="1:6">
      <c r="A220" s="528">
        <v>46306</v>
      </c>
      <c r="B220" s="595" t="s">
        <v>2537</v>
      </c>
      <c r="C220" s="595" t="s">
        <v>719</v>
      </c>
      <c r="D220" s="595" t="s">
        <v>656</v>
      </c>
      <c r="E220" s="529">
        <v>0.05</v>
      </c>
      <c r="F220" s="596" t="s">
        <v>2631</v>
      </c>
    </row>
    <row r="221" spans="1:6">
      <c r="A221" s="528">
        <v>46306</v>
      </c>
      <c r="B221" s="595" t="s">
        <v>2537</v>
      </c>
      <c r="C221" s="595" t="s">
        <v>719</v>
      </c>
      <c r="D221" s="595" t="s">
        <v>694</v>
      </c>
      <c r="E221" s="529">
        <v>0.03</v>
      </c>
      <c r="F221" s="596" t="s">
        <v>2631</v>
      </c>
    </row>
    <row r="222" spans="1:6">
      <c r="A222" s="528">
        <v>46306</v>
      </c>
      <c r="B222" s="595" t="s">
        <v>2565</v>
      </c>
      <c r="C222" s="595" t="s">
        <v>2625</v>
      </c>
      <c r="D222" s="595" t="s">
        <v>686</v>
      </c>
      <c r="E222" s="529">
        <v>1.26</v>
      </c>
      <c r="F222" s="596" t="s">
        <v>2631</v>
      </c>
    </row>
    <row r="223" spans="1:6">
      <c r="A223" s="528">
        <v>46306</v>
      </c>
      <c r="B223" s="595" t="s">
        <v>2565</v>
      </c>
      <c r="C223" s="595" t="s">
        <v>2625</v>
      </c>
      <c r="D223" s="595" t="s">
        <v>683</v>
      </c>
      <c r="E223" s="529">
        <v>1.25</v>
      </c>
      <c r="F223" s="596" t="s">
        <v>2631</v>
      </c>
    </row>
    <row r="224" spans="1:6">
      <c r="A224" s="528">
        <v>46306</v>
      </c>
      <c r="B224" s="595" t="s">
        <v>2565</v>
      </c>
      <c r="C224" s="595" t="s">
        <v>2625</v>
      </c>
      <c r="D224" s="595" t="s">
        <v>306</v>
      </c>
      <c r="E224" s="529">
        <v>0.26</v>
      </c>
      <c r="F224" s="596" t="s">
        <v>2631</v>
      </c>
    </row>
    <row r="225" spans="1:6">
      <c r="A225" s="528">
        <v>46306</v>
      </c>
      <c r="B225" s="595" t="s">
        <v>2565</v>
      </c>
      <c r="C225" s="595" t="s">
        <v>2625</v>
      </c>
      <c r="D225" s="595" t="s">
        <v>682</v>
      </c>
      <c r="E225" s="529">
        <v>0.13</v>
      </c>
      <c r="F225" s="596" t="s">
        <v>2631</v>
      </c>
    </row>
    <row r="226" spans="1:6">
      <c r="A226" s="528">
        <v>46306</v>
      </c>
      <c r="B226" s="595" t="s">
        <v>2565</v>
      </c>
      <c r="C226" s="595" t="s">
        <v>2625</v>
      </c>
      <c r="D226" s="595" t="s">
        <v>689</v>
      </c>
      <c r="E226" s="529">
        <v>7.0000000000000007E-2</v>
      </c>
      <c r="F226" s="596" t="s">
        <v>2631</v>
      </c>
    </row>
    <row r="227" spans="1:6">
      <c r="A227" s="528">
        <v>46305</v>
      </c>
      <c r="B227" s="595" t="s">
        <v>883</v>
      </c>
      <c r="C227" s="595" t="s">
        <v>719</v>
      </c>
      <c r="D227" s="595" t="s">
        <v>343</v>
      </c>
      <c r="E227" s="529">
        <v>0.04</v>
      </c>
      <c r="F227" s="596" t="s">
        <v>2631</v>
      </c>
    </row>
    <row r="228" spans="1:6">
      <c r="A228" s="528">
        <v>46305</v>
      </c>
      <c r="B228" s="595" t="s">
        <v>883</v>
      </c>
      <c r="C228" s="595" t="s">
        <v>719</v>
      </c>
      <c r="D228" s="595" t="s">
        <v>2603</v>
      </c>
      <c r="E228" s="529">
        <v>0.03</v>
      </c>
      <c r="F228" s="596" t="s">
        <v>2631</v>
      </c>
    </row>
    <row r="229" spans="1:6">
      <c r="A229" s="528">
        <v>46305</v>
      </c>
      <c r="B229" s="595" t="s">
        <v>338</v>
      </c>
      <c r="C229" s="595" t="s">
        <v>719</v>
      </c>
      <c r="D229" s="595" t="s">
        <v>290</v>
      </c>
      <c r="E229" s="529">
        <v>0.04</v>
      </c>
      <c r="F229" s="596" t="s">
        <v>2631</v>
      </c>
    </row>
    <row r="230" spans="1:6">
      <c r="A230" s="528">
        <v>46305</v>
      </c>
      <c r="B230" s="595" t="s">
        <v>2547</v>
      </c>
      <c r="C230" s="595" t="s">
        <v>719</v>
      </c>
      <c r="D230" s="595" t="s">
        <v>2713</v>
      </c>
      <c r="E230" s="529">
        <v>0.35</v>
      </c>
      <c r="F230" s="596" t="s">
        <v>2631</v>
      </c>
    </row>
    <row r="231" spans="1:6">
      <c r="A231" s="528">
        <v>46305</v>
      </c>
      <c r="B231" s="595" t="s">
        <v>2537</v>
      </c>
      <c r="C231" s="595" t="s">
        <v>2625</v>
      </c>
      <c r="D231" s="595" t="s">
        <v>686</v>
      </c>
      <c r="E231" s="529">
        <v>0.71</v>
      </c>
      <c r="F231" s="596" t="s">
        <v>2631</v>
      </c>
    </row>
    <row r="232" spans="1:6">
      <c r="A232" s="528">
        <v>46305</v>
      </c>
      <c r="B232" s="595" t="s">
        <v>363</v>
      </c>
      <c r="C232" s="595" t="s">
        <v>2625</v>
      </c>
      <c r="D232" s="595" t="s">
        <v>686</v>
      </c>
      <c r="E232" s="529">
        <v>0.5</v>
      </c>
      <c r="F232" s="596" t="s">
        <v>2631</v>
      </c>
    </row>
    <row r="233" spans="1:6">
      <c r="A233" s="528">
        <v>46305</v>
      </c>
      <c r="B233" s="595" t="s">
        <v>363</v>
      </c>
      <c r="C233" s="595" t="s">
        <v>719</v>
      </c>
      <c r="D233" s="595" t="s">
        <v>343</v>
      </c>
      <c r="E233" s="529">
        <v>0.03</v>
      </c>
      <c r="F233" s="596" t="s">
        <v>2631</v>
      </c>
    </row>
    <row r="234" spans="1:6">
      <c r="A234" s="528">
        <v>46305</v>
      </c>
      <c r="B234" s="595" t="s">
        <v>488</v>
      </c>
      <c r="C234" s="595" t="s">
        <v>719</v>
      </c>
      <c r="D234" s="597" t="s">
        <v>696</v>
      </c>
      <c r="E234" s="529">
        <v>0.1</v>
      </c>
      <c r="F234" s="596" t="s">
        <v>2634</v>
      </c>
    </row>
    <row r="235" spans="1:6">
      <c r="A235" s="528">
        <v>46305</v>
      </c>
      <c r="B235" s="595" t="s">
        <v>561</v>
      </c>
      <c r="C235" s="595" t="s">
        <v>2625</v>
      </c>
      <c r="D235" s="595" t="s">
        <v>280</v>
      </c>
      <c r="E235" s="529">
        <v>0.2</v>
      </c>
      <c r="F235" s="596" t="s">
        <v>2634</v>
      </c>
    </row>
    <row r="236" spans="1:6">
      <c r="A236" s="528">
        <v>46305</v>
      </c>
      <c r="B236" s="595" t="s">
        <v>561</v>
      </c>
      <c r="C236" s="595" t="s">
        <v>2625</v>
      </c>
      <c r="D236" s="595" t="s">
        <v>212</v>
      </c>
      <c r="E236" s="529">
        <v>0.03</v>
      </c>
      <c r="F236" s="596" t="s">
        <v>2634</v>
      </c>
    </row>
    <row r="237" spans="1:6">
      <c r="A237" s="528">
        <v>46305</v>
      </c>
      <c r="B237" s="595" t="s">
        <v>359</v>
      </c>
      <c r="C237" s="595" t="s">
        <v>2625</v>
      </c>
      <c r="D237" s="595" t="s">
        <v>280</v>
      </c>
      <c r="E237" s="529">
        <v>1.02</v>
      </c>
      <c r="F237" s="596" t="s">
        <v>2634</v>
      </c>
    </row>
    <row r="238" spans="1:6">
      <c r="A238" s="528">
        <v>46307</v>
      </c>
      <c r="B238" s="595" t="s">
        <v>488</v>
      </c>
      <c r="C238" s="595" t="s">
        <v>719</v>
      </c>
      <c r="D238" s="598" t="s">
        <v>696</v>
      </c>
      <c r="E238" s="529">
        <v>0.21</v>
      </c>
      <c r="F238" s="596" t="s">
        <v>2634</v>
      </c>
    </row>
    <row r="239" spans="1:6">
      <c r="A239" s="528">
        <v>46307</v>
      </c>
      <c r="B239" s="595" t="s">
        <v>488</v>
      </c>
      <c r="C239" s="595" t="s">
        <v>719</v>
      </c>
      <c r="D239" s="595" t="s">
        <v>2737</v>
      </c>
      <c r="E239" s="529">
        <v>0.06</v>
      </c>
      <c r="F239" s="596" t="s">
        <v>2634</v>
      </c>
    </row>
    <row r="240" spans="1:6">
      <c r="A240" s="528">
        <v>46307</v>
      </c>
      <c r="B240" s="595" t="s">
        <v>351</v>
      </c>
      <c r="C240" s="595" t="s">
        <v>2625</v>
      </c>
      <c r="D240" s="595" t="s">
        <v>280</v>
      </c>
      <c r="E240" s="529">
        <v>0.08</v>
      </c>
      <c r="F240" s="596" t="s">
        <v>2634</v>
      </c>
    </row>
    <row r="241" spans="1:6">
      <c r="A241" s="528">
        <v>46307</v>
      </c>
      <c r="B241" s="595" t="s">
        <v>359</v>
      </c>
      <c r="C241" s="595" t="s">
        <v>719</v>
      </c>
      <c r="D241" s="595" t="s">
        <v>26</v>
      </c>
      <c r="E241" s="529">
        <v>0.04</v>
      </c>
      <c r="F241" s="596" t="s">
        <v>2634</v>
      </c>
    </row>
    <row r="242" spans="1:6">
      <c r="A242" s="528">
        <v>46307</v>
      </c>
      <c r="B242" s="595" t="s">
        <v>1705</v>
      </c>
      <c r="C242" s="595" t="s">
        <v>719</v>
      </c>
      <c r="D242" s="595" t="s">
        <v>694</v>
      </c>
      <c r="E242" s="529">
        <v>0.05</v>
      </c>
      <c r="F242" s="596" t="s">
        <v>2631</v>
      </c>
    </row>
    <row r="243" spans="1:6">
      <c r="A243" s="528">
        <v>46307</v>
      </c>
      <c r="B243" s="595" t="s">
        <v>2537</v>
      </c>
      <c r="C243" s="595" t="s">
        <v>719</v>
      </c>
      <c r="D243" s="595" t="s">
        <v>343</v>
      </c>
      <c r="E243" s="529">
        <v>0.03</v>
      </c>
      <c r="F243" s="596" t="s">
        <v>2631</v>
      </c>
    </row>
    <row r="244" spans="1:6">
      <c r="A244" s="528">
        <v>46307</v>
      </c>
      <c r="B244" s="595" t="s">
        <v>2565</v>
      </c>
      <c r="C244" s="595" t="s">
        <v>2625</v>
      </c>
      <c r="D244" s="595" t="s">
        <v>686</v>
      </c>
      <c r="E244" s="529">
        <v>0.48</v>
      </c>
      <c r="F244" s="596" t="s">
        <v>2631</v>
      </c>
    </row>
    <row r="245" spans="1:6">
      <c r="A245" s="528">
        <v>46307</v>
      </c>
      <c r="B245" s="595" t="s">
        <v>2565</v>
      </c>
      <c r="C245" s="595" t="s">
        <v>2625</v>
      </c>
      <c r="D245" s="595" t="s">
        <v>306</v>
      </c>
      <c r="E245" s="529">
        <v>0.17</v>
      </c>
      <c r="F245" s="596" t="s">
        <v>2631</v>
      </c>
    </row>
    <row r="246" spans="1:6">
      <c r="A246" s="528">
        <v>46307</v>
      </c>
      <c r="B246" s="595" t="s">
        <v>2565</v>
      </c>
      <c r="C246" s="595" t="s">
        <v>2625</v>
      </c>
      <c r="D246" s="595" t="s">
        <v>689</v>
      </c>
      <c r="E246" s="529">
        <v>0.05</v>
      </c>
      <c r="F246" s="596" t="s">
        <v>2631</v>
      </c>
    </row>
    <row r="247" spans="1:6">
      <c r="A247" s="528">
        <v>46307</v>
      </c>
      <c r="B247" s="595" t="s">
        <v>570</v>
      </c>
      <c r="C247" s="595" t="s">
        <v>2625</v>
      </c>
      <c r="D247" s="595" t="s">
        <v>686</v>
      </c>
      <c r="E247" s="529">
        <f>1.84/2</f>
        <v>0.92</v>
      </c>
      <c r="F247" s="596" t="s">
        <v>2631</v>
      </c>
    </row>
    <row r="248" spans="1:6">
      <c r="A248" s="528">
        <v>46307</v>
      </c>
      <c r="B248" s="595" t="s">
        <v>570</v>
      </c>
      <c r="C248" s="595" t="s">
        <v>2625</v>
      </c>
      <c r="D248" s="595" t="s">
        <v>683</v>
      </c>
      <c r="E248" s="529">
        <v>0.92</v>
      </c>
      <c r="F248" s="596" t="s">
        <v>2631</v>
      </c>
    </row>
    <row r="249" spans="1:6">
      <c r="A249" s="528">
        <v>46307</v>
      </c>
      <c r="B249" s="595" t="s">
        <v>570</v>
      </c>
      <c r="C249" s="595" t="s">
        <v>2625</v>
      </c>
      <c r="D249" s="595" t="s">
        <v>306</v>
      </c>
      <c r="E249" s="529">
        <v>0.13</v>
      </c>
      <c r="F249" s="596" t="s">
        <v>2631</v>
      </c>
    </row>
    <row r="250" spans="1:6">
      <c r="A250" s="528"/>
      <c r="B250" s="531"/>
      <c r="C250" s="531"/>
      <c r="D250" s="595"/>
      <c r="E250" s="529"/>
      <c r="F250" s="530"/>
    </row>
    <row r="251" spans="1:6">
      <c r="A251" s="528"/>
      <c r="B251" s="531"/>
      <c r="C251" s="531"/>
      <c r="D251" s="595"/>
      <c r="E251" s="529"/>
      <c r="F251" s="530"/>
    </row>
    <row r="252" spans="1:6">
      <c r="A252" s="528"/>
      <c r="B252" s="531"/>
      <c r="C252" s="531"/>
      <c r="D252" s="595"/>
      <c r="E252" s="529"/>
      <c r="F252" s="530"/>
    </row>
    <row r="253" spans="1:6">
      <c r="A253" s="528"/>
      <c r="B253" s="531"/>
      <c r="C253" s="531"/>
      <c r="D253" s="595"/>
      <c r="E253" s="529"/>
      <c r="F253" s="530"/>
    </row>
    <row r="254" spans="1:6">
      <c r="A254" s="528"/>
      <c r="B254" s="531"/>
      <c r="C254" s="531"/>
      <c r="D254" s="595"/>
      <c r="E254" s="529"/>
      <c r="F254" s="530"/>
    </row>
    <row r="255" spans="1:6">
      <c r="A255" s="528"/>
      <c r="B255" s="531"/>
      <c r="C255" s="531"/>
      <c r="D255" s="595"/>
      <c r="E255" s="529"/>
      <c r="F255" s="530"/>
    </row>
    <row r="256" spans="1:6">
      <c r="A256" s="528"/>
      <c r="B256" s="531"/>
      <c r="C256" s="531"/>
      <c r="D256" s="595"/>
      <c r="E256" s="529"/>
      <c r="F256" s="530"/>
    </row>
    <row r="257" spans="1:6">
      <c r="A257" s="528"/>
      <c r="B257" s="531"/>
      <c r="C257" s="531"/>
      <c r="D257" s="595"/>
      <c r="E257" s="529"/>
      <c r="F257" s="530"/>
    </row>
    <row r="258" spans="1:6">
      <c r="A258" s="528"/>
      <c r="B258" s="531"/>
      <c r="C258" s="531"/>
      <c r="D258" s="595"/>
      <c r="E258" s="529"/>
      <c r="F258" s="530"/>
    </row>
    <row r="259" spans="1:6">
      <c r="A259" s="528"/>
      <c r="B259" s="531"/>
      <c r="C259" s="531"/>
      <c r="D259" s="595"/>
      <c r="E259" s="529"/>
      <c r="F259" s="530"/>
    </row>
    <row r="260" spans="1:6">
      <c r="A260" s="528"/>
      <c r="B260" s="531"/>
      <c r="C260" s="531"/>
      <c r="D260" s="595"/>
      <c r="E260" s="529"/>
      <c r="F260" s="530"/>
    </row>
    <row r="261" spans="1:6">
      <c r="A261" s="528"/>
      <c r="B261" s="531"/>
      <c r="C261" s="531"/>
      <c r="D261" s="595"/>
      <c r="E261" s="529"/>
      <c r="F261" s="530"/>
    </row>
    <row r="262" spans="1:6">
      <c r="A262" s="528"/>
      <c r="B262" s="531"/>
      <c r="C262" s="531"/>
      <c r="D262" s="595"/>
      <c r="E262" s="529"/>
      <c r="F262" s="530"/>
    </row>
    <row r="263" spans="1:6">
      <c r="A263" s="528"/>
      <c r="B263" s="531"/>
      <c r="C263" s="531"/>
      <c r="D263" s="595"/>
      <c r="E263" s="529"/>
      <c r="F263" s="530"/>
    </row>
    <row r="264" spans="1:6">
      <c r="A264" s="528"/>
      <c r="B264" s="531"/>
      <c r="C264" s="531"/>
      <c r="D264" s="595"/>
      <c r="E264" s="529"/>
      <c r="F264" s="530"/>
    </row>
    <row r="265" spans="1:6">
      <c r="A265" s="528"/>
      <c r="B265" s="531"/>
      <c r="C265" s="531"/>
      <c r="D265" s="595"/>
      <c r="E265" s="529"/>
      <c r="F265" s="530"/>
    </row>
    <row r="266" spans="1:6">
      <c r="A266" s="528"/>
      <c r="B266" s="531"/>
      <c r="C266" s="531"/>
      <c r="D266" s="595"/>
      <c r="E266" s="529"/>
      <c r="F266" s="530"/>
    </row>
    <row r="267" spans="1:6">
      <c r="A267" s="528"/>
      <c r="B267" s="531"/>
      <c r="C267" s="531"/>
      <c r="D267" s="595"/>
      <c r="E267" s="529"/>
      <c r="F267" s="530"/>
    </row>
    <row r="268" spans="1:6">
      <c r="A268" s="528"/>
      <c r="B268" s="531"/>
      <c r="C268" s="531"/>
      <c r="D268" s="595"/>
      <c r="E268" s="529"/>
      <c r="F268" s="530"/>
    </row>
    <row r="269" spans="1:6">
      <c r="A269" s="528"/>
      <c r="B269" s="531"/>
      <c r="C269" s="531"/>
      <c r="D269" s="595"/>
      <c r="E269" s="529"/>
      <c r="F269" s="530"/>
    </row>
    <row r="270" spans="1:6">
      <c r="A270" s="528"/>
      <c r="B270" s="531"/>
      <c r="C270" s="531"/>
      <c r="D270" s="595"/>
      <c r="E270" s="529"/>
      <c r="F270" s="530"/>
    </row>
    <row r="271" spans="1:6">
      <c r="A271" s="528"/>
      <c r="B271" s="531"/>
      <c r="C271" s="531"/>
      <c r="D271" s="595"/>
      <c r="E271" s="529"/>
      <c r="F271" s="530"/>
    </row>
    <row r="272" spans="1:6">
      <c r="A272" s="528"/>
      <c r="B272" s="531"/>
      <c r="C272" s="531"/>
      <c r="D272" s="595"/>
      <c r="E272" s="529"/>
      <c r="F272" s="530"/>
    </row>
    <row r="273" spans="1:6">
      <c r="A273" s="528"/>
      <c r="B273" s="531"/>
      <c r="C273" s="531"/>
      <c r="D273" s="595"/>
      <c r="E273" s="529"/>
      <c r="F273" s="530"/>
    </row>
    <row r="274" spans="1:6">
      <c r="A274" s="528"/>
      <c r="B274" s="531"/>
      <c r="C274" s="531"/>
      <c r="D274" s="595"/>
      <c r="E274" s="529"/>
      <c r="F274" s="530"/>
    </row>
    <row r="275" spans="1:6">
      <c r="A275" s="528"/>
      <c r="B275" s="531"/>
      <c r="C275" s="531"/>
      <c r="D275" s="595"/>
      <c r="E275" s="529"/>
      <c r="F275" s="530"/>
    </row>
    <row r="276" spans="1:6">
      <c r="A276" s="528"/>
      <c r="B276" s="531"/>
      <c r="C276" s="531"/>
      <c r="D276" s="595"/>
      <c r="E276" s="529"/>
      <c r="F276" s="530"/>
    </row>
    <row r="277" spans="1:6">
      <c r="A277" s="528"/>
      <c r="B277" s="531"/>
      <c r="C277" s="531"/>
      <c r="D277" s="595"/>
      <c r="E277" s="529"/>
      <c r="F277" s="530"/>
    </row>
    <row r="278" spans="1:6">
      <c r="A278" s="528"/>
      <c r="B278" s="531"/>
      <c r="C278" s="531"/>
      <c r="D278" s="595"/>
      <c r="E278" s="529"/>
      <c r="F278" s="530"/>
    </row>
    <row r="279" spans="1:6">
      <c r="A279" s="528"/>
      <c r="B279" s="531"/>
      <c r="C279" s="531"/>
      <c r="D279" s="595"/>
      <c r="E279" s="529"/>
      <c r="F279" s="530"/>
    </row>
    <row r="280" spans="1:6">
      <c r="A280" s="528"/>
      <c r="B280" s="531"/>
      <c r="C280" s="531"/>
      <c r="D280" s="595"/>
      <c r="E280" s="529"/>
      <c r="F280" s="530"/>
    </row>
    <row r="281" spans="1:6">
      <c r="A281" s="528"/>
      <c r="B281" s="531"/>
      <c r="C281" s="531"/>
      <c r="D281" s="595"/>
      <c r="E281" s="529"/>
      <c r="F281" s="530"/>
    </row>
    <row r="282" spans="1:6">
      <c r="A282" s="528"/>
      <c r="B282" s="531"/>
      <c r="C282" s="531"/>
      <c r="D282" s="595"/>
      <c r="E282" s="529"/>
      <c r="F282" s="530"/>
    </row>
    <row r="283" spans="1:6">
      <c r="A283" s="528"/>
      <c r="B283" s="531"/>
      <c r="C283" s="531"/>
      <c r="D283" s="595"/>
      <c r="E283" s="529"/>
      <c r="F283" s="530"/>
    </row>
    <row r="284" spans="1:6">
      <c r="A284" s="528"/>
      <c r="B284" s="531"/>
      <c r="C284" s="531"/>
      <c r="D284" s="595"/>
      <c r="E284" s="529"/>
      <c r="F284" s="530"/>
    </row>
    <row r="285" spans="1:6">
      <c r="A285" s="528"/>
      <c r="B285" s="531"/>
      <c r="C285" s="531"/>
      <c r="D285" s="595"/>
      <c r="E285" s="529"/>
      <c r="F285" s="530"/>
    </row>
    <row r="286" spans="1:6">
      <c r="A286" s="528"/>
      <c r="B286" s="531"/>
      <c r="C286" s="531"/>
      <c r="D286" s="595"/>
      <c r="E286" s="529"/>
      <c r="F286" s="530"/>
    </row>
    <row r="287" spans="1:6">
      <c r="A287" s="528"/>
      <c r="B287" s="531"/>
      <c r="C287" s="531"/>
      <c r="D287" s="595"/>
      <c r="E287" s="529"/>
      <c r="F287" s="530"/>
    </row>
    <row r="288" spans="1:6">
      <c r="A288" s="528"/>
      <c r="B288" s="531"/>
      <c r="C288" s="531"/>
      <c r="D288" s="595"/>
      <c r="E288" s="529"/>
      <c r="F288" s="530"/>
    </row>
    <row r="289" spans="1:6">
      <c r="A289" s="528"/>
      <c r="B289" s="531"/>
      <c r="C289" s="531"/>
      <c r="D289" s="595"/>
      <c r="E289" s="529"/>
      <c r="F289" s="530"/>
    </row>
    <row r="290" spans="1:6">
      <c r="A290" s="528"/>
      <c r="B290" s="531"/>
      <c r="C290" s="531"/>
      <c r="D290" s="595"/>
      <c r="E290" s="529"/>
      <c r="F290" s="530"/>
    </row>
    <row r="291" spans="1:6">
      <c r="A291" s="528"/>
      <c r="B291" s="531"/>
      <c r="C291" s="531"/>
      <c r="D291" s="595"/>
      <c r="E291" s="529"/>
      <c r="F291" s="530"/>
    </row>
    <row r="292" spans="1:6">
      <c r="A292" s="528"/>
      <c r="B292" s="531"/>
      <c r="C292" s="531"/>
      <c r="D292" s="595"/>
      <c r="E292" s="529"/>
      <c r="F292" s="530"/>
    </row>
    <row r="293" spans="1:6">
      <c r="A293" s="528"/>
      <c r="B293" s="531"/>
      <c r="C293" s="531"/>
      <c r="D293" s="595"/>
      <c r="E293" s="529"/>
      <c r="F293" s="530"/>
    </row>
    <row r="294" spans="1:6">
      <c r="A294" s="528"/>
      <c r="B294" s="531"/>
      <c r="C294" s="531"/>
      <c r="D294" s="595"/>
      <c r="E294" s="529"/>
      <c r="F294" s="530"/>
    </row>
    <row r="295" spans="1:6">
      <c r="A295" s="528"/>
      <c r="B295" s="531"/>
      <c r="C295" s="531"/>
      <c r="D295" s="595"/>
      <c r="E295" s="529"/>
      <c r="F295" s="530"/>
    </row>
    <row r="296" spans="1:6">
      <c r="A296" s="528"/>
      <c r="B296" s="531"/>
      <c r="C296" s="531"/>
      <c r="D296" s="595"/>
      <c r="E296" s="529"/>
      <c r="F296" s="530"/>
    </row>
    <row r="297" spans="1:6">
      <c r="A297" s="528"/>
      <c r="B297" s="531"/>
      <c r="C297" s="531"/>
      <c r="D297" s="595"/>
      <c r="E297" s="529"/>
      <c r="F297" s="530"/>
    </row>
    <row r="298" spans="1:6">
      <c r="A298" s="528"/>
      <c r="B298" s="531"/>
      <c r="C298" s="531"/>
      <c r="D298" s="595"/>
      <c r="E298" s="529"/>
      <c r="F298" s="530"/>
    </row>
    <row r="299" spans="1:6">
      <c r="A299" s="528"/>
      <c r="B299" s="531"/>
      <c r="C299" s="531"/>
      <c r="D299" s="595"/>
      <c r="E299" s="529"/>
      <c r="F299" s="530"/>
    </row>
    <row r="300" spans="1:6">
      <c r="A300" s="528"/>
      <c r="B300" s="531"/>
      <c r="C300" s="531"/>
      <c r="D300" s="595"/>
      <c r="E300" s="529"/>
      <c r="F300" s="530"/>
    </row>
    <row r="301" spans="1:6">
      <c r="A301" s="528"/>
      <c r="B301" s="531"/>
      <c r="C301" s="531"/>
      <c r="D301" s="595"/>
      <c r="E301" s="529"/>
      <c r="F301" s="530"/>
    </row>
    <row r="302" spans="1:6">
      <c r="A302" s="528"/>
      <c r="B302" s="531"/>
      <c r="C302" s="531"/>
      <c r="D302" s="595"/>
      <c r="E302" s="529"/>
      <c r="F302" s="530"/>
    </row>
    <row r="303" spans="1:6">
      <c r="A303" s="528"/>
      <c r="B303" s="531"/>
      <c r="C303" s="531"/>
      <c r="D303" s="595"/>
      <c r="E303" s="529"/>
      <c r="F303" s="530"/>
    </row>
    <row r="304" spans="1:6">
      <c r="A304" s="528"/>
      <c r="B304" s="531"/>
      <c r="C304" s="531"/>
      <c r="D304" s="595"/>
      <c r="E304" s="529"/>
      <c r="F304" s="530"/>
    </row>
    <row r="305" spans="1:6">
      <c r="A305" s="528"/>
      <c r="B305" s="531"/>
      <c r="C305" s="531"/>
      <c r="D305" s="595"/>
      <c r="E305" s="529"/>
      <c r="F305" s="530"/>
    </row>
    <row r="306" spans="1:6">
      <c r="A306" s="528"/>
      <c r="B306" s="531"/>
      <c r="C306" s="531"/>
      <c r="D306" s="595"/>
      <c r="E306" s="529"/>
      <c r="F306" s="530"/>
    </row>
    <row r="307" spans="1:6">
      <c r="A307" s="528"/>
      <c r="B307" s="531"/>
      <c r="C307" s="531"/>
      <c r="D307" s="595"/>
      <c r="E307" s="529"/>
      <c r="F307" s="530"/>
    </row>
    <row r="308" spans="1:6">
      <c r="A308" s="528"/>
      <c r="B308" s="531"/>
      <c r="C308" s="531"/>
      <c r="D308" s="595"/>
      <c r="E308" s="529"/>
      <c r="F308" s="530"/>
    </row>
    <row r="309" spans="1:6">
      <c r="A309" s="528"/>
      <c r="B309" s="531"/>
      <c r="C309" s="531"/>
      <c r="D309" s="595"/>
      <c r="E309" s="529"/>
      <c r="F309" s="530"/>
    </row>
    <row r="310" spans="1:6">
      <c r="A310" s="528"/>
      <c r="B310" s="531"/>
      <c r="C310" s="531"/>
      <c r="D310" s="595"/>
      <c r="E310" s="529"/>
      <c r="F310" s="530"/>
    </row>
    <row r="311" spans="1:6">
      <c r="A311" s="528"/>
      <c r="B311" s="531"/>
      <c r="C311" s="531"/>
      <c r="D311" s="595"/>
      <c r="E311" s="529"/>
      <c r="F311" s="530"/>
    </row>
    <row r="312" spans="1:6">
      <c r="A312" s="528"/>
      <c r="B312" s="531"/>
      <c r="C312" s="531"/>
      <c r="D312" s="595"/>
      <c r="E312" s="529"/>
      <c r="F312" s="530"/>
    </row>
    <row r="313" spans="1:6">
      <c r="A313" s="528"/>
      <c r="B313" s="531"/>
      <c r="C313" s="531"/>
      <c r="D313" s="595"/>
      <c r="E313" s="529"/>
      <c r="F313" s="530"/>
    </row>
    <row r="314" spans="1:6">
      <c r="A314" s="528"/>
      <c r="B314" s="531"/>
      <c r="C314" s="531"/>
      <c r="D314" s="595"/>
      <c r="E314" s="529"/>
      <c r="F314" s="530"/>
    </row>
    <row r="315" spans="1:6">
      <c r="A315" s="528"/>
      <c r="B315" s="531"/>
      <c r="C315" s="531"/>
      <c r="D315" s="595"/>
      <c r="E315" s="529"/>
      <c r="F315" s="530"/>
    </row>
    <row r="316" spans="1:6">
      <c r="A316" s="528"/>
      <c r="B316" s="531"/>
      <c r="C316" s="531"/>
      <c r="D316" s="595"/>
      <c r="E316" s="529"/>
      <c r="F316" s="530"/>
    </row>
    <row r="317" spans="1:6">
      <c r="A317" s="528"/>
      <c r="B317" s="531"/>
      <c r="C317" s="531"/>
      <c r="D317" s="595"/>
      <c r="E317" s="529"/>
      <c r="F317" s="530"/>
    </row>
    <row r="318" spans="1:6">
      <c r="A318" s="528"/>
      <c r="B318" s="531"/>
      <c r="C318" s="531"/>
      <c r="D318" s="595"/>
      <c r="E318" s="529"/>
      <c r="F318" s="530"/>
    </row>
    <row r="319" spans="1:6">
      <c r="A319" s="528"/>
      <c r="B319" s="531"/>
      <c r="C319" s="531"/>
      <c r="D319" s="595"/>
      <c r="E319" s="529"/>
      <c r="F319" s="530"/>
    </row>
    <row r="320" spans="1:6">
      <c r="A320" s="528"/>
      <c r="B320" s="531"/>
      <c r="C320" s="531"/>
      <c r="D320" s="595"/>
      <c r="E320" s="529"/>
      <c r="F320" s="530"/>
    </row>
    <row r="321" spans="1:6">
      <c r="A321" s="528"/>
      <c r="B321" s="531"/>
      <c r="C321" s="531"/>
      <c r="D321" s="595"/>
      <c r="E321" s="529"/>
      <c r="F321" s="530"/>
    </row>
    <row r="322" spans="1:6">
      <c r="A322" s="528"/>
      <c r="B322" s="531"/>
      <c r="C322" s="531"/>
      <c r="D322" s="595"/>
      <c r="E322" s="529"/>
      <c r="F322" s="530"/>
    </row>
    <row r="323" spans="1:6">
      <c r="A323" s="528"/>
      <c r="B323" s="531"/>
      <c r="C323" s="531"/>
      <c r="D323" s="595"/>
      <c r="E323" s="529"/>
      <c r="F323" s="530"/>
    </row>
    <row r="324" spans="1:6">
      <c r="A324" s="528"/>
      <c r="B324" s="531"/>
      <c r="C324" s="531"/>
      <c r="D324" s="595"/>
      <c r="E324" s="529"/>
      <c r="F324" s="530"/>
    </row>
    <row r="325" spans="1:6">
      <c r="A325" s="528"/>
      <c r="B325" s="531"/>
      <c r="C325" s="531"/>
      <c r="D325" s="595"/>
      <c r="E325" s="529"/>
      <c r="F325" s="530"/>
    </row>
    <row r="326" spans="1:6">
      <c r="A326" s="528"/>
      <c r="B326" s="531"/>
      <c r="C326" s="531"/>
      <c r="D326" s="595"/>
      <c r="E326" s="529"/>
      <c r="F326" s="530"/>
    </row>
    <row r="327" spans="1:6">
      <c r="A327" s="528"/>
      <c r="B327" s="531"/>
      <c r="C327" s="531"/>
      <c r="D327" s="595"/>
      <c r="E327" s="529"/>
      <c r="F327" s="530"/>
    </row>
    <row r="328" spans="1:6">
      <c r="A328" s="528"/>
      <c r="B328" s="531"/>
      <c r="C328" s="531"/>
      <c r="D328" s="595"/>
      <c r="E328" s="529"/>
      <c r="F328" s="530"/>
    </row>
    <row r="329" spans="1:6">
      <c r="A329" s="528"/>
      <c r="B329" s="531"/>
      <c r="C329" s="531"/>
      <c r="D329" s="595"/>
      <c r="E329" s="529"/>
      <c r="F329" s="530"/>
    </row>
    <row r="330" spans="1:6">
      <c r="A330" s="528"/>
      <c r="B330" s="531"/>
      <c r="C330" s="531"/>
      <c r="D330" s="595"/>
      <c r="E330" s="529"/>
      <c r="F330" s="530"/>
    </row>
    <row r="331" spans="1:6">
      <c r="A331" s="528"/>
      <c r="B331" s="531"/>
      <c r="C331" s="531"/>
      <c r="D331" s="595"/>
      <c r="E331" s="529"/>
      <c r="F331" s="530"/>
    </row>
    <row r="332" spans="1:6">
      <c r="A332" s="528"/>
      <c r="B332" s="531"/>
      <c r="C332" s="531"/>
      <c r="D332" s="595"/>
      <c r="E332" s="529"/>
      <c r="F332" s="530"/>
    </row>
    <row r="333" spans="1:6">
      <c r="A333" s="528"/>
      <c r="B333" s="531"/>
      <c r="C333" s="531"/>
      <c r="D333" s="595"/>
      <c r="E333" s="529"/>
      <c r="F333" s="530"/>
    </row>
    <row r="334" spans="1:6">
      <c r="A334" s="528"/>
      <c r="B334" s="531"/>
      <c r="C334" s="531"/>
      <c r="D334" s="595"/>
      <c r="E334" s="529"/>
      <c r="F334" s="530"/>
    </row>
    <row r="335" spans="1:6">
      <c r="A335" s="528"/>
      <c r="B335" s="531"/>
      <c r="C335" s="531"/>
      <c r="D335" s="595"/>
      <c r="E335" s="529"/>
      <c r="F335" s="530"/>
    </row>
    <row r="336" spans="1:6">
      <c r="A336" s="528"/>
      <c r="B336" s="531"/>
      <c r="C336" s="531"/>
      <c r="D336" s="595"/>
      <c r="E336" s="529"/>
      <c r="F336" s="530"/>
    </row>
    <row r="337" spans="1:6">
      <c r="A337" s="528"/>
      <c r="B337" s="531"/>
      <c r="C337" s="531"/>
      <c r="D337" s="595"/>
      <c r="E337" s="529"/>
      <c r="F337" s="530"/>
    </row>
    <row r="338" spans="1:6">
      <c r="A338" s="528"/>
      <c r="B338" s="531"/>
      <c r="C338" s="531"/>
      <c r="D338" s="595"/>
      <c r="E338" s="529"/>
      <c r="F338" s="530"/>
    </row>
    <row r="339" spans="1:6">
      <c r="A339" s="528"/>
      <c r="B339" s="531"/>
      <c r="C339" s="531"/>
      <c r="D339" s="595"/>
      <c r="E339" s="529"/>
      <c r="F339" s="530"/>
    </row>
    <row r="340" spans="1:6">
      <c r="A340" s="528"/>
      <c r="B340" s="531"/>
      <c r="C340" s="531"/>
      <c r="D340" s="595"/>
      <c r="E340" s="529"/>
      <c r="F340" s="530"/>
    </row>
    <row r="341" spans="1:6">
      <c r="A341" s="528"/>
      <c r="B341" s="531"/>
      <c r="C341" s="531"/>
      <c r="D341" s="595"/>
      <c r="E341" s="529"/>
      <c r="F341" s="530"/>
    </row>
    <row r="342" spans="1:6">
      <c r="A342" s="528"/>
      <c r="B342" s="531"/>
      <c r="C342" s="531"/>
      <c r="D342" s="595"/>
      <c r="E342" s="529"/>
      <c r="F342" s="530"/>
    </row>
    <row r="343" spans="1:6">
      <c r="A343" s="528"/>
      <c r="B343" s="531"/>
      <c r="C343" s="531"/>
      <c r="D343" s="595"/>
      <c r="E343" s="529"/>
      <c r="F343" s="530"/>
    </row>
    <row r="344" spans="1:6">
      <c r="A344" s="528"/>
      <c r="B344" s="531"/>
      <c r="C344" s="531"/>
      <c r="D344" s="595"/>
      <c r="E344" s="529"/>
      <c r="F344" s="530"/>
    </row>
    <row r="345" spans="1:6">
      <c r="A345" s="528"/>
      <c r="B345" s="531"/>
      <c r="C345" s="531"/>
      <c r="D345" s="595"/>
      <c r="E345" s="529"/>
      <c r="F345" s="530"/>
    </row>
    <row r="346" spans="1:6">
      <c r="A346" s="528"/>
      <c r="B346" s="531"/>
      <c r="C346" s="531"/>
      <c r="D346" s="595"/>
      <c r="E346" s="529"/>
      <c r="F346" s="530"/>
    </row>
    <row r="347" spans="1:6">
      <c r="A347" s="528"/>
      <c r="B347" s="531"/>
      <c r="C347" s="531"/>
      <c r="D347" s="595"/>
      <c r="E347" s="529"/>
      <c r="F347" s="530"/>
    </row>
    <row r="348" spans="1:6">
      <c r="A348" s="528"/>
      <c r="B348" s="531"/>
      <c r="C348" s="531"/>
      <c r="D348" s="595"/>
      <c r="E348" s="529"/>
      <c r="F348" s="530"/>
    </row>
    <row r="349" spans="1:6">
      <c r="A349" s="528"/>
      <c r="B349" s="531"/>
      <c r="C349" s="531"/>
      <c r="D349" s="595"/>
      <c r="E349" s="529"/>
      <c r="F349" s="530"/>
    </row>
    <row r="350" spans="1:6">
      <c r="A350" s="528"/>
      <c r="B350" s="531"/>
      <c r="C350" s="531"/>
      <c r="D350" s="595"/>
      <c r="E350" s="529"/>
      <c r="F350" s="530"/>
    </row>
    <row r="351" spans="1:6">
      <c r="A351" s="528"/>
      <c r="B351" s="531"/>
      <c r="C351" s="531"/>
      <c r="D351" s="595"/>
      <c r="E351" s="529"/>
      <c r="F351" s="530"/>
    </row>
    <row r="352" spans="1:6">
      <c r="A352" s="528"/>
      <c r="B352" s="531"/>
      <c r="C352" s="531"/>
      <c r="D352" s="595"/>
      <c r="E352" s="529"/>
      <c r="F352" s="530"/>
    </row>
    <row r="353" spans="1:6">
      <c r="A353" s="528"/>
      <c r="B353" s="531"/>
      <c r="C353" s="531"/>
      <c r="D353" s="595"/>
      <c r="E353" s="529"/>
      <c r="F353" s="530"/>
    </row>
    <row r="354" spans="1:6">
      <c r="A354" s="528"/>
      <c r="B354" s="531"/>
      <c r="C354" s="531"/>
      <c r="D354" s="595"/>
      <c r="E354" s="529"/>
      <c r="F354" s="530"/>
    </row>
    <row r="355" spans="1:6">
      <c r="A355" s="528"/>
      <c r="B355" s="531"/>
      <c r="C355" s="531"/>
      <c r="D355" s="595"/>
      <c r="E355" s="529"/>
      <c r="F355" s="530"/>
    </row>
    <row r="356" spans="1:6">
      <c r="A356" s="528"/>
      <c r="B356" s="531"/>
      <c r="C356" s="531"/>
      <c r="D356" s="595"/>
      <c r="E356" s="529"/>
      <c r="F356" s="530"/>
    </row>
    <row r="357" spans="1:6">
      <c r="A357" s="528"/>
      <c r="B357" s="531"/>
      <c r="C357" s="531"/>
      <c r="D357" s="595"/>
      <c r="E357" s="529"/>
      <c r="F357" s="530"/>
    </row>
    <row r="358" spans="1:6">
      <c r="A358" s="528"/>
      <c r="B358" s="531"/>
      <c r="C358" s="531"/>
      <c r="D358" s="595"/>
      <c r="E358" s="529"/>
      <c r="F358" s="530"/>
    </row>
    <row r="359" spans="1:6">
      <c r="A359" s="528"/>
      <c r="B359" s="531"/>
      <c r="C359" s="531"/>
      <c r="D359" s="595"/>
      <c r="E359" s="529"/>
      <c r="F359" s="530"/>
    </row>
    <row r="360" spans="1:6">
      <c r="A360" s="528"/>
      <c r="B360" s="531"/>
      <c r="C360" s="531"/>
      <c r="D360" s="595"/>
      <c r="E360" s="529"/>
      <c r="F360" s="530"/>
    </row>
    <row r="361" spans="1:6">
      <c r="A361" s="528"/>
      <c r="B361" s="531"/>
      <c r="C361" s="531"/>
      <c r="D361" s="595"/>
      <c r="E361" s="529"/>
      <c r="F361" s="530"/>
    </row>
    <row r="362" spans="1:6">
      <c r="A362" s="528"/>
      <c r="B362" s="531"/>
      <c r="C362" s="531"/>
      <c r="D362" s="595"/>
      <c r="E362" s="529"/>
      <c r="F362" s="530"/>
    </row>
    <row r="363" spans="1:6">
      <c r="A363" s="528"/>
      <c r="B363" s="531"/>
      <c r="C363" s="531"/>
      <c r="D363" s="595"/>
      <c r="E363" s="529"/>
      <c r="F363" s="530"/>
    </row>
    <row r="364" spans="1:6">
      <c r="A364" s="528"/>
      <c r="B364" s="531"/>
      <c r="C364" s="531"/>
      <c r="D364" s="595"/>
      <c r="E364" s="529"/>
      <c r="F364" s="530"/>
    </row>
    <row r="365" spans="1:6">
      <c r="A365" s="528"/>
      <c r="B365" s="531"/>
      <c r="C365" s="531"/>
      <c r="D365" s="595"/>
      <c r="E365" s="529"/>
      <c r="F365" s="530"/>
    </row>
    <row r="366" spans="1:6">
      <c r="A366" s="528"/>
      <c r="B366" s="531"/>
      <c r="C366" s="531"/>
      <c r="D366" s="595"/>
      <c r="E366" s="529"/>
      <c r="F366" s="530"/>
    </row>
    <row r="367" spans="1:6">
      <c r="A367" s="528"/>
      <c r="B367" s="531"/>
      <c r="C367" s="531"/>
      <c r="D367" s="595"/>
      <c r="E367" s="529"/>
      <c r="F367" s="530"/>
    </row>
    <row r="368" spans="1:6">
      <c r="A368" s="528"/>
      <c r="B368" s="531"/>
      <c r="C368" s="531"/>
      <c r="D368" s="595"/>
      <c r="E368" s="529"/>
      <c r="F368" s="530"/>
    </row>
    <row r="369" spans="1:6">
      <c r="A369" s="528"/>
      <c r="B369" s="531"/>
      <c r="C369" s="531"/>
      <c r="D369" s="595"/>
      <c r="E369" s="529"/>
      <c r="F369" s="530"/>
    </row>
    <row r="370" spans="1:6">
      <c r="A370" s="528"/>
      <c r="B370" s="531"/>
      <c r="C370" s="531"/>
      <c r="D370" s="595"/>
      <c r="E370" s="529"/>
      <c r="F370" s="530"/>
    </row>
    <row r="371" spans="1:6">
      <c r="A371" s="528"/>
      <c r="B371" s="531"/>
      <c r="C371" s="531"/>
      <c r="D371" s="595"/>
      <c r="E371" s="529"/>
      <c r="F371" s="530"/>
    </row>
    <row r="372" spans="1:6">
      <c r="A372" s="528"/>
      <c r="B372" s="531"/>
      <c r="C372" s="531"/>
      <c r="D372" s="595"/>
      <c r="E372" s="529"/>
      <c r="F372" s="530"/>
    </row>
    <row r="373" spans="1:6">
      <c r="A373" s="528"/>
      <c r="B373" s="531"/>
      <c r="C373" s="531"/>
      <c r="D373" s="595"/>
      <c r="E373" s="529"/>
      <c r="F373" s="530"/>
    </row>
    <row r="374" spans="1:6">
      <c r="A374" s="528"/>
      <c r="B374" s="531"/>
      <c r="C374" s="531"/>
      <c r="D374" s="595"/>
      <c r="E374" s="529"/>
      <c r="F374" s="530"/>
    </row>
    <row r="375" spans="1:6">
      <c r="A375" s="528"/>
      <c r="B375" s="531"/>
      <c r="C375" s="531"/>
      <c r="D375" s="595"/>
      <c r="E375" s="529"/>
      <c r="F375" s="530"/>
    </row>
    <row r="376" spans="1:6">
      <c r="A376" s="528"/>
      <c r="B376" s="531"/>
      <c r="C376" s="531"/>
      <c r="D376" s="595"/>
      <c r="E376" s="529"/>
      <c r="F376" s="530"/>
    </row>
    <row r="377" spans="1:6">
      <c r="A377" s="528"/>
      <c r="B377" s="531"/>
      <c r="C377" s="531"/>
      <c r="D377" s="595"/>
      <c r="E377" s="529"/>
      <c r="F377" s="530"/>
    </row>
    <row r="378" spans="1:6">
      <c r="A378" s="528"/>
      <c r="B378" s="531"/>
      <c r="C378" s="531"/>
      <c r="D378" s="595"/>
      <c r="E378" s="529"/>
      <c r="F378" s="530"/>
    </row>
    <row r="379" spans="1:6">
      <c r="A379" s="528"/>
      <c r="B379" s="531"/>
      <c r="C379" s="531"/>
      <c r="D379" s="595"/>
      <c r="E379" s="529"/>
      <c r="F379" s="530"/>
    </row>
    <row r="380" spans="1:6">
      <c r="A380" s="528"/>
      <c r="B380" s="531"/>
      <c r="C380" s="531"/>
      <c r="D380" s="595"/>
      <c r="E380" s="529"/>
      <c r="F380" s="530"/>
    </row>
    <row r="381" spans="1:6">
      <c r="A381" s="528"/>
      <c r="B381" s="531"/>
      <c r="C381" s="531"/>
      <c r="D381" s="595"/>
      <c r="E381" s="529"/>
      <c r="F381" s="530"/>
    </row>
    <row r="382" spans="1:6">
      <c r="A382" s="528"/>
      <c r="B382" s="531"/>
      <c r="C382" s="531"/>
      <c r="D382" s="595"/>
      <c r="E382" s="529"/>
      <c r="F382" s="530"/>
    </row>
    <row r="383" spans="1:6">
      <c r="A383" s="528"/>
      <c r="B383" s="531"/>
      <c r="C383" s="531"/>
      <c r="D383" s="595"/>
      <c r="E383" s="529"/>
      <c r="F383" s="530"/>
    </row>
    <row r="384" spans="1:6">
      <c r="A384" s="528"/>
      <c r="B384" s="531"/>
      <c r="C384" s="531"/>
      <c r="D384" s="595"/>
      <c r="E384" s="529"/>
      <c r="F384" s="530"/>
    </row>
    <row r="385" spans="1:6">
      <c r="A385" s="528"/>
      <c r="B385" s="531"/>
      <c r="C385" s="531"/>
      <c r="D385" s="595"/>
      <c r="E385" s="529"/>
      <c r="F385" s="530"/>
    </row>
    <row r="386" spans="1:6">
      <c r="A386" s="528"/>
      <c r="B386" s="531"/>
      <c r="C386" s="531"/>
      <c r="D386" s="595"/>
      <c r="E386" s="529"/>
      <c r="F386" s="530"/>
    </row>
    <row r="387" spans="1:6">
      <c r="A387" s="528"/>
      <c r="B387" s="531"/>
      <c r="C387" s="531"/>
      <c r="D387" s="595"/>
      <c r="E387" s="529"/>
      <c r="F387" s="530"/>
    </row>
    <row r="388" spans="1:6">
      <c r="A388" s="528"/>
      <c r="B388" s="531"/>
      <c r="C388" s="531"/>
      <c r="D388" s="595"/>
      <c r="E388" s="529"/>
      <c r="F388" s="530"/>
    </row>
    <row r="389" spans="1:6">
      <c r="A389" s="528"/>
      <c r="B389" s="531"/>
      <c r="C389" s="531"/>
      <c r="D389" s="595"/>
      <c r="E389" s="529"/>
      <c r="F389" s="530"/>
    </row>
    <row r="390" spans="1:6">
      <c r="A390" s="528"/>
      <c r="B390" s="531"/>
      <c r="C390" s="531"/>
      <c r="D390" s="595"/>
      <c r="E390" s="529"/>
      <c r="F390" s="530"/>
    </row>
    <row r="391" spans="1:6">
      <c r="A391" s="528"/>
      <c r="B391" s="531"/>
      <c r="C391" s="531"/>
      <c r="D391" s="595"/>
      <c r="E391" s="529"/>
      <c r="F391" s="530"/>
    </row>
    <row r="392" spans="1:6">
      <c r="A392" s="528"/>
      <c r="B392" s="531"/>
      <c r="C392" s="531"/>
      <c r="D392" s="595"/>
      <c r="E392" s="529"/>
      <c r="F392" s="530"/>
    </row>
    <row r="393" spans="1:6">
      <c r="A393" s="528"/>
      <c r="B393" s="531"/>
      <c r="C393" s="531"/>
      <c r="D393" s="595"/>
      <c r="E393" s="529"/>
      <c r="F393" s="530"/>
    </row>
    <row r="394" spans="1:6">
      <c r="A394" s="528"/>
      <c r="B394" s="531"/>
      <c r="C394" s="531"/>
      <c r="D394" s="595"/>
      <c r="E394" s="529"/>
      <c r="F394" s="530"/>
    </row>
    <row r="395" spans="1:6">
      <c r="A395" s="528"/>
      <c r="B395" s="531"/>
      <c r="C395" s="531"/>
      <c r="D395" s="595"/>
      <c r="E395" s="529"/>
      <c r="F395" s="530"/>
    </row>
    <row r="396" spans="1:6">
      <c r="A396" s="528"/>
      <c r="B396" s="531"/>
      <c r="C396" s="531"/>
      <c r="D396" s="595"/>
      <c r="E396" s="529"/>
      <c r="F396" s="530"/>
    </row>
    <row r="397" spans="1:6">
      <c r="A397" s="528"/>
      <c r="B397" s="531"/>
      <c r="C397" s="531"/>
      <c r="D397" s="595"/>
      <c r="E397" s="529"/>
      <c r="F397" s="530"/>
    </row>
    <row r="398" spans="1:6">
      <c r="A398" s="528"/>
      <c r="B398" s="531"/>
      <c r="C398" s="531"/>
      <c r="D398" s="595"/>
      <c r="E398" s="529"/>
      <c r="F398" s="530"/>
    </row>
    <row r="399" spans="1:6">
      <c r="A399" s="528"/>
      <c r="B399" s="531"/>
      <c r="C399" s="531"/>
      <c r="D399" s="595"/>
      <c r="E399" s="529"/>
      <c r="F399" s="530"/>
    </row>
    <row r="400" spans="1:6">
      <c r="A400" s="528"/>
      <c r="B400" s="531"/>
      <c r="C400" s="531"/>
      <c r="D400" s="595"/>
      <c r="E400" s="529"/>
      <c r="F400" s="530"/>
    </row>
    <row r="401" spans="1:6">
      <c r="A401" s="528"/>
      <c r="B401" s="531"/>
      <c r="C401" s="531"/>
      <c r="D401" s="595"/>
      <c r="E401" s="529"/>
      <c r="F401" s="530"/>
    </row>
    <row r="402" spans="1:6">
      <c r="A402" s="528"/>
      <c r="B402" s="531"/>
      <c r="C402" s="531"/>
      <c r="D402" s="595"/>
      <c r="E402" s="529"/>
      <c r="F402" s="530"/>
    </row>
    <row r="403" spans="1:6">
      <c r="A403" s="528"/>
      <c r="B403" s="531"/>
      <c r="C403" s="531"/>
      <c r="D403" s="595"/>
      <c r="E403" s="529"/>
      <c r="F403" s="530"/>
    </row>
    <row r="404" spans="1:6">
      <c r="A404" s="528"/>
      <c r="B404" s="531"/>
      <c r="C404" s="531"/>
      <c r="D404" s="595"/>
      <c r="E404" s="529"/>
      <c r="F404" s="530"/>
    </row>
    <row r="405" spans="1:6">
      <c r="A405" s="528"/>
      <c r="B405" s="531"/>
      <c r="C405" s="531"/>
      <c r="D405" s="595"/>
      <c r="E405" s="529"/>
      <c r="F405" s="530"/>
    </row>
    <row r="406" spans="1:6">
      <c r="A406" s="528"/>
      <c r="B406" s="531"/>
      <c r="C406" s="531"/>
      <c r="D406" s="595"/>
      <c r="E406" s="529"/>
      <c r="F406" s="530"/>
    </row>
    <row r="407" spans="1:6">
      <c r="A407" s="528"/>
      <c r="B407" s="531"/>
      <c r="C407" s="531"/>
      <c r="D407" s="595"/>
      <c r="E407" s="529"/>
      <c r="F407" s="530"/>
    </row>
    <row r="408" spans="1:6">
      <c r="A408" s="528"/>
      <c r="B408" s="531"/>
      <c r="C408" s="531"/>
      <c r="D408" s="595"/>
      <c r="E408" s="529"/>
      <c r="F408" s="530"/>
    </row>
    <row r="409" spans="1:6">
      <c r="A409" s="528"/>
      <c r="B409" s="531"/>
      <c r="C409" s="531"/>
      <c r="D409" s="595"/>
      <c r="E409" s="529"/>
      <c r="F409" s="530"/>
    </row>
    <row r="410" spans="1:6">
      <c r="A410" s="528"/>
      <c r="B410" s="531"/>
      <c r="C410" s="531"/>
      <c r="D410" s="595"/>
      <c r="E410" s="529"/>
      <c r="F410" s="530"/>
    </row>
    <row r="411" spans="1:6">
      <c r="A411" s="528"/>
      <c r="B411" s="531"/>
      <c r="C411" s="531"/>
      <c r="D411" s="595"/>
      <c r="E411" s="529"/>
      <c r="F411" s="530"/>
    </row>
    <row r="412" spans="1:6">
      <c r="A412" s="528"/>
      <c r="B412" s="531"/>
      <c r="C412" s="531"/>
      <c r="D412" s="595"/>
      <c r="E412" s="529"/>
      <c r="F412" s="530"/>
    </row>
    <row r="413" spans="1:6">
      <c r="A413" s="528"/>
      <c r="B413" s="531"/>
      <c r="C413" s="531"/>
      <c r="D413" s="595"/>
      <c r="E413" s="529"/>
      <c r="F413" s="530"/>
    </row>
    <row r="414" spans="1:6">
      <c r="A414" s="528"/>
      <c r="B414" s="531"/>
      <c r="C414" s="531"/>
      <c r="D414" s="595"/>
      <c r="E414" s="529"/>
      <c r="F414" s="530"/>
    </row>
    <row r="415" spans="1:6">
      <c r="A415" s="528"/>
      <c r="B415" s="531"/>
      <c r="C415" s="531"/>
      <c r="D415" s="595"/>
      <c r="E415" s="529"/>
      <c r="F415" s="530"/>
    </row>
    <row r="416" spans="1:6">
      <c r="A416" s="528"/>
      <c r="B416" s="531"/>
      <c r="C416" s="531"/>
      <c r="D416" s="595"/>
      <c r="E416" s="529"/>
      <c r="F416" s="530"/>
    </row>
    <row r="417" spans="1:6">
      <c r="A417" s="528"/>
      <c r="B417" s="531"/>
      <c r="C417" s="531"/>
      <c r="D417" s="595"/>
      <c r="E417" s="529"/>
      <c r="F417" s="530"/>
    </row>
    <row r="418" spans="1:6">
      <c r="A418" s="528"/>
      <c r="B418" s="531"/>
      <c r="C418" s="531"/>
      <c r="D418" s="595"/>
      <c r="E418" s="529"/>
      <c r="F418" s="530"/>
    </row>
    <row r="419" spans="1:6">
      <c r="A419" s="528"/>
      <c r="B419" s="531"/>
      <c r="C419" s="531"/>
      <c r="D419" s="595"/>
      <c r="E419" s="529"/>
      <c r="F419" s="530"/>
    </row>
    <row r="420" spans="1:6">
      <c r="A420" s="528"/>
      <c r="B420" s="531"/>
      <c r="C420" s="531"/>
      <c r="D420" s="595"/>
      <c r="E420" s="529"/>
      <c r="F420" s="530"/>
    </row>
    <row r="421" spans="1:6">
      <c r="A421" s="528"/>
      <c r="B421" s="531"/>
      <c r="C421" s="531"/>
      <c r="D421" s="595"/>
      <c r="E421" s="529"/>
      <c r="F421" s="530"/>
    </row>
    <row r="422" spans="1:6">
      <c r="A422" s="528"/>
      <c r="B422" s="531"/>
      <c r="C422" s="531"/>
      <c r="D422" s="595"/>
      <c r="E422" s="529"/>
      <c r="F422" s="530"/>
    </row>
    <row r="423" spans="1:6">
      <c r="A423" s="528"/>
      <c r="B423" s="531"/>
      <c r="C423" s="531"/>
      <c r="D423" s="595"/>
      <c r="E423" s="529"/>
      <c r="F423" s="530"/>
    </row>
    <row r="424" spans="1:6">
      <c r="A424" s="528"/>
      <c r="B424" s="531"/>
      <c r="C424" s="531"/>
      <c r="D424" s="595"/>
      <c r="E424" s="529"/>
      <c r="F424" s="530"/>
    </row>
    <row r="425" spans="1:6">
      <c r="A425" s="528"/>
      <c r="B425" s="531"/>
      <c r="C425" s="531"/>
      <c r="D425" s="595"/>
      <c r="E425" s="529"/>
      <c r="F425" s="530"/>
    </row>
    <row r="426" spans="1:6">
      <c r="A426" s="528"/>
      <c r="B426" s="531"/>
      <c r="C426" s="531"/>
      <c r="D426" s="595"/>
      <c r="E426" s="529"/>
      <c r="F426" s="530"/>
    </row>
    <row r="427" spans="1:6">
      <c r="A427" s="528"/>
      <c r="B427" s="531"/>
      <c r="C427" s="531"/>
      <c r="D427" s="595"/>
      <c r="E427" s="529"/>
      <c r="F427" s="530"/>
    </row>
    <row r="428" spans="1:6">
      <c r="A428" s="528"/>
      <c r="B428" s="531"/>
      <c r="C428" s="531"/>
      <c r="D428" s="595"/>
      <c r="E428" s="529"/>
      <c r="F428" s="530"/>
    </row>
    <row r="429" spans="1:6">
      <c r="A429" s="528"/>
      <c r="B429" s="531"/>
      <c r="C429" s="531"/>
      <c r="D429" s="595"/>
      <c r="E429" s="529"/>
      <c r="F429" s="530"/>
    </row>
    <row r="430" spans="1:6">
      <c r="A430" s="528"/>
      <c r="B430" s="531"/>
      <c r="C430" s="531"/>
      <c r="D430" s="595"/>
      <c r="E430" s="529"/>
      <c r="F430" s="530"/>
    </row>
    <row r="431" spans="1:6">
      <c r="A431" s="528"/>
      <c r="B431" s="531"/>
      <c r="C431" s="531"/>
      <c r="D431" s="595"/>
      <c r="E431" s="529"/>
      <c r="F431" s="530"/>
    </row>
    <row r="432" spans="1:6">
      <c r="A432" s="528"/>
      <c r="B432" s="531"/>
      <c r="C432" s="531"/>
      <c r="D432" s="595"/>
      <c r="E432" s="529"/>
      <c r="F432" s="530"/>
    </row>
    <row r="433" spans="1:6">
      <c r="A433" s="528"/>
      <c r="B433" s="531"/>
      <c r="C433" s="531"/>
      <c r="D433" s="595"/>
      <c r="E433" s="529"/>
      <c r="F433" s="530"/>
    </row>
    <row r="434" spans="1:6">
      <c r="A434" s="528"/>
      <c r="B434" s="531"/>
      <c r="C434" s="531"/>
      <c r="D434" s="595"/>
      <c r="E434" s="529"/>
      <c r="F434" s="530"/>
    </row>
    <row r="435" spans="1:6">
      <c r="A435" s="528"/>
      <c r="B435" s="531"/>
      <c r="C435" s="531"/>
      <c r="D435" s="595"/>
      <c r="E435" s="529"/>
      <c r="F435" s="530"/>
    </row>
    <row r="436" spans="1:6">
      <c r="A436" s="528"/>
      <c r="B436" s="531"/>
      <c r="C436" s="531"/>
      <c r="D436" s="595"/>
      <c r="E436" s="529"/>
      <c r="F436" s="530"/>
    </row>
    <row r="437" spans="1:6">
      <c r="A437" s="528"/>
      <c r="B437" s="531"/>
      <c r="C437" s="531"/>
      <c r="D437" s="595"/>
      <c r="E437" s="529"/>
      <c r="F437" s="530"/>
    </row>
    <row r="438" spans="1:6">
      <c r="A438" s="528"/>
      <c r="B438" s="531"/>
      <c r="C438" s="531"/>
      <c r="D438" s="595"/>
      <c r="E438" s="529"/>
      <c r="F438" s="530"/>
    </row>
    <row r="439" spans="1:6">
      <c r="A439" s="528"/>
      <c r="B439" s="531"/>
      <c r="C439" s="531"/>
      <c r="D439" s="595"/>
      <c r="E439" s="529"/>
      <c r="F439" s="530"/>
    </row>
    <row r="440" spans="1:6">
      <c r="A440" s="528"/>
      <c r="B440" s="531"/>
      <c r="C440" s="531"/>
      <c r="D440" s="595"/>
      <c r="E440" s="529"/>
      <c r="F440" s="530"/>
    </row>
    <row r="441" spans="1:6">
      <c r="A441" s="528"/>
      <c r="B441" s="531"/>
      <c r="C441" s="531"/>
      <c r="D441" s="595"/>
      <c r="E441" s="529"/>
      <c r="F441" s="530"/>
    </row>
    <row r="442" spans="1:6">
      <c r="A442" s="528"/>
      <c r="B442" s="531"/>
      <c r="C442" s="531"/>
      <c r="D442" s="595"/>
      <c r="E442" s="529"/>
      <c r="F442" s="530"/>
    </row>
    <row r="443" spans="1:6">
      <c r="A443" s="528"/>
      <c r="B443" s="531"/>
      <c r="C443" s="531"/>
      <c r="D443" s="595"/>
      <c r="E443" s="529"/>
      <c r="F443" s="530"/>
    </row>
    <row r="444" spans="1:6">
      <c r="A444" s="528"/>
      <c r="B444" s="531"/>
      <c r="C444" s="531"/>
      <c r="D444" s="595"/>
      <c r="E444" s="529"/>
      <c r="F444" s="530"/>
    </row>
    <row r="445" spans="1:6">
      <c r="A445" s="528"/>
      <c r="B445" s="531"/>
      <c r="C445" s="531"/>
      <c r="D445" s="595"/>
      <c r="E445" s="529"/>
      <c r="F445" s="530"/>
    </row>
    <row r="446" spans="1:6">
      <c r="A446" s="528"/>
      <c r="B446" s="531"/>
      <c r="C446" s="531"/>
      <c r="D446" s="595"/>
      <c r="E446" s="529"/>
      <c r="F446" s="530"/>
    </row>
    <row r="447" spans="1:6">
      <c r="A447" s="528"/>
      <c r="B447" s="531"/>
      <c r="C447" s="531"/>
      <c r="D447" s="595"/>
      <c r="E447" s="529"/>
      <c r="F447" s="530"/>
    </row>
    <row r="448" spans="1:6">
      <c r="A448" s="528"/>
      <c r="B448" s="531"/>
      <c r="C448" s="531"/>
      <c r="D448" s="595"/>
      <c r="E448" s="529"/>
      <c r="F448" s="530"/>
    </row>
    <row r="449" spans="1:6">
      <c r="A449" s="528"/>
      <c r="B449" s="531"/>
      <c r="C449" s="531"/>
      <c r="D449" s="595"/>
      <c r="E449" s="529"/>
      <c r="F449" s="530"/>
    </row>
    <row r="450" spans="1:6">
      <c r="A450" s="528"/>
      <c r="B450" s="531"/>
      <c r="C450" s="531"/>
      <c r="D450" s="595"/>
      <c r="E450" s="529"/>
      <c r="F450" s="530"/>
    </row>
    <row r="451" spans="1:6">
      <c r="A451" s="528"/>
      <c r="B451" s="531"/>
      <c r="C451" s="531"/>
      <c r="D451" s="595"/>
      <c r="E451" s="529"/>
      <c r="F451" s="530"/>
    </row>
    <row r="452" spans="1:6">
      <c r="A452" s="528"/>
      <c r="B452" s="531"/>
      <c r="C452" s="531"/>
      <c r="D452" s="595"/>
      <c r="E452" s="529"/>
      <c r="F452" s="530"/>
    </row>
    <row r="453" spans="1:6">
      <c r="A453" s="528"/>
      <c r="B453" s="531"/>
      <c r="C453" s="531"/>
      <c r="D453" s="595"/>
      <c r="E453" s="529"/>
      <c r="F453" s="530"/>
    </row>
    <row r="454" spans="1:6">
      <c r="A454" s="528"/>
      <c r="B454" s="531"/>
      <c r="C454" s="531"/>
      <c r="D454" s="595"/>
      <c r="E454" s="529"/>
      <c r="F454" s="530"/>
    </row>
    <row r="455" spans="1:6">
      <c r="A455" s="528"/>
      <c r="B455" s="531"/>
      <c r="C455" s="531"/>
      <c r="D455" s="595"/>
      <c r="E455" s="529"/>
      <c r="F455" s="530"/>
    </row>
    <row r="456" spans="1:6">
      <c r="A456" s="528"/>
      <c r="B456" s="531"/>
      <c r="C456" s="531"/>
      <c r="D456" s="595"/>
      <c r="E456" s="529"/>
      <c r="F456" s="530"/>
    </row>
    <row r="457" spans="1:6">
      <c r="A457" s="528"/>
      <c r="B457" s="531"/>
      <c r="C457" s="531"/>
      <c r="D457" s="595"/>
      <c r="E457" s="529"/>
      <c r="F457" s="530"/>
    </row>
    <row r="458" spans="1:6">
      <c r="A458" s="528"/>
      <c r="B458" s="531"/>
      <c r="C458" s="531"/>
      <c r="D458" s="595"/>
      <c r="E458" s="529"/>
      <c r="F458" s="530"/>
    </row>
    <row r="459" spans="1:6">
      <c r="A459" s="528"/>
      <c r="B459" s="531"/>
      <c r="C459" s="531"/>
      <c r="D459" s="595"/>
      <c r="E459" s="529"/>
      <c r="F459" s="530"/>
    </row>
    <row r="460" spans="1:6">
      <c r="A460" s="528"/>
      <c r="B460" s="531"/>
      <c r="C460" s="531"/>
      <c r="D460" s="595"/>
      <c r="E460" s="529"/>
      <c r="F460" s="530"/>
    </row>
    <row r="461" spans="1:6">
      <c r="A461" s="528"/>
      <c r="B461" s="531"/>
      <c r="C461" s="531"/>
      <c r="D461" s="595"/>
      <c r="E461" s="529"/>
      <c r="F461" s="530"/>
    </row>
    <row r="462" spans="1:6">
      <c r="A462" s="528"/>
      <c r="B462" s="531"/>
      <c r="C462" s="531"/>
      <c r="D462" s="595"/>
      <c r="E462" s="529"/>
      <c r="F462" s="530"/>
    </row>
    <row r="463" spans="1:6">
      <c r="A463" s="528"/>
      <c r="B463" s="531"/>
      <c r="C463" s="531"/>
      <c r="D463" s="595"/>
      <c r="E463" s="529"/>
      <c r="F463" s="530"/>
    </row>
    <row r="464" spans="1:6">
      <c r="A464" s="528"/>
      <c r="B464" s="531"/>
      <c r="C464" s="531"/>
      <c r="D464" s="595"/>
      <c r="E464" s="529"/>
      <c r="F464" s="530"/>
    </row>
    <row r="465" spans="1:6">
      <c r="A465" s="528"/>
      <c r="B465" s="531"/>
      <c r="C465" s="531"/>
      <c r="D465" s="595"/>
      <c r="E465" s="529"/>
      <c r="F465" s="530"/>
    </row>
    <row r="466" spans="1:6">
      <c r="A466" s="528"/>
      <c r="B466" s="531"/>
      <c r="C466" s="531"/>
      <c r="D466" s="595"/>
      <c r="E466" s="529"/>
      <c r="F466" s="530"/>
    </row>
    <row r="467" spans="1:6">
      <c r="A467" s="528"/>
      <c r="B467" s="531"/>
      <c r="C467" s="531"/>
      <c r="D467" s="595"/>
      <c r="E467" s="529"/>
      <c r="F467" s="530"/>
    </row>
    <row r="468" spans="1:6">
      <c r="A468" s="528"/>
      <c r="B468" s="531"/>
      <c r="C468" s="531"/>
      <c r="D468" s="595"/>
      <c r="E468" s="529"/>
      <c r="F468" s="530"/>
    </row>
    <row r="469" spans="1:6">
      <c r="A469" s="528"/>
      <c r="B469" s="531"/>
      <c r="C469" s="531"/>
      <c r="D469" s="595"/>
      <c r="E469" s="529"/>
      <c r="F469" s="530"/>
    </row>
    <row r="470" spans="1:6">
      <c r="A470" s="528"/>
      <c r="B470" s="531"/>
      <c r="C470" s="531"/>
      <c r="D470" s="595"/>
      <c r="E470" s="529"/>
      <c r="F470" s="530"/>
    </row>
    <row r="471" spans="1:6">
      <c r="A471" s="528"/>
      <c r="B471" s="531"/>
      <c r="C471" s="531"/>
      <c r="D471" s="595"/>
      <c r="E471" s="529"/>
      <c r="F471" s="530"/>
    </row>
    <row r="472" spans="1:6">
      <c r="A472" s="528"/>
      <c r="B472" s="531"/>
      <c r="C472" s="531"/>
      <c r="D472" s="595"/>
      <c r="E472" s="529"/>
      <c r="F472" s="530"/>
    </row>
    <row r="473" spans="1:6">
      <c r="A473" s="528"/>
      <c r="B473" s="531"/>
      <c r="C473" s="531"/>
      <c r="D473" s="595"/>
      <c r="E473" s="529"/>
      <c r="F473" s="530"/>
    </row>
    <row r="474" spans="1:6">
      <c r="A474" s="528"/>
      <c r="B474" s="531"/>
      <c r="C474" s="531"/>
      <c r="D474" s="595"/>
      <c r="E474" s="529"/>
      <c r="F474" s="530"/>
    </row>
    <row r="475" spans="1:6">
      <c r="A475" s="528"/>
      <c r="B475" s="531"/>
      <c r="C475" s="531"/>
      <c r="D475" s="595"/>
      <c r="E475" s="529"/>
      <c r="F475" s="530"/>
    </row>
    <row r="476" spans="1:6">
      <c r="A476" s="528"/>
      <c r="B476" s="531"/>
      <c r="C476" s="531"/>
      <c r="D476" s="595"/>
      <c r="E476" s="529"/>
      <c r="F476" s="530"/>
    </row>
    <row r="477" spans="1:6">
      <c r="A477" s="528"/>
      <c r="B477" s="531"/>
      <c r="C477" s="531"/>
      <c r="D477" s="595"/>
      <c r="E477" s="529"/>
      <c r="F477" s="530"/>
    </row>
    <row r="478" spans="1:6">
      <c r="A478" s="528"/>
      <c r="B478" s="531"/>
      <c r="C478" s="531"/>
      <c r="D478" s="595"/>
      <c r="E478" s="529"/>
      <c r="F478" s="530"/>
    </row>
    <row r="479" spans="1:6">
      <c r="A479" s="528"/>
      <c r="B479" s="531"/>
      <c r="C479" s="531"/>
      <c r="D479" s="595"/>
      <c r="E479" s="529"/>
      <c r="F479" s="530"/>
    </row>
    <row r="480" spans="1:6">
      <c r="A480" s="528"/>
      <c r="B480" s="531"/>
      <c r="C480" s="531"/>
      <c r="D480" s="595"/>
      <c r="E480" s="529"/>
      <c r="F480" s="530"/>
    </row>
    <row r="481" spans="1:6">
      <c r="A481" s="528"/>
      <c r="B481" s="531"/>
      <c r="C481" s="531"/>
      <c r="D481" s="595"/>
      <c r="E481" s="529"/>
      <c r="F481" s="530"/>
    </row>
    <row r="482" spans="1:6">
      <c r="A482" s="528"/>
      <c r="B482" s="531"/>
      <c r="C482" s="531"/>
      <c r="D482" s="595"/>
      <c r="E482" s="529"/>
      <c r="F482" s="530"/>
    </row>
    <row r="483" spans="1:6">
      <c r="A483" s="528"/>
      <c r="B483" s="531"/>
      <c r="C483" s="531"/>
      <c r="D483" s="595"/>
      <c r="E483" s="529"/>
      <c r="F483" s="530"/>
    </row>
    <row r="484" spans="1:6">
      <c r="A484" s="528"/>
      <c r="B484" s="531"/>
      <c r="C484" s="531"/>
      <c r="D484" s="595"/>
      <c r="E484" s="529"/>
      <c r="F484" s="530"/>
    </row>
    <row r="485" spans="1:6">
      <c r="A485" s="528"/>
      <c r="B485" s="531"/>
      <c r="C485" s="531"/>
      <c r="D485" s="595"/>
      <c r="E485" s="529"/>
      <c r="F485" s="530"/>
    </row>
    <row r="486" spans="1:6">
      <c r="A486" s="528"/>
      <c r="B486" s="531"/>
      <c r="C486" s="531"/>
      <c r="D486" s="595"/>
      <c r="E486" s="529"/>
      <c r="F486" s="530"/>
    </row>
    <row r="487" spans="1:6">
      <c r="A487" s="528"/>
      <c r="B487" s="531"/>
      <c r="C487" s="531"/>
      <c r="D487" s="595"/>
      <c r="E487" s="529"/>
      <c r="F487" s="530"/>
    </row>
    <row r="488" spans="1:6">
      <c r="A488" s="528"/>
      <c r="B488" s="531"/>
      <c r="C488" s="531"/>
      <c r="D488" s="595"/>
      <c r="E488" s="529"/>
      <c r="F488" s="530"/>
    </row>
    <row r="489" spans="1:6">
      <c r="A489" s="528"/>
      <c r="B489" s="531"/>
      <c r="C489" s="531"/>
      <c r="D489" s="595"/>
      <c r="E489" s="529"/>
      <c r="F489" s="530"/>
    </row>
    <row r="490" spans="1:6">
      <c r="A490" s="528"/>
      <c r="B490" s="531"/>
      <c r="C490" s="531"/>
      <c r="D490" s="595"/>
      <c r="E490" s="529"/>
      <c r="F490" s="530"/>
    </row>
    <row r="491" spans="1:6">
      <c r="A491" s="528"/>
      <c r="B491" s="531"/>
      <c r="C491" s="531"/>
      <c r="D491" s="595"/>
      <c r="E491" s="529"/>
      <c r="F491" s="530"/>
    </row>
    <row r="492" spans="1:6">
      <c r="A492" s="528"/>
      <c r="B492" s="531"/>
      <c r="C492" s="531"/>
      <c r="D492" s="595"/>
      <c r="E492" s="529"/>
      <c r="F492" s="530"/>
    </row>
    <row r="493" spans="1:6">
      <c r="A493" s="528"/>
      <c r="B493" s="531"/>
      <c r="C493" s="531"/>
      <c r="D493" s="595"/>
      <c r="E493" s="529"/>
      <c r="F493" s="530"/>
    </row>
    <row r="494" spans="1:6">
      <c r="A494" s="528"/>
      <c r="B494" s="531"/>
      <c r="C494" s="531"/>
      <c r="D494" s="595"/>
      <c r="E494" s="529"/>
      <c r="F494" s="530"/>
    </row>
    <row r="495" spans="1:6">
      <c r="A495" s="528"/>
      <c r="B495" s="531"/>
      <c r="C495" s="531"/>
      <c r="D495" s="595"/>
      <c r="E495" s="529"/>
      <c r="F495" s="530"/>
    </row>
    <row r="496" spans="1:6">
      <c r="A496" s="528"/>
      <c r="B496" s="531"/>
      <c r="C496" s="531"/>
      <c r="D496" s="595"/>
      <c r="E496" s="529"/>
      <c r="F496" s="530"/>
    </row>
    <row r="497" spans="1:6">
      <c r="A497" s="528"/>
      <c r="B497" s="531"/>
      <c r="C497" s="531"/>
      <c r="D497" s="595"/>
      <c r="E497" s="529"/>
      <c r="F497" s="530"/>
    </row>
    <row r="498" spans="1:6">
      <c r="A498" s="528"/>
      <c r="B498" s="531"/>
      <c r="C498" s="531"/>
      <c r="D498" s="595"/>
      <c r="E498" s="529"/>
      <c r="F498" s="530"/>
    </row>
    <row r="499" spans="1:6">
      <c r="A499" s="528"/>
      <c r="B499" s="531"/>
      <c r="C499" s="531"/>
      <c r="D499" s="595"/>
      <c r="E499" s="529"/>
      <c r="F499" s="530"/>
    </row>
    <row r="500" spans="1:6">
      <c r="A500" s="528"/>
      <c r="B500" s="531"/>
      <c r="C500" s="531"/>
      <c r="D500" s="595"/>
      <c r="E500" s="529"/>
      <c r="F500" s="530"/>
    </row>
    <row r="501" spans="1:6">
      <c r="A501" s="528"/>
      <c r="B501" s="531"/>
      <c r="C501" s="531"/>
      <c r="D501" s="595"/>
      <c r="E501" s="529"/>
      <c r="F501" s="530"/>
    </row>
    <row r="502" spans="1:6">
      <c r="A502" s="528"/>
      <c r="B502" s="531"/>
      <c r="C502" s="531"/>
      <c r="D502" s="595"/>
      <c r="E502" s="529"/>
      <c r="F502" s="530"/>
    </row>
    <row r="503" spans="1:6">
      <c r="A503" s="528"/>
      <c r="B503" s="531"/>
      <c r="C503" s="531"/>
      <c r="D503" s="595"/>
      <c r="E503" s="529"/>
      <c r="F503" s="530"/>
    </row>
    <row r="504" spans="1:6">
      <c r="A504" s="528"/>
      <c r="B504" s="531"/>
      <c r="C504" s="531"/>
      <c r="D504" s="595"/>
      <c r="E504" s="529"/>
      <c r="F504" s="530"/>
    </row>
    <row r="505" spans="1:6">
      <c r="A505" s="528"/>
      <c r="B505" s="531"/>
      <c r="C505" s="531"/>
      <c r="D505" s="595"/>
      <c r="E505" s="529"/>
      <c r="F505" s="530"/>
    </row>
    <row r="506" spans="1:6">
      <c r="A506" s="528"/>
      <c r="B506" s="531"/>
      <c r="C506" s="531"/>
      <c r="D506" s="595"/>
      <c r="E506" s="529"/>
      <c r="F506" s="530"/>
    </row>
    <row r="507" spans="1:6">
      <c r="A507" s="528"/>
      <c r="B507" s="531"/>
      <c r="C507" s="531"/>
      <c r="D507" s="595"/>
      <c r="E507" s="529"/>
      <c r="F507" s="530"/>
    </row>
    <row r="508" spans="1:6">
      <c r="A508" s="528"/>
      <c r="B508" s="531"/>
      <c r="C508" s="531"/>
      <c r="D508" s="595"/>
      <c r="E508" s="529"/>
      <c r="F508" s="530"/>
    </row>
    <row r="509" spans="1:6">
      <c r="A509" s="528"/>
      <c r="B509" s="531"/>
      <c r="C509" s="531"/>
      <c r="D509" s="595"/>
      <c r="E509" s="529"/>
      <c r="F509" s="530"/>
    </row>
    <row r="510" spans="1:6">
      <c r="A510" s="528"/>
      <c r="B510" s="531"/>
      <c r="C510" s="531"/>
      <c r="D510" s="595"/>
      <c r="E510" s="529"/>
      <c r="F510" s="530"/>
    </row>
    <row r="511" spans="1:6">
      <c r="A511" s="528"/>
      <c r="B511" s="531"/>
      <c r="C511" s="531"/>
      <c r="D511" s="595"/>
      <c r="E511" s="529"/>
      <c r="F511" s="530"/>
    </row>
    <row r="512" spans="1:6">
      <c r="A512" s="528"/>
      <c r="B512" s="531"/>
      <c r="C512" s="531"/>
      <c r="D512" s="595"/>
      <c r="E512" s="529"/>
      <c r="F512" s="530"/>
    </row>
    <row r="513" spans="1:6">
      <c r="A513" s="528"/>
      <c r="B513" s="531"/>
      <c r="C513" s="531"/>
      <c r="D513" s="595"/>
      <c r="E513" s="529"/>
      <c r="F513" s="530"/>
    </row>
    <row r="514" spans="1:6">
      <c r="A514" s="528"/>
      <c r="B514" s="531"/>
      <c r="C514" s="531"/>
      <c r="D514" s="595"/>
      <c r="E514" s="529"/>
      <c r="F514" s="530"/>
    </row>
    <row r="515" spans="1:6">
      <c r="A515" s="528"/>
      <c r="B515" s="531"/>
      <c r="C515" s="531"/>
      <c r="D515" s="595"/>
      <c r="E515" s="529"/>
      <c r="F515" s="530"/>
    </row>
    <row r="516" spans="1:6">
      <c r="A516" s="528"/>
      <c r="B516" s="531"/>
      <c r="C516" s="531"/>
      <c r="D516" s="595"/>
      <c r="E516" s="529"/>
      <c r="F516" s="530"/>
    </row>
    <row r="517" spans="1:6">
      <c r="A517" s="528"/>
      <c r="B517" s="531"/>
      <c r="C517" s="531"/>
      <c r="D517" s="595"/>
      <c r="E517" s="529"/>
      <c r="F517" s="530"/>
    </row>
    <row r="518" spans="1:6">
      <c r="A518" s="528"/>
      <c r="B518" s="531"/>
      <c r="C518" s="531"/>
      <c r="D518" s="595"/>
      <c r="E518" s="529"/>
      <c r="F518" s="530"/>
    </row>
    <row r="519" spans="1:6">
      <c r="A519" s="528"/>
      <c r="B519" s="531"/>
      <c r="C519" s="531"/>
      <c r="D519" s="595"/>
      <c r="E519" s="529"/>
      <c r="F519" s="530"/>
    </row>
    <row r="520" spans="1:6">
      <c r="A520" s="528"/>
      <c r="B520" s="531"/>
      <c r="C520" s="531"/>
      <c r="D520" s="595"/>
      <c r="E520" s="529"/>
      <c r="F520" s="530"/>
    </row>
    <row r="521" spans="1:6">
      <c r="A521" s="528"/>
      <c r="B521" s="531"/>
      <c r="C521" s="531"/>
      <c r="D521" s="595"/>
      <c r="E521" s="529"/>
      <c r="F521" s="530"/>
    </row>
    <row r="522" spans="1:6">
      <c r="A522" s="528"/>
      <c r="B522" s="531"/>
      <c r="C522" s="531"/>
      <c r="D522" s="595"/>
      <c r="E522" s="529"/>
      <c r="F522" s="530"/>
    </row>
    <row r="523" spans="1:6">
      <c r="A523" s="528"/>
      <c r="B523" s="531"/>
      <c r="C523" s="531"/>
      <c r="D523" s="595"/>
      <c r="E523" s="529"/>
      <c r="F523" s="530"/>
    </row>
    <row r="524" spans="1:6">
      <c r="A524" s="528"/>
      <c r="B524" s="531"/>
      <c r="C524" s="531"/>
      <c r="D524" s="595"/>
      <c r="E524" s="529"/>
      <c r="F524" s="530"/>
    </row>
    <row r="525" spans="1:6">
      <c r="A525" s="528"/>
      <c r="B525" s="531"/>
      <c r="C525" s="531"/>
      <c r="D525" s="595"/>
      <c r="E525" s="529"/>
      <c r="F525" s="530"/>
    </row>
    <row r="526" spans="1:6">
      <c r="A526" s="528"/>
      <c r="B526" s="531"/>
      <c r="C526" s="531"/>
      <c r="D526" s="595"/>
      <c r="E526" s="529"/>
      <c r="F526" s="530"/>
    </row>
    <row r="527" spans="1:6">
      <c r="A527" s="528"/>
      <c r="B527" s="531"/>
      <c r="C527" s="531"/>
      <c r="D527" s="595"/>
      <c r="E527" s="529"/>
      <c r="F527" s="530"/>
    </row>
    <row r="528" spans="1:6">
      <c r="A528" s="528"/>
      <c r="B528" s="531"/>
      <c r="C528" s="531"/>
      <c r="D528" s="595"/>
      <c r="E528" s="529"/>
      <c r="F528" s="530"/>
    </row>
    <row r="529" spans="1:6">
      <c r="A529" s="528"/>
      <c r="B529" s="531"/>
      <c r="C529" s="531"/>
      <c r="D529" s="595"/>
      <c r="E529" s="529"/>
      <c r="F529" s="530"/>
    </row>
    <row r="530" spans="1:6">
      <c r="A530" s="528"/>
      <c r="B530" s="531"/>
      <c r="C530" s="531"/>
      <c r="D530" s="595"/>
      <c r="E530" s="529"/>
      <c r="F530" s="530"/>
    </row>
    <row r="531" spans="1:6">
      <c r="A531" s="528"/>
      <c r="B531" s="531"/>
      <c r="C531" s="531"/>
      <c r="D531" s="595"/>
      <c r="E531" s="529"/>
      <c r="F531" s="530"/>
    </row>
    <row r="532" spans="1:6">
      <c r="A532" s="528"/>
      <c r="B532" s="531"/>
      <c r="C532" s="531"/>
      <c r="D532" s="595"/>
      <c r="E532" s="529"/>
      <c r="F532" s="530"/>
    </row>
    <row r="533" spans="1:6">
      <c r="A533" s="528"/>
      <c r="B533" s="531"/>
      <c r="C533" s="531"/>
      <c r="D533" s="595"/>
      <c r="E533" s="529"/>
      <c r="F533" s="530"/>
    </row>
    <row r="534" spans="1:6">
      <c r="A534" s="528"/>
      <c r="B534" s="531"/>
      <c r="C534" s="531"/>
      <c r="D534" s="595"/>
      <c r="E534" s="529"/>
      <c r="F534" s="530"/>
    </row>
    <row r="535" spans="1:6">
      <c r="A535" s="528"/>
      <c r="B535" s="531"/>
      <c r="C535" s="531"/>
      <c r="D535" s="595"/>
      <c r="E535" s="529"/>
      <c r="F535" s="530"/>
    </row>
    <row r="536" spans="1:6">
      <c r="A536" s="528"/>
      <c r="B536" s="531"/>
      <c r="C536" s="531"/>
      <c r="D536" s="595"/>
      <c r="E536" s="529"/>
      <c r="F536" s="530"/>
    </row>
    <row r="537" spans="1:6">
      <c r="A537" s="528"/>
      <c r="B537" s="531"/>
      <c r="C537" s="531"/>
      <c r="D537" s="595"/>
      <c r="E537" s="529"/>
      <c r="F537" s="530"/>
    </row>
    <row r="538" spans="1:6">
      <c r="A538" s="528"/>
      <c r="B538" s="531"/>
      <c r="C538" s="531"/>
      <c r="D538" s="595"/>
      <c r="E538" s="529"/>
      <c r="F538" s="530"/>
    </row>
    <row r="539" spans="1:6">
      <c r="A539" s="528"/>
      <c r="B539" s="531"/>
      <c r="C539" s="531"/>
      <c r="D539" s="595"/>
      <c r="E539" s="529"/>
      <c r="F539" s="530"/>
    </row>
    <row r="540" spans="1:6">
      <c r="A540" s="528"/>
      <c r="B540" s="531"/>
      <c r="C540" s="531"/>
      <c r="D540" s="595"/>
      <c r="E540" s="529"/>
      <c r="F540" s="530"/>
    </row>
    <row r="541" spans="1:6">
      <c r="A541" s="528"/>
      <c r="B541" s="531"/>
      <c r="C541" s="531"/>
      <c r="D541" s="595"/>
      <c r="E541" s="529"/>
      <c r="F541" s="530"/>
    </row>
    <row r="542" spans="1:6">
      <c r="A542" s="528"/>
      <c r="B542" s="531"/>
      <c r="C542" s="531"/>
      <c r="D542" s="595"/>
      <c r="E542" s="529"/>
      <c r="F542" s="530"/>
    </row>
    <row r="543" spans="1:6">
      <c r="A543" s="528"/>
      <c r="B543" s="531"/>
      <c r="C543" s="531"/>
      <c r="D543" s="595"/>
      <c r="E543" s="529"/>
      <c r="F543" s="530"/>
    </row>
    <row r="544" spans="1:6">
      <c r="A544" s="528"/>
      <c r="B544" s="531"/>
      <c r="C544" s="531"/>
      <c r="D544" s="595"/>
      <c r="E544" s="529"/>
      <c r="F544" s="530"/>
    </row>
    <row r="545" spans="1:6">
      <c r="A545" s="528"/>
      <c r="B545" s="531"/>
      <c r="C545" s="531"/>
      <c r="D545" s="595"/>
      <c r="E545" s="529"/>
      <c r="F545" s="530"/>
    </row>
    <row r="546" spans="1:6">
      <c r="A546" s="528"/>
      <c r="B546" s="531"/>
      <c r="C546" s="531"/>
      <c r="D546" s="595"/>
      <c r="E546" s="529"/>
      <c r="F546" s="530"/>
    </row>
    <row r="547" spans="1:6">
      <c r="A547" s="528"/>
      <c r="B547" s="531"/>
      <c r="C547" s="531"/>
      <c r="D547" s="595"/>
      <c r="E547" s="529"/>
      <c r="F547" s="530"/>
    </row>
    <row r="548" spans="1:6">
      <c r="A548" s="528"/>
      <c r="B548" s="531"/>
      <c r="C548" s="531"/>
      <c r="D548" s="595"/>
      <c r="E548" s="529"/>
      <c r="F548" s="530"/>
    </row>
    <row r="549" spans="1:6">
      <c r="A549" s="528"/>
      <c r="B549" s="531"/>
      <c r="C549" s="531"/>
      <c r="D549" s="595"/>
      <c r="E549" s="529"/>
      <c r="F549" s="530"/>
    </row>
    <row r="550" spans="1:6">
      <c r="A550" s="528"/>
      <c r="B550" s="531"/>
      <c r="C550" s="531"/>
      <c r="D550" s="595"/>
      <c r="E550" s="529"/>
      <c r="F550" s="530"/>
    </row>
    <row r="551" spans="1:6">
      <c r="A551" s="528"/>
      <c r="B551" s="531"/>
      <c r="C551" s="531"/>
      <c r="D551" s="595"/>
      <c r="E551" s="529"/>
      <c r="F551" s="530"/>
    </row>
    <row r="552" spans="1:6">
      <c r="A552" s="528"/>
      <c r="B552" s="531"/>
      <c r="C552" s="531"/>
      <c r="D552" s="595"/>
      <c r="E552" s="529"/>
      <c r="F552" s="530"/>
    </row>
    <row r="553" spans="1:6">
      <c r="A553" s="528"/>
      <c r="B553" s="531"/>
      <c r="C553" s="531"/>
      <c r="D553" s="595"/>
      <c r="E553" s="529"/>
      <c r="F553" s="530"/>
    </row>
    <row r="554" spans="1:6">
      <c r="A554" s="528"/>
      <c r="B554" s="531"/>
      <c r="C554" s="531"/>
      <c r="D554" s="595"/>
      <c r="E554" s="529"/>
      <c r="F554" s="530"/>
    </row>
    <row r="555" spans="1:6">
      <c r="A555" s="528"/>
      <c r="B555" s="531"/>
      <c r="C555" s="531"/>
      <c r="D555" s="595"/>
      <c r="E555" s="529"/>
      <c r="F555" s="530"/>
    </row>
    <row r="556" spans="1:6">
      <c r="A556" s="528"/>
      <c r="B556" s="531"/>
      <c r="C556" s="531"/>
      <c r="D556" s="595"/>
      <c r="E556" s="529"/>
      <c r="F556" s="530"/>
    </row>
    <row r="557" spans="1:6">
      <c r="A557" s="528"/>
      <c r="B557" s="531"/>
      <c r="C557" s="531"/>
      <c r="D557" s="595"/>
      <c r="E557" s="529"/>
      <c r="F557" s="530"/>
    </row>
    <row r="558" spans="1:6">
      <c r="A558" s="528"/>
      <c r="B558" s="531"/>
      <c r="C558" s="531"/>
      <c r="D558" s="595"/>
      <c r="E558" s="529"/>
      <c r="F558" s="530"/>
    </row>
    <row r="559" spans="1:6">
      <c r="A559" s="528"/>
      <c r="B559" s="531"/>
      <c r="C559" s="531"/>
      <c r="D559" s="595"/>
      <c r="E559" s="529"/>
      <c r="F559" s="530"/>
    </row>
    <row r="560" spans="1:6">
      <c r="A560" s="528"/>
      <c r="B560" s="531"/>
      <c r="C560" s="531"/>
      <c r="D560" s="595"/>
      <c r="E560" s="529"/>
      <c r="F560" s="530"/>
    </row>
    <row r="561" spans="1:6">
      <c r="A561" s="528"/>
      <c r="B561" s="531"/>
      <c r="C561" s="531"/>
      <c r="D561" s="595"/>
      <c r="E561" s="529"/>
      <c r="F561" s="530"/>
    </row>
    <row r="562" spans="1:6">
      <c r="A562" s="528"/>
      <c r="B562" s="531"/>
      <c r="C562" s="531"/>
      <c r="D562" s="595"/>
      <c r="E562" s="529"/>
      <c r="F562" s="530"/>
    </row>
    <row r="563" spans="1:6">
      <c r="A563" s="528"/>
      <c r="B563" s="531"/>
      <c r="C563" s="531"/>
      <c r="D563" s="595"/>
      <c r="E563" s="529"/>
      <c r="F563" s="530"/>
    </row>
    <row r="564" spans="1:6">
      <c r="A564" s="528"/>
      <c r="B564" s="531"/>
      <c r="C564" s="531"/>
      <c r="D564" s="595"/>
      <c r="E564" s="529"/>
      <c r="F564" s="530"/>
    </row>
    <row r="565" spans="1:6">
      <c r="A565" s="528"/>
      <c r="B565" s="531"/>
      <c r="C565" s="531"/>
      <c r="D565" s="595"/>
      <c r="E565" s="529"/>
      <c r="F565" s="530"/>
    </row>
    <row r="566" spans="1:6">
      <c r="A566" s="528"/>
      <c r="B566" s="531"/>
      <c r="C566" s="531"/>
      <c r="D566" s="595"/>
      <c r="E566" s="529"/>
      <c r="F566" s="530"/>
    </row>
    <row r="567" spans="1:6">
      <c r="A567" s="528"/>
      <c r="B567" s="531"/>
      <c r="C567" s="531"/>
      <c r="D567" s="595"/>
      <c r="E567" s="529"/>
      <c r="F567" s="530"/>
    </row>
    <row r="568" spans="1:6">
      <c r="A568" s="528"/>
      <c r="B568" s="531"/>
      <c r="C568" s="531"/>
      <c r="D568" s="595"/>
      <c r="E568" s="529"/>
      <c r="F568" s="530"/>
    </row>
    <row r="569" spans="1:6">
      <c r="A569" s="528"/>
      <c r="B569" s="531"/>
      <c r="C569" s="531"/>
      <c r="D569" s="595"/>
      <c r="E569" s="529"/>
      <c r="F569" s="530"/>
    </row>
    <row r="570" spans="1:6">
      <c r="A570" s="528"/>
      <c r="B570" s="531"/>
      <c r="C570" s="531"/>
      <c r="D570" s="595"/>
      <c r="E570" s="529"/>
      <c r="F570" s="530"/>
    </row>
    <row r="571" spans="1:6">
      <c r="A571" s="528"/>
      <c r="B571" s="531"/>
      <c r="C571" s="531"/>
      <c r="D571" s="595"/>
      <c r="E571" s="529"/>
      <c r="F571" s="530"/>
    </row>
    <row r="572" spans="1:6">
      <c r="A572" s="528"/>
      <c r="B572" s="531"/>
      <c r="C572" s="531"/>
      <c r="D572" s="595"/>
      <c r="E572" s="529"/>
      <c r="F572" s="530"/>
    </row>
    <row r="573" spans="1:6">
      <c r="A573" s="528"/>
      <c r="B573" s="531"/>
      <c r="C573" s="531"/>
      <c r="D573" s="595"/>
      <c r="E573" s="529"/>
      <c r="F573" s="530"/>
    </row>
    <row r="574" spans="1:6">
      <c r="A574" s="528"/>
      <c r="B574" s="531"/>
      <c r="C574" s="531"/>
      <c r="D574" s="595"/>
      <c r="E574" s="529"/>
      <c r="F574" s="530"/>
    </row>
    <row r="575" spans="1:6">
      <c r="A575" s="528"/>
      <c r="B575" s="531"/>
      <c r="C575" s="531"/>
      <c r="D575" s="595"/>
      <c r="E575" s="529"/>
      <c r="F575" s="530"/>
    </row>
    <row r="576" spans="1:6">
      <c r="A576" s="528"/>
      <c r="B576" s="531"/>
      <c r="C576" s="531"/>
      <c r="D576" s="595"/>
      <c r="E576" s="529"/>
      <c r="F576" s="530"/>
    </row>
    <row r="577" spans="1:6">
      <c r="A577" s="528"/>
      <c r="B577" s="531"/>
      <c r="C577" s="531"/>
      <c r="D577" s="595"/>
      <c r="E577" s="529"/>
      <c r="F577" s="530"/>
    </row>
    <row r="578" spans="1:6">
      <c r="A578" s="528"/>
      <c r="B578" s="531"/>
      <c r="C578" s="531"/>
      <c r="D578" s="595"/>
      <c r="E578" s="529"/>
      <c r="F578" s="530"/>
    </row>
    <row r="579" spans="1:6">
      <c r="A579" s="528"/>
      <c r="B579" s="531"/>
      <c r="C579" s="531"/>
      <c r="D579" s="595"/>
      <c r="E579" s="529"/>
      <c r="F579" s="530"/>
    </row>
    <row r="580" spans="1:6">
      <c r="A580" s="528"/>
      <c r="B580" s="531"/>
      <c r="C580" s="531"/>
      <c r="D580" s="595"/>
      <c r="E580" s="529"/>
      <c r="F580" s="530"/>
    </row>
  </sheetData>
  <autoFilter ref="A5:F249" xr:uid="{A70F4435-8F6A-46E1-ABC3-191089FBAB2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5EF3-3BF4-46FB-82E3-2AF294FF58C7}">
  <sheetPr>
    <tabColor rgb="FFFF0000"/>
  </sheetPr>
  <dimension ref="A1:M26"/>
  <sheetViews>
    <sheetView showGridLines="0" zoomScale="80" zoomScaleNormal="80" workbookViewId="0">
      <selection activeCell="F22" sqref="F22"/>
    </sheetView>
  </sheetViews>
  <sheetFormatPr defaultRowHeight="14.4"/>
  <cols>
    <col min="4" max="4" width="12.44140625" bestFit="1" customWidth="1"/>
    <col min="7" max="7" width="24.5546875" customWidth="1"/>
  </cols>
  <sheetData>
    <row r="1" spans="1:13">
      <c r="A1" s="421">
        <v>46260</v>
      </c>
      <c r="C1" s="412"/>
    </row>
    <row r="2" spans="1:13">
      <c r="C2" s="412"/>
      <c r="D2" s="24"/>
    </row>
    <row r="3" spans="1:13">
      <c r="C3" s="412"/>
      <c r="D3" s="24"/>
    </row>
    <row r="4" spans="1:13" ht="29.4" thickBot="1">
      <c r="B4" s="413"/>
      <c r="C4" s="413" t="s">
        <v>94</v>
      </c>
      <c r="D4" s="414" t="s">
        <v>49</v>
      </c>
      <c r="E4" s="415" t="s">
        <v>2717</v>
      </c>
      <c r="F4" s="416" t="s">
        <v>2544</v>
      </c>
      <c r="G4" s="417" t="s">
        <v>65</v>
      </c>
    </row>
    <row r="5" spans="1:13">
      <c r="B5" s="443" t="str">
        <f>INDEX('Data Lokasi'!$B:$B,MATCH(Kroscek!$C5,'Data Lokasi'!$C:$C,0))</f>
        <v>W03</v>
      </c>
      <c r="C5" s="443" t="s">
        <v>708</v>
      </c>
      <c r="D5" s="444">
        <v>7.91</v>
      </c>
      <c r="E5" s="444">
        <f>SUMIFS('Input Real Tanam&amp;Petik Nanas'!$J:$J,'Input Real Tanam&amp;Petik Nanas'!$C:$C,Kroscek!$C5)</f>
        <v>7.41</v>
      </c>
      <c r="F5" s="445">
        <f t="shared" ref="F5:F25" si="0">E5-D5</f>
        <v>-0.5</v>
      </c>
      <c r="G5" s="446"/>
    </row>
    <row r="6" spans="1:13">
      <c r="B6" s="418" t="str">
        <f>INDEX('Data Lokasi'!$B:$B,MATCH(Kroscek!$C6,'Data Lokasi'!$C:$C,0))</f>
        <v>W02</v>
      </c>
      <c r="C6" s="418" t="s">
        <v>121</v>
      </c>
      <c r="D6" s="436">
        <v>4.9399999999999995</v>
      </c>
      <c r="E6" s="436">
        <f>SUMIFS('Input Real Tanam&amp;Petik Nanas'!$J:$J,'Input Real Tanam&amp;Petik Nanas'!$C:$C,Kroscek!$C6)+6.81</f>
        <v>11.75</v>
      </c>
      <c r="F6" s="419">
        <f t="shared" si="0"/>
        <v>6.8100000000000005</v>
      </c>
      <c r="G6" s="420" t="s">
        <v>2718</v>
      </c>
    </row>
    <row r="7" spans="1:13">
      <c r="B7" s="295" t="str">
        <f>INDEX('Data Lokasi'!$B:$B,MATCH(Kroscek!$C7,'Data Lokasi'!$C:$C,0))</f>
        <v>W01</v>
      </c>
      <c r="C7" s="295" t="s">
        <v>2126</v>
      </c>
      <c r="D7" s="447">
        <v>3.75</v>
      </c>
      <c r="E7" s="447">
        <f>SUMIFS('Input Real Tanam&amp;Petik Nanas'!$J:$J,'Input Real Tanam&amp;Petik Nanas'!$C:$C,Kroscek!$C7)</f>
        <v>4.7700000000000005</v>
      </c>
      <c r="F7" s="293">
        <f t="shared" si="0"/>
        <v>1.0200000000000005</v>
      </c>
      <c r="G7" s="294"/>
    </row>
    <row r="8" spans="1:13">
      <c r="B8" s="418" t="str">
        <f>INDEX('Data Lokasi'!$B:$B,MATCH(Kroscek!$C8,'Data Lokasi'!$C:$C,0))</f>
        <v>W01</v>
      </c>
      <c r="C8" s="418" t="s">
        <v>2127</v>
      </c>
      <c r="D8" s="436">
        <v>2.66</v>
      </c>
      <c r="E8" s="436">
        <f>SUMIFS('Input Real Tanam&amp;Petik Nanas'!$J:$J,'Input Real Tanam&amp;Petik Nanas'!$C:$C,Kroscek!$C8)</f>
        <v>6.5400000000000009</v>
      </c>
      <c r="F8" s="419">
        <f t="shared" si="0"/>
        <v>3.8800000000000008</v>
      </c>
      <c r="G8" s="420"/>
    </row>
    <row r="9" spans="1:13">
      <c r="B9" s="295" t="str">
        <f>INDEX('Data Lokasi'!$B:$B,MATCH(Kroscek!$C9,'Data Lokasi'!$C:$C,0))</f>
        <v>W01</v>
      </c>
      <c r="C9" s="295" t="s">
        <v>120</v>
      </c>
      <c r="D9" s="447">
        <v>8.8699999999999992</v>
      </c>
      <c r="E9" s="447">
        <f>SUMIFS('Input Real Tanam&amp;Petik Nanas'!$J:$J,'Input Real Tanam&amp;Petik Nanas'!$C:$C,Kroscek!$C9)</f>
        <v>4.7300000000000004</v>
      </c>
      <c r="F9" s="293">
        <f t="shared" si="0"/>
        <v>-4.1399999999999988</v>
      </c>
      <c r="G9" s="294"/>
    </row>
    <row r="10" spans="1:13">
      <c r="B10" s="418" t="str">
        <f>INDEX('Data Lokasi'!$B:$B,MATCH(Kroscek!$C10,'Data Lokasi'!$C:$C,0))</f>
        <v>W02</v>
      </c>
      <c r="C10" s="418" t="s">
        <v>149</v>
      </c>
      <c r="D10" s="436">
        <v>4.96</v>
      </c>
      <c r="E10" s="436">
        <f>SUMIFS('Input Real Tanam&amp;Petik Nanas'!$J:$J,'Input Real Tanam&amp;Petik Nanas'!$C:$C,Kroscek!$C10)</f>
        <v>4.05</v>
      </c>
      <c r="F10" s="419">
        <f t="shared" si="0"/>
        <v>-0.91000000000000014</v>
      </c>
      <c r="G10" s="420"/>
    </row>
    <row r="11" spans="1:13">
      <c r="B11" s="295" t="str">
        <f>INDEX('Data Lokasi'!$B:$B,MATCH(Kroscek!$C11,'Data Lokasi'!$C:$C,0))</f>
        <v>W02</v>
      </c>
      <c r="C11" s="295" t="s">
        <v>244</v>
      </c>
      <c r="D11" s="447">
        <v>11.120000000000001</v>
      </c>
      <c r="E11" s="447">
        <f>SUMIFS('Input Real Tanam&amp;Petik Nanas'!$J:$J,'Input Real Tanam&amp;Petik Nanas'!$C:$C,Kroscek!$C11)</f>
        <v>11.179999999999998</v>
      </c>
      <c r="F11" s="293">
        <f t="shared" si="0"/>
        <v>5.9999999999996945E-2</v>
      </c>
      <c r="G11" s="294"/>
      <c r="M11" s="356"/>
    </row>
    <row r="12" spans="1:13">
      <c r="B12" s="418" t="str">
        <f>INDEX('Data Lokasi'!$B:$B,MATCH(Kroscek!$C12,'Data Lokasi'!$C:$C,0))</f>
        <v>W03</v>
      </c>
      <c r="C12" s="418" t="s">
        <v>2646</v>
      </c>
      <c r="D12" s="436">
        <v>8.3300000000000018</v>
      </c>
      <c r="E12" s="436">
        <f>SUMIFS('Input Real Tanam&amp;Petik Nanas'!$J:$J,'Input Real Tanam&amp;Petik Nanas'!$C:$C,Kroscek!$C12)</f>
        <v>5.9699999999999989</v>
      </c>
      <c r="F12" s="419">
        <f t="shared" si="0"/>
        <v>-2.360000000000003</v>
      </c>
      <c r="G12" s="420"/>
    </row>
    <row r="13" spans="1:13">
      <c r="B13" s="295" t="str">
        <f>INDEX('Data Lokasi'!$B:$B,MATCH(Kroscek!$C13,'Data Lokasi'!$C:$C,0))</f>
        <v>W03</v>
      </c>
      <c r="C13" s="295" t="s">
        <v>2647</v>
      </c>
      <c r="D13" s="447">
        <v>6.1099999999999985</v>
      </c>
      <c r="E13" s="447">
        <f>SUMIFS('Input Real Tanam&amp;Petik Nanas'!$J:$J,'Input Real Tanam&amp;Petik Nanas'!$C:$C,Kroscek!$C13)</f>
        <v>6.1199999999999983</v>
      </c>
      <c r="F13" s="293">
        <f t="shared" si="0"/>
        <v>9.9999999999997868E-3</v>
      </c>
      <c r="G13" s="294"/>
    </row>
    <row r="14" spans="1:13">
      <c r="B14" s="418" t="str">
        <f>INDEX('Data Lokasi'!$B:$B,MATCH(Kroscek!$C14,'Data Lokasi'!$C:$C,0))</f>
        <v>W03</v>
      </c>
      <c r="C14" s="418" t="s">
        <v>692</v>
      </c>
      <c r="D14" s="436">
        <v>3.9699999999999998</v>
      </c>
      <c r="E14" s="436">
        <f>SUMIFS('Input Real Tanam&amp;Petik Nanas'!$J:$J,'Input Real Tanam&amp;Petik Nanas'!$C:$C,Kroscek!$C14)</f>
        <v>3.76</v>
      </c>
      <c r="F14" s="419">
        <f t="shared" si="0"/>
        <v>-0.20999999999999996</v>
      </c>
      <c r="G14" s="420"/>
    </row>
    <row r="15" spans="1:13">
      <c r="B15" s="295" t="str">
        <f>INDEX('Data Lokasi'!$B:$B,MATCH(Kroscek!$C15,'Data Lokasi'!$C:$C,0))</f>
        <v>W03</v>
      </c>
      <c r="C15" s="295" t="s">
        <v>710</v>
      </c>
      <c r="D15" s="447">
        <v>8.7200000000000006</v>
      </c>
      <c r="E15" s="447">
        <f>SUMIFS('Input Real Tanam&amp;Petik Nanas'!$J:$J,'Input Real Tanam&amp;Petik Nanas'!$C:$C,Kroscek!$C15)</f>
        <v>7.05</v>
      </c>
      <c r="F15" s="293">
        <f t="shared" si="0"/>
        <v>-1.6700000000000008</v>
      </c>
      <c r="G15" s="294"/>
    </row>
    <row r="16" spans="1:13">
      <c r="B16" s="418" t="str">
        <f>INDEX('Data Lokasi'!$B:$B,MATCH(Kroscek!$C16,'Data Lokasi'!$C:$C,0))</f>
        <v>W03</v>
      </c>
      <c r="C16" s="418" t="s">
        <v>234</v>
      </c>
      <c r="D16" s="436">
        <v>6.1199999999999992</v>
      </c>
      <c r="E16" s="436">
        <f>SUMIFS('Input Real Tanam&amp;Petik Nanas'!$J:$J,'Input Real Tanam&amp;Petik Nanas'!$C:$C,Kroscek!$C16)</f>
        <v>6.1000000000000014</v>
      </c>
      <c r="F16" s="419">
        <f t="shared" si="0"/>
        <v>-1.9999999999997797E-2</v>
      </c>
      <c r="G16" s="420"/>
    </row>
    <row r="17" spans="2:7">
      <c r="B17" s="295" t="str">
        <f>INDEX('Data Lokasi'!$B:$B,MATCH(Kroscek!$C17,'Data Lokasi'!$C:$C,0))</f>
        <v>W04</v>
      </c>
      <c r="C17" s="295" t="s">
        <v>2691</v>
      </c>
      <c r="D17" s="447">
        <v>5.2700000000000005</v>
      </c>
      <c r="E17" s="447">
        <f>SUMIFS('Input Real Tanam&amp;Petik Nanas'!$J:$J,'Input Real Tanam&amp;Petik Nanas'!$C:$C,Kroscek!$C17)</f>
        <v>5.37</v>
      </c>
      <c r="F17" s="293">
        <f t="shared" si="0"/>
        <v>9.9999999999999645E-2</v>
      </c>
      <c r="G17" s="294"/>
    </row>
    <row r="18" spans="2:7">
      <c r="B18" s="418" t="str">
        <f>INDEX('Data Lokasi'!$B:$B,MATCH(Kroscek!$C18,'Data Lokasi'!$C:$C,0))</f>
        <v>W04</v>
      </c>
      <c r="C18" s="418" t="s">
        <v>2692</v>
      </c>
      <c r="D18" s="436">
        <v>8.5899999999999981</v>
      </c>
      <c r="E18" s="436">
        <f>SUMIFS('Input Real Tanam&amp;Petik Nanas'!$J:$J,'Input Real Tanam&amp;Petik Nanas'!$C:$C,Kroscek!$C18)</f>
        <v>8.9599999999999991</v>
      </c>
      <c r="F18" s="419">
        <f t="shared" si="0"/>
        <v>0.37000000000000099</v>
      </c>
      <c r="G18" s="420"/>
    </row>
    <row r="19" spans="2:7">
      <c r="B19" s="295" t="str">
        <f>INDEX('Data Lokasi'!$B:$B,MATCH(Kroscek!$C19,'Data Lokasi'!$C:$C,0))</f>
        <v>W05</v>
      </c>
      <c r="C19" s="295" t="s">
        <v>680</v>
      </c>
      <c r="D19" s="447">
        <v>5.42</v>
      </c>
      <c r="E19" s="447">
        <f>SUMIFS('Input Real Tanam&amp;Petik Nanas'!$J:$J,'Input Real Tanam&amp;Petik Nanas'!$C:$C,Kroscek!$C19)</f>
        <v>5.3800000000000008</v>
      </c>
      <c r="F19" s="293">
        <f t="shared" si="0"/>
        <v>-3.9999999999999147E-2</v>
      </c>
      <c r="G19" s="294"/>
    </row>
    <row r="20" spans="2:7">
      <c r="B20" s="418" t="str">
        <f>INDEX('Data Lokasi'!$B:$B,MATCH(Kroscek!$C20,'Data Lokasi'!$C:$C,0))</f>
        <v>W04</v>
      </c>
      <c r="C20" s="418" t="s">
        <v>281</v>
      </c>
      <c r="D20" s="436">
        <v>3.6999999999999997</v>
      </c>
      <c r="E20" s="436">
        <f>SUMIFS('Input Real Tanam&amp;Petik Nanas'!$J:$J,'Input Real Tanam&amp;Petik Nanas'!$C:$C,Kroscek!$C20)</f>
        <v>8.6699999999999964</v>
      </c>
      <c r="F20" s="419">
        <f t="shared" si="0"/>
        <v>4.9699999999999971</v>
      </c>
      <c r="G20" s="420"/>
    </row>
    <row r="21" spans="2:7">
      <c r="B21" s="295" t="str">
        <f>INDEX('Data Lokasi'!$B:$B,MATCH(Kroscek!$C21,'Data Lokasi'!$C:$C,0))</f>
        <v>W04</v>
      </c>
      <c r="C21" s="295" t="s">
        <v>233</v>
      </c>
      <c r="D21" s="447">
        <v>9.8800000000000008</v>
      </c>
      <c r="E21" s="447">
        <f>SUMIFS('Input Real Tanam&amp;Petik Nanas'!$J:$J,'Input Real Tanam&amp;Petik Nanas'!$C:$C,Kroscek!$C21)</f>
        <v>9.3600000000000012</v>
      </c>
      <c r="F21" s="293">
        <f t="shared" si="0"/>
        <v>-0.51999999999999957</v>
      </c>
      <c r="G21" s="294"/>
    </row>
    <row r="22" spans="2:7">
      <c r="B22" s="418" t="str">
        <f>INDEX('Data Lokasi'!$B:$B,MATCH(Kroscek!$C22,'Data Lokasi'!$C:$C,0))</f>
        <v>W04</v>
      </c>
      <c r="C22" s="418" t="s">
        <v>336</v>
      </c>
      <c r="D22" s="436">
        <v>3.8</v>
      </c>
      <c r="E22" s="436">
        <f>SUMIFS('Input Real Tanam&amp;Petik Nanas'!$J:$J,'Input Real Tanam&amp;Petik Nanas'!$C:$C,Kroscek!$C22)</f>
        <v>2.9899999999999998</v>
      </c>
      <c r="F22" s="419">
        <f t="shared" si="0"/>
        <v>-0.81</v>
      </c>
      <c r="G22" s="420"/>
    </row>
    <row r="23" spans="2:7">
      <c r="B23" s="295" t="str">
        <f>INDEX('Data Lokasi'!$B:$B,MATCH(Kroscek!$C23,'Data Lokasi'!$C:$C,0))</f>
        <v>W04</v>
      </c>
      <c r="C23" s="295" t="s">
        <v>267</v>
      </c>
      <c r="D23" s="447">
        <v>8.3099999999999987</v>
      </c>
      <c r="E23" s="447">
        <f>SUMIFS('Input Real Tanam&amp;Petik Nanas'!$J:$J,'Input Real Tanam&amp;Petik Nanas'!$C:$C,Kroscek!$C23)</f>
        <v>7.8299999999999983</v>
      </c>
      <c r="F23" s="293">
        <f t="shared" si="0"/>
        <v>-0.48000000000000043</v>
      </c>
      <c r="G23" s="294"/>
    </row>
    <row r="24" spans="2:7">
      <c r="B24" s="418" t="str">
        <f>INDEX('Data Lokasi'!$B:$B,MATCH(Kroscek!$C24,'Data Lokasi'!$C:$C,0))</f>
        <v>W04</v>
      </c>
      <c r="C24" s="418" t="s">
        <v>285</v>
      </c>
      <c r="D24" s="436">
        <v>0.5</v>
      </c>
      <c r="E24" s="436">
        <f>SUMIFS('Input Real Tanam&amp;Petik Nanas'!$J:$J,'Input Real Tanam&amp;Petik Nanas'!$C:$C,Kroscek!$C24)</f>
        <v>12.600000000000001</v>
      </c>
      <c r="F24" s="419">
        <f t="shared" si="0"/>
        <v>12.100000000000001</v>
      </c>
      <c r="G24" s="420"/>
    </row>
    <row r="25" spans="2:7">
      <c r="B25" s="295" t="str">
        <f>INDEX('Data Lokasi'!$B:$B,MATCH(Kroscek!$C25,'Data Lokasi'!$C:$C,0))</f>
        <v>W01</v>
      </c>
      <c r="C25" s="295" t="s">
        <v>2712</v>
      </c>
      <c r="D25" s="447">
        <v>0.67</v>
      </c>
      <c r="E25" s="447">
        <f>SUMIFS('Input Real Tanam&amp;Petik Nanas'!$J:$J,'Input Real Tanam&amp;Petik Nanas'!$C:$C,Kroscek!$C25)</f>
        <v>6.0200000000000005</v>
      </c>
      <c r="F25" s="293">
        <f t="shared" si="0"/>
        <v>5.3500000000000005</v>
      </c>
      <c r="G25" s="294"/>
    </row>
    <row r="26" spans="2:7">
      <c r="B26" s="287"/>
      <c r="C26" s="287"/>
      <c r="D26" s="438">
        <f>SUM(D5:D25)</f>
        <v>123.60000000000001</v>
      </c>
      <c r="E26" s="438">
        <f>SUM(E5:E25)</f>
        <v>146.61000000000001</v>
      </c>
      <c r="F26" s="439">
        <f>E26-D26</f>
        <v>23.010000000000005</v>
      </c>
      <c r="G26" s="287"/>
    </row>
  </sheetData>
  <sortState xmlns:xlrd2="http://schemas.microsoft.com/office/spreadsheetml/2017/richdata2" ref="Q5:R25">
    <sortCondition ref="Q5:Q25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B4D9-6ACB-4D8A-8F87-19E6A94608A3}">
  <dimension ref="A1:B1"/>
  <sheetViews>
    <sheetView workbookViewId="0">
      <selection activeCell="C1" sqref="C1"/>
    </sheetView>
  </sheetViews>
  <sheetFormatPr defaultRowHeight="14.4"/>
  <sheetData>
    <row r="1" spans="1:2">
      <c r="A1" t="s">
        <v>2768</v>
      </c>
      <c r="B1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A8B1-7CEE-48ED-89C9-7475E017D742}">
  <dimension ref="B1:F7"/>
  <sheetViews>
    <sheetView showGridLines="0" zoomScale="80" zoomScaleNormal="80" workbookViewId="0">
      <selection activeCell="B1" sqref="B1:F6"/>
    </sheetView>
  </sheetViews>
  <sheetFormatPr defaultRowHeight="14.4"/>
  <cols>
    <col min="2" max="2" width="10.5546875" bestFit="1" customWidth="1"/>
    <col min="3" max="3" width="16.5546875" bestFit="1" customWidth="1"/>
    <col min="6" max="6" width="13.88671875" customWidth="1"/>
  </cols>
  <sheetData>
    <row r="1" spans="2:6" ht="15" thickBot="1">
      <c r="B1" s="390" t="s">
        <v>2721</v>
      </c>
    </row>
    <row r="2" spans="2:6" ht="15" thickTop="1">
      <c r="B2" s="391" t="s">
        <v>94</v>
      </c>
      <c r="C2" s="392" t="s">
        <v>2700</v>
      </c>
      <c r="D2" s="393" t="s">
        <v>2684</v>
      </c>
      <c r="E2" s="394" t="s">
        <v>2544</v>
      </c>
      <c r="F2" s="395" t="s">
        <v>2699</v>
      </c>
    </row>
    <row r="3" spans="2:6">
      <c r="B3" s="400" t="s">
        <v>2646</v>
      </c>
      <c r="C3" s="401">
        <v>2.2500000000000004</v>
      </c>
      <c r="D3" s="402">
        <v>2.2800000000000002</v>
      </c>
      <c r="E3" s="402">
        <f>D3-C3</f>
        <v>2.9999999999999805E-2</v>
      </c>
      <c r="F3" s="403" t="s">
        <v>2697</v>
      </c>
    </row>
    <row r="4" spans="2:6">
      <c r="B4" s="396" t="s">
        <v>680</v>
      </c>
      <c r="C4" s="397">
        <v>1.33</v>
      </c>
      <c r="D4" s="398">
        <v>1.3</v>
      </c>
      <c r="E4" s="398">
        <f t="shared" ref="E4:E6" si="0">D4-C4</f>
        <v>-3.0000000000000027E-2</v>
      </c>
      <c r="F4" s="399" t="s">
        <v>2698</v>
      </c>
    </row>
    <row r="5" spans="2:6">
      <c r="B5" s="396" t="s">
        <v>684</v>
      </c>
      <c r="C5" s="397">
        <v>1.75</v>
      </c>
      <c r="D5" s="398">
        <v>1.36</v>
      </c>
      <c r="E5" s="398">
        <f t="shared" si="0"/>
        <v>-0.3899999999999999</v>
      </c>
      <c r="F5" s="399" t="s">
        <v>2698</v>
      </c>
    </row>
    <row r="6" spans="2:6">
      <c r="B6" s="396" t="s">
        <v>677</v>
      </c>
      <c r="C6" s="397">
        <v>0.47</v>
      </c>
      <c r="D6" s="398">
        <v>0.86</v>
      </c>
      <c r="E6" s="398">
        <f t="shared" si="0"/>
        <v>0.39</v>
      </c>
      <c r="F6" s="399" t="s">
        <v>2697</v>
      </c>
    </row>
    <row r="7" spans="2:6">
      <c r="B7" s="59"/>
      <c r="C7" s="59"/>
      <c r="D7" s="59"/>
      <c r="E7" s="59"/>
      <c r="F7" s="59"/>
    </row>
  </sheetData>
  <conditionalFormatting sqref="F3:F6">
    <cfRule type="containsText" dxfId="0" priority="1" operator="containsText" text="Difisit">
      <formula>NOT(ISERROR(SEARCH("Difisit",F3)))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1790-02C4-45E4-8D85-1BB4AF1BDE74}">
  <dimension ref="C2:H115"/>
  <sheetViews>
    <sheetView topLeftCell="A88" workbookViewId="0">
      <selection activeCell="H114" sqref="H114"/>
    </sheetView>
  </sheetViews>
  <sheetFormatPr defaultRowHeight="14.4"/>
  <cols>
    <col min="5" max="5" width="10.109375" bestFit="1" customWidth="1"/>
  </cols>
  <sheetData>
    <row r="2" spans="3:8">
      <c r="C2" s="364" t="s">
        <v>2664</v>
      </c>
      <c r="D2" s="364" t="s">
        <v>2665</v>
      </c>
      <c r="E2" s="364" t="s">
        <v>2666</v>
      </c>
    </row>
    <row r="3" spans="3:8">
      <c r="C3" s="365" t="s">
        <v>678</v>
      </c>
      <c r="D3" s="365" t="s">
        <v>2625</v>
      </c>
      <c r="E3" s="365" t="s">
        <v>718</v>
      </c>
      <c r="G3" s="365"/>
      <c r="H3" s="365"/>
    </row>
    <row r="4" spans="3:8">
      <c r="C4" s="365" t="s">
        <v>676</v>
      </c>
      <c r="D4" s="365" t="s">
        <v>2625</v>
      </c>
      <c r="E4" s="365" t="s">
        <v>718</v>
      </c>
      <c r="G4" s="365"/>
      <c r="H4" s="365"/>
    </row>
    <row r="5" spans="3:8">
      <c r="C5" s="365" t="s">
        <v>658</v>
      </c>
      <c r="D5" s="365" t="s">
        <v>2625</v>
      </c>
      <c r="E5" s="365" t="s">
        <v>718</v>
      </c>
      <c r="G5" s="365"/>
      <c r="H5" s="365"/>
    </row>
    <row r="6" spans="3:8">
      <c r="C6" s="365" t="s">
        <v>652</v>
      </c>
      <c r="D6" s="365" t="s">
        <v>2625</v>
      </c>
      <c r="E6" s="365" t="s">
        <v>2667</v>
      </c>
      <c r="G6" s="365"/>
      <c r="H6" s="365"/>
    </row>
    <row r="7" spans="3:8">
      <c r="C7" s="365" t="s">
        <v>348</v>
      </c>
      <c r="D7" s="365" t="s">
        <v>719</v>
      </c>
      <c r="E7" s="365" t="s">
        <v>2624</v>
      </c>
      <c r="G7" s="365"/>
      <c r="H7" s="365"/>
    </row>
    <row r="8" spans="3:8">
      <c r="C8" s="365" t="s">
        <v>674</v>
      </c>
      <c r="D8" s="365" t="s">
        <v>2625</v>
      </c>
      <c r="E8" s="365" t="s">
        <v>718</v>
      </c>
      <c r="G8" s="365"/>
      <c r="H8" s="365"/>
    </row>
    <row r="9" spans="3:8">
      <c r="C9" s="365" t="s">
        <v>271</v>
      </c>
      <c r="D9" s="365" t="s">
        <v>2625</v>
      </c>
      <c r="E9" s="365" t="s">
        <v>718</v>
      </c>
      <c r="G9" s="365"/>
      <c r="H9" s="365"/>
    </row>
    <row r="10" spans="3:8">
      <c r="C10" s="365" t="s">
        <v>424</v>
      </c>
      <c r="D10" s="365" t="s">
        <v>719</v>
      </c>
      <c r="E10" s="365" t="s">
        <v>2624</v>
      </c>
      <c r="G10" s="365"/>
      <c r="H10" s="365"/>
    </row>
    <row r="11" spans="3:8">
      <c r="C11" s="365" t="s">
        <v>334</v>
      </c>
      <c r="D11" s="365" t="s">
        <v>2625</v>
      </c>
      <c r="E11" s="365" t="s">
        <v>718</v>
      </c>
      <c r="G11" s="365"/>
      <c r="H11" s="365"/>
    </row>
    <row r="12" spans="3:8">
      <c r="C12" s="365" t="s">
        <v>2608</v>
      </c>
      <c r="D12" s="365" t="s">
        <v>719</v>
      </c>
      <c r="E12" s="365" t="s">
        <v>2623</v>
      </c>
      <c r="G12" s="365"/>
      <c r="H12" s="365"/>
    </row>
    <row r="13" spans="3:8">
      <c r="C13" s="365" t="s">
        <v>2621</v>
      </c>
      <c r="D13" s="365" t="s">
        <v>719</v>
      </c>
      <c r="E13" s="365" t="s">
        <v>718</v>
      </c>
      <c r="G13" s="365"/>
      <c r="H13" s="365"/>
    </row>
    <row r="14" spans="3:8">
      <c r="C14" s="365" t="s">
        <v>2609</v>
      </c>
      <c r="D14" s="365" t="s">
        <v>719</v>
      </c>
      <c r="E14" s="365" t="s">
        <v>2624</v>
      </c>
      <c r="G14" s="365"/>
      <c r="H14" s="365"/>
    </row>
    <row r="15" spans="3:8">
      <c r="C15" s="365" t="s">
        <v>237</v>
      </c>
      <c r="D15" s="365" t="s">
        <v>2625</v>
      </c>
      <c r="E15" s="365" t="s">
        <v>2667</v>
      </c>
      <c r="G15" s="365"/>
      <c r="H15" s="365"/>
    </row>
    <row r="16" spans="3:8">
      <c r="C16" s="365" t="s">
        <v>663</v>
      </c>
      <c r="D16" s="365" t="s">
        <v>719</v>
      </c>
      <c r="E16" s="365" t="s">
        <v>2624</v>
      </c>
      <c r="G16" s="365"/>
      <c r="H16" s="365"/>
    </row>
    <row r="17" spans="3:8">
      <c r="C17" s="365" t="s">
        <v>691</v>
      </c>
      <c r="D17" s="365" t="s">
        <v>2625</v>
      </c>
      <c r="E17" s="365" t="s">
        <v>718</v>
      </c>
      <c r="G17" s="365"/>
      <c r="H17" s="365"/>
    </row>
    <row r="18" spans="3:8">
      <c r="C18" s="365" t="s">
        <v>682</v>
      </c>
      <c r="D18" s="365" t="s">
        <v>2625</v>
      </c>
      <c r="E18" s="365" t="s">
        <v>718</v>
      </c>
      <c r="G18" s="365"/>
      <c r="H18" s="365"/>
    </row>
    <row r="19" spans="3:8">
      <c r="C19" s="365" t="s">
        <v>163</v>
      </c>
      <c r="D19" s="365" t="s">
        <v>719</v>
      </c>
      <c r="E19" s="365" t="s">
        <v>2624</v>
      </c>
      <c r="G19" s="365"/>
      <c r="H19" s="365"/>
    </row>
    <row r="20" spans="3:8">
      <c r="C20" s="365" t="s">
        <v>250</v>
      </c>
      <c r="D20" s="365" t="s">
        <v>2625</v>
      </c>
      <c r="E20" s="365" t="s">
        <v>718</v>
      </c>
      <c r="G20" s="365"/>
      <c r="H20" s="365"/>
    </row>
    <row r="21" spans="3:8">
      <c r="C21" s="365" t="s">
        <v>373</v>
      </c>
      <c r="D21" s="365" t="s">
        <v>719</v>
      </c>
      <c r="E21" s="365" t="s">
        <v>2624</v>
      </c>
      <c r="G21" s="365"/>
      <c r="H21" s="365"/>
    </row>
    <row r="22" spans="3:8">
      <c r="C22" s="365" t="s">
        <v>366</v>
      </c>
      <c r="D22" s="365" t="s">
        <v>719</v>
      </c>
      <c r="E22" s="365" t="s">
        <v>2624</v>
      </c>
      <c r="G22" s="365"/>
      <c r="H22" s="365"/>
    </row>
    <row r="23" spans="3:8">
      <c r="C23" s="365" t="s">
        <v>2612</v>
      </c>
      <c r="D23" s="365" t="s">
        <v>2625</v>
      </c>
      <c r="E23" s="365" t="s">
        <v>718</v>
      </c>
      <c r="G23" s="365"/>
      <c r="H23" s="365"/>
    </row>
    <row r="24" spans="3:8">
      <c r="C24" s="365" t="s">
        <v>2611</v>
      </c>
      <c r="D24" s="365" t="s">
        <v>2625</v>
      </c>
      <c r="E24" s="365" t="s">
        <v>2667</v>
      </c>
      <c r="G24" s="365"/>
      <c r="H24" s="365"/>
    </row>
    <row r="25" spans="3:8">
      <c r="C25" s="365" t="s">
        <v>552</v>
      </c>
      <c r="D25" s="365" t="s">
        <v>2625</v>
      </c>
      <c r="E25" s="365" t="s">
        <v>718</v>
      </c>
      <c r="G25" s="365"/>
      <c r="H25" s="365"/>
    </row>
    <row r="26" spans="3:8">
      <c r="C26" s="365" t="s">
        <v>2614</v>
      </c>
      <c r="D26" s="365" t="s">
        <v>719</v>
      </c>
      <c r="E26" s="365" t="s">
        <v>2624</v>
      </c>
      <c r="G26" s="365"/>
      <c r="H26" s="365"/>
    </row>
    <row r="27" spans="3:8">
      <c r="C27" s="365" t="s">
        <v>641</v>
      </c>
      <c r="D27" s="365" t="s">
        <v>2625</v>
      </c>
      <c r="E27" s="365" t="s">
        <v>718</v>
      </c>
      <c r="G27" s="365"/>
      <c r="H27" s="365"/>
    </row>
    <row r="28" spans="3:8">
      <c r="C28" s="365" t="s">
        <v>169</v>
      </c>
      <c r="D28" s="365" t="s">
        <v>2625</v>
      </c>
      <c r="E28" s="365" t="s">
        <v>718</v>
      </c>
      <c r="G28" s="365"/>
      <c r="H28" s="365"/>
    </row>
    <row r="29" spans="3:8">
      <c r="C29" s="365" t="s">
        <v>208</v>
      </c>
      <c r="D29" s="365" t="s">
        <v>2625</v>
      </c>
      <c r="E29" s="365" t="s">
        <v>2667</v>
      </c>
      <c r="G29" s="365"/>
      <c r="H29" s="365"/>
    </row>
    <row r="30" spans="3:8">
      <c r="C30" s="365" t="s">
        <v>650</v>
      </c>
      <c r="D30" s="365" t="s">
        <v>2625</v>
      </c>
      <c r="E30" s="365" t="s">
        <v>718</v>
      </c>
      <c r="G30" s="365"/>
      <c r="H30" s="365"/>
    </row>
    <row r="31" spans="3:8">
      <c r="C31" s="365" t="s">
        <v>212</v>
      </c>
      <c r="D31" s="365" t="s">
        <v>2625</v>
      </c>
      <c r="E31" s="365" t="s">
        <v>2667</v>
      </c>
      <c r="G31" s="365"/>
      <c r="H31" s="365"/>
    </row>
    <row r="32" spans="3:8">
      <c r="C32" s="366" t="s">
        <v>2420</v>
      </c>
      <c r="D32" s="366" t="s">
        <v>719</v>
      </c>
      <c r="E32" s="366" t="s">
        <v>2624</v>
      </c>
      <c r="G32" s="365"/>
      <c r="H32" s="365"/>
    </row>
    <row r="33" spans="3:8">
      <c r="C33" s="365" t="s">
        <v>182</v>
      </c>
      <c r="D33" s="365" t="s">
        <v>2625</v>
      </c>
      <c r="E33" s="365" t="s">
        <v>718</v>
      </c>
      <c r="G33" s="365"/>
      <c r="H33" s="365"/>
    </row>
    <row r="34" spans="3:8">
      <c r="C34" s="366" t="s">
        <v>702</v>
      </c>
      <c r="D34" s="365" t="s">
        <v>2625</v>
      </c>
      <c r="E34" s="365" t="s">
        <v>718</v>
      </c>
      <c r="G34" s="365"/>
      <c r="H34" s="365"/>
    </row>
    <row r="35" spans="3:8">
      <c r="C35" s="366" t="s">
        <v>580</v>
      </c>
      <c r="D35" s="365" t="s">
        <v>2625</v>
      </c>
      <c r="E35" s="365" t="s">
        <v>718</v>
      </c>
      <c r="G35" s="365"/>
      <c r="H35" s="365"/>
    </row>
    <row r="36" spans="3:8">
      <c r="C36" s="365" t="s">
        <v>689</v>
      </c>
      <c r="D36" s="365" t="s">
        <v>2625</v>
      </c>
      <c r="E36" s="365" t="s">
        <v>718</v>
      </c>
      <c r="G36" s="365"/>
      <c r="H36" s="365"/>
    </row>
    <row r="37" spans="3:8">
      <c r="C37" s="365" t="s">
        <v>263</v>
      </c>
      <c r="D37" s="365" t="s">
        <v>2625</v>
      </c>
      <c r="E37" s="365" t="s">
        <v>718</v>
      </c>
      <c r="G37" s="365"/>
      <c r="H37" s="365"/>
    </row>
    <row r="38" spans="3:8">
      <c r="C38" s="366" t="s">
        <v>229</v>
      </c>
      <c r="D38" s="365" t="s">
        <v>2625</v>
      </c>
      <c r="E38" s="365" t="s">
        <v>718</v>
      </c>
      <c r="G38" s="365"/>
      <c r="H38" s="365"/>
    </row>
    <row r="39" spans="3:8">
      <c r="C39" s="366" t="s">
        <v>286</v>
      </c>
      <c r="D39" s="365" t="s">
        <v>2625</v>
      </c>
      <c r="E39" s="365" t="s">
        <v>718</v>
      </c>
      <c r="G39" s="365"/>
      <c r="H39" s="365"/>
    </row>
    <row r="40" spans="3:8">
      <c r="C40" s="366" t="s">
        <v>620</v>
      </c>
      <c r="D40" s="365" t="s">
        <v>2625</v>
      </c>
      <c r="E40" s="365" t="s">
        <v>718</v>
      </c>
      <c r="G40" s="365"/>
      <c r="H40" s="365"/>
    </row>
    <row r="41" spans="3:8">
      <c r="C41" s="366" t="s">
        <v>623</v>
      </c>
      <c r="D41" s="365" t="s">
        <v>2625</v>
      </c>
      <c r="E41" s="365" t="s">
        <v>718</v>
      </c>
      <c r="G41" s="365"/>
      <c r="H41" s="365"/>
    </row>
    <row r="42" spans="3:8">
      <c r="C42" s="366" t="s">
        <v>687</v>
      </c>
      <c r="D42" s="365" t="s">
        <v>2625</v>
      </c>
      <c r="E42" s="365" t="s">
        <v>718</v>
      </c>
      <c r="G42" s="365"/>
      <c r="H42" s="365"/>
    </row>
    <row r="43" spans="3:8">
      <c r="C43" s="366" t="s">
        <v>665</v>
      </c>
      <c r="D43" s="365" t="s">
        <v>2625</v>
      </c>
      <c r="E43" s="365" t="s">
        <v>718</v>
      </c>
      <c r="G43" s="365"/>
      <c r="H43" s="365"/>
    </row>
    <row r="44" spans="3:8">
      <c r="C44" s="366" t="s">
        <v>251</v>
      </c>
      <c r="D44" s="365" t="s">
        <v>2625</v>
      </c>
      <c r="E44" s="365" t="s">
        <v>718</v>
      </c>
      <c r="G44" s="365"/>
      <c r="H44" s="365"/>
    </row>
    <row r="45" spans="3:8">
      <c r="C45" s="366" t="s">
        <v>671</v>
      </c>
      <c r="D45" s="365" t="s">
        <v>2625</v>
      </c>
      <c r="E45" s="365" t="s">
        <v>718</v>
      </c>
      <c r="G45" s="365"/>
      <c r="H45" s="365"/>
    </row>
    <row r="46" spans="3:8">
      <c r="C46" s="366" t="s">
        <v>670</v>
      </c>
      <c r="D46" s="365" t="s">
        <v>2625</v>
      </c>
      <c r="E46" s="365" t="s">
        <v>718</v>
      </c>
      <c r="G46" s="365"/>
      <c r="H46" s="365"/>
    </row>
    <row r="47" spans="3:8">
      <c r="C47" s="366" t="s">
        <v>677</v>
      </c>
      <c r="D47" s="365" t="s">
        <v>2625</v>
      </c>
      <c r="E47" s="365" t="s">
        <v>718</v>
      </c>
      <c r="G47" s="365"/>
      <c r="H47" s="365"/>
    </row>
    <row r="48" spans="3:8">
      <c r="C48" s="367" t="s">
        <v>232</v>
      </c>
      <c r="D48" s="365" t="s">
        <v>2625</v>
      </c>
      <c r="E48" s="365" t="s">
        <v>718</v>
      </c>
      <c r="G48" s="365"/>
      <c r="H48" s="365"/>
    </row>
    <row r="49" spans="3:8">
      <c r="C49" s="366" t="s">
        <v>2648</v>
      </c>
      <c r="D49" s="365" t="s">
        <v>719</v>
      </c>
      <c r="E49" s="365" t="s">
        <v>718</v>
      </c>
      <c r="G49" s="365"/>
      <c r="H49" s="365"/>
    </row>
    <row r="50" spans="3:8">
      <c r="C50" s="366" t="s">
        <v>685</v>
      </c>
      <c r="D50" s="365" t="s">
        <v>2625</v>
      </c>
      <c r="E50" s="365" t="s">
        <v>718</v>
      </c>
      <c r="G50" s="365"/>
      <c r="H50" s="365"/>
    </row>
    <row r="51" spans="3:8">
      <c r="C51" s="366" t="s">
        <v>106</v>
      </c>
      <c r="D51" s="365" t="s">
        <v>2625</v>
      </c>
      <c r="E51" s="365" t="s">
        <v>718</v>
      </c>
      <c r="G51" s="365"/>
      <c r="H51" s="365"/>
    </row>
    <row r="52" spans="3:8">
      <c r="C52" s="366" t="s">
        <v>688</v>
      </c>
      <c r="D52" s="365" t="s">
        <v>2625</v>
      </c>
      <c r="E52" s="365" t="s">
        <v>718</v>
      </c>
      <c r="G52" s="365"/>
      <c r="H52" s="365"/>
    </row>
    <row r="53" spans="3:8">
      <c r="C53" s="368" t="s">
        <v>2662</v>
      </c>
      <c r="D53" s="365" t="s">
        <v>2625</v>
      </c>
      <c r="E53" s="365" t="s">
        <v>718</v>
      </c>
      <c r="G53" s="365"/>
      <c r="H53" s="365"/>
    </row>
    <row r="54" spans="3:8">
      <c r="C54" s="54" t="s">
        <v>320</v>
      </c>
      <c r="D54" s="365" t="s">
        <v>719</v>
      </c>
      <c r="E54" s="368" t="s">
        <v>2624</v>
      </c>
      <c r="G54" s="365"/>
      <c r="H54" s="365"/>
    </row>
    <row r="55" spans="3:8">
      <c r="C55" s="368" t="s">
        <v>2663</v>
      </c>
      <c r="D55" s="365" t="s">
        <v>2625</v>
      </c>
      <c r="E55" s="365" t="s">
        <v>718</v>
      </c>
      <c r="G55" s="365"/>
      <c r="H55" s="365"/>
    </row>
    <row r="56" spans="3:8">
      <c r="C56" s="368" t="s">
        <v>700</v>
      </c>
      <c r="D56" s="365" t="s">
        <v>2625</v>
      </c>
      <c r="E56" s="365" t="s">
        <v>718</v>
      </c>
      <c r="G56" s="365"/>
      <c r="H56" s="365"/>
    </row>
    <row r="57" spans="3:8">
      <c r="C57" s="368" t="s">
        <v>329</v>
      </c>
      <c r="D57" s="365" t="s">
        <v>2625</v>
      </c>
      <c r="E57" s="365" t="s">
        <v>718</v>
      </c>
      <c r="G57" s="365"/>
      <c r="H57" s="365"/>
    </row>
    <row r="58" spans="3:8">
      <c r="C58" s="368" t="s">
        <v>697</v>
      </c>
      <c r="D58" s="365" t="s">
        <v>2625</v>
      </c>
      <c r="E58" s="365" t="s">
        <v>718</v>
      </c>
      <c r="G58" s="365"/>
      <c r="H58" s="365"/>
    </row>
    <row r="59" spans="3:8">
      <c r="C59" s="371" t="s">
        <v>121</v>
      </c>
      <c r="D59" s="365" t="s">
        <v>2625</v>
      </c>
      <c r="E59" s="365" t="s">
        <v>718</v>
      </c>
    </row>
    <row r="60" spans="3:8">
      <c r="C60" s="372" t="s">
        <v>706</v>
      </c>
      <c r="D60" s="365" t="s">
        <v>2625</v>
      </c>
      <c r="E60" s="365" t="s">
        <v>718</v>
      </c>
    </row>
    <row r="61" spans="3:8">
      <c r="C61" t="s">
        <v>681</v>
      </c>
      <c r="D61" s="365" t="s">
        <v>2625</v>
      </c>
      <c r="E61" s="365" t="s">
        <v>718</v>
      </c>
    </row>
    <row r="62" spans="3:8">
      <c r="C62" t="s">
        <v>657</v>
      </c>
      <c r="D62" s="365" t="s">
        <v>2625</v>
      </c>
      <c r="E62" s="365" t="s">
        <v>718</v>
      </c>
    </row>
    <row r="63" spans="3:8">
      <c r="C63" s="373" t="s">
        <v>659</v>
      </c>
      <c r="D63" s="374" t="s">
        <v>2625</v>
      </c>
      <c r="E63" s="374" t="s">
        <v>718</v>
      </c>
    </row>
    <row r="64" spans="3:8">
      <c r="C64" s="373" t="s">
        <v>636</v>
      </c>
      <c r="D64" s="374" t="s">
        <v>2625</v>
      </c>
      <c r="E64" s="374" t="s">
        <v>718</v>
      </c>
    </row>
    <row r="65" spans="3:5">
      <c r="C65" s="389" t="s">
        <v>121</v>
      </c>
      <c r="D65" s="365" t="s">
        <v>2625</v>
      </c>
      <c r="E65" s="365" t="s">
        <v>718</v>
      </c>
    </row>
    <row r="66" spans="3:5">
      <c r="C66" s="389" t="s">
        <v>244</v>
      </c>
      <c r="D66" s="365" t="s">
        <v>2625</v>
      </c>
      <c r="E66" s="365" t="s">
        <v>718</v>
      </c>
    </row>
    <row r="67" spans="3:5">
      <c r="C67" s="389" t="s">
        <v>2678</v>
      </c>
      <c r="D67" s="365" t="s">
        <v>719</v>
      </c>
      <c r="E67" s="365" t="s">
        <v>2623</v>
      </c>
    </row>
    <row r="68" spans="3:5">
      <c r="C68" s="389" t="s">
        <v>294</v>
      </c>
      <c r="D68" s="365" t="s">
        <v>719</v>
      </c>
      <c r="E68" s="365" t="s">
        <v>2624</v>
      </c>
    </row>
    <row r="69" spans="3:5">
      <c r="C69" s="389" t="s">
        <v>234</v>
      </c>
      <c r="D69" s="365" t="s">
        <v>2625</v>
      </c>
      <c r="E69" s="365" t="s">
        <v>718</v>
      </c>
    </row>
    <row r="70" spans="3:5">
      <c r="C70" t="s">
        <v>196</v>
      </c>
      <c r="D70" t="s">
        <v>2625</v>
      </c>
      <c r="E70" t="s">
        <v>718</v>
      </c>
    </row>
    <row r="71" spans="3:5">
      <c r="C71" t="s">
        <v>695</v>
      </c>
      <c r="D71" t="s">
        <v>2625</v>
      </c>
      <c r="E71" t="s">
        <v>718</v>
      </c>
    </row>
    <row r="72" spans="3:5">
      <c r="C72" t="s">
        <v>110</v>
      </c>
      <c r="D72" t="s">
        <v>2625</v>
      </c>
      <c r="E72" t="s">
        <v>718</v>
      </c>
    </row>
    <row r="73" spans="3:5">
      <c r="C73" t="s">
        <v>126</v>
      </c>
      <c r="D73" t="s">
        <v>2625</v>
      </c>
      <c r="E73" t="s">
        <v>2667</v>
      </c>
    </row>
    <row r="74" spans="3:5">
      <c r="C74" t="s">
        <v>701</v>
      </c>
      <c r="D74" t="s">
        <v>2625</v>
      </c>
      <c r="E74" t="s">
        <v>718</v>
      </c>
    </row>
    <row r="75" spans="3:5">
      <c r="C75" t="s">
        <v>705</v>
      </c>
      <c r="D75" t="s">
        <v>2625</v>
      </c>
      <c r="E75" t="s">
        <v>2667</v>
      </c>
    </row>
    <row r="76" spans="3:5">
      <c r="C76" t="s">
        <v>684</v>
      </c>
      <c r="D76" t="s">
        <v>2625</v>
      </c>
      <c r="E76" t="s">
        <v>718</v>
      </c>
    </row>
    <row r="77" spans="3:5">
      <c r="C77" t="s">
        <v>299</v>
      </c>
      <c r="D77" t="s">
        <v>719</v>
      </c>
      <c r="E77" t="s">
        <v>2624</v>
      </c>
    </row>
    <row r="78" spans="3:5">
      <c r="C78" t="s">
        <v>708</v>
      </c>
      <c r="D78" t="s">
        <v>2625</v>
      </c>
      <c r="E78" t="s">
        <v>718</v>
      </c>
    </row>
    <row r="79" spans="3:5">
      <c r="C79" t="s">
        <v>680</v>
      </c>
      <c r="D79" t="s">
        <v>2625</v>
      </c>
      <c r="E79" t="s">
        <v>2667</v>
      </c>
    </row>
    <row r="80" spans="3:5">
      <c r="C80" t="s">
        <v>311</v>
      </c>
      <c r="D80" t="s">
        <v>2625</v>
      </c>
      <c r="E80" t="s">
        <v>718</v>
      </c>
    </row>
    <row r="81" spans="3:5">
      <c r="C81" s="365" t="s">
        <v>690</v>
      </c>
      <c r="D81" s="365" t="s">
        <v>2625</v>
      </c>
      <c r="E81" s="365" t="s">
        <v>718</v>
      </c>
    </row>
    <row r="82" spans="3:5">
      <c r="C82" s="365" t="s">
        <v>2691</v>
      </c>
      <c r="D82" s="365" t="s">
        <v>2625</v>
      </c>
      <c r="E82" s="365" t="s">
        <v>718</v>
      </c>
    </row>
    <row r="83" spans="3:5">
      <c r="C83" s="65" t="s">
        <v>2647</v>
      </c>
      <c r="D83" s="365" t="s">
        <v>719</v>
      </c>
      <c r="E83" s="365" t="s">
        <v>2624</v>
      </c>
    </row>
    <row r="84" spans="3:5">
      <c r="C84" s="365" t="s">
        <v>2692</v>
      </c>
      <c r="D84" s="365" t="s">
        <v>2625</v>
      </c>
      <c r="E84" s="365" t="s">
        <v>2667</v>
      </c>
    </row>
    <row r="85" spans="3:5">
      <c r="C85" s="550" t="s">
        <v>710</v>
      </c>
      <c r="D85" s="550" t="s">
        <v>2625</v>
      </c>
      <c r="E85" s="550" t="s">
        <v>718</v>
      </c>
    </row>
    <row r="86" spans="3:5">
      <c r="C86" s="365" t="s">
        <v>704</v>
      </c>
      <c r="D86" s="550" t="s">
        <v>2625</v>
      </c>
      <c r="E86" s="365" t="s">
        <v>2667</v>
      </c>
    </row>
    <row r="87" spans="3:5">
      <c r="C87" s="64" t="s">
        <v>270</v>
      </c>
      <c r="D87" s="550" t="s">
        <v>2625</v>
      </c>
      <c r="E87" s="550" t="s">
        <v>718</v>
      </c>
    </row>
    <row r="88" spans="3:5">
      <c r="C88" s="550" t="s">
        <v>692</v>
      </c>
      <c r="D88" s="550" t="s">
        <v>2625</v>
      </c>
      <c r="E88" s="365" t="s">
        <v>2667</v>
      </c>
    </row>
    <row r="89" spans="3:5">
      <c r="C89" s="550" t="s">
        <v>108</v>
      </c>
      <c r="D89" s="550" t="s">
        <v>2625</v>
      </c>
      <c r="E89" s="365" t="s">
        <v>2667</v>
      </c>
    </row>
    <row r="90" spans="3:5">
      <c r="C90" s="550" t="s">
        <v>289</v>
      </c>
      <c r="D90" s="550" t="s">
        <v>2625</v>
      </c>
      <c r="E90" s="550" t="s">
        <v>718</v>
      </c>
    </row>
    <row r="91" spans="3:5">
      <c r="C91" s="550" t="s">
        <v>2646</v>
      </c>
      <c r="D91" s="365" t="s">
        <v>719</v>
      </c>
      <c r="E91" s="365" t="s">
        <v>2624</v>
      </c>
    </row>
    <row r="92" spans="3:5">
      <c r="C92" s="550" t="s">
        <v>233</v>
      </c>
      <c r="D92" s="550" t="s">
        <v>2625</v>
      </c>
      <c r="E92" s="365" t="s">
        <v>2667</v>
      </c>
    </row>
    <row r="93" spans="3:5">
      <c r="C93" s="550" t="s">
        <v>149</v>
      </c>
      <c r="D93" s="365" t="s">
        <v>719</v>
      </c>
      <c r="E93" s="550" t="s">
        <v>718</v>
      </c>
    </row>
    <row r="94" spans="3:5">
      <c r="C94" s="550" t="s">
        <v>336</v>
      </c>
      <c r="D94" s="550" t="s">
        <v>2625</v>
      </c>
      <c r="E94" s="365" t="s">
        <v>2667</v>
      </c>
    </row>
    <row r="95" spans="3:5">
      <c r="C95" s="551" t="s">
        <v>120</v>
      </c>
      <c r="D95" s="550" t="s">
        <v>2625</v>
      </c>
      <c r="E95" s="365" t="s">
        <v>2667</v>
      </c>
    </row>
    <row r="96" spans="3:5">
      <c r="C96" s="552" t="s">
        <v>267</v>
      </c>
      <c r="D96" s="550" t="s">
        <v>2625</v>
      </c>
      <c r="E96" s="550" t="s">
        <v>718</v>
      </c>
    </row>
    <row r="97" spans="3:5">
      <c r="C97" s="553" t="s">
        <v>2712</v>
      </c>
      <c r="D97" s="377" t="str">
        <f>VLOOKUP(C97,[16]Real!$B$15:$F$35,5,0)</f>
        <v>Sucker</v>
      </c>
      <c r="E97" s="377" t="str">
        <f>VLOOKUP(C97,[16]Real!$B$15:$F$35,4,0)</f>
        <v>Sedang</v>
      </c>
    </row>
    <row r="98" spans="3:5">
      <c r="C98" s="550" t="s">
        <v>2126</v>
      </c>
      <c r="D98" s="377" t="str">
        <f>VLOOKUP(C98,[16]Real!$B$15:$F$35,5,0)</f>
        <v>Crown</v>
      </c>
      <c r="E98" s="377" t="str">
        <f>VLOOKUP(C98,[16]Real!$B$15:$F$35,4,0)</f>
        <v>Kecil</v>
      </c>
    </row>
    <row r="99" spans="3:5">
      <c r="C99" s="550" t="s">
        <v>2127</v>
      </c>
      <c r="D99" s="377" t="str">
        <f>VLOOKUP(C99,[16]Real!$B$15:$F$35,5,0)</f>
        <v>Crown</v>
      </c>
      <c r="E99" s="377" t="str">
        <f>VLOOKUP(C99,[16]Real!$B$15:$F$35,4,0)</f>
        <v>Kecil</v>
      </c>
    </row>
    <row r="100" spans="3:5">
      <c r="C100" s="550" t="s">
        <v>281</v>
      </c>
      <c r="D100" s="377" t="str">
        <f>VLOOKUP(C100,[16]Real!$B$15:$F$35,5,0)</f>
        <v>Crown</v>
      </c>
      <c r="E100" s="377" t="str">
        <f>VLOOKUP(C100,[16]Real!$B$15:$F$35,4,0)</f>
        <v>Kecil</v>
      </c>
    </row>
    <row r="101" spans="3:5">
      <c r="C101" s="550" t="s">
        <v>285</v>
      </c>
      <c r="D101" s="377" t="str">
        <f>VLOOKUP(C101,[16]Real!$B$15:$F$35,5,0)</f>
        <v>Crown</v>
      </c>
      <c r="E101" s="377" t="str">
        <f>VLOOKUP(C101,[16]Real!$B$15:$F$35,4,0)</f>
        <v>Extra Kecil</v>
      </c>
    </row>
    <row r="102" spans="3:5">
      <c r="C102" s="550" t="s">
        <v>273</v>
      </c>
      <c r="D102" s="377" t="s">
        <v>2625</v>
      </c>
      <c r="E102" s="377" t="s">
        <v>718</v>
      </c>
    </row>
    <row r="103" spans="3:5">
      <c r="C103" s="551" t="s">
        <v>279</v>
      </c>
      <c r="D103" s="377" t="s">
        <v>2625</v>
      </c>
      <c r="E103" s="377" t="s">
        <v>718</v>
      </c>
    </row>
    <row r="104" spans="3:5">
      <c r="C104" s="551" t="s">
        <v>278</v>
      </c>
      <c r="D104" s="377" t="s">
        <v>2625</v>
      </c>
      <c r="E104" s="377" t="s">
        <v>2667</v>
      </c>
    </row>
    <row r="105" spans="3:5">
      <c r="C105" s="551" t="s">
        <v>148</v>
      </c>
      <c r="D105" s="377" t="s">
        <v>2625</v>
      </c>
      <c r="E105" s="377" t="s">
        <v>2667</v>
      </c>
    </row>
    <row r="106" spans="3:5">
      <c r="C106" s="377" t="s">
        <v>693</v>
      </c>
      <c r="D106" s="377" t="s">
        <v>2625</v>
      </c>
      <c r="E106" s="377" t="s">
        <v>718</v>
      </c>
    </row>
    <row r="107" spans="3:5">
      <c r="C107" s="377" t="s">
        <v>2713</v>
      </c>
      <c r="D107" s="377" t="s">
        <v>2625</v>
      </c>
      <c r="E107" s="377" t="s">
        <v>718</v>
      </c>
    </row>
    <row r="108" spans="3:5">
      <c r="C108" s="377" t="s">
        <v>138</v>
      </c>
      <c r="D108" s="377" t="s">
        <v>2625</v>
      </c>
      <c r="E108" s="377" t="s">
        <v>2667</v>
      </c>
    </row>
    <row r="109" spans="3:5">
      <c r="C109" s="377" t="s">
        <v>679</v>
      </c>
      <c r="D109" s="377" t="s">
        <v>2625</v>
      </c>
      <c r="E109" s="377" t="s">
        <v>718</v>
      </c>
    </row>
    <row r="110" spans="3:5">
      <c r="C110" s="554" t="s">
        <v>124</v>
      </c>
      <c r="D110" s="377" t="s">
        <v>2625</v>
      </c>
      <c r="E110" s="377" t="s">
        <v>2667</v>
      </c>
    </row>
    <row r="111" spans="3:5">
      <c r="C111" s="552" t="s">
        <v>2737</v>
      </c>
      <c r="D111" s="377" t="s">
        <v>719</v>
      </c>
      <c r="E111" s="377" t="s">
        <v>2624</v>
      </c>
    </row>
    <row r="112" spans="3:5">
      <c r="C112" s="552" t="s">
        <v>696</v>
      </c>
      <c r="D112" s="377" t="s">
        <v>719</v>
      </c>
      <c r="E112" s="377" t="s">
        <v>718</v>
      </c>
    </row>
    <row r="113" spans="3:5">
      <c r="C113" s="554" t="s">
        <v>137</v>
      </c>
      <c r="D113" s="377" t="s">
        <v>2625</v>
      </c>
      <c r="E113" s="377" t="s">
        <v>2667</v>
      </c>
    </row>
    <row r="114" spans="3:5">
      <c r="C114" s="377" t="s">
        <v>445</v>
      </c>
      <c r="D114" s="377" t="s">
        <v>2625</v>
      </c>
      <c r="E114" s="377" t="s">
        <v>718</v>
      </c>
    </row>
    <row r="115" spans="3:5">
      <c r="C115" t="s">
        <v>134</v>
      </c>
      <c r="D115" s="377" t="s">
        <v>2625</v>
      </c>
      <c r="E115" s="377" t="s">
        <v>718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993"/>
  <sheetViews>
    <sheetView showGridLines="0" workbookViewId="0">
      <pane ySplit="1" topLeftCell="A1960" activePane="bottomLeft" state="frozen"/>
      <selection pane="bottomLeft" activeCell="E1993" sqref="E1993"/>
    </sheetView>
  </sheetViews>
  <sheetFormatPr defaultColWidth="9" defaultRowHeight="13.2"/>
  <cols>
    <col min="1" max="3" width="12" style="1" customWidth="1"/>
    <col min="4" max="4" width="9" style="1" customWidth="1"/>
    <col min="5" max="5" width="12" style="1" customWidth="1"/>
    <col min="6" max="6" width="12" style="247" customWidth="1"/>
    <col min="7" max="7" width="12" style="1" customWidth="1"/>
    <col min="8" max="9" width="10" style="1" customWidth="1"/>
    <col min="10" max="10" width="8" style="1" customWidth="1"/>
    <col min="11" max="11" width="10" style="1" customWidth="1"/>
    <col min="12" max="12" width="19" style="1" customWidth="1"/>
    <col min="13" max="14" width="15" style="1" customWidth="1"/>
    <col min="15" max="15" width="13" style="1" customWidth="1"/>
    <col min="16" max="17" width="21" style="1" customWidth="1"/>
    <col min="18" max="19" width="10" style="1" customWidth="1"/>
    <col min="20" max="20" width="13" style="1" customWidth="1"/>
    <col min="21" max="21" width="14" style="1" customWidth="1"/>
    <col min="22" max="22" width="6" style="1" customWidth="1"/>
    <col min="23" max="24" width="19" style="1" customWidth="1"/>
    <col min="25" max="30" width="13" style="1" customWidth="1"/>
    <col min="31" max="16384" width="9" style="1"/>
  </cols>
  <sheetData>
    <row r="1" spans="1:30" ht="39.6">
      <c r="A1" s="2" t="s">
        <v>745</v>
      </c>
      <c r="B1" s="2" t="s">
        <v>746</v>
      </c>
      <c r="C1" s="2" t="s">
        <v>747</v>
      </c>
      <c r="D1" s="2" t="s">
        <v>94</v>
      </c>
      <c r="E1" s="2" t="s">
        <v>747</v>
      </c>
      <c r="F1" s="2" t="s">
        <v>748</v>
      </c>
      <c r="G1" s="2" t="s">
        <v>749</v>
      </c>
      <c r="H1" s="3" t="s">
        <v>750</v>
      </c>
      <c r="I1" s="3"/>
      <c r="J1" s="2" t="s">
        <v>751</v>
      </c>
      <c r="K1" s="2" t="s">
        <v>752</v>
      </c>
      <c r="L1" s="2" t="s">
        <v>753</v>
      </c>
      <c r="M1" s="2" t="s">
        <v>754</v>
      </c>
      <c r="N1" s="2" t="s">
        <v>755</v>
      </c>
      <c r="O1" s="3" t="s">
        <v>756</v>
      </c>
      <c r="P1" s="2" t="s">
        <v>757</v>
      </c>
      <c r="Q1" s="2" t="s">
        <v>758</v>
      </c>
      <c r="R1" s="3" t="s">
        <v>759</v>
      </c>
      <c r="S1" s="2" t="s">
        <v>760</v>
      </c>
      <c r="T1" s="2" t="s">
        <v>761</v>
      </c>
      <c r="U1" s="2" t="s">
        <v>762</v>
      </c>
      <c r="V1" s="3" t="s">
        <v>763</v>
      </c>
      <c r="W1" s="2" t="s">
        <v>764</v>
      </c>
      <c r="X1" s="2" t="s">
        <v>765</v>
      </c>
      <c r="Y1" s="3" t="s">
        <v>766</v>
      </c>
      <c r="Z1" s="3" t="s">
        <v>767</v>
      </c>
      <c r="AA1" s="3" t="s">
        <v>768</v>
      </c>
      <c r="AB1" s="3" t="s">
        <v>769</v>
      </c>
      <c r="AC1" s="3" t="s">
        <v>770</v>
      </c>
      <c r="AD1" s="3" t="s">
        <v>771</v>
      </c>
    </row>
    <row r="2" spans="1:30">
      <c r="A2" s="1" t="s">
        <v>772</v>
      </c>
      <c r="B2" s="1" t="s">
        <v>773</v>
      </c>
      <c r="C2" s="1" t="s">
        <v>774</v>
      </c>
      <c r="D2" s="1" t="s">
        <v>643</v>
      </c>
      <c r="E2" s="1" t="str">
        <f t="shared" ref="E2:E65" si="0">RIGHT(C2,3)</f>
        <v>W01</v>
      </c>
      <c r="F2" s="4">
        <v>7.5</v>
      </c>
      <c r="G2" s="4">
        <v>5.86</v>
      </c>
      <c r="H2" s="4">
        <v>5.86</v>
      </c>
      <c r="I2" s="4"/>
      <c r="J2" s="1" t="s">
        <v>775</v>
      </c>
      <c r="K2" s="1" t="s">
        <v>776</v>
      </c>
      <c r="L2" s="1" t="s">
        <v>777</v>
      </c>
      <c r="M2" s="1" t="s">
        <v>778</v>
      </c>
      <c r="O2" s="6">
        <v>44959</v>
      </c>
      <c r="P2" s="6">
        <v>44957</v>
      </c>
      <c r="Q2" s="6">
        <v>44933</v>
      </c>
      <c r="R2" s="1" t="s">
        <v>779</v>
      </c>
      <c r="S2" s="1" t="s">
        <v>780</v>
      </c>
      <c r="T2" s="5">
        <v>517</v>
      </c>
      <c r="U2" s="4">
        <v>0</v>
      </c>
      <c r="V2" s="5">
        <v>7</v>
      </c>
      <c r="W2" s="6">
        <v>43322</v>
      </c>
      <c r="X2" s="6"/>
      <c r="Y2" s="6"/>
      <c r="Z2" s="6"/>
      <c r="AA2" s="6"/>
      <c r="AB2" s="6"/>
      <c r="AC2" s="6"/>
      <c r="AD2" s="6"/>
    </row>
    <row r="3" spans="1:30">
      <c r="A3" s="1" t="s">
        <v>772</v>
      </c>
      <c r="B3" s="1" t="s">
        <v>773</v>
      </c>
      <c r="C3" s="1" t="s">
        <v>774</v>
      </c>
      <c r="D3" s="1" t="s">
        <v>693</v>
      </c>
      <c r="E3" s="1" t="str">
        <f t="shared" si="0"/>
        <v>W01</v>
      </c>
      <c r="F3" s="4">
        <v>9.16</v>
      </c>
      <c r="G3" s="4">
        <v>6</v>
      </c>
      <c r="H3" s="4">
        <v>6</v>
      </c>
      <c r="I3" s="4"/>
      <c r="J3" s="1" t="s">
        <v>775</v>
      </c>
      <c r="K3" s="1" t="s">
        <v>781</v>
      </c>
      <c r="L3" s="1" t="s">
        <v>782</v>
      </c>
      <c r="M3" s="1" t="s">
        <v>783</v>
      </c>
      <c r="O3" s="6">
        <v>44803</v>
      </c>
      <c r="P3" s="6">
        <v>44623</v>
      </c>
      <c r="Q3" s="6">
        <v>44121</v>
      </c>
      <c r="R3" s="1" t="s">
        <v>784</v>
      </c>
      <c r="S3" s="1" t="s">
        <v>785</v>
      </c>
      <c r="T3" s="5">
        <v>357</v>
      </c>
      <c r="U3" s="4">
        <v>11</v>
      </c>
      <c r="V3" s="5">
        <v>341</v>
      </c>
      <c r="W3" s="6">
        <v>44868</v>
      </c>
      <c r="X3" s="6"/>
      <c r="Y3" s="6"/>
      <c r="Z3" s="6"/>
      <c r="AA3" s="6"/>
      <c r="AB3" s="6"/>
      <c r="AC3" s="6"/>
      <c r="AD3" s="6">
        <v>44841</v>
      </c>
    </row>
    <row r="4" spans="1:30">
      <c r="A4" s="1" t="s">
        <v>772</v>
      </c>
      <c r="B4" s="1" t="s">
        <v>773</v>
      </c>
      <c r="C4" s="1" t="s">
        <v>774</v>
      </c>
      <c r="D4" s="1" t="s">
        <v>367</v>
      </c>
      <c r="E4" s="1" t="str">
        <f t="shared" si="0"/>
        <v>W01</v>
      </c>
      <c r="F4" s="4">
        <v>6.76</v>
      </c>
      <c r="G4" s="4">
        <v>5.41</v>
      </c>
      <c r="H4" s="4">
        <v>5.41</v>
      </c>
      <c r="I4" s="4"/>
      <c r="J4" s="1" t="s">
        <v>775</v>
      </c>
      <c r="K4" s="1" t="s">
        <v>786</v>
      </c>
      <c r="L4" s="1" t="s">
        <v>787</v>
      </c>
      <c r="M4" s="1" t="s">
        <v>788</v>
      </c>
      <c r="N4" s="1" t="s">
        <v>788</v>
      </c>
      <c r="O4" s="6">
        <v>44805</v>
      </c>
      <c r="P4" s="6">
        <v>44792</v>
      </c>
      <c r="Q4" s="6">
        <v>44306</v>
      </c>
      <c r="R4" s="1" t="s">
        <v>779</v>
      </c>
      <c r="T4" s="5">
        <v>402</v>
      </c>
      <c r="U4" s="4">
        <v>5</v>
      </c>
      <c r="V4" s="5">
        <v>172</v>
      </c>
      <c r="W4" s="6">
        <v>43983</v>
      </c>
      <c r="X4" s="6">
        <v>43411</v>
      </c>
      <c r="Y4" s="6"/>
      <c r="Z4" s="6"/>
      <c r="AA4" s="6"/>
      <c r="AB4" s="6"/>
      <c r="AC4" s="6"/>
      <c r="AD4" s="6">
        <v>44801</v>
      </c>
    </row>
    <row r="5" spans="1:30">
      <c r="A5" s="1" t="s">
        <v>772</v>
      </c>
      <c r="B5" s="1" t="s">
        <v>773</v>
      </c>
      <c r="C5" s="1" t="s">
        <v>774</v>
      </c>
      <c r="D5" s="1" t="s">
        <v>276</v>
      </c>
      <c r="E5" s="1" t="str">
        <f t="shared" si="0"/>
        <v>W01</v>
      </c>
      <c r="F5" s="4">
        <v>12.34</v>
      </c>
      <c r="G5" s="4">
        <v>9.98</v>
      </c>
      <c r="H5" s="4">
        <v>9.98</v>
      </c>
      <c r="I5" s="4"/>
      <c r="J5" s="1" t="s">
        <v>775</v>
      </c>
      <c r="K5" s="1" t="s">
        <v>789</v>
      </c>
      <c r="L5" s="1" t="s">
        <v>787</v>
      </c>
      <c r="M5" s="1" t="s">
        <v>788</v>
      </c>
      <c r="N5" s="1" t="s">
        <v>787</v>
      </c>
      <c r="O5" s="6">
        <v>44705</v>
      </c>
      <c r="P5" s="6">
        <v>44696</v>
      </c>
      <c r="Q5" s="6">
        <v>44104</v>
      </c>
      <c r="R5" s="1" t="s">
        <v>779</v>
      </c>
      <c r="T5" s="5">
        <v>402</v>
      </c>
      <c r="U5" s="4">
        <v>8</v>
      </c>
      <c r="V5" s="5">
        <v>268</v>
      </c>
      <c r="W5" s="6">
        <v>43471</v>
      </c>
      <c r="X5" s="6">
        <v>43327</v>
      </c>
      <c r="Y5" s="6"/>
      <c r="Z5" s="6"/>
      <c r="AA5" s="6">
        <v>44938</v>
      </c>
      <c r="AB5" s="6"/>
      <c r="AC5" s="6"/>
      <c r="AD5" s="6">
        <v>44757</v>
      </c>
    </row>
    <row r="6" spans="1:30">
      <c r="A6" s="1" t="s">
        <v>772</v>
      </c>
      <c r="B6" s="1" t="s">
        <v>773</v>
      </c>
      <c r="C6" s="1" t="s">
        <v>774</v>
      </c>
      <c r="D6" s="1" t="s">
        <v>194</v>
      </c>
      <c r="E6" s="1" t="str">
        <f t="shared" si="0"/>
        <v>W01</v>
      </c>
      <c r="F6" s="4">
        <v>11.56</v>
      </c>
      <c r="G6" s="4">
        <v>9.57</v>
      </c>
      <c r="H6" s="4">
        <v>9.57</v>
      </c>
      <c r="I6" s="4"/>
      <c r="J6" s="1" t="s">
        <v>775</v>
      </c>
      <c r="K6" s="1" t="s">
        <v>790</v>
      </c>
      <c r="L6" s="1" t="s">
        <v>787</v>
      </c>
      <c r="M6" s="1" t="s">
        <v>788</v>
      </c>
      <c r="N6" s="1" t="s">
        <v>788</v>
      </c>
      <c r="O6" s="6">
        <v>44594</v>
      </c>
      <c r="P6" s="6">
        <v>44574</v>
      </c>
      <c r="Q6" s="6">
        <v>43955</v>
      </c>
      <c r="R6" s="1" t="s">
        <v>779</v>
      </c>
      <c r="T6" s="5">
        <v>402</v>
      </c>
      <c r="U6" s="4">
        <v>12</v>
      </c>
      <c r="V6" s="5">
        <v>390</v>
      </c>
      <c r="W6" s="6">
        <v>44478</v>
      </c>
      <c r="X6" s="6">
        <v>44761</v>
      </c>
      <c r="Y6" s="6"/>
      <c r="Z6" s="6"/>
      <c r="AA6" s="6">
        <v>44844</v>
      </c>
      <c r="AB6" s="6"/>
      <c r="AC6" s="6"/>
      <c r="AD6" s="6">
        <v>44946</v>
      </c>
    </row>
    <row r="7" spans="1:30">
      <c r="A7" s="1" t="s">
        <v>772</v>
      </c>
      <c r="B7" s="1" t="s">
        <v>773</v>
      </c>
      <c r="C7" s="1" t="s">
        <v>774</v>
      </c>
      <c r="D7" s="1" t="s">
        <v>204</v>
      </c>
      <c r="E7" s="1" t="str">
        <f t="shared" si="0"/>
        <v>W01</v>
      </c>
      <c r="F7" s="4">
        <v>7.6</v>
      </c>
      <c r="G7" s="4">
        <v>5.97</v>
      </c>
      <c r="H7" s="4">
        <v>5.97</v>
      </c>
      <c r="I7" s="4"/>
      <c r="J7" s="1" t="s">
        <v>775</v>
      </c>
      <c r="K7" s="1" t="s">
        <v>791</v>
      </c>
      <c r="L7" s="1" t="s">
        <v>777</v>
      </c>
      <c r="M7" s="1" t="s">
        <v>778</v>
      </c>
      <c r="N7" s="1" t="s">
        <v>788</v>
      </c>
      <c r="O7" s="6">
        <v>44929</v>
      </c>
      <c r="P7" s="6">
        <v>44923</v>
      </c>
      <c r="Q7" s="6">
        <v>44907</v>
      </c>
      <c r="R7" s="1" t="s">
        <v>779</v>
      </c>
      <c r="S7" s="1" t="s">
        <v>792</v>
      </c>
      <c r="T7" s="5">
        <v>577</v>
      </c>
      <c r="U7" s="4">
        <v>1</v>
      </c>
      <c r="V7" s="5">
        <v>41</v>
      </c>
      <c r="W7" s="6">
        <v>43747</v>
      </c>
      <c r="X7" s="6">
        <v>43665</v>
      </c>
      <c r="Y7" s="6"/>
      <c r="Z7" s="6"/>
      <c r="AA7" s="6"/>
      <c r="AB7" s="6"/>
      <c r="AC7" s="6"/>
      <c r="AD7" s="6"/>
    </row>
    <row r="8" spans="1:30">
      <c r="A8" s="1" t="s">
        <v>772</v>
      </c>
      <c r="B8" s="1" t="s">
        <v>773</v>
      </c>
      <c r="C8" s="1" t="s">
        <v>774</v>
      </c>
      <c r="D8" s="1" t="s">
        <v>326</v>
      </c>
      <c r="E8" s="1" t="str">
        <f t="shared" si="0"/>
        <v>W01</v>
      </c>
      <c r="F8" s="4">
        <v>6.74</v>
      </c>
      <c r="G8" s="4">
        <v>5.46</v>
      </c>
      <c r="H8" s="4">
        <v>5.46</v>
      </c>
      <c r="I8" s="4"/>
      <c r="J8" s="1" t="s">
        <v>775</v>
      </c>
      <c r="K8" s="1" t="s">
        <v>793</v>
      </c>
      <c r="L8" s="1" t="s">
        <v>787</v>
      </c>
      <c r="M8" s="1" t="s">
        <v>788</v>
      </c>
      <c r="O8" s="6">
        <v>44774</v>
      </c>
      <c r="P8" s="6">
        <v>44774</v>
      </c>
      <c r="Q8" s="6">
        <v>44222</v>
      </c>
      <c r="R8" s="1" t="s">
        <v>779</v>
      </c>
      <c r="T8" s="5">
        <v>402</v>
      </c>
      <c r="U8" s="4">
        <v>6</v>
      </c>
      <c r="V8" s="5">
        <v>190</v>
      </c>
      <c r="W8" s="6">
        <v>43803</v>
      </c>
      <c r="X8" s="6"/>
      <c r="Y8" s="6"/>
      <c r="Z8" s="6"/>
      <c r="AA8" s="6"/>
      <c r="AB8" s="6"/>
      <c r="AC8" s="6"/>
      <c r="AD8" s="6">
        <v>44766</v>
      </c>
    </row>
    <row r="9" spans="1:30">
      <c r="A9" s="1" t="s">
        <v>772</v>
      </c>
      <c r="B9" s="1" t="s">
        <v>773</v>
      </c>
      <c r="C9" s="1" t="s">
        <v>774</v>
      </c>
      <c r="D9" s="1" t="s">
        <v>198</v>
      </c>
      <c r="E9" s="1" t="str">
        <f t="shared" si="0"/>
        <v>W01</v>
      </c>
      <c r="F9" s="4">
        <v>8.07</v>
      </c>
      <c r="G9" s="4">
        <v>6.52</v>
      </c>
      <c r="H9" s="4">
        <v>6.52</v>
      </c>
      <c r="I9" s="4"/>
      <c r="J9" s="1" t="s">
        <v>775</v>
      </c>
      <c r="K9" s="1" t="s">
        <v>794</v>
      </c>
      <c r="L9" s="1" t="s">
        <v>777</v>
      </c>
      <c r="M9" s="1" t="s">
        <v>778</v>
      </c>
      <c r="N9" s="1" t="s">
        <v>788</v>
      </c>
      <c r="O9" s="6">
        <v>44897</v>
      </c>
      <c r="P9" s="6">
        <v>44895</v>
      </c>
      <c r="Q9" s="6">
        <v>44869</v>
      </c>
      <c r="R9" s="1" t="s">
        <v>779</v>
      </c>
      <c r="S9" s="1" t="s">
        <v>795</v>
      </c>
      <c r="T9" s="5">
        <v>577</v>
      </c>
      <c r="U9" s="4">
        <v>2</v>
      </c>
      <c r="V9" s="5">
        <v>69</v>
      </c>
      <c r="W9" s="6">
        <v>43747</v>
      </c>
      <c r="X9" s="6">
        <v>43665</v>
      </c>
      <c r="Y9" s="6"/>
      <c r="Z9" s="6"/>
      <c r="AA9" s="6"/>
      <c r="AB9" s="6"/>
      <c r="AC9" s="6"/>
      <c r="AD9" s="6"/>
    </row>
    <row r="10" spans="1:30">
      <c r="A10" s="1" t="s">
        <v>772</v>
      </c>
      <c r="B10" s="1" t="s">
        <v>773</v>
      </c>
      <c r="C10" s="1" t="s">
        <v>774</v>
      </c>
      <c r="D10" s="1" t="s">
        <v>201</v>
      </c>
      <c r="E10" s="1" t="str">
        <f t="shared" si="0"/>
        <v>W01</v>
      </c>
      <c r="F10" s="4">
        <v>10.1</v>
      </c>
      <c r="G10" s="4">
        <v>7.93</v>
      </c>
      <c r="H10" s="4">
        <v>7.93</v>
      </c>
      <c r="I10" s="4"/>
      <c r="J10" s="1" t="s">
        <v>775</v>
      </c>
      <c r="K10" s="1" t="s">
        <v>794</v>
      </c>
      <c r="L10" s="1" t="s">
        <v>777</v>
      </c>
      <c r="M10" s="1" t="s">
        <v>778</v>
      </c>
      <c r="N10" s="1" t="s">
        <v>788</v>
      </c>
      <c r="O10" s="6">
        <v>44897</v>
      </c>
      <c r="P10" s="6">
        <v>44891</v>
      </c>
      <c r="Q10" s="6">
        <v>44869</v>
      </c>
      <c r="R10" s="1" t="s">
        <v>779</v>
      </c>
      <c r="S10" s="1" t="s">
        <v>795</v>
      </c>
      <c r="T10" s="5">
        <v>577</v>
      </c>
      <c r="U10" s="4">
        <v>2</v>
      </c>
      <c r="V10" s="5">
        <v>73</v>
      </c>
      <c r="W10" s="6">
        <v>43747</v>
      </c>
      <c r="X10" s="6">
        <v>43665</v>
      </c>
      <c r="Y10" s="6"/>
      <c r="Z10" s="6"/>
      <c r="AA10" s="6"/>
      <c r="AB10" s="6"/>
      <c r="AC10" s="6"/>
      <c r="AD10" s="6"/>
    </row>
    <row r="11" spans="1:30">
      <c r="A11" s="1" t="s">
        <v>772</v>
      </c>
      <c r="B11" s="1" t="s">
        <v>773</v>
      </c>
      <c r="C11" s="1" t="s">
        <v>774</v>
      </c>
      <c r="D11" s="1" t="s">
        <v>154</v>
      </c>
      <c r="E11" s="1" t="str">
        <f t="shared" si="0"/>
        <v>W01</v>
      </c>
      <c r="F11" s="4">
        <v>4.2</v>
      </c>
      <c r="G11" s="4">
        <v>3.3</v>
      </c>
      <c r="H11" s="4">
        <v>3.3</v>
      </c>
      <c r="I11" s="4"/>
      <c r="J11" s="1" t="s">
        <v>775</v>
      </c>
      <c r="K11" s="1" t="s">
        <v>796</v>
      </c>
      <c r="L11" s="1" t="s">
        <v>787</v>
      </c>
      <c r="M11" s="1" t="s">
        <v>788</v>
      </c>
      <c r="O11" s="6">
        <v>44744</v>
      </c>
      <c r="P11" s="6">
        <v>44723</v>
      </c>
      <c r="Q11" s="6">
        <v>44209</v>
      </c>
      <c r="R11" s="1" t="s">
        <v>779</v>
      </c>
      <c r="T11" s="5">
        <v>402</v>
      </c>
      <c r="U11" s="4">
        <v>7</v>
      </c>
      <c r="V11" s="5">
        <v>241</v>
      </c>
      <c r="W11" s="6">
        <v>43388</v>
      </c>
      <c r="X11" s="6"/>
      <c r="Y11" s="6"/>
      <c r="Z11" s="6"/>
      <c r="AA11" s="6"/>
      <c r="AB11" s="6"/>
      <c r="AC11" s="6"/>
      <c r="AD11" s="6">
        <v>44715</v>
      </c>
    </row>
    <row r="12" spans="1:30">
      <c r="A12" s="1" t="s">
        <v>772</v>
      </c>
      <c r="B12" s="1" t="s">
        <v>773</v>
      </c>
      <c r="C12" s="1" t="s">
        <v>774</v>
      </c>
      <c r="D12" s="1" t="s">
        <v>155</v>
      </c>
      <c r="E12" s="1" t="str">
        <f t="shared" si="0"/>
        <v>W01</v>
      </c>
      <c r="F12" s="4">
        <v>12.54</v>
      </c>
      <c r="G12" s="4">
        <v>9.9600000000000009</v>
      </c>
      <c r="H12" s="4">
        <v>9.9600000000000009</v>
      </c>
      <c r="I12" s="4"/>
      <c r="J12" s="1" t="s">
        <v>775</v>
      </c>
      <c r="K12" s="1" t="s">
        <v>793</v>
      </c>
      <c r="L12" s="1" t="s">
        <v>787</v>
      </c>
      <c r="M12" s="1" t="s">
        <v>788</v>
      </c>
      <c r="O12" s="6">
        <v>44774</v>
      </c>
      <c r="P12" s="6">
        <v>44751</v>
      </c>
      <c r="Q12" s="6">
        <v>44211</v>
      </c>
      <c r="R12" s="1" t="s">
        <v>779</v>
      </c>
      <c r="T12" s="5">
        <v>402</v>
      </c>
      <c r="U12" s="4">
        <v>7</v>
      </c>
      <c r="V12" s="5">
        <v>213</v>
      </c>
      <c r="W12" s="6">
        <v>43803</v>
      </c>
      <c r="X12" s="6"/>
      <c r="Y12" s="6"/>
      <c r="Z12" s="6"/>
      <c r="AA12" s="6"/>
      <c r="AB12" s="6"/>
      <c r="AC12" s="6"/>
      <c r="AD12" s="6">
        <v>44777</v>
      </c>
    </row>
    <row r="13" spans="1:30">
      <c r="A13" s="1" t="s">
        <v>772</v>
      </c>
      <c r="B13" s="1" t="s">
        <v>773</v>
      </c>
      <c r="C13" s="1" t="s">
        <v>774</v>
      </c>
      <c r="D13" s="1" t="s">
        <v>157</v>
      </c>
      <c r="E13" s="1" t="str">
        <f t="shared" si="0"/>
        <v>W01</v>
      </c>
      <c r="F13" s="4">
        <v>8.93</v>
      </c>
      <c r="G13" s="4">
        <v>7.15</v>
      </c>
      <c r="H13" s="4">
        <v>7.15</v>
      </c>
      <c r="I13" s="4"/>
      <c r="J13" s="1" t="s">
        <v>775</v>
      </c>
      <c r="K13" s="1" t="s">
        <v>789</v>
      </c>
      <c r="L13" s="1" t="s">
        <v>787</v>
      </c>
      <c r="M13" s="1" t="s">
        <v>788</v>
      </c>
      <c r="N13" s="1" t="s">
        <v>787</v>
      </c>
      <c r="O13" s="6">
        <v>44705</v>
      </c>
      <c r="P13" s="6">
        <v>44699</v>
      </c>
      <c r="Q13" s="6">
        <v>44104</v>
      </c>
      <c r="R13" s="1" t="s">
        <v>779</v>
      </c>
      <c r="T13" s="5">
        <v>402</v>
      </c>
      <c r="U13" s="4">
        <v>8</v>
      </c>
      <c r="V13" s="5">
        <v>265</v>
      </c>
      <c r="W13" s="6">
        <v>43471</v>
      </c>
      <c r="X13" s="6">
        <v>43327</v>
      </c>
      <c r="Y13" s="6"/>
      <c r="Z13" s="6"/>
      <c r="AA13" s="6">
        <v>44938</v>
      </c>
      <c r="AB13" s="6"/>
      <c r="AC13" s="6"/>
      <c r="AD13" s="6">
        <v>44756</v>
      </c>
    </row>
    <row r="14" spans="1:30">
      <c r="A14" s="1" t="s">
        <v>772</v>
      </c>
      <c r="B14" s="1" t="s">
        <v>773</v>
      </c>
      <c r="C14" s="1" t="s">
        <v>774</v>
      </c>
      <c r="D14" s="1" t="s">
        <v>205</v>
      </c>
      <c r="E14" s="1" t="str">
        <f t="shared" si="0"/>
        <v>W01</v>
      </c>
      <c r="F14" s="4">
        <v>6.52</v>
      </c>
      <c r="G14" s="4">
        <v>5.05</v>
      </c>
      <c r="H14" s="4">
        <v>5.05</v>
      </c>
      <c r="I14" s="4"/>
      <c r="J14" s="1" t="s">
        <v>775</v>
      </c>
      <c r="K14" s="1" t="s">
        <v>797</v>
      </c>
      <c r="L14" s="1" t="s">
        <v>777</v>
      </c>
      <c r="M14" s="1" t="s">
        <v>778</v>
      </c>
      <c r="N14" s="1" t="s">
        <v>787</v>
      </c>
      <c r="O14" s="6">
        <v>44838</v>
      </c>
      <c r="P14" s="6">
        <v>44832</v>
      </c>
      <c r="Q14" s="6">
        <v>44816</v>
      </c>
      <c r="R14" s="1" t="s">
        <v>779</v>
      </c>
      <c r="S14" s="1" t="s">
        <v>795</v>
      </c>
      <c r="T14" s="5">
        <v>577</v>
      </c>
      <c r="U14" s="4">
        <v>4</v>
      </c>
      <c r="V14" s="5">
        <v>132</v>
      </c>
      <c r="W14" s="6">
        <v>43710</v>
      </c>
      <c r="X14" s="6">
        <v>42572</v>
      </c>
      <c r="Y14" s="6"/>
      <c r="Z14" s="6"/>
      <c r="AA14" s="6"/>
      <c r="AB14" s="6"/>
      <c r="AC14" s="6"/>
      <c r="AD14" s="6"/>
    </row>
    <row r="15" spans="1:30">
      <c r="A15" s="1" t="s">
        <v>772</v>
      </c>
      <c r="B15" s="1" t="s">
        <v>773</v>
      </c>
      <c r="C15" s="1" t="s">
        <v>774</v>
      </c>
      <c r="D15" s="1" t="s">
        <v>211</v>
      </c>
      <c r="E15" s="1" t="str">
        <f t="shared" si="0"/>
        <v>W01</v>
      </c>
      <c r="F15" s="4">
        <v>11.24</v>
      </c>
      <c r="G15" s="4">
        <v>8.7200000000000006</v>
      </c>
      <c r="H15" s="4">
        <v>8.7200000000000006</v>
      </c>
      <c r="I15" s="4"/>
      <c r="J15" s="1" t="s">
        <v>775</v>
      </c>
      <c r="K15" s="1" t="s">
        <v>791</v>
      </c>
      <c r="L15" s="1" t="s">
        <v>777</v>
      </c>
      <c r="M15" s="1" t="s">
        <v>778</v>
      </c>
      <c r="N15" s="1" t="s">
        <v>787</v>
      </c>
      <c r="O15" s="6">
        <v>44928</v>
      </c>
      <c r="P15" s="6">
        <v>44910</v>
      </c>
      <c r="Q15" s="6">
        <v>44902</v>
      </c>
      <c r="R15" s="1" t="s">
        <v>779</v>
      </c>
      <c r="S15" s="1" t="s">
        <v>792</v>
      </c>
      <c r="T15" s="5">
        <v>577</v>
      </c>
      <c r="U15" s="4">
        <v>1</v>
      </c>
      <c r="V15" s="5">
        <v>54</v>
      </c>
      <c r="W15" s="6">
        <v>43373</v>
      </c>
      <c r="X15" s="6">
        <v>42702</v>
      </c>
      <c r="Y15" s="6"/>
      <c r="Z15" s="6"/>
      <c r="AA15" s="6"/>
      <c r="AB15" s="6"/>
      <c r="AC15" s="6"/>
      <c r="AD15" s="6"/>
    </row>
    <row r="16" spans="1:30">
      <c r="A16" s="1" t="s">
        <v>772</v>
      </c>
      <c r="B16" s="1" t="s">
        <v>773</v>
      </c>
      <c r="C16" s="1" t="s">
        <v>774</v>
      </c>
      <c r="D16" s="1" t="s">
        <v>213</v>
      </c>
      <c r="E16" s="1" t="str">
        <f t="shared" si="0"/>
        <v>W01</v>
      </c>
      <c r="F16" s="4">
        <v>9.18</v>
      </c>
      <c r="G16" s="4">
        <v>7.13</v>
      </c>
      <c r="H16" s="4">
        <v>7.13</v>
      </c>
      <c r="I16" s="4"/>
      <c r="J16" s="1" t="s">
        <v>775</v>
      </c>
      <c r="K16" s="1" t="s">
        <v>798</v>
      </c>
      <c r="L16" s="1" t="s">
        <v>778</v>
      </c>
      <c r="M16" s="1" t="s">
        <v>777</v>
      </c>
      <c r="N16" s="1" t="s">
        <v>788</v>
      </c>
      <c r="O16" s="6">
        <v>44893</v>
      </c>
      <c r="P16" s="6">
        <v>44884</v>
      </c>
      <c r="Q16" s="6"/>
      <c r="R16" s="1" t="s">
        <v>779</v>
      </c>
      <c r="T16" s="5">
        <v>120</v>
      </c>
      <c r="U16" s="4">
        <v>2</v>
      </c>
      <c r="V16" s="5">
        <v>80</v>
      </c>
      <c r="W16" s="6">
        <v>43767</v>
      </c>
      <c r="X16" s="6">
        <v>43796</v>
      </c>
      <c r="Y16" s="6"/>
      <c r="Z16" s="6"/>
      <c r="AA16" s="6"/>
      <c r="AB16" s="6"/>
      <c r="AC16" s="6"/>
      <c r="AD16" s="6"/>
    </row>
    <row r="17" spans="1:30">
      <c r="A17" s="1" t="s">
        <v>772</v>
      </c>
      <c r="B17" s="1" t="s">
        <v>773</v>
      </c>
      <c r="C17" s="1" t="s">
        <v>774</v>
      </c>
      <c r="D17" s="1" t="s">
        <v>389</v>
      </c>
      <c r="E17" s="1" t="str">
        <f t="shared" si="0"/>
        <v>W01</v>
      </c>
      <c r="F17" s="4">
        <v>6</v>
      </c>
      <c r="G17" s="4">
        <v>4.9000000000000004</v>
      </c>
      <c r="H17" s="4">
        <v>4.9000000000000004</v>
      </c>
      <c r="I17" s="4"/>
      <c r="J17" s="1" t="s">
        <v>775</v>
      </c>
      <c r="K17" s="1" t="s">
        <v>799</v>
      </c>
      <c r="L17" s="1" t="s">
        <v>777</v>
      </c>
      <c r="M17" s="1" t="s">
        <v>778</v>
      </c>
      <c r="N17" s="1" t="s">
        <v>788</v>
      </c>
      <c r="O17" s="6">
        <v>44372</v>
      </c>
      <c r="P17" s="6">
        <v>44367</v>
      </c>
      <c r="Q17" s="6">
        <v>44340</v>
      </c>
      <c r="R17" s="1" t="s">
        <v>779</v>
      </c>
      <c r="S17" s="1" t="s">
        <v>792</v>
      </c>
      <c r="T17" s="5">
        <v>577</v>
      </c>
      <c r="U17" s="4">
        <v>19</v>
      </c>
      <c r="V17" s="5">
        <v>597</v>
      </c>
      <c r="W17" s="6">
        <v>43763</v>
      </c>
      <c r="X17" s="6">
        <v>43468</v>
      </c>
      <c r="Y17" s="6"/>
      <c r="Z17" s="6"/>
      <c r="AA17" s="6">
        <v>44811</v>
      </c>
      <c r="AB17" s="6"/>
      <c r="AC17" s="6"/>
      <c r="AD17" s="6">
        <v>44894</v>
      </c>
    </row>
    <row r="18" spans="1:30">
      <c r="A18" s="1" t="s">
        <v>772</v>
      </c>
      <c r="B18" s="1" t="s">
        <v>773</v>
      </c>
      <c r="C18" s="1" t="s">
        <v>774</v>
      </c>
      <c r="D18" s="1" t="s">
        <v>585</v>
      </c>
      <c r="E18" s="1" t="str">
        <f t="shared" si="0"/>
        <v>W01</v>
      </c>
      <c r="F18" s="4">
        <v>9.98</v>
      </c>
      <c r="G18" s="4">
        <v>8.0399999999999991</v>
      </c>
      <c r="H18" s="4">
        <v>8.0399999999999991</v>
      </c>
      <c r="I18" s="4"/>
      <c r="J18" s="1" t="s">
        <v>775</v>
      </c>
      <c r="K18" s="1" t="s">
        <v>800</v>
      </c>
      <c r="L18" s="1" t="s">
        <v>777</v>
      </c>
      <c r="M18" s="1" t="s">
        <v>778</v>
      </c>
      <c r="O18" s="6">
        <v>44806</v>
      </c>
      <c r="P18" s="6">
        <v>44805</v>
      </c>
      <c r="Q18" s="6">
        <v>44794</v>
      </c>
      <c r="R18" s="1" t="s">
        <v>779</v>
      </c>
      <c r="S18" s="1" t="s">
        <v>792</v>
      </c>
      <c r="T18" s="5">
        <v>577</v>
      </c>
      <c r="U18" s="4">
        <v>5</v>
      </c>
      <c r="V18" s="5">
        <v>159</v>
      </c>
      <c r="W18" s="6">
        <v>44383</v>
      </c>
      <c r="X18" s="6"/>
      <c r="Y18" s="6"/>
      <c r="Z18" s="6"/>
      <c r="AA18" s="6"/>
      <c r="AB18" s="6"/>
      <c r="AC18" s="6"/>
      <c r="AD18" s="6"/>
    </row>
    <row r="19" spans="1:30">
      <c r="A19" s="1" t="s">
        <v>772</v>
      </c>
      <c r="B19" s="1" t="s">
        <v>773</v>
      </c>
      <c r="C19" s="1" t="s">
        <v>774</v>
      </c>
      <c r="D19" s="1" t="s">
        <v>681</v>
      </c>
      <c r="E19" s="1" t="str">
        <f t="shared" si="0"/>
        <v>W01</v>
      </c>
      <c r="F19" s="4">
        <v>7.75</v>
      </c>
      <c r="G19" s="4">
        <v>6.12</v>
      </c>
      <c r="H19" s="4">
        <v>6.12</v>
      </c>
      <c r="I19" s="4"/>
      <c r="J19" s="1" t="s">
        <v>775</v>
      </c>
      <c r="K19" s="1" t="s">
        <v>801</v>
      </c>
      <c r="L19" s="1" t="s">
        <v>802</v>
      </c>
      <c r="M19" s="1" t="s">
        <v>777</v>
      </c>
      <c r="O19" s="6">
        <v>44956</v>
      </c>
      <c r="P19" s="6">
        <v>44956</v>
      </c>
      <c r="Q19" s="6">
        <v>44168</v>
      </c>
      <c r="R19" s="1" t="s">
        <v>784</v>
      </c>
      <c r="T19" s="5">
        <v>60</v>
      </c>
      <c r="U19" s="4">
        <v>0</v>
      </c>
      <c r="V19" s="5">
        <v>8</v>
      </c>
      <c r="W19" s="6">
        <v>45043</v>
      </c>
      <c r="X19" s="6"/>
      <c r="Y19" s="6"/>
      <c r="Z19" s="6"/>
      <c r="AA19" s="6"/>
      <c r="AB19" s="6"/>
      <c r="AC19" s="6"/>
      <c r="AD19" s="6"/>
    </row>
    <row r="20" spans="1:30">
      <c r="A20" s="1" t="s">
        <v>772</v>
      </c>
      <c r="B20" s="1" t="s">
        <v>773</v>
      </c>
      <c r="C20" s="1" t="s">
        <v>774</v>
      </c>
      <c r="D20" s="1" t="s">
        <v>676</v>
      </c>
      <c r="E20" s="1" t="str">
        <f t="shared" si="0"/>
        <v>W01</v>
      </c>
      <c r="F20" s="4">
        <v>4.3</v>
      </c>
      <c r="G20" s="4">
        <v>3.58</v>
      </c>
      <c r="H20" s="4">
        <v>3.58</v>
      </c>
      <c r="I20" s="4"/>
      <c r="J20" s="1" t="s">
        <v>775</v>
      </c>
      <c r="K20" s="1" t="s">
        <v>803</v>
      </c>
      <c r="L20" s="1" t="s">
        <v>782</v>
      </c>
      <c r="M20" s="1" t="s">
        <v>783</v>
      </c>
      <c r="O20" s="6">
        <v>44708</v>
      </c>
      <c r="P20" s="6">
        <v>44557</v>
      </c>
      <c r="Q20" s="6">
        <v>44086</v>
      </c>
      <c r="R20" s="1" t="s">
        <v>784</v>
      </c>
      <c r="S20" s="1" t="s">
        <v>785</v>
      </c>
      <c r="T20" s="5">
        <v>357</v>
      </c>
      <c r="U20" s="4">
        <v>13</v>
      </c>
      <c r="V20" s="5">
        <v>407</v>
      </c>
      <c r="W20" s="6">
        <v>44748</v>
      </c>
      <c r="X20" s="6"/>
      <c r="Y20" s="6"/>
      <c r="Z20" s="6"/>
      <c r="AA20" s="6"/>
      <c r="AB20" s="6"/>
      <c r="AC20" s="6"/>
      <c r="AD20" s="6">
        <v>44806</v>
      </c>
    </row>
    <row r="21" spans="1:30">
      <c r="A21" s="1" t="s">
        <v>772</v>
      </c>
      <c r="B21" s="1" t="s">
        <v>773</v>
      </c>
      <c r="C21" s="1" t="s">
        <v>774</v>
      </c>
      <c r="D21" s="1" t="s">
        <v>678</v>
      </c>
      <c r="E21" s="1" t="str">
        <f t="shared" si="0"/>
        <v>W01</v>
      </c>
      <c r="F21" s="4">
        <v>10.68</v>
      </c>
      <c r="G21" s="4">
        <v>8.6199999999999992</v>
      </c>
      <c r="H21" s="4">
        <v>8.6199999999999992</v>
      </c>
      <c r="I21" s="4"/>
      <c r="J21" s="1" t="s">
        <v>775</v>
      </c>
      <c r="K21" s="1" t="s">
        <v>804</v>
      </c>
      <c r="L21" s="1" t="s">
        <v>783</v>
      </c>
      <c r="M21" s="1" t="s">
        <v>777</v>
      </c>
      <c r="O21" s="6">
        <v>44891</v>
      </c>
      <c r="P21" s="6">
        <v>44891</v>
      </c>
      <c r="Q21" s="6">
        <v>43655</v>
      </c>
      <c r="R21" s="1" t="s">
        <v>784</v>
      </c>
      <c r="T21" s="5">
        <v>60</v>
      </c>
      <c r="U21" s="4">
        <v>2</v>
      </c>
      <c r="V21" s="5">
        <v>73</v>
      </c>
      <c r="W21" s="6">
        <v>45005</v>
      </c>
      <c r="X21" s="6"/>
      <c r="Y21" s="6"/>
      <c r="Z21" s="6"/>
      <c r="AA21" s="6"/>
      <c r="AB21" s="6"/>
      <c r="AC21" s="6"/>
      <c r="AD21" s="6"/>
    </row>
    <row r="22" spans="1:30">
      <c r="A22" s="1" t="s">
        <v>772</v>
      </c>
      <c r="B22" s="1" t="s">
        <v>773</v>
      </c>
      <c r="C22" s="1" t="s">
        <v>774</v>
      </c>
      <c r="D22" s="1" t="s">
        <v>541</v>
      </c>
      <c r="E22" s="1" t="str">
        <f t="shared" si="0"/>
        <v>W01</v>
      </c>
      <c r="F22" s="4">
        <v>11.4</v>
      </c>
      <c r="G22" s="4">
        <v>9.08</v>
      </c>
      <c r="H22" s="4">
        <v>9.08</v>
      </c>
      <c r="I22" s="4"/>
      <c r="J22" s="1" t="s">
        <v>775</v>
      </c>
      <c r="K22" s="1" t="s">
        <v>805</v>
      </c>
      <c r="L22" s="1" t="s">
        <v>777</v>
      </c>
      <c r="M22" s="1" t="s">
        <v>778</v>
      </c>
      <c r="N22" s="1" t="s">
        <v>787</v>
      </c>
      <c r="O22" s="6">
        <v>44680</v>
      </c>
      <c r="P22" s="6">
        <v>44669</v>
      </c>
      <c r="Q22" s="6">
        <v>44639</v>
      </c>
      <c r="R22" s="1" t="s">
        <v>779</v>
      </c>
      <c r="S22" s="1" t="s">
        <v>806</v>
      </c>
      <c r="T22" s="5">
        <v>577</v>
      </c>
      <c r="U22" s="4">
        <v>9</v>
      </c>
      <c r="V22" s="5">
        <v>295</v>
      </c>
      <c r="W22" s="6">
        <v>43293</v>
      </c>
      <c r="X22" s="6">
        <v>43079</v>
      </c>
      <c r="Y22" s="6"/>
      <c r="Z22" s="6"/>
      <c r="AA22" s="6"/>
      <c r="AB22" s="6"/>
      <c r="AC22" s="6"/>
      <c r="AD22" s="6"/>
    </row>
    <row r="23" spans="1:30">
      <c r="A23" s="1" t="s">
        <v>772</v>
      </c>
      <c r="B23" s="1" t="s">
        <v>773</v>
      </c>
      <c r="C23" s="1" t="s">
        <v>774</v>
      </c>
      <c r="D23" s="1" t="s">
        <v>209</v>
      </c>
      <c r="E23" s="1" t="str">
        <f t="shared" si="0"/>
        <v>W01</v>
      </c>
      <c r="F23" s="4">
        <v>16.16</v>
      </c>
      <c r="G23" s="4">
        <v>12.62</v>
      </c>
      <c r="H23" s="4">
        <v>12.62</v>
      </c>
      <c r="I23" s="4"/>
      <c r="J23" s="1" t="s">
        <v>775</v>
      </c>
      <c r="K23" s="1" t="s">
        <v>791</v>
      </c>
      <c r="L23" s="1" t="s">
        <v>777</v>
      </c>
      <c r="M23" s="1" t="s">
        <v>778</v>
      </c>
      <c r="N23" s="1" t="s">
        <v>777</v>
      </c>
      <c r="O23" s="6">
        <v>44957</v>
      </c>
      <c r="P23" s="6">
        <v>44942</v>
      </c>
      <c r="Q23" s="6">
        <v>44923</v>
      </c>
      <c r="R23" s="1" t="s">
        <v>779</v>
      </c>
      <c r="S23" s="1" t="s">
        <v>792</v>
      </c>
      <c r="T23" s="5">
        <v>577</v>
      </c>
      <c r="U23" s="4">
        <v>0</v>
      </c>
      <c r="V23" s="5">
        <v>22</v>
      </c>
      <c r="W23" s="6">
        <v>43175</v>
      </c>
      <c r="X23" s="6">
        <v>43206</v>
      </c>
      <c r="Y23" s="6"/>
      <c r="Z23" s="6"/>
      <c r="AA23" s="6"/>
      <c r="AB23" s="6"/>
      <c r="AC23" s="6"/>
      <c r="AD23" s="6"/>
    </row>
    <row r="24" spans="1:30">
      <c r="A24" s="1" t="s">
        <v>772</v>
      </c>
      <c r="B24" s="1" t="s">
        <v>773</v>
      </c>
      <c r="C24" s="1" t="s">
        <v>774</v>
      </c>
      <c r="D24" s="1" t="s">
        <v>533</v>
      </c>
      <c r="E24" s="1" t="str">
        <f t="shared" si="0"/>
        <v>W01</v>
      </c>
      <c r="F24" s="5">
        <v>12.47</v>
      </c>
      <c r="G24" s="4">
        <v>9.91</v>
      </c>
      <c r="H24" s="4">
        <v>9.91</v>
      </c>
      <c r="I24" s="4"/>
      <c r="J24" s="1" t="s">
        <v>775</v>
      </c>
      <c r="K24" s="1" t="s">
        <v>805</v>
      </c>
      <c r="L24" s="1" t="s">
        <v>777</v>
      </c>
      <c r="M24" s="1" t="s">
        <v>778</v>
      </c>
      <c r="N24" s="1" t="s">
        <v>787</v>
      </c>
      <c r="O24" s="6">
        <v>44669</v>
      </c>
      <c r="P24" s="6">
        <v>44657</v>
      </c>
      <c r="Q24" s="6">
        <v>44636</v>
      </c>
      <c r="R24" s="1" t="s">
        <v>779</v>
      </c>
      <c r="S24" s="1" t="s">
        <v>792</v>
      </c>
      <c r="T24" s="5">
        <v>577</v>
      </c>
      <c r="U24" s="4">
        <v>10</v>
      </c>
      <c r="V24" s="5">
        <v>307</v>
      </c>
      <c r="W24" s="6">
        <v>43293</v>
      </c>
      <c r="X24" s="6">
        <v>43079</v>
      </c>
      <c r="Y24" s="6"/>
      <c r="Z24" s="6"/>
      <c r="AA24" s="6"/>
      <c r="AB24" s="6"/>
      <c r="AC24" s="6"/>
      <c r="AD24" s="6"/>
    </row>
    <row r="25" spans="1:30">
      <c r="A25" s="1" t="s">
        <v>772</v>
      </c>
      <c r="B25" s="1" t="s">
        <v>773</v>
      </c>
      <c r="C25" s="1" t="s">
        <v>774</v>
      </c>
      <c r="D25" s="1" t="s">
        <v>414</v>
      </c>
      <c r="E25" s="1" t="str">
        <f t="shared" si="0"/>
        <v>W01</v>
      </c>
      <c r="F25" s="4">
        <v>6.46</v>
      </c>
      <c r="G25" s="4">
        <v>5.05</v>
      </c>
      <c r="H25" s="4">
        <v>5.05</v>
      </c>
      <c r="I25" s="4"/>
      <c r="J25" s="1" t="s">
        <v>775</v>
      </c>
      <c r="K25" s="1" t="s">
        <v>807</v>
      </c>
      <c r="L25" s="1" t="s">
        <v>787</v>
      </c>
      <c r="M25" s="1" t="s">
        <v>788</v>
      </c>
      <c r="N25" s="1" t="s">
        <v>777</v>
      </c>
      <c r="O25" s="6">
        <v>44926</v>
      </c>
      <c r="P25" s="6">
        <v>44919</v>
      </c>
      <c r="Q25" s="6">
        <v>44370</v>
      </c>
      <c r="R25" s="1" t="s">
        <v>779</v>
      </c>
      <c r="T25" s="5">
        <v>402</v>
      </c>
      <c r="U25" s="4">
        <v>1</v>
      </c>
      <c r="V25" s="5">
        <v>45</v>
      </c>
      <c r="W25" s="6">
        <v>43175</v>
      </c>
      <c r="X25" s="6">
        <v>43206</v>
      </c>
      <c r="Y25" s="6"/>
      <c r="Z25" s="6"/>
      <c r="AA25" s="6"/>
      <c r="AB25" s="6"/>
      <c r="AC25" s="6"/>
      <c r="AD25" s="6"/>
    </row>
    <row r="26" spans="1:30">
      <c r="A26" s="1" t="s">
        <v>772</v>
      </c>
      <c r="B26" s="1" t="s">
        <v>773</v>
      </c>
      <c r="C26" s="1" t="s">
        <v>774</v>
      </c>
      <c r="D26" s="1" t="s">
        <v>636</v>
      </c>
      <c r="E26" s="1" t="str">
        <f t="shared" si="0"/>
        <v>W01</v>
      </c>
      <c r="F26" s="4">
        <v>7.68</v>
      </c>
      <c r="G26" s="4">
        <v>6</v>
      </c>
      <c r="H26" s="4">
        <v>6</v>
      </c>
      <c r="I26" s="4"/>
      <c r="J26" s="1" t="s">
        <v>775</v>
      </c>
      <c r="K26" s="1" t="s">
        <v>791</v>
      </c>
      <c r="L26" s="1" t="s">
        <v>777</v>
      </c>
      <c r="M26" s="1" t="s">
        <v>778</v>
      </c>
      <c r="N26" s="1" t="s">
        <v>788</v>
      </c>
      <c r="O26" s="6">
        <v>44929</v>
      </c>
      <c r="P26" s="6">
        <v>44926</v>
      </c>
      <c r="Q26" s="6">
        <v>44915</v>
      </c>
      <c r="R26" s="1" t="s">
        <v>779</v>
      </c>
      <c r="S26" s="1" t="s">
        <v>792</v>
      </c>
      <c r="T26" s="5">
        <v>577</v>
      </c>
      <c r="U26" s="4">
        <v>1</v>
      </c>
      <c r="V26" s="5">
        <v>38</v>
      </c>
      <c r="W26" s="6">
        <v>43747</v>
      </c>
      <c r="X26" s="6">
        <v>43665</v>
      </c>
      <c r="Y26" s="6"/>
      <c r="Z26" s="6"/>
      <c r="AA26" s="6"/>
      <c r="AB26" s="6"/>
      <c r="AC26" s="6"/>
      <c r="AD26" s="6">
        <v>44940</v>
      </c>
    </row>
    <row r="27" spans="1:30">
      <c r="A27" s="1" t="s">
        <v>772</v>
      </c>
      <c r="B27" s="1" t="s">
        <v>773</v>
      </c>
      <c r="C27" s="1" t="s">
        <v>774</v>
      </c>
      <c r="D27" s="1" t="s">
        <v>408</v>
      </c>
      <c r="E27" s="1" t="str">
        <f t="shared" si="0"/>
        <v>W01</v>
      </c>
      <c r="F27" s="4">
        <v>12.28</v>
      </c>
      <c r="G27" s="4">
        <v>9.52</v>
      </c>
      <c r="H27" s="4">
        <v>9.52</v>
      </c>
      <c r="I27" s="4"/>
      <c r="J27" s="1" t="s">
        <v>775</v>
      </c>
      <c r="K27" s="1" t="s">
        <v>808</v>
      </c>
      <c r="L27" s="1" t="s">
        <v>787</v>
      </c>
      <c r="M27" s="1" t="s">
        <v>788</v>
      </c>
      <c r="N27" s="1" t="s">
        <v>777</v>
      </c>
      <c r="O27" s="6">
        <v>44866</v>
      </c>
      <c r="P27" s="6">
        <v>44854</v>
      </c>
      <c r="Q27" s="6">
        <v>44370</v>
      </c>
      <c r="R27" s="1" t="s">
        <v>779</v>
      </c>
      <c r="T27" s="5">
        <v>402</v>
      </c>
      <c r="U27" s="4">
        <v>3</v>
      </c>
      <c r="V27" s="5">
        <v>110</v>
      </c>
      <c r="W27" s="6">
        <v>43175</v>
      </c>
      <c r="X27" s="6">
        <v>43206</v>
      </c>
      <c r="Y27" s="6"/>
      <c r="Z27" s="6"/>
      <c r="AA27" s="6"/>
      <c r="AB27" s="6"/>
      <c r="AC27" s="6"/>
      <c r="AD27" s="6"/>
    </row>
    <row r="28" spans="1:30">
      <c r="A28" s="1" t="s">
        <v>772</v>
      </c>
      <c r="B28" s="1" t="s">
        <v>773</v>
      </c>
      <c r="C28" s="1" t="s">
        <v>774</v>
      </c>
      <c r="D28" s="1" t="s">
        <v>327</v>
      </c>
      <c r="E28" s="1" t="str">
        <f t="shared" si="0"/>
        <v>W01</v>
      </c>
      <c r="F28" s="4">
        <v>8.23</v>
      </c>
      <c r="G28" s="4">
        <v>6.66</v>
      </c>
      <c r="H28" s="4">
        <v>6.66</v>
      </c>
      <c r="I28" s="4"/>
      <c r="J28" s="1" t="s">
        <v>775</v>
      </c>
      <c r="K28" s="1" t="s">
        <v>793</v>
      </c>
      <c r="L28" s="1" t="s">
        <v>787</v>
      </c>
      <c r="M28" s="1" t="s">
        <v>788</v>
      </c>
      <c r="O28" s="6">
        <v>44774</v>
      </c>
      <c r="P28" s="6">
        <v>44773</v>
      </c>
      <c r="Q28" s="6">
        <v>44222</v>
      </c>
      <c r="R28" s="1" t="s">
        <v>779</v>
      </c>
      <c r="T28" s="5">
        <v>402</v>
      </c>
      <c r="U28" s="4">
        <v>6</v>
      </c>
      <c r="V28" s="5">
        <v>191</v>
      </c>
      <c r="W28" s="6">
        <v>43803</v>
      </c>
      <c r="X28" s="6"/>
      <c r="Y28" s="6"/>
      <c r="Z28" s="6"/>
      <c r="AA28" s="6"/>
      <c r="AB28" s="6"/>
      <c r="AC28" s="6"/>
      <c r="AD28" s="6">
        <v>44765</v>
      </c>
    </row>
    <row r="29" spans="1:30">
      <c r="A29" s="1" t="s">
        <v>772</v>
      </c>
      <c r="B29" s="1" t="s">
        <v>773</v>
      </c>
      <c r="C29" s="1" t="s">
        <v>774</v>
      </c>
      <c r="D29" s="1" t="s">
        <v>230</v>
      </c>
      <c r="E29" s="1" t="str">
        <f t="shared" si="0"/>
        <v>W01</v>
      </c>
      <c r="F29" s="4">
        <v>14.75</v>
      </c>
      <c r="G29" s="4">
        <v>11.64</v>
      </c>
      <c r="H29" s="4">
        <v>11.64</v>
      </c>
      <c r="I29" s="4"/>
      <c r="J29" s="1" t="s">
        <v>775</v>
      </c>
      <c r="K29" s="1" t="s">
        <v>794</v>
      </c>
      <c r="L29" s="1" t="s">
        <v>777</v>
      </c>
      <c r="M29" s="1" t="s">
        <v>778</v>
      </c>
      <c r="N29" s="1" t="s">
        <v>788</v>
      </c>
      <c r="O29" s="6">
        <v>44897</v>
      </c>
      <c r="P29" s="6">
        <v>44884</v>
      </c>
      <c r="Q29" s="6">
        <v>44854</v>
      </c>
      <c r="R29" s="1" t="s">
        <v>779</v>
      </c>
      <c r="S29" s="1" t="s">
        <v>795</v>
      </c>
      <c r="T29" s="5">
        <v>577</v>
      </c>
      <c r="U29" s="4">
        <v>2</v>
      </c>
      <c r="V29" s="5">
        <v>80</v>
      </c>
      <c r="W29" s="6">
        <v>43747</v>
      </c>
      <c r="X29" s="6">
        <v>43665</v>
      </c>
      <c r="Y29" s="6"/>
      <c r="Z29" s="6"/>
      <c r="AA29" s="6"/>
      <c r="AB29" s="6"/>
      <c r="AC29" s="6"/>
      <c r="AD29" s="6"/>
    </row>
    <row r="30" spans="1:30">
      <c r="A30" s="1" t="s">
        <v>772</v>
      </c>
      <c r="B30" s="1" t="s">
        <v>773</v>
      </c>
      <c r="C30" s="1" t="s">
        <v>774</v>
      </c>
      <c r="D30" s="1" t="s">
        <v>374</v>
      </c>
      <c r="E30" s="1" t="str">
        <f t="shared" si="0"/>
        <v>W01</v>
      </c>
      <c r="F30" s="4">
        <v>8.6</v>
      </c>
      <c r="G30" s="4">
        <v>6.94</v>
      </c>
      <c r="H30" s="4">
        <v>6.94</v>
      </c>
      <c r="I30" s="4"/>
      <c r="J30" s="1" t="s">
        <v>775</v>
      </c>
      <c r="K30" s="1" t="s">
        <v>786</v>
      </c>
      <c r="L30" s="1" t="s">
        <v>787</v>
      </c>
      <c r="M30" s="1" t="s">
        <v>788</v>
      </c>
      <c r="O30" s="6">
        <v>44805</v>
      </c>
      <c r="P30" s="6">
        <v>44790</v>
      </c>
      <c r="Q30" s="6">
        <v>44339</v>
      </c>
      <c r="R30" s="1" t="s">
        <v>779</v>
      </c>
      <c r="T30" s="5">
        <v>402</v>
      </c>
      <c r="U30" s="4">
        <v>5</v>
      </c>
      <c r="V30" s="5">
        <v>174</v>
      </c>
      <c r="W30" s="6">
        <v>43322</v>
      </c>
      <c r="X30" s="6"/>
      <c r="Y30" s="6"/>
      <c r="Z30" s="6"/>
      <c r="AA30" s="6"/>
      <c r="AB30" s="6"/>
      <c r="AC30" s="6"/>
      <c r="AD30" s="6">
        <v>44802</v>
      </c>
    </row>
    <row r="31" spans="1:30">
      <c r="A31" s="1" t="s">
        <v>772</v>
      </c>
      <c r="B31" s="1" t="s">
        <v>773</v>
      </c>
      <c r="C31" s="1" t="s">
        <v>774</v>
      </c>
      <c r="D31" s="1" t="s">
        <v>325</v>
      </c>
      <c r="E31" s="1" t="str">
        <f t="shared" si="0"/>
        <v>W01</v>
      </c>
      <c r="F31" s="4">
        <v>7.16</v>
      </c>
      <c r="G31" s="4">
        <v>5.86</v>
      </c>
      <c r="H31" s="4">
        <v>5.86</v>
      </c>
      <c r="I31" s="4"/>
      <c r="J31" s="1" t="s">
        <v>775</v>
      </c>
      <c r="K31" s="1" t="s">
        <v>808</v>
      </c>
      <c r="L31" s="1" t="s">
        <v>809</v>
      </c>
      <c r="M31" s="1" t="s">
        <v>788</v>
      </c>
      <c r="O31" s="6">
        <v>44880</v>
      </c>
      <c r="P31" s="6">
        <v>44790</v>
      </c>
      <c r="Q31" s="6">
        <v>44227</v>
      </c>
      <c r="R31" s="1" t="s">
        <v>779</v>
      </c>
      <c r="T31" s="5">
        <v>402</v>
      </c>
      <c r="U31" s="4">
        <v>5</v>
      </c>
      <c r="V31" s="5">
        <v>174</v>
      </c>
      <c r="W31" s="6">
        <v>43322</v>
      </c>
      <c r="X31" s="6"/>
      <c r="Y31" s="6"/>
      <c r="Z31" s="6"/>
      <c r="AA31" s="6"/>
      <c r="AB31" s="6"/>
      <c r="AC31" s="6"/>
      <c r="AD31" s="6"/>
    </row>
    <row r="32" spans="1:30">
      <c r="A32" s="1" t="s">
        <v>772</v>
      </c>
      <c r="B32" s="1" t="s">
        <v>773</v>
      </c>
      <c r="C32" s="1" t="s">
        <v>774</v>
      </c>
      <c r="D32" s="1" t="s">
        <v>810</v>
      </c>
      <c r="E32" s="1" t="str">
        <f t="shared" si="0"/>
        <v>W01</v>
      </c>
      <c r="F32" s="4">
        <v>6.82</v>
      </c>
      <c r="G32" s="4">
        <v>5.45</v>
      </c>
      <c r="H32" s="4">
        <v>5.45</v>
      </c>
      <c r="I32" s="4"/>
      <c r="J32" s="1" t="s">
        <v>775</v>
      </c>
      <c r="K32" s="1" t="s">
        <v>811</v>
      </c>
      <c r="L32" s="1" t="s">
        <v>812</v>
      </c>
      <c r="M32" s="1" t="s">
        <v>782</v>
      </c>
      <c r="O32" s="6">
        <v>44655</v>
      </c>
      <c r="P32" s="6">
        <v>44626</v>
      </c>
      <c r="Q32" s="6">
        <v>44626</v>
      </c>
      <c r="R32" s="1" t="s">
        <v>784</v>
      </c>
      <c r="S32" s="1" t="s">
        <v>785</v>
      </c>
      <c r="T32" s="5">
        <v>392</v>
      </c>
      <c r="U32" s="4">
        <v>11</v>
      </c>
      <c r="V32" s="5">
        <v>338</v>
      </c>
      <c r="W32" s="6">
        <v>45190</v>
      </c>
      <c r="X32" s="6"/>
      <c r="Y32" s="6"/>
      <c r="Z32" s="6"/>
      <c r="AA32" s="6"/>
      <c r="AB32" s="6"/>
      <c r="AC32" s="6"/>
      <c r="AD32" s="6">
        <v>44897</v>
      </c>
    </row>
    <row r="33" spans="1:30">
      <c r="A33" s="1" t="s">
        <v>772</v>
      </c>
      <c r="B33" s="1" t="s">
        <v>773</v>
      </c>
      <c r="C33" s="1" t="s">
        <v>774</v>
      </c>
      <c r="D33" s="1" t="s">
        <v>813</v>
      </c>
      <c r="E33" s="1" t="str">
        <f t="shared" si="0"/>
        <v>W01</v>
      </c>
      <c r="F33" s="4">
        <v>11.82</v>
      </c>
      <c r="G33" s="4">
        <v>9.4700000000000006</v>
      </c>
      <c r="H33" s="4">
        <v>7.46</v>
      </c>
      <c r="I33" s="4"/>
      <c r="J33" s="1" t="s">
        <v>775</v>
      </c>
      <c r="K33" s="1" t="s">
        <v>814</v>
      </c>
      <c r="L33" s="1" t="s">
        <v>812</v>
      </c>
      <c r="M33" s="1" t="s">
        <v>782</v>
      </c>
      <c r="O33" s="6">
        <v>44607</v>
      </c>
      <c r="P33" s="6">
        <v>44605</v>
      </c>
      <c r="Q33" s="6">
        <v>44605</v>
      </c>
      <c r="R33" s="1" t="s">
        <v>784</v>
      </c>
      <c r="S33" s="1" t="s">
        <v>815</v>
      </c>
      <c r="T33" s="5">
        <v>392</v>
      </c>
      <c r="U33" s="4">
        <v>11</v>
      </c>
      <c r="V33" s="5">
        <v>359</v>
      </c>
      <c r="W33" s="6">
        <v>45222</v>
      </c>
      <c r="X33" s="6"/>
      <c r="Y33" s="6"/>
      <c r="Z33" s="6"/>
      <c r="AA33" s="6"/>
      <c r="AB33" s="6"/>
      <c r="AC33" s="6"/>
      <c r="AD33" s="6">
        <v>44873</v>
      </c>
    </row>
    <row r="34" spans="1:30">
      <c r="A34" s="1" t="s">
        <v>772</v>
      </c>
      <c r="B34" s="1" t="s">
        <v>773</v>
      </c>
      <c r="C34" s="1" t="s">
        <v>774</v>
      </c>
      <c r="D34" s="1" t="s">
        <v>816</v>
      </c>
      <c r="E34" s="1" t="str">
        <f t="shared" si="0"/>
        <v>W01</v>
      </c>
      <c r="F34" s="4">
        <v>5.14</v>
      </c>
      <c r="G34" s="4">
        <v>4.24</v>
      </c>
      <c r="H34" s="4">
        <v>4.24</v>
      </c>
      <c r="I34" s="4"/>
      <c r="J34" s="1" t="s">
        <v>775</v>
      </c>
      <c r="K34" s="1" t="s">
        <v>817</v>
      </c>
      <c r="L34" s="1" t="s">
        <v>812</v>
      </c>
      <c r="M34" s="1" t="s">
        <v>782</v>
      </c>
      <c r="N34" s="256"/>
      <c r="O34" s="6">
        <v>44572</v>
      </c>
      <c r="P34" s="6">
        <v>44560</v>
      </c>
      <c r="Q34" s="6">
        <v>44560</v>
      </c>
      <c r="R34" s="1" t="s">
        <v>784</v>
      </c>
      <c r="S34" s="1" t="s">
        <v>815</v>
      </c>
      <c r="T34" s="5">
        <v>392</v>
      </c>
      <c r="U34" s="4">
        <v>13</v>
      </c>
      <c r="V34" s="5">
        <v>404</v>
      </c>
      <c r="W34" s="6">
        <v>45190</v>
      </c>
      <c r="X34" s="6"/>
      <c r="Y34" s="6"/>
      <c r="Z34" s="6"/>
      <c r="AA34" s="6"/>
      <c r="AB34" s="6"/>
      <c r="AC34" s="6"/>
      <c r="AD34" s="6">
        <v>44848</v>
      </c>
    </row>
    <row r="35" spans="1:30">
      <c r="A35" s="1" t="s">
        <v>772</v>
      </c>
      <c r="B35" s="1" t="s">
        <v>773</v>
      </c>
      <c r="C35" s="1" t="s">
        <v>774</v>
      </c>
      <c r="D35" s="1" t="s">
        <v>818</v>
      </c>
      <c r="E35" s="1" t="str">
        <f t="shared" si="0"/>
        <v>W01</v>
      </c>
      <c r="F35" s="4">
        <v>11.6</v>
      </c>
      <c r="G35" s="4">
        <v>9.3000000000000007</v>
      </c>
      <c r="H35" s="4">
        <v>9.3000000000000007</v>
      </c>
      <c r="I35" s="4"/>
      <c r="J35" s="1" t="s">
        <v>775</v>
      </c>
      <c r="K35" s="1" t="s">
        <v>819</v>
      </c>
      <c r="L35" s="1" t="s">
        <v>812</v>
      </c>
      <c r="M35" s="1" t="s">
        <v>782</v>
      </c>
      <c r="O35" s="6">
        <v>44729</v>
      </c>
      <c r="P35" s="6">
        <v>44717</v>
      </c>
      <c r="Q35" s="6">
        <v>44717</v>
      </c>
      <c r="R35" s="1" t="s">
        <v>784</v>
      </c>
      <c r="S35" s="1" t="s">
        <v>785</v>
      </c>
      <c r="T35" s="5">
        <v>392</v>
      </c>
      <c r="U35" s="4">
        <v>8</v>
      </c>
      <c r="V35" s="5">
        <v>247</v>
      </c>
      <c r="W35" s="6">
        <v>45165</v>
      </c>
      <c r="X35" s="6"/>
      <c r="Y35" s="6"/>
      <c r="Z35" s="6"/>
      <c r="AA35" s="6"/>
      <c r="AB35" s="6"/>
      <c r="AC35" s="6"/>
      <c r="AD35" s="6"/>
    </row>
    <row r="36" spans="1:30">
      <c r="A36" s="1" t="s">
        <v>772</v>
      </c>
      <c r="B36" s="1" t="s">
        <v>773</v>
      </c>
      <c r="C36" s="1" t="s">
        <v>774</v>
      </c>
      <c r="D36" s="1" t="s">
        <v>820</v>
      </c>
      <c r="E36" s="1" t="str">
        <f t="shared" si="0"/>
        <v>W01</v>
      </c>
      <c r="F36" s="4">
        <v>9.26</v>
      </c>
      <c r="G36" s="4">
        <v>7.51</v>
      </c>
      <c r="H36" s="4">
        <v>7.51</v>
      </c>
      <c r="I36" s="4"/>
      <c r="J36" s="1" t="s">
        <v>775</v>
      </c>
      <c r="K36" s="1" t="s">
        <v>819</v>
      </c>
      <c r="L36" s="1" t="s">
        <v>812</v>
      </c>
      <c r="M36" s="1" t="s">
        <v>782</v>
      </c>
      <c r="O36" s="6">
        <v>44742</v>
      </c>
      <c r="P36" s="6">
        <v>44709</v>
      </c>
      <c r="Q36" s="6">
        <v>44709</v>
      </c>
      <c r="R36" s="1" t="s">
        <v>784</v>
      </c>
      <c r="S36" s="1" t="s">
        <v>785</v>
      </c>
      <c r="T36" s="5">
        <v>392</v>
      </c>
      <c r="U36" s="4">
        <v>8</v>
      </c>
      <c r="V36" s="5">
        <v>255</v>
      </c>
      <c r="W36" s="6">
        <v>45165</v>
      </c>
      <c r="X36" s="6"/>
      <c r="Y36" s="6"/>
      <c r="Z36" s="6"/>
      <c r="AA36" s="6"/>
      <c r="AB36" s="6"/>
      <c r="AC36" s="6"/>
      <c r="AD36" s="6"/>
    </row>
    <row r="37" spans="1:30">
      <c r="A37" s="1" t="s">
        <v>772</v>
      </c>
      <c r="B37" s="1" t="s">
        <v>773</v>
      </c>
      <c r="C37" s="1" t="s">
        <v>774</v>
      </c>
      <c r="D37" s="1" t="s">
        <v>821</v>
      </c>
      <c r="E37" s="1" t="str">
        <f t="shared" si="0"/>
        <v>W01</v>
      </c>
      <c r="F37" s="4">
        <v>6.58</v>
      </c>
      <c r="G37" s="4">
        <v>5.74</v>
      </c>
      <c r="H37" s="4">
        <v>5.74</v>
      </c>
      <c r="I37" s="4"/>
      <c r="J37" s="1" t="s">
        <v>775</v>
      </c>
      <c r="K37" s="1" t="s">
        <v>811</v>
      </c>
      <c r="L37" s="1" t="s">
        <v>812</v>
      </c>
      <c r="M37" s="1" t="s">
        <v>782</v>
      </c>
      <c r="O37" s="6">
        <v>44663</v>
      </c>
      <c r="P37" s="6">
        <v>44662</v>
      </c>
      <c r="Q37" s="6">
        <v>44662</v>
      </c>
      <c r="R37" s="1" t="s">
        <v>784</v>
      </c>
      <c r="S37" s="1" t="s">
        <v>785</v>
      </c>
      <c r="T37" s="5">
        <v>392</v>
      </c>
      <c r="U37" s="4">
        <v>9</v>
      </c>
      <c r="V37" s="5">
        <v>302</v>
      </c>
      <c r="W37" s="6">
        <v>45216</v>
      </c>
      <c r="X37" s="6"/>
      <c r="Y37" s="6"/>
      <c r="Z37" s="6"/>
      <c r="AA37" s="6"/>
      <c r="AB37" s="6"/>
      <c r="AC37" s="6"/>
      <c r="AD37" s="6">
        <v>44937</v>
      </c>
    </row>
    <row r="38" spans="1:30">
      <c r="A38" s="1" t="s">
        <v>772</v>
      </c>
      <c r="B38" s="1" t="s">
        <v>773</v>
      </c>
      <c r="C38" s="1" t="s">
        <v>774</v>
      </c>
      <c r="D38" s="1" t="s">
        <v>500</v>
      </c>
      <c r="E38" s="1" t="str">
        <f t="shared" si="0"/>
        <v>W01</v>
      </c>
      <c r="F38" s="4">
        <v>5.43</v>
      </c>
      <c r="G38" s="4">
        <v>4.28</v>
      </c>
      <c r="H38" s="4">
        <v>4.28</v>
      </c>
      <c r="I38" s="4"/>
      <c r="J38" s="1" t="s">
        <v>775</v>
      </c>
      <c r="K38" s="1" t="s">
        <v>822</v>
      </c>
      <c r="L38" s="1" t="s">
        <v>777</v>
      </c>
      <c r="M38" s="1" t="s">
        <v>778</v>
      </c>
      <c r="O38" s="6">
        <v>44594</v>
      </c>
      <c r="P38" s="6">
        <v>44589</v>
      </c>
      <c r="Q38" s="6">
        <v>44578</v>
      </c>
      <c r="R38" s="1" t="s">
        <v>779</v>
      </c>
      <c r="S38" s="1" t="s">
        <v>823</v>
      </c>
      <c r="T38" s="5">
        <v>457</v>
      </c>
      <c r="U38" s="4">
        <v>12</v>
      </c>
      <c r="V38" s="5">
        <v>375</v>
      </c>
      <c r="W38" s="6">
        <v>44749</v>
      </c>
      <c r="X38" s="6"/>
      <c r="Y38" s="6"/>
      <c r="Z38" s="6"/>
      <c r="AA38" s="6">
        <v>44904</v>
      </c>
      <c r="AB38" s="6"/>
      <c r="AC38" s="6"/>
      <c r="AD38" s="6"/>
    </row>
    <row r="39" spans="1:30">
      <c r="A39" s="1" t="s">
        <v>772</v>
      </c>
      <c r="B39" s="1" t="s">
        <v>773</v>
      </c>
      <c r="C39" s="1" t="s">
        <v>774</v>
      </c>
      <c r="D39" s="1" t="s">
        <v>514</v>
      </c>
      <c r="E39" s="1" t="str">
        <f t="shared" si="0"/>
        <v>W01</v>
      </c>
      <c r="F39" s="4">
        <v>12.28</v>
      </c>
      <c r="G39" s="4">
        <v>9.68</v>
      </c>
      <c r="H39" s="4">
        <v>9.68</v>
      </c>
      <c r="I39" s="4"/>
      <c r="J39" s="1" t="s">
        <v>775</v>
      </c>
      <c r="K39" s="1" t="s">
        <v>824</v>
      </c>
      <c r="L39" s="1" t="s">
        <v>777</v>
      </c>
      <c r="M39" s="1" t="s">
        <v>778</v>
      </c>
      <c r="N39" s="256"/>
      <c r="O39" s="6">
        <v>44632</v>
      </c>
      <c r="P39" s="6">
        <v>44623</v>
      </c>
      <c r="Q39" s="6">
        <v>44584</v>
      </c>
      <c r="R39" s="1" t="s">
        <v>779</v>
      </c>
      <c r="S39" s="1" t="s">
        <v>780</v>
      </c>
      <c r="T39" s="5">
        <v>517</v>
      </c>
      <c r="U39" s="4">
        <v>11</v>
      </c>
      <c r="V39" s="5">
        <v>341</v>
      </c>
      <c r="W39" s="6"/>
      <c r="X39" s="6"/>
      <c r="Y39" s="6"/>
      <c r="Z39" s="6"/>
      <c r="AA39" s="6">
        <v>44946</v>
      </c>
      <c r="AB39" s="6"/>
      <c r="AC39" s="6"/>
      <c r="AD39" s="6"/>
    </row>
    <row r="40" spans="1:30">
      <c r="A40" s="1" t="s">
        <v>772</v>
      </c>
      <c r="B40" s="1" t="s">
        <v>773</v>
      </c>
      <c r="C40" s="1" t="s">
        <v>774</v>
      </c>
      <c r="D40" s="1" t="s">
        <v>509</v>
      </c>
      <c r="E40" s="1" t="str">
        <f t="shared" si="0"/>
        <v>W01</v>
      </c>
      <c r="F40" s="4">
        <v>10.039999999999999</v>
      </c>
      <c r="G40" s="4">
        <v>8.1199999999999992</v>
      </c>
      <c r="H40" s="4">
        <v>8.1199999999999992</v>
      </c>
      <c r="I40" s="4"/>
      <c r="J40" s="1" t="s">
        <v>775</v>
      </c>
      <c r="K40" s="1" t="s">
        <v>824</v>
      </c>
      <c r="L40" s="1" t="s">
        <v>777</v>
      </c>
      <c r="M40" s="1" t="s">
        <v>778</v>
      </c>
      <c r="O40" s="6">
        <v>44635</v>
      </c>
      <c r="P40" s="6">
        <v>44610</v>
      </c>
      <c r="Q40" s="6">
        <v>44590</v>
      </c>
      <c r="R40" s="1" t="s">
        <v>779</v>
      </c>
      <c r="S40" s="1" t="s">
        <v>823</v>
      </c>
      <c r="T40" s="5">
        <v>457</v>
      </c>
      <c r="U40" s="4">
        <v>11</v>
      </c>
      <c r="V40" s="5">
        <v>354</v>
      </c>
      <c r="W40" s="6"/>
      <c r="X40" s="6"/>
      <c r="Y40" s="6"/>
      <c r="Z40" s="6"/>
      <c r="AA40" s="6">
        <v>44910</v>
      </c>
      <c r="AB40" s="6"/>
      <c r="AC40" s="6"/>
      <c r="AD40" s="6"/>
    </row>
    <row r="41" spans="1:30">
      <c r="A41" s="1" t="s">
        <v>772</v>
      </c>
      <c r="B41" s="1" t="s">
        <v>773</v>
      </c>
      <c r="C41" s="1" t="s">
        <v>774</v>
      </c>
      <c r="D41" s="1" t="s">
        <v>515</v>
      </c>
      <c r="E41" s="1" t="str">
        <f t="shared" si="0"/>
        <v>W01</v>
      </c>
      <c r="F41" s="4">
        <v>9.66</v>
      </c>
      <c r="G41" s="4">
        <v>7.7</v>
      </c>
      <c r="H41" s="4">
        <v>7.7</v>
      </c>
      <c r="I41" s="4"/>
      <c r="J41" s="1" t="s">
        <v>775</v>
      </c>
      <c r="K41" s="1" t="s">
        <v>824</v>
      </c>
      <c r="L41" s="1" t="s">
        <v>777</v>
      </c>
      <c r="M41" s="1" t="s">
        <v>778</v>
      </c>
      <c r="O41" s="6">
        <v>44642</v>
      </c>
      <c r="P41" s="6">
        <v>44623</v>
      </c>
      <c r="Q41" s="6">
        <v>44600</v>
      </c>
      <c r="R41" s="1" t="s">
        <v>779</v>
      </c>
      <c r="S41" s="1" t="s">
        <v>823</v>
      </c>
      <c r="T41" s="5">
        <v>457</v>
      </c>
      <c r="U41" s="4">
        <v>11</v>
      </c>
      <c r="V41" s="5">
        <v>341</v>
      </c>
      <c r="W41" s="6"/>
      <c r="X41" s="6"/>
      <c r="Y41" s="6"/>
      <c r="Z41" s="6"/>
      <c r="AA41" s="6">
        <v>44910</v>
      </c>
      <c r="AB41" s="6"/>
      <c r="AC41" s="6"/>
      <c r="AD41" s="6"/>
    </row>
    <row r="42" spans="1:30">
      <c r="A42" s="1" t="s">
        <v>772</v>
      </c>
      <c r="B42" s="1" t="s">
        <v>773</v>
      </c>
      <c r="C42" s="1" t="s">
        <v>774</v>
      </c>
      <c r="D42" s="1" t="s">
        <v>282</v>
      </c>
      <c r="E42" s="1" t="str">
        <f t="shared" si="0"/>
        <v>W01</v>
      </c>
      <c r="F42" s="4">
        <v>22.46</v>
      </c>
      <c r="G42" s="4">
        <v>17.91</v>
      </c>
      <c r="H42" s="4">
        <v>17.91</v>
      </c>
      <c r="I42" s="4"/>
      <c r="J42" s="1" t="s">
        <v>775</v>
      </c>
      <c r="K42" s="1" t="s">
        <v>825</v>
      </c>
      <c r="L42" s="1" t="s">
        <v>787</v>
      </c>
      <c r="M42" s="1" t="s">
        <v>788</v>
      </c>
      <c r="O42" s="6">
        <v>44653</v>
      </c>
      <c r="P42" s="6">
        <v>44649</v>
      </c>
      <c r="Q42" s="6">
        <v>44111</v>
      </c>
      <c r="R42" s="1" t="s">
        <v>779</v>
      </c>
      <c r="T42" s="5">
        <v>402</v>
      </c>
      <c r="U42" s="4">
        <v>10</v>
      </c>
      <c r="V42" s="5">
        <v>315</v>
      </c>
      <c r="W42" s="6">
        <v>44523</v>
      </c>
      <c r="X42" s="6"/>
      <c r="Y42" s="6"/>
      <c r="Z42" s="6"/>
      <c r="AA42" s="6">
        <v>44902</v>
      </c>
      <c r="AB42" s="6"/>
      <c r="AC42" s="6"/>
      <c r="AD42" s="6"/>
    </row>
    <row r="43" spans="1:30">
      <c r="A43" s="1" t="s">
        <v>772</v>
      </c>
      <c r="B43" s="1" t="s">
        <v>773</v>
      </c>
      <c r="C43" s="1" t="s">
        <v>774</v>
      </c>
      <c r="D43" s="1" t="s">
        <v>826</v>
      </c>
      <c r="E43" s="1" t="str">
        <f t="shared" si="0"/>
        <v>W01</v>
      </c>
      <c r="F43" s="4">
        <v>0.5</v>
      </c>
      <c r="G43" s="4">
        <v>0.5</v>
      </c>
      <c r="H43" s="4">
        <v>0.5</v>
      </c>
      <c r="I43" s="4"/>
      <c r="J43" s="1" t="s">
        <v>775</v>
      </c>
      <c r="K43" s="1" t="s">
        <v>827</v>
      </c>
      <c r="L43" s="1" t="s">
        <v>828</v>
      </c>
      <c r="M43" s="1" t="s">
        <v>829</v>
      </c>
      <c r="O43" s="6">
        <v>44897</v>
      </c>
      <c r="P43" s="6">
        <v>44895</v>
      </c>
      <c r="Q43" s="6"/>
      <c r="R43" s="1" t="s">
        <v>830</v>
      </c>
      <c r="T43" s="5">
        <v>60</v>
      </c>
      <c r="U43" s="4">
        <v>2</v>
      </c>
      <c r="V43" s="5">
        <v>69</v>
      </c>
      <c r="W43" s="6">
        <v>44473</v>
      </c>
      <c r="X43" s="6"/>
      <c r="Y43" s="6"/>
      <c r="Z43" s="6"/>
      <c r="AA43" s="6"/>
      <c r="AB43" s="6"/>
      <c r="AC43" s="6"/>
      <c r="AD43" s="6"/>
    </row>
    <row r="44" spans="1:30">
      <c r="A44" s="1" t="s">
        <v>772</v>
      </c>
      <c r="B44" s="1" t="s">
        <v>773</v>
      </c>
      <c r="C44" s="1" t="s">
        <v>774</v>
      </c>
      <c r="D44" s="1" t="s">
        <v>200</v>
      </c>
      <c r="E44" s="1" t="str">
        <f t="shared" si="0"/>
        <v>W01</v>
      </c>
      <c r="F44" s="4">
        <v>12.53</v>
      </c>
      <c r="G44" s="4">
        <v>9.7799999999999994</v>
      </c>
      <c r="H44" s="4">
        <v>9.7799999999999994</v>
      </c>
      <c r="I44" s="4"/>
      <c r="J44" s="1" t="s">
        <v>775</v>
      </c>
      <c r="K44" s="1" t="s">
        <v>831</v>
      </c>
      <c r="L44" s="1" t="s">
        <v>777</v>
      </c>
      <c r="M44" s="1" t="s">
        <v>778</v>
      </c>
      <c r="N44" s="1" t="s">
        <v>788</v>
      </c>
      <c r="O44" s="6">
        <v>44886</v>
      </c>
      <c r="P44" s="6">
        <v>44870</v>
      </c>
      <c r="Q44" s="6">
        <v>44849</v>
      </c>
      <c r="R44" s="1" t="s">
        <v>779</v>
      </c>
      <c r="S44" s="1" t="s">
        <v>795</v>
      </c>
      <c r="T44" s="5">
        <v>577</v>
      </c>
      <c r="U44" s="4">
        <v>3</v>
      </c>
      <c r="V44" s="5">
        <v>94</v>
      </c>
      <c r="W44" s="6">
        <v>43747</v>
      </c>
      <c r="X44" s="6">
        <v>43665</v>
      </c>
      <c r="Y44" s="6"/>
      <c r="Z44" s="6"/>
      <c r="AA44" s="6"/>
      <c r="AB44" s="6"/>
      <c r="AC44" s="6"/>
      <c r="AD44" s="6"/>
    </row>
    <row r="45" spans="1:30">
      <c r="A45" s="1" t="s">
        <v>772</v>
      </c>
      <c r="B45" s="1" t="s">
        <v>773</v>
      </c>
      <c r="C45" s="1" t="s">
        <v>774</v>
      </c>
      <c r="D45" s="1" t="s">
        <v>666</v>
      </c>
      <c r="E45" s="1" t="str">
        <f t="shared" si="0"/>
        <v>W01</v>
      </c>
      <c r="F45" s="4">
        <v>8.5500000000000007</v>
      </c>
      <c r="G45" s="4">
        <v>6.73</v>
      </c>
      <c r="H45" s="4">
        <v>6.73</v>
      </c>
      <c r="I45" s="4"/>
      <c r="J45" s="1" t="s">
        <v>775</v>
      </c>
      <c r="K45" s="1" t="s">
        <v>832</v>
      </c>
      <c r="L45" s="1" t="s">
        <v>782</v>
      </c>
      <c r="M45" s="1" t="s">
        <v>777</v>
      </c>
      <c r="O45" s="6">
        <v>44926</v>
      </c>
      <c r="P45" s="6">
        <v>44926</v>
      </c>
      <c r="Q45" s="6">
        <v>44128</v>
      </c>
      <c r="R45" s="1" t="s">
        <v>784</v>
      </c>
      <c r="T45" s="5">
        <v>60</v>
      </c>
      <c r="U45" s="4">
        <v>1</v>
      </c>
      <c r="V45" s="5">
        <v>38</v>
      </c>
      <c r="W45" s="6">
        <v>44473</v>
      </c>
      <c r="X45" s="6"/>
      <c r="Y45" s="6"/>
      <c r="Z45" s="6"/>
      <c r="AA45" s="6"/>
      <c r="AB45" s="6"/>
      <c r="AC45" s="6"/>
      <c r="AD45" s="6"/>
    </row>
    <row r="46" spans="1:30">
      <c r="A46" s="1" t="s">
        <v>772</v>
      </c>
      <c r="B46" s="1" t="s">
        <v>773</v>
      </c>
      <c r="C46" s="1" t="s">
        <v>774</v>
      </c>
      <c r="D46" s="1" t="s">
        <v>607</v>
      </c>
      <c r="E46" s="1" t="str">
        <f t="shared" si="0"/>
        <v>W01</v>
      </c>
      <c r="F46" s="4">
        <v>4.34</v>
      </c>
      <c r="G46" s="4">
        <v>3.47</v>
      </c>
      <c r="H46" s="4">
        <v>3.47</v>
      </c>
      <c r="I46" s="4"/>
      <c r="J46" s="1" t="s">
        <v>775</v>
      </c>
      <c r="K46" s="1" t="s">
        <v>797</v>
      </c>
      <c r="L46" s="1" t="s">
        <v>777</v>
      </c>
      <c r="M46" s="1" t="s">
        <v>778</v>
      </c>
      <c r="O46" s="6">
        <v>44865</v>
      </c>
      <c r="P46" s="6">
        <v>44845</v>
      </c>
      <c r="Q46" s="6">
        <v>44818</v>
      </c>
      <c r="R46" s="1" t="s">
        <v>779</v>
      </c>
      <c r="S46" s="1" t="s">
        <v>780</v>
      </c>
      <c r="T46" s="5">
        <v>517</v>
      </c>
      <c r="U46" s="4">
        <v>3</v>
      </c>
      <c r="V46" s="5">
        <v>119</v>
      </c>
      <c r="W46" s="6">
        <v>44473</v>
      </c>
      <c r="X46" s="6"/>
      <c r="Y46" s="6"/>
      <c r="Z46" s="6"/>
      <c r="AA46" s="6"/>
      <c r="AB46" s="6"/>
      <c r="AC46" s="6"/>
      <c r="AD46" s="6"/>
    </row>
    <row r="47" spans="1:30">
      <c r="A47" s="1" t="s">
        <v>772</v>
      </c>
      <c r="B47" s="1" t="s">
        <v>773</v>
      </c>
      <c r="C47" s="1" t="s">
        <v>774</v>
      </c>
      <c r="D47" s="1" t="s">
        <v>613</v>
      </c>
      <c r="E47" s="1" t="str">
        <f t="shared" si="0"/>
        <v>W01</v>
      </c>
      <c r="F47" s="4">
        <v>6.6</v>
      </c>
      <c r="G47" s="4">
        <v>5.15</v>
      </c>
      <c r="H47" s="4">
        <v>5.15</v>
      </c>
      <c r="I47" s="4"/>
      <c r="J47" s="1" t="s">
        <v>775</v>
      </c>
      <c r="K47" s="1" t="s">
        <v>831</v>
      </c>
      <c r="L47" s="1" t="s">
        <v>777</v>
      </c>
      <c r="M47" s="1" t="s">
        <v>778</v>
      </c>
      <c r="O47" s="6">
        <v>44867</v>
      </c>
      <c r="P47" s="6">
        <v>44865</v>
      </c>
      <c r="Q47" s="6">
        <v>44826</v>
      </c>
      <c r="R47" s="1" t="s">
        <v>779</v>
      </c>
      <c r="S47" s="1" t="s">
        <v>780</v>
      </c>
      <c r="T47" s="5">
        <v>457</v>
      </c>
      <c r="U47" s="4">
        <v>3</v>
      </c>
      <c r="V47" s="5">
        <v>99</v>
      </c>
      <c r="W47" s="6">
        <v>45203</v>
      </c>
      <c r="X47" s="6"/>
      <c r="Y47" s="6"/>
      <c r="Z47" s="6"/>
      <c r="AA47" s="6"/>
      <c r="AB47" s="6"/>
      <c r="AC47" s="6"/>
      <c r="AD47" s="6"/>
    </row>
    <row r="48" spans="1:30">
      <c r="A48" s="1" t="s">
        <v>772</v>
      </c>
      <c r="B48" s="1" t="s">
        <v>773</v>
      </c>
      <c r="C48" s="1" t="s">
        <v>774</v>
      </c>
      <c r="D48" s="1" t="s">
        <v>223</v>
      </c>
      <c r="E48" s="1" t="str">
        <f t="shared" si="0"/>
        <v>W01</v>
      </c>
      <c r="F48" s="4">
        <v>12.26</v>
      </c>
      <c r="G48" s="4">
        <v>9.9</v>
      </c>
      <c r="H48" s="4">
        <v>9.9</v>
      </c>
      <c r="I48" s="4"/>
      <c r="J48" s="1" t="s">
        <v>775</v>
      </c>
      <c r="K48" s="1" t="s">
        <v>776</v>
      </c>
      <c r="L48" s="1" t="s">
        <v>777</v>
      </c>
      <c r="M48" s="1" t="s">
        <v>778</v>
      </c>
      <c r="O48" s="6">
        <v>44959</v>
      </c>
      <c r="P48" s="6">
        <v>44951</v>
      </c>
      <c r="Q48" s="6">
        <v>44931</v>
      </c>
      <c r="R48" s="1" t="s">
        <v>779</v>
      </c>
      <c r="S48" s="1" t="s">
        <v>792</v>
      </c>
      <c r="T48" s="5">
        <v>577</v>
      </c>
      <c r="U48" s="4">
        <v>0</v>
      </c>
      <c r="V48" s="5">
        <v>13</v>
      </c>
      <c r="W48" s="6">
        <v>43322</v>
      </c>
      <c r="X48" s="6"/>
      <c r="Y48" s="6"/>
      <c r="Z48" s="6"/>
      <c r="AA48" s="6"/>
      <c r="AB48" s="6"/>
      <c r="AC48" s="6"/>
      <c r="AD48" s="6"/>
    </row>
    <row r="49" spans="1:30">
      <c r="A49" s="1" t="s">
        <v>772</v>
      </c>
      <c r="B49" s="1" t="s">
        <v>773</v>
      </c>
      <c r="C49" s="1" t="s">
        <v>774</v>
      </c>
      <c r="D49" s="1" t="s">
        <v>425</v>
      </c>
      <c r="E49" s="1" t="str">
        <f t="shared" si="0"/>
        <v>W01</v>
      </c>
      <c r="F49" s="4">
        <v>11.1</v>
      </c>
      <c r="G49" s="4">
        <v>8.85</v>
      </c>
      <c r="H49" s="4">
        <v>8.85</v>
      </c>
      <c r="I49" s="4"/>
      <c r="J49" s="1" t="s">
        <v>775</v>
      </c>
      <c r="K49" s="1" t="s">
        <v>833</v>
      </c>
      <c r="L49" s="1" t="s">
        <v>777</v>
      </c>
      <c r="M49" s="1" t="s">
        <v>778</v>
      </c>
      <c r="N49" s="1" t="s">
        <v>788</v>
      </c>
      <c r="O49" s="6">
        <v>44424</v>
      </c>
      <c r="P49" s="6">
        <v>44413</v>
      </c>
      <c r="Q49" s="6">
        <v>44389</v>
      </c>
      <c r="R49" s="1" t="s">
        <v>779</v>
      </c>
      <c r="S49" s="1" t="s">
        <v>792</v>
      </c>
      <c r="T49" s="5">
        <v>577</v>
      </c>
      <c r="U49" s="4">
        <v>18</v>
      </c>
      <c r="V49" s="5">
        <v>551</v>
      </c>
      <c r="W49" s="6">
        <v>43763</v>
      </c>
      <c r="X49" s="6">
        <v>43468</v>
      </c>
      <c r="Y49" s="6"/>
      <c r="Z49" s="6"/>
      <c r="AA49" s="6">
        <v>44812</v>
      </c>
      <c r="AB49" s="6"/>
      <c r="AC49" s="6"/>
      <c r="AD49" s="6">
        <v>44901</v>
      </c>
    </row>
    <row r="50" spans="1:30">
      <c r="A50" s="1" t="s">
        <v>772</v>
      </c>
      <c r="B50" s="1" t="s">
        <v>773</v>
      </c>
      <c r="C50" s="1" t="s">
        <v>774</v>
      </c>
      <c r="D50" s="1" t="s">
        <v>300</v>
      </c>
      <c r="E50" s="1" t="str">
        <f t="shared" si="0"/>
        <v>W01</v>
      </c>
      <c r="F50" s="4">
        <v>15.66</v>
      </c>
      <c r="G50" s="4">
        <v>12.43</v>
      </c>
      <c r="H50" s="4">
        <v>12.43</v>
      </c>
      <c r="I50" s="4"/>
      <c r="J50" s="1" t="s">
        <v>775</v>
      </c>
      <c r="K50" s="1" t="s">
        <v>834</v>
      </c>
      <c r="L50" s="1" t="s">
        <v>787</v>
      </c>
      <c r="M50" s="1" t="s">
        <v>788</v>
      </c>
      <c r="N50" s="1" t="s">
        <v>835</v>
      </c>
      <c r="O50" s="6">
        <v>44680</v>
      </c>
      <c r="P50" s="6">
        <v>44672</v>
      </c>
      <c r="Q50" s="6">
        <v>44116</v>
      </c>
      <c r="R50" s="1" t="s">
        <v>779</v>
      </c>
      <c r="T50" s="5">
        <v>300</v>
      </c>
      <c r="U50" s="4">
        <v>9</v>
      </c>
      <c r="V50" s="5">
        <v>292</v>
      </c>
      <c r="W50" s="6">
        <v>43545</v>
      </c>
      <c r="X50" s="6">
        <v>43932</v>
      </c>
      <c r="Y50" s="6"/>
      <c r="Z50" s="6"/>
      <c r="AA50" s="6"/>
      <c r="AB50" s="6"/>
      <c r="AC50" s="6"/>
      <c r="AD50" s="6">
        <v>44726</v>
      </c>
    </row>
    <row r="51" spans="1:30">
      <c r="A51" s="1" t="s">
        <v>772</v>
      </c>
      <c r="B51" s="1" t="s">
        <v>773</v>
      </c>
      <c r="C51" s="1" t="s">
        <v>774</v>
      </c>
      <c r="D51" s="1" t="s">
        <v>210</v>
      </c>
      <c r="E51" s="1" t="str">
        <f t="shared" si="0"/>
        <v>W01</v>
      </c>
      <c r="F51" s="4">
        <v>6.33</v>
      </c>
      <c r="G51" s="4">
        <v>4.66</v>
      </c>
      <c r="H51" s="4">
        <v>4.66</v>
      </c>
      <c r="I51" s="4"/>
      <c r="J51" s="1" t="s">
        <v>775</v>
      </c>
      <c r="K51" s="1" t="s">
        <v>836</v>
      </c>
      <c r="L51" s="1" t="s">
        <v>812</v>
      </c>
      <c r="M51" s="1" t="s">
        <v>782</v>
      </c>
      <c r="O51" s="6">
        <v>44958</v>
      </c>
      <c r="P51" s="6">
        <v>44952</v>
      </c>
      <c r="Q51" s="6">
        <v>44952</v>
      </c>
      <c r="R51" s="1" t="s">
        <v>784</v>
      </c>
      <c r="S51" s="1" t="s">
        <v>785</v>
      </c>
      <c r="T51" s="5">
        <v>420</v>
      </c>
      <c r="U51" s="4">
        <v>0</v>
      </c>
      <c r="V51" s="5">
        <v>12</v>
      </c>
      <c r="W51" s="6"/>
      <c r="X51" s="6"/>
      <c r="Y51" s="6"/>
      <c r="Z51" s="6"/>
      <c r="AA51" s="6"/>
      <c r="AB51" s="6"/>
      <c r="AC51" s="6"/>
      <c r="AD51" s="6"/>
    </row>
    <row r="52" spans="1:30">
      <c r="A52" s="1" t="s">
        <v>772</v>
      </c>
      <c r="B52" s="1" t="s">
        <v>773</v>
      </c>
      <c r="C52" s="1" t="s">
        <v>774</v>
      </c>
      <c r="D52" s="1" t="s">
        <v>332</v>
      </c>
      <c r="E52" s="1" t="str">
        <f t="shared" si="0"/>
        <v>W01</v>
      </c>
      <c r="F52" s="4">
        <v>7.76</v>
      </c>
      <c r="G52" s="4">
        <v>6.15</v>
      </c>
      <c r="H52" s="4">
        <v>6.15</v>
      </c>
      <c r="I52" s="4"/>
      <c r="J52" s="1" t="s">
        <v>775</v>
      </c>
      <c r="K52" s="1" t="s">
        <v>793</v>
      </c>
      <c r="L52" s="1" t="s">
        <v>787</v>
      </c>
      <c r="M52" s="1" t="s">
        <v>788</v>
      </c>
      <c r="O52" s="6">
        <v>44774</v>
      </c>
      <c r="P52" s="6">
        <v>44771</v>
      </c>
      <c r="Q52" s="6">
        <v>44238</v>
      </c>
      <c r="R52" s="1" t="s">
        <v>779</v>
      </c>
      <c r="T52" s="5">
        <v>402</v>
      </c>
      <c r="U52" s="4">
        <v>6</v>
      </c>
      <c r="V52" s="5">
        <v>193</v>
      </c>
      <c r="W52" s="6">
        <v>43803</v>
      </c>
      <c r="X52" s="6"/>
      <c r="Y52" s="6"/>
      <c r="Z52" s="6"/>
      <c r="AA52" s="6"/>
      <c r="AB52" s="6"/>
      <c r="AC52" s="6"/>
      <c r="AD52" s="6">
        <v>44764</v>
      </c>
    </row>
    <row r="53" spans="1:30">
      <c r="A53" s="1" t="s">
        <v>772</v>
      </c>
      <c r="B53" s="1" t="s">
        <v>773</v>
      </c>
      <c r="C53" s="1" t="s">
        <v>774</v>
      </c>
      <c r="D53" s="1" t="s">
        <v>226</v>
      </c>
      <c r="E53" s="1" t="str">
        <f t="shared" si="0"/>
        <v>W01</v>
      </c>
      <c r="F53" s="4">
        <v>12.13</v>
      </c>
      <c r="G53" s="4">
        <v>9.7200000000000006</v>
      </c>
      <c r="H53" s="4">
        <v>9.7200000000000006</v>
      </c>
      <c r="I53" s="4"/>
      <c r="J53" s="1" t="s">
        <v>775</v>
      </c>
      <c r="K53" s="1" t="s">
        <v>837</v>
      </c>
      <c r="L53" s="1" t="s">
        <v>838</v>
      </c>
      <c r="M53" s="1" t="s">
        <v>835</v>
      </c>
      <c r="O53" s="6">
        <v>44926</v>
      </c>
      <c r="P53" s="6">
        <v>44926</v>
      </c>
      <c r="Q53" s="6">
        <v>44926</v>
      </c>
      <c r="R53" s="1" t="s">
        <v>784</v>
      </c>
      <c r="T53" s="5">
        <v>7</v>
      </c>
      <c r="U53" s="4">
        <v>1</v>
      </c>
      <c r="V53" s="5">
        <v>38</v>
      </c>
      <c r="W53" s="6">
        <v>44796</v>
      </c>
      <c r="X53" s="6"/>
      <c r="Y53" s="6"/>
      <c r="Z53" s="6"/>
      <c r="AA53" s="6"/>
      <c r="AB53" s="6"/>
      <c r="AC53" s="6"/>
      <c r="AD53" s="6"/>
    </row>
    <row r="54" spans="1:30">
      <c r="A54" s="1" t="s">
        <v>772</v>
      </c>
      <c r="B54" s="1" t="s">
        <v>773</v>
      </c>
      <c r="C54" s="1" t="s">
        <v>774</v>
      </c>
      <c r="D54" s="1" t="s">
        <v>333</v>
      </c>
      <c r="E54" s="1" t="str">
        <f t="shared" si="0"/>
        <v>W01</v>
      </c>
      <c r="F54" s="5">
        <v>8</v>
      </c>
      <c r="G54" s="5">
        <v>6.33</v>
      </c>
      <c r="H54" s="5">
        <v>6.33</v>
      </c>
      <c r="I54" s="5"/>
      <c r="J54" s="1" t="s">
        <v>775</v>
      </c>
      <c r="K54" s="1" t="s">
        <v>793</v>
      </c>
      <c r="L54" s="1" t="s">
        <v>787</v>
      </c>
      <c r="M54" s="1" t="s">
        <v>788</v>
      </c>
      <c r="O54" s="6">
        <v>44774</v>
      </c>
      <c r="P54" s="6">
        <v>44772</v>
      </c>
      <c r="Q54" s="6">
        <v>44236</v>
      </c>
      <c r="R54" s="1" t="s">
        <v>779</v>
      </c>
      <c r="T54" s="5">
        <v>402</v>
      </c>
      <c r="U54" s="4">
        <v>6</v>
      </c>
      <c r="V54" s="5">
        <v>192</v>
      </c>
      <c r="W54" s="6">
        <v>43803</v>
      </c>
      <c r="X54" s="6"/>
      <c r="Y54" s="6"/>
      <c r="Z54" s="6"/>
      <c r="AA54" s="6"/>
      <c r="AB54" s="6"/>
      <c r="AC54" s="6"/>
      <c r="AD54" s="6">
        <v>44774</v>
      </c>
    </row>
    <row r="55" spans="1:30">
      <c r="A55" s="1" t="s">
        <v>772</v>
      </c>
      <c r="B55" s="1" t="s">
        <v>773</v>
      </c>
      <c r="C55" s="1" t="s">
        <v>774</v>
      </c>
      <c r="D55" s="1" t="s">
        <v>19</v>
      </c>
      <c r="E55" s="1" t="str">
        <f t="shared" si="0"/>
        <v>W01</v>
      </c>
      <c r="F55" s="4">
        <v>11.7</v>
      </c>
      <c r="G55" s="4">
        <v>9.15</v>
      </c>
      <c r="H55" s="4">
        <v>9.15</v>
      </c>
      <c r="I55" s="4"/>
      <c r="J55" s="1" t="s">
        <v>775</v>
      </c>
      <c r="K55" s="1" t="s">
        <v>839</v>
      </c>
      <c r="L55" s="1" t="s">
        <v>777</v>
      </c>
      <c r="M55" s="1" t="s">
        <v>778</v>
      </c>
      <c r="N55" s="1" t="s">
        <v>787</v>
      </c>
      <c r="O55" s="6">
        <v>44775</v>
      </c>
      <c r="P55" s="6">
        <v>44758</v>
      </c>
      <c r="Q55" s="6">
        <v>44713</v>
      </c>
      <c r="R55" s="1" t="s">
        <v>779</v>
      </c>
      <c r="S55" s="1" t="s">
        <v>823</v>
      </c>
      <c r="T55" s="5">
        <v>457</v>
      </c>
      <c r="U55" s="4">
        <v>6</v>
      </c>
      <c r="V55" s="5">
        <v>206</v>
      </c>
      <c r="W55" s="6">
        <v>43535</v>
      </c>
      <c r="X55" s="6">
        <v>43566</v>
      </c>
      <c r="Y55" s="6"/>
      <c r="Z55" s="6"/>
      <c r="AA55" s="6"/>
      <c r="AB55" s="6"/>
      <c r="AC55" s="6"/>
      <c r="AD55" s="6"/>
    </row>
    <row r="56" spans="1:30">
      <c r="A56" s="1" t="s">
        <v>772</v>
      </c>
      <c r="B56" s="1" t="s">
        <v>773</v>
      </c>
      <c r="C56" s="1" t="s">
        <v>774</v>
      </c>
      <c r="D56" s="1" t="s">
        <v>495</v>
      </c>
      <c r="E56" s="1" t="str">
        <f t="shared" si="0"/>
        <v>W01</v>
      </c>
      <c r="F56" s="4">
        <v>5.9</v>
      </c>
      <c r="G56" s="4">
        <v>4.78</v>
      </c>
      <c r="H56" s="4">
        <v>4.78</v>
      </c>
      <c r="I56" s="4"/>
      <c r="J56" s="1" t="s">
        <v>775</v>
      </c>
      <c r="K56" s="1" t="s">
        <v>840</v>
      </c>
      <c r="L56" s="1" t="s">
        <v>777</v>
      </c>
      <c r="M56" s="1" t="s">
        <v>778</v>
      </c>
      <c r="N56" s="1" t="s">
        <v>788</v>
      </c>
      <c r="O56" s="6">
        <v>44589</v>
      </c>
      <c r="P56" s="6">
        <v>44581</v>
      </c>
      <c r="Q56" s="6">
        <v>44564</v>
      </c>
      <c r="R56" s="1" t="s">
        <v>779</v>
      </c>
      <c r="S56" s="1" t="s">
        <v>841</v>
      </c>
      <c r="T56" s="5">
        <v>577</v>
      </c>
      <c r="U56" s="4">
        <v>12</v>
      </c>
      <c r="V56" s="5">
        <v>383</v>
      </c>
      <c r="W56" s="6">
        <v>43747</v>
      </c>
      <c r="X56" s="6">
        <v>43665</v>
      </c>
      <c r="Y56" s="6"/>
      <c r="Z56" s="6"/>
      <c r="AA56" s="6"/>
      <c r="AB56" s="6"/>
      <c r="AC56" s="6"/>
      <c r="AD56" s="6"/>
    </row>
    <row r="57" spans="1:30">
      <c r="A57" s="1" t="s">
        <v>772</v>
      </c>
      <c r="B57" s="1" t="s">
        <v>773</v>
      </c>
      <c r="C57" s="1" t="s">
        <v>774</v>
      </c>
      <c r="D57" s="1" t="s">
        <v>387</v>
      </c>
      <c r="E57" s="1" t="str">
        <f t="shared" si="0"/>
        <v>W01</v>
      </c>
      <c r="F57" s="4">
        <v>4.29</v>
      </c>
      <c r="G57" s="4">
        <v>3.34</v>
      </c>
      <c r="H57" s="4">
        <v>3.34</v>
      </c>
      <c r="I57" s="4"/>
      <c r="J57" s="1" t="s">
        <v>775</v>
      </c>
      <c r="K57" s="1" t="s">
        <v>842</v>
      </c>
      <c r="L57" s="1" t="s">
        <v>787</v>
      </c>
      <c r="M57" s="1" t="s">
        <v>788</v>
      </c>
      <c r="N57" s="1" t="s">
        <v>777</v>
      </c>
      <c r="O57" s="6">
        <v>44926</v>
      </c>
      <c r="P57" s="6">
        <v>44919</v>
      </c>
      <c r="Q57" s="6">
        <v>44345</v>
      </c>
      <c r="R57" s="1" t="s">
        <v>779</v>
      </c>
      <c r="T57" s="5">
        <v>300</v>
      </c>
      <c r="U57" s="4">
        <v>1</v>
      </c>
      <c r="V57" s="5">
        <v>45</v>
      </c>
      <c r="W57" s="6">
        <v>43175</v>
      </c>
      <c r="X57" s="6">
        <v>43206</v>
      </c>
      <c r="Y57" s="6"/>
      <c r="Z57" s="6"/>
      <c r="AA57" s="6"/>
      <c r="AB57" s="6"/>
      <c r="AC57" s="6"/>
      <c r="AD57" s="6"/>
    </row>
    <row r="58" spans="1:30">
      <c r="A58" s="1" t="s">
        <v>772</v>
      </c>
      <c r="B58" s="1" t="s">
        <v>773</v>
      </c>
      <c r="C58" s="1" t="s">
        <v>774</v>
      </c>
      <c r="D58" s="1" t="s">
        <v>321</v>
      </c>
      <c r="E58" s="1" t="str">
        <f t="shared" si="0"/>
        <v>W01</v>
      </c>
      <c r="F58" s="4">
        <v>15.2</v>
      </c>
      <c r="G58" s="4">
        <v>12.43</v>
      </c>
      <c r="H58" s="4">
        <v>12.43</v>
      </c>
      <c r="I58" s="4"/>
      <c r="J58" s="1" t="s">
        <v>775</v>
      </c>
      <c r="K58" s="1" t="s">
        <v>843</v>
      </c>
      <c r="L58" s="1" t="s">
        <v>787</v>
      </c>
      <c r="M58" s="1" t="s">
        <v>788</v>
      </c>
      <c r="O58" s="6">
        <v>44774</v>
      </c>
      <c r="P58" s="6">
        <v>44770</v>
      </c>
      <c r="Q58" s="6"/>
      <c r="R58" s="1" t="s">
        <v>779</v>
      </c>
      <c r="T58" s="5">
        <v>300</v>
      </c>
      <c r="U58" s="4">
        <v>6</v>
      </c>
      <c r="V58" s="5">
        <v>194</v>
      </c>
      <c r="W58" s="6">
        <v>43803</v>
      </c>
      <c r="X58" s="6"/>
      <c r="Y58" s="6"/>
      <c r="Z58" s="6"/>
      <c r="AA58" s="6"/>
      <c r="AB58" s="6"/>
      <c r="AC58" s="6"/>
      <c r="AD58" s="6">
        <v>44817</v>
      </c>
    </row>
    <row r="59" spans="1:30">
      <c r="A59" s="1" t="s">
        <v>772</v>
      </c>
      <c r="B59" s="1" t="s">
        <v>773</v>
      </c>
      <c r="C59" s="1" t="s">
        <v>774</v>
      </c>
      <c r="D59" s="1" t="s">
        <v>525</v>
      </c>
      <c r="E59" s="1" t="str">
        <f t="shared" si="0"/>
        <v>W01</v>
      </c>
      <c r="F59" s="4">
        <v>5.9</v>
      </c>
      <c r="G59" s="4">
        <v>4.62</v>
      </c>
      <c r="H59" s="4">
        <v>4.62</v>
      </c>
      <c r="I59" s="4"/>
      <c r="J59" s="1" t="s">
        <v>775</v>
      </c>
      <c r="K59" s="1" t="s">
        <v>824</v>
      </c>
      <c r="L59" s="1" t="s">
        <v>777</v>
      </c>
      <c r="M59" s="1" t="s">
        <v>778</v>
      </c>
      <c r="N59" s="1" t="s">
        <v>787</v>
      </c>
      <c r="O59" s="6">
        <v>44650</v>
      </c>
      <c r="P59" s="6">
        <v>44639</v>
      </c>
      <c r="Q59" s="6">
        <v>44627</v>
      </c>
      <c r="R59" s="1" t="s">
        <v>779</v>
      </c>
      <c r="S59" s="1" t="s">
        <v>823</v>
      </c>
      <c r="T59" s="5">
        <v>457</v>
      </c>
      <c r="U59" s="4">
        <v>10</v>
      </c>
      <c r="V59" s="5">
        <v>325</v>
      </c>
      <c r="W59" s="6">
        <v>43620</v>
      </c>
      <c r="X59" s="6">
        <v>42472</v>
      </c>
      <c r="Y59" s="6"/>
      <c r="Z59" s="6"/>
      <c r="AA59" s="6">
        <v>44904</v>
      </c>
      <c r="AB59" s="6"/>
      <c r="AC59" s="6"/>
      <c r="AD59" s="6"/>
    </row>
    <row r="60" spans="1:30">
      <c r="A60" s="1" t="s">
        <v>772</v>
      </c>
      <c r="B60" s="1" t="s">
        <v>773</v>
      </c>
      <c r="C60" s="1" t="s">
        <v>774</v>
      </c>
      <c r="D60" s="1" t="s">
        <v>21</v>
      </c>
      <c r="E60" s="1" t="str">
        <f t="shared" si="0"/>
        <v>W01</v>
      </c>
      <c r="F60" s="4">
        <v>8.2200000000000006</v>
      </c>
      <c r="G60" s="4">
        <v>6.57</v>
      </c>
      <c r="H60" s="4">
        <v>6.57</v>
      </c>
      <c r="I60" s="4"/>
      <c r="J60" s="1" t="s">
        <v>775</v>
      </c>
      <c r="K60" s="1" t="s">
        <v>839</v>
      </c>
      <c r="L60" s="1" t="s">
        <v>777</v>
      </c>
      <c r="M60" s="1" t="s">
        <v>778</v>
      </c>
      <c r="N60" s="1" t="s">
        <v>787</v>
      </c>
      <c r="O60" s="6">
        <v>44798</v>
      </c>
      <c r="P60" s="6">
        <v>44783</v>
      </c>
      <c r="Q60" s="6">
        <v>44732</v>
      </c>
      <c r="R60" s="1" t="s">
        <v>779</v>
      </c>
      <c r="S60" s="1" t="s">
        <v>841</v>
      </c>
      <c r="T60" s="5">
        <v>577</v>
      </c>
      <c r="U60" s="4">
        <v>5</v>
      </c>
      <c r="V60" s="5">
        <v>181</v>
      </c>
      <c r="W60" s="6">
        <v>43293</v>
      </c>
      <c r="X60" s="6">
        <v>43079</v>
      </c>
      <c r="Y60" s="6"/>
      <c r="Z60" s="6"/>
      <c r="AA60" s="6"/>
      <c r="AB60" s="6"/>
      <c r="AC60" s="6"/>
      <c r="AD60" s="6"/>
    </row>
    <row r="61" spans="1:30">
      <c r="A61" s="1" t="s">
        <v>772</v>
      </c>
      <c r="B61" s="1" t="s">
        <v>773</v>
      </c>
      <c r="C61" s="1" t="s">
        <v>774</v>
      </c>
      <c r="D61" s="1" t="s">
        <v>844</v>
      </c>
      <c r="E61" s="1" t="str">
        <f t="shared" si="0"/>
        <v>W01</v>
      </c>
      <c r="F61" s="4">
        <v>8.07</v>
      </c>
      <c r="G61" s="4">
        <v>6.16</v>
      </c>
      <c r="H61" s="4">
        <v>6.16</v>
      </c>
      <c r="I61" s="4"/>
      <c r="J61" s="1" t="s">
        <v>775</v>
      </c>
      <c r="K61" s="1" t="s">
        <v>845</v>
      </c>
      <c r="L61" s="1" t="s">
        <v>812</v>
      </c>
      <c r="M61" s="1" t="s">
        <v>782</v>
      </c>
      <c r="O61" s="6">
        <v>44695</v>
      </c>
      <c r="P61" s="6">
        <v>44675</v>
      </c>
      <c r="Q61" s="6">
        <v>44675</v>
      </c>
      <c r="R61" s="1" t="s">
        <v>784</v>
      </c>
      <c r="S61" s="1" t="s">
        <v>785</v>
      </c>
      <c r="T61" s="5">
        <v>392</v>
      </c>
      <c r="U61" s="4">
        <v>9</v>
      </c>
      <c r="V61" s="5">
        <v>289</v>
      </c>
      <c r="W61" s="6">
        <v>45222</v>
      </c>
      <c r="X61" s="6"/>
      <c r="Y61" s="6"/>
      <c r="Z61" s="6"/>
      <c r="AA61" s="6"/>
      <c r="AB61" s="6"/>
      <c r="AC61" s="6"/>
      <c r="AD61" s="6">
        <v>44932</v>
      </c>
    </row>
    <row r="62" spans="1:30">
      <c r="A62" s="1" t="s">
        <v>772</v>
      </c>
      <c r="B62" s="1" t="s">
        <v>773</v>
      </c>
      <c r="C62" s="1" t="s">
        <v>774</v>
      </c>
      <c r="D62" s="1" t="s">
        <v>386</v>
      </c>
      <c r="E62" s="1" t="str">
        <f t="shared" si="0"/>
        <v>W01</v>
      </c>
      <c r="F62" s="4">
        <v>12.96</v>
      </c>
      <c r="G62" s="4">
        <v>10.3</v>
      </c>
      <c r="H62" s="4">
        <v>10.3</v>
      </c>
      <c r="I62" s="4"/>
      <c r="J62" s="1" t="s">
        <v>775</v>
      </c>
      <c r="K62" s="1" t="s">
        <v>786</v>
      </c>
      <c r="L62" s="1" t="s">
        <v>787</v>
      </c>
      <c r="M62" s="1" t="s">
        <v>788</v>
      </c>
      <c r="O62" s="6">
        <v>44805</v>
      </c>
      <c r="P62" s="6">
        <v>44804</v>
      </c>
      <c r="Q62" s="6">
        <v>44347</v>
      </c>
      <c r="R62" s="1" t="s">
        <v>779</v>
      </c>
      <c r="T62" s="5">
        <v>402</v>
      </c>
      <c r="U62" s="4">
        <v>5</v>
      </c>
      <c r="V62" s="5">
        <v>160</v>
      </c>
      <c r="W62" s="6">
        <v>43322</v>
      </c>
      <c r="X62" s="6"/>
      <c r="Y62" s="6"/>
      <c r="Z62" s="6"/>
      <c r="AA62" s="6"/>
      <c r="AB62" s="6"/>
      <c r="AC62" s="6"/>
      <c r="AD62" s="6">
        <v>44803</v>
      </c>
    </row>
    <row r="63" spans="1:30">
      <c r="A63" s="1" t="s">
        <v>772</v>
      </c>
      <c r="B63" s="1" t="s">
        <v>773</v>
      </c>
      <c r="C63" s="1" t="s">
        <v>774</v>
      </c>
      <c r="D63" s="1" t="s">
        <v>193</v>
      </c>
      <c r="E63" s="1" t="str">
        <f t="shared" si="0"/>
        <v>W01</v>
      </c>
      <c r="F63" s="4">
        <v>10.8</v>
      </c>
      <c r="G63" s="4">
        <v>8.6199999999999992</v>
      </c>
      <c r="H63" s="4">
        <v>8.6199999999999992</v>
      </c>
      <c r="I63" s="4"/>
      <c r="J63" s="1" t="s">
        <v>775</v>
      </c>
      <c r="K63" s="1" t="s">
        <v>794</v>
      </c>
      <c r="L63" s="1" t="s">
        <v>777</v>
      </c>
      <c r="M63" s="1" t="s">
        <v>778</v>
      </c>
      <c r="N63" s="1" t="s">
        <v>788</v>
      </c>
      <c r="O63" s="6">
        <v>44897</v>
      </c>
      <c r="P63" s="6">
        <v>44882</v>
      </c>
      <c r="Q63" s="6">
        <v>44871</v>
      </c>
      <c r="R63" s="1" t="s">
        <v>779</v>
      </c>
      <c r="S63" s="1" t="s">
        <v>792</v>
      </c>
      <c r="T63" s="5">
        <v>577</v>
      </c>
      <c r="U63" s="4">
        <v>2</v>
      </c>
      <c r="V63" s="5">
        <v>82</v>
      </c>
      <c r="W63" s="6">
        <v>43747</v>
      </c>
      <c r="X63" s="6">
        <v>43665</v>
      </c>
      <c r="Y63" s="6"/>
      <c r="Z63" s="6"/>
      <c r="AA63" s="6"/>
      <c r="AB63" s="6"/>
      <c r="AC63" s="6"/>
      <c r="AD63" s="6"/>
    </row>
    <row r="64" spans="1:30">
      <c r="A64" s="1" t="s">
        <v>772</v>
      </c>
      <c r="B64" s="1" t="s">
        <v>773</v>
      </c>
      <c r="C64" s="1" t="s">
        <v>774</v>
      </c>
      <c r="D64" s="1" t="s">
        <v>846</v>
      </c>
      <c r="E64" s="1" t="str">
        <f t="shared" si="0"/>
        <v>W01</v>
      </c>
      <c r="F64" s="4">
        <v>11.26</v>
      </c>
      <c r="G64" s="4">
        <v>8.9499999999999993</v>
      </c>
      <c r="H64" s="4">
        <v>8.9499999999999993</v>
      </c>
      <c r="I64" s="4"/>
      <c r="J64" s="1" t="s">
        <v>775</v>
      </c>
      <c r="K64" s="1" t="s">
        <v>781</v>
      </c>
      <c r="L64" s="1" t="s">
        <v>782</v>
      </c>
      <c r="M64" s="1" t="s">
        <v>783</v>
      </c>
      <c r="O64" s="6">
        <v>44803</v>
      </c>
      <c r="P64" s="6">
        <v>44635</v>
      </c>
      <c r="Q64" s="6">
        <v>44058</v>
      </c>
      <c r="R64" s="1" t="s">
        <v>784</v>
      </c>
      <c r="S64" s="1" t="s">
        <v>847</v>
      </c>
      <c r="T64" s="5">
        <v>357</v>
      </c>
      <c r="U64" s="4">
        <v>10</v>
      </c>
      <c r="V64" s="5">
        <v>329</v>
      </c>
      <c r="W64" s="6">
        <v>44848</v>
      </c>
      <c r="X64" s="6"/>
      <c r="Y64" s="6"/>
      <c r="Z64" s="6"/>
      <c r="AA64" s="6"/>
      <c r="AB64" s="6"/>
      <c r="AC64" s="6"/>
      <c r="AD64" s="6">
        <v>44806</v>
      </c>
    </row>
    <row r="65" spans="1:30">
      <c r="A65" s="1" t="s">
        <v>772</v>
      </c>
      <c r="B65" s="1" t="s">
        <v>773</v>
      </c>
      <c r="C65" s="1" t="s">
        <v>774</v>
      </c>
      <c r="D65" s="1" t="s">
        <v>536</v>
      </c>
      <c r="E65" s="1" t="str">
        <f t="shared" si="0"/>
        <v>W01</v>
      </c>
      <c r="F65" s="4">
        <v>9.8699999999999992</v>
      </c>
      <c r="G65" s="4">
        <v>7.75</v>
      </c>
      <c r="H65" s="4">
        <v>7.75</v>
      </c>
      <c r="I65" s="4"/>
      <c r="J65" s="1" t="s">
        <v>775</v>
      </c>
      <c r="K65" s="1" t="s">
        <v>805</v>
      </c>
      <c r="L65" s="1" t="s">
        <v>777</v>
      </c>
      <c r="M65" s="1" t="s">
        <v>778</v>
      </c>
      <c r="N65" s="1" t="s">
        <v>788</v>
      </c>
      <c r="O65" s="6">
        <v>44669</v>
      </c>
      <c r="P65" s="6">
        <v>44661</v>
      </c>
      <c r="Q65" s="6">
        <v>44637</v>
      </c>
      <c r="R65" s="1" t="s">
        <v>779</v>
      </c>
      <c r="S65" s="1" t="s">
        <v>780</v>
      </c>
      <c r="T65" s="5">
        <v>517</v>
      </c>
      <c r="U65" s="4">
        <v>9</v>
      </c>
      <c r="V65" s="5">
        <v>303</v>
      </c>
      <c r="W65" s="6">
        <v>43858</v>
      </c>
      <c r="X65" s="6">
        <v>44234</v>
      </c>
      <c r="Y65" s="6"/>
      <c r="Z65" s="6"/>
      <c r="AA65" s="6"/>
      <c r="AB65" s="6"/>
      <c r="AC65" s="6"/>
      <c r="AD65" s="6"/>
    </row>
    <row r="66" spans="1:30">
      <c r="A66" s="1" t="s">
        <v>772</v>
      </c>
      <c r="B66" s="1" t="s">
        <v>773</v>
      </c>
      <c r="C66" s="1" t="s">
        <v>848</v>
      </c>
      <c r="D66" s="1" t="s">
        <v>646</v>
      </c>
      <c r="E66" s="1" t="str">
        <f>RIGHT(C66,3)</f>
        <v>W02</v>
      </c>
      <c r="F66" s="4">
        <v>11.64</v>
      </c>
      <c r="G66" s="4">
        <v>9.7799999999999994</v>
      </c>
      <c r="H66" s="4">
        <v>9.7799999999999994</v>
      </c>
      <c r="I66" s="4"/>
      <c r="J66" s="1" t="s">
        <v>775</v>
      </c>
      <c r="K66" s="1" t="s">
        <v>849</v>
      </c>
      <c r="L66" s="1" t="s">
        <v>850</v>
      </c>
      <c r="M66" s="1" t="s">
        <v>787</v>
      </c>
      <c r="O66" s="6">
        <v>44954</v>
      </c>
      <c r="P66" s="6">
        <v>44954</v>
      </c>
      <c r="Q66" s="6">
        <v>44957</v>
      </c>
      <c r="R66" s="1" t="s">
        <v>779</v>
      </c>
      <c r="T66" s="5">
        <v>30</v>
      </c>
      <c r="U66" s="4">
        <v>0</v>
      </c>
      <c r="V66" s="5">
        <v>10</v>
      </c>
      <c r="W66" s="6">
        <v>44542</v>
      </c>
      <c r="X66" s="6"/>
      <c r="Y66" s="6"/>
      <c r="Z66" s="6"/>
      <c r="AA66" s="6"/>
      <c r="AB66" s="6"/>
      <c r="AC66" s="6"/>
      <c r="AD66" s="6"/>
    </row>
    <row r="67" spans="1:30">
      <c r="A67" s="1" t="s">
        <v>772</v>
      </c>
      <c r="B67" s="1" t="s">
        <v>773</v>
      </c>
      <c r="C67" s="1" t="s">
        <v>848</v>
      </c>
      <c r="D67" s="7" t="s">
        <v>683</v>
      </c>
      <c r="E67" s="1" t="str">
        <f>RIGHT(C67,3)</f>
        <v>W02</v>
      </c>
      <c r="F67" s="4">
        <v>9.5</v>
      </c>
      <c r="G67" s="5">
        <v>8</v>
      </c>
      <c r="H67" s="5">
        <v>8</v>
      </c>
      <c r="I67" s="5"/>
      <c r="J67" s="1" t="s">
        <v>775</v>
      </c>
      <c r="K67" s="1" t="s">
        <v>801</v>
      </c>
      <c r="L67" s="1" t="s">
        <v>851</v>
      </c>
      <c r="M67" s="1" t="s">
        <v>777</v>
      </c>
      <c r="O67" s="6">
        <v>44956</v>
      </c>
      <c r="P67" s="6">
        <v>44956</v>
      </c>
      <c r="Q67" s="6">
        <v>43872</v>
      </c>
      <c r="R67" s="1" t="s">
        <v>784</v>
      </c>
      <c r="T67" s="5">
        <v>60</v>
      </c>
      <c r="U67" s="4">
        <v>0</v>
      </c>
      <c r="V67" s="5">
        <v>8</v>
      </c>
      <c r="W67" s="6">
        <v>45043</v>
      </c>
      <c r="X67" s="6"/>
      <c r="Y67" s="6"/>
      <c r="Z67" s="6"/>
      <c r="AA67" s="6"/>
      <c r="AB67" s="6"/>
      <c r="AC67" s="6"/>
      <c r="AD67" s="6"/>
    </row>
    <row r="68" spans="1:30">
      <c r="A68" s="1" t="s">
        <v>772</v>
      </c>
      <c r="B68" s="1" t="s">
        <v>773</v>
      </c>
      <c r="C68" s="1" t="s">
        <v>848</v>
      </c>
      <c r="D68" s="7" t="s">
        <v>181</v>
      </c>
      <c r="E68" s="1" t="str">
        <f>RIGHT(C68,3)</f>
        <v>W02</v>
      </c>
      <c r="F68" s="4">
        <v>12.38</v>
      </c>
      <c r="G68" s="5">
        <v>9.67</v>
      </c>
      <c r="H68" s="5">
        <v>9.67</v>
      </c>
      <c r="I68" s="5"/>
      <c r="K68" s="1" t="s">
        <v>800</v>
      </c>
      <c r="L68" s="1" t="s">
        <v>777</v>
      </c>
      <c r="M68" s="1" t="s">
        <v>778</v>
      </c>
      <c r="N68" s="1" t="s">
        <v>788</v>
      </c>
      <c r="O68" s="6">
        <v>44834</v>
      </c>
      <c r="P68" s="6">
        <v>44826</v>
      </c>
      <c r="Q68" s="6">
        <v>44806</v>
      </c>
      <c r="R68" s="1" t="s">
        <v>779</v>
      </c>
      <c r="S68" s="1" t="s">
        <v>795</v>
      </c>
      <c r="T68" s="5">
        <v>577</v>
      </c>
      <c r="U68" s="4">
        <v>4</v>
      </c>
      <c r="V68" s="5">
        <v>138</v>
      </c>
      <c r="W68" s="6">
        <v>43768</v>
      </c>
      <c r="X68" s="6">
        <v>43697</v>
      </c>
      <c r="Y68" s="6"/>
      <c r="Z68" s="6"/>
      <c r="AA68" s="6"/>
      <c r="AB68" s="6"/>
      <c r="AC68" s="6"/>
      <c r="AD68" s="6"/>
    </row>
    <row r="69" spans="1:30">
      <c r="A69" s="1" t="s">
        <v>772</v>
      </c>
      <c r="B69" s="1" t="s">
        <v>773</v>
      </c>
      <c r="C69" s="1" t="s">
        <v>848</v>
      </c>
      <c r="D69" s="1" t="s">
        <v>690</v>
      </c>
      <c r="E69" s="1" t="str">
        <f t="shared" ref="E69:E130" si="1">RIGHT(C69,3)</f>
        <v>W02</v>
      </c>
      <c r="F69" s="4">
        <v>3.22</v>
      </c>
      <c r="G69" s="4">
        <v>2.56</v>
      </c>
      <c r="H69" s="4">
        <v>2.56</v>
      </c>
      <c r="I69" s="4"/>
      <c r="J69" s="1" t="s">
        <v>775</v>
      </c>
      <c r="K69" s="1" t="s">
        <v>852</v>
      </c>
      <c r="L69" s="1" t="s">
        <v>835</v>
      </c>
      <c r="M69" s="1" t="s">
        <v>851</v>
      </c>
      <c r="O69" s="6">
        <v>44832</v>
      </c>
      <c r="P69" s="6">
        <v>44613</v>
      </c>
      <c r="Q69" s="6">
        <v>44447</v>
      </c>
      <c r="R69" s="1" t="s">
        <v>784</v>
      </c>
      <c r="S69" s="1" t="s">
        <v>853</v>
      </c>
      <c r="T69" s="5">
        <v>238</v>
      </c>
      <c r="U69" s="4">
        <v>11</v>
      </c>
      <c r="V69" s="5">
        <v>351</v>
      </c>
      <c r="W69" s="6">
        <v>44842</v>
      </c>
      <c r="X69" s="6"/>
      <c r="Y69" s="6"/>
      <c r="Z69" s="6"/>
      <c r="AA69" s="6"/>
      <c r="AB69" s="6"/>
      <c r="AC69" s="6"/>
      <c r="AD69" s="6">
        <v>44841</v>
      </c>
    </row>
    <row r="70" spans="1:30">
      <c r="A70" s="1" t="s">
        <v>772</v>
      </c>
      <c r="B70" s="1" t="s">
        <v>773</v>
      </c>
      <c r="C70" s="1" t="s">
        <v>848</v>
      </c>
      <c r="D70" s="1" t="s">
        <v>854</v>
      </c>
      <c r="E70" s="1" t="str">
        <f t="shared" si="1"/>
        <v>W02</v>
      </c>
      <c r="F70" s="4">
        <v>0.41</v>
      </c>
      <c r="G70" s="4">
        <v>0.41</v>
      </c>
      <c r="H70" s="4">
        <v>0.41</v>
      </c>
      <c r="I70" s="4"/>
      <c r="J70" s="1" t="s">
        <v>775</v>
      </c>
      <c r="K70" s="1" t="s">
        <v>855</v>
      </c>
      <c r="L70" s="1" t="s">
        <v>828</v>
      </c>
      <c r="M70" s="1" t="s">
        <v>829</v>
      </c>
      <c r="N70" s="1" t="s">
        <v>788</v>
      </c>
      <c r="O70" s="6">
        <v>44959</v>
      </c>
      <c r="P70" s="6">
        <v>44957</v>
      </c>
      <c r="Q70" s="6"/>
      <c r="R70" s="1" t="s">
        <v>830</v>
      </c>
      <c r="T70" s="5">
        <v>60</v>
      </c>
      <c r="U70" s="4">
        <v>0</v>
      </c>
      <c r="V70" s="5">
        <v>7</v>
      </c>
      <c r="W70" s="6">
        <v>43128</v>
      </c>
      <c r="X70" s="6">
        <v>43503</v>
      </c>
      <c r="Y70" s="6"/>
      <c r="Z70" s="6"/>
      <c r="AA70" s="6"/>
      <c r="AB70" s="6"/>
      <c r="AC70" s="6"/>
      <c r="AD70" s="6"/>
    </row>
    <row r="71" spans="1:30">
      <c r="A71" s="1" t="s">
        <v>772</v>
      </c>
      <c r="B71" s="1" t="s">
        <v>773</v>
      </c>
      <c r="C71" s="1" t="s">
        <v>848</v>
      </c>
      <c r="D71" s="1" t="s">
        <v>856</v>
      </c>
      <c r="E71" s="1" t="str">
        <f t="shared" si="1"/>
        <v>W02</v>
      </c>
      <c r="F71" s="4">
        <v>4.38</v>
      </c>
      <c r="G71" s="4">
        <v>3.54</v>
      </c>
      <c r="H71" s="4">
        <v>3.54</v>
      </c>
      <c r="I71" s="4"/>
      <c r="J71" s="1" t="s">
        <v>775</v>
      </c>
      <c r="K71" s="1" t="s">
        <v>857</v>
      </c>
      <c r="L71" s="1" t="s">
        <v>835</v>
      </c>
      <c r="M71" s="1" t="s">
        <v>851</v>
      </c>
      <c r="O71" s="6">
        <v>44861</v>
      </c>
      <c r="P71" s="6">
        <v>44666</v>
      </c>
      <c r="Q71" s="6">
        <v>44449</v>
      </c>
      <c r="R71" s="1" t="s">
        <v>784</v>
      </c>
      <c r="S71" s="1" t="s">
        <v>785</v>
      </c>
      <c r="T71" s="5">
        <v>238</v>
      </c>
      <c r="U71" s="4">
        <v>9</v>
      </c>
      <c r="V71" s="5">
        <v>298</v>
      </c>
      <c r="W71" s="6">
        <v>45210</v>
      </c>
      <c r="X71" s="6"/>
      <c r="Y71" s="6"/>
      <c r="Z71" s="6"/>
      <c r="AA71" s="6"/>
      <c r="AB71" s="6"/>
      <c r="AC71" s="6"/>
      <c r="AD71" s="6">
        <v>44881</v>
      </c>
    </row>
    <row r="72" spans="1:30">
      <c r="A72" s="1" t="s">
        <v>772</v>
      </c>
      <c r="B72" s="1" t="s">
        <v>773</v>
      </c>
      <c r="C72" s="1" t="s">
        <v>848</v>
      </c>
      <c r="D72" s="1" t="s">
        <v>307</v>
      </c>
      <c r="E72" s="1" t="str">
        <f t="shared" si="1"/>
        <v>W02</v>
      </c>
      <c r="F72" s="4">
        <v>6.35</v>
      </c>
      <c r="G72" s="4">
        <v>5.05</v>
      </c>
      <c r="H72" s="4">
        <v>5.05</v>
      </c>
      <c r="I72" s="4"/>
      <c r="J72" s="1" t="s">
        <v>775</v>
      </c>
      <c r="K72" s="1" t="s">
        <v>789</v>
      </c>
      <c r="L72" s="1" t="s">
        <v>787</v>
      </c>
      <c r="M72" s="1" t="s">
        <v>788</v>
      </c>
      <c r="O72" s="6">
        <v>44704</v>
      </c>
      <c r="P72" s="6">
        <v>44698</v>
      </c>
      <c r="Q72" s="6">
        <v>44151</v>
      </c>
      <c r="R72" s="1" t="s">
        <v>779</v>
      </c>
      <c r="T72" s="5">
        <v>402</v>
      </c>
      <c r="U72" s="4">
        <v>8</v>
      </c>
      <c r="V72" s="5">
        <v>266</v>
      </c>
      <c r="W72" s="6"/>
      <c r="X72" s="6"/>
      <c r="Y72" s="6"/>
      <c r="Z72" s="6"/>
      <c r="AA72" s="6">
        <v>44926</v>
      </c>
      <c r="AB72" s="6"/>
      <c r="AC72" s="6"/>
      <c r="AD72" s="6"/>
    </row>
    <row r="73" spans="1:30">
      <c r="A73" s="1" t="s">
        <v>772</v>
      </c>
      <c r="B73" s="1" t="s">
        <v>773</v>
      </c>
      <c r="C73" s="1" t="s">
        <v>848</v>
      </c>
      <c r="D73" s="1" t="s">
        <v>328</v>
      </c>
      <c r="E73" s="1" t="str">
        <f t="shared" si="1"/>
        <v>W02</v>
      </c>
      <c r="F73" s="4">
        <v>10.9</v>
      </c>
      <c r="G73" s="4">
        <v>8.7899999999999991</v>
      </c>
      <c r="H73" s="4">
        <v>8.7899999999999991</v>
      </c>
      <c r="I73" s="4"/>
      <c r="J73" s="1" t="s">
        <v>775</v>
      </c>
      <c r="K73" s="1" t="s">
        <v>808</v>
      </c>
      <c r="L73" s="1" t="s">
        <v>809</v>
      </c>
      <c r="M73" s="1" t="s">
        <v>788</v>
      </c>
      <c r="N73" s="1" t="s">
        <v>777</v>
      </c>
      <c r="O73" s="6">
        <v>44866</v>
      </c>
      <c r="P73" s="6">
        <v>44796</v>
      </c>
      <c r="Q73" s="6">
        <v>44235</v>
      </c>
      <c r="R73" s="1" t="s">
        <v>779</v>
      </c>
      <c r="T73" s="5">
        <v>402</v>
      </c>
      <c r="U73" s="4">
        <v>5</v>
      </c>
      <c r="V73" s="5">
        <v>168</v>
      </c>
      <c r="W73" s="6">
        <v>43175</v>
      </c>
      <c r="X73" s="6">
        <v>43206</v>
      </c>
      <c r="Y73" s="6"/>
      <c r="Z73" s="6"/>
      <c r="AA73" s="6"/>
      <c r="AB73" s="6"/>
      <c r="AC73" s="6"/>
      <c r="AD73" s="6"/>
    </row>
    <row r="74" spans="1:30">
      <c r="A74" s="1" t="s">
        <v>772</v>
      </c>
      <c r="B74" s="1" t="s">
        <v>773</v>
      </c>
      <c r="C74" s="1" t="s">
        <v>848</v>
      </c>
      <c r="D74" s="1" t="s">
        <v>688</v>
      </c>
      <c r="E74" s="1" t="str">
        <f t="shared" si="1"/>
        <v>W02</v>
      </c>
      <c r="F74" s="4">
        <v>10.38</v>
      </c>
      <c r="G74" s="4">
        <v>6.26</v>
      </c>
      <c r="H74" s="4">
        <v>6.26</v>
      </c>
      <c r="I74" s="4"/>
      <c r="J74" s="1" t="s">
        <v>775</v>
      </c>
      <c r="K74" s="1" t="s">
        <v>832</v>
      </c>
      <c r="L74" s="1" t="s">
        <v>783</v>
      </c>
      <c r="M74" s="1" t="s">
        <v>777</v>
      </c>
      <c r="O74" s="6">
        <v>44925</v>
      </c>
      <c r="P74" s="6">
        <v>44925</v>
      </c>
      <c r="Q74" s="6">
        <v>44343</v>
      </c>
      <c r="R74" s="1" t="s">
        <v>784</v>
      </c>
      <c r="T74" s="5">
        <v>60</v>
      </c>
      <c r="U74" s="4">
        <v>1</v>
      </c>
      <c r="V74" s="5">
        <v>39</v>
      </c>
      <c r="W74" s="6">
        <v>44653</v>
      </c>
      <c r="X74" s="6"/>
      <c r="Y74" s="6"/>
      <c r="Z74" s="6"/>
      <c r="AA74" s="6"/>
      <c r="AB74" s="6"/>
      <c r="AC74" s="6"/>
      <c r="AD74" s="6"/>
    </row>
    <row r="75" spans="1:30">
      <c r="A75" s="1" t="s">
        <v>772</v>
      </c>
      <c r="B75" s="1" t="s">
        <v>773</v>
      </c>
      <c r="C75" s="1" t="s">
        <v>848</v>
      </c>
      <c r="D75" s="1" t="s">
        <v>583</v>
      </c>
      <c r="E75" s="1" t="str">
        <f t="shared" si="1"/>
        <v>W02</v>
      </c>
      <c r="F75" s="4">
        <v>15.4</v>
      </c>
      <c r="G75" s="4">
        <v>12.12</v>
      </c>
      <c r="H75" s="4">
        <v>12.12</v>
      </c>
      <c r="I75" s="4"/>
      <c r="J75" s="1" t="s">
        <v>775</v>
      </c>
      <c r="K75" s="1" t="s">
        <v>800</v>
      </c>
      <c r="L75" s="1" t="s">
        <v>777</v>
      </c>
      <c r="M75" s="1" t="s">
        <v>778</v>
      </c>
      <c r="O75" s="6">
        <v>44806</v>
      </c>
      <c r="P75" s="6">
        <v>44797</v>
      </c>
      <c r="Q75" s="6">
        <v>44767</v>
      </c>
      <c r="R75" s="1" t="s">
        <v>779</v>
      </c>
      <c r="S75" s="1" t="s">
        <v>795</v>
      </c>
      <c r="T75" s="5">
        <v>577</v>
      </c>
      <c r="U75" s="4">
        <v>5</v>
      </c>
      <c r="V75" s="5">
        <v>167</v>
      </c>
      <c r="W75" s="6">
        <v>45236</v>
      </c>
      <c r="X75" s="6"/>
      <c r="Y75" s="6"/>
      <c r="Z75" s="6"/>
      <c r="AA75" s="6"/>
      <c r="AB75" s="6"/>
      <c r="AC75" s="6"/>
      <c r="AD75" s="6"/>
    </row>
    <row r="76" spans="1:30">
      <c r="A76" s="1" t="s">
        <v>772</v>
      </c>
      <c r="B76" s="1" t="s">
        <v>773</v>
      </c>
      <c r="C76" s="1" t="s">
        <v>848</v>
      </c>
      <c r="D76" s="1" t="s">
        <v>592</v>
      </c>
      <c r="E76" s="1" t="str">
        <f t="shared" si="1"/>
        <v>W02</v>
      </c>
      <c r="F76" s="4">
        <v>14.94</v>
      </c>
      <c r="G76" s="4">
        <v>11.77</v>
      </c>
      <c r="H76" s="4">
        <v>11.77</v>
      </c>
      <c r="I76" s="4"/>
      <c r="J76" s="1" t="s">
        <v>775</v>
      </c>
      <c r="K76" s="1" t="s">
        <v>797</v>
      </c>
      <c r="L76" s="1" t="s">
        <v>777</v>
      </c>
      <c r="M76" s="1" t="s">
        <v>778</v>
      </c>
      <c r="N76" s="1" t="s">
        <v>788</v>
      </c>
      <c r="O76" s="6">
        <v>44835</v>
      </c>
      <c r="P76" s="6">
        <v>44826</v>
      </c>
      <c r="Q76" s="6">
        <v>44767</v>
      </c>
      <c r="R76" s="1" t="s">
        <v>779</v>
      </c>
      <c r="S76" s="1" t="s">
        <v>780</v>
      </c>
      <c r="T76" s="5">
        <v>517</v>
      </c>
      <c r="U76" s="4">
        <v>4</v>
      </c>
      <c r="V76" s="5">
        <v>138</v>
      </c>
      <c r="W76" s="6">
        <v>45348</v>
      </c>
      <c r="X76" s="6">
        <v>45740</v>
      </c>
      <c r="Y76" s="6"/>
      <c r="Z76" s="6"/>
      <c r="AA76" s="6"/>
      <c r="AB76" s="6"/>
      <c r="AC76" s="6"/>
      <c r="AD76" s="6"/>
    </row>
    <row r="77" spans="1:30">
      <c r="A77" s="1" t="s">
        <v>772</v>
      </c>
      <c r="B77" s="1" t="s">
        <v>773</v>
      </c>
      <c r="C77" s="1" t="s">
        <v>858</v>
      </c>
      <c r="D77" s="1" t="s">
        <v>562</v>
      </c>
      <c r="E77" s="1" t="str">
        <f t="shared" si="1"/>
        <v>W04</v>
      </c>
      <c r="F77" s="4">
        <v>5.76</v>
      </c>
      <c r="G77" s="4">
        <v>4.57</v>
      </c>
      <c r="H77" s="4">
        <v>4.57</v>
      </c>
      <c r="I77" s="4"/>
      <c r="J77" s="1" t="s">
        <v>775</v>
      </c>
      <c r="K77" s="1" t="s">
        <v>859</v>
      </c>
      <c r="L77" s="1" t="s">
        <v>777</v>
      </c>
      <c r="M77" s="1" t="s">
        <v>778</v>
      </c>
      <c r="O77" s="6">
        <v>44747</v>
      </c>
      <c r="P77" s="6">
        <v>44712</v>
      </c>
      <c r="Q77" s="6">
        <v>44665</v>
      </c>
      <c r="R77" s="1" t="s">
        <v>779</v>
      </c>
      <c r="S77" s="1" t="s">
        <v>780</v>
      </c>
      <c r="T77" s="5">
        <v>517</v>
      </c>
      <c r="U77" s="4">
        <v>8</v>
      </c>
      <c r="V77" s="5">
        <v>252</v>
      </c>
      <c r="W77" s="6">
        <v>44996</v>
      </c>
      <c r="X77" s="6"/>
      <c r="Y77" s="6"/>
      <c r="Z77" s="6"/>
      <c r="AA77" s="6"/>
      <c r="AB77" s="6"/>
      <c r="AC77" s="6"/>
      <c r="AD77" s="6"/>
    </row>
    <row r="78" spans="1:30">
      <c r="A78" s="1" t="s">
        <v>772</v>
      </c>
      <c r="B78" s="1" t="s">
        <v>773</v>
      </c>
      <c r="C78" s="1" t="s">
        <v>858</v>
      </c>
      <c r="D78" s="1" t="s">
        <v>24</v>
      </c>
      <c r="E78" s="1" t="str">
        <f t="shared" si="1"/>
        <v>W04</v>
      </c>
      <c r="F78" s="4">
        <v>6.84</v>
      </c>
      <c r="G78" s="4">
        <v>5.44</v>
      </c>
      <c r="H78" s="4">
        <v>5.44</v>
      </c>
      <c r="I78" s="4"/>
      <c r="J78" s="1" t="s">
        <v>775</v>
      </c>
      <c r="K78" s="1" t="s">
        <v>839</v>
      </c>
      <c r="L78" s="1" t="s">
        <v>777</v>
      </c>
      <c r="M78" s="1" t="s">
        <v>778</v>
      </c>
      <c r="N78" s="1" t="s">
        <v>787</v>
      </c>
      <c r="O78" s="6">
        <v>44798</v>
      </c>
      <c r="P78" s="6">
        <v>44788</v>
      </c>
      <c r="Q78" s="6">
        <v>44748</v>
      </c>
      <c r="R78" s="1" t="s">
        <v>779</v>
      </c>
      <c r="S78" s="1" t="s">
        <v>795</v>
      </c>
      <c r="T78" s="5">
        <v>577</v>
      </c>
      <c r="U78" s="4">
        <v>5</v>
      </c>
      <c r="V78" s="5">
        <v>176</v>
      </c>
      <c r="W78" s="6">
        <v>43293</v>
      </c>
      <c r="X78" s="6">
        <v>43079</v>
      </c>
      <c r="Y78" s="6"/>
      <c r="Z78" s="6"/>
      <c r="AA78" s="6"/>
      <c r="AB78" s="6"/>
      <c r="AC78" s="6"/>
      <c r="AD78" s="6"/>
    </row>
    <row r="79" spans="1:30">
      <c r="A79" s="1" t="s">
        <v>772</v>
      </c>
      <c r="B79" s="1" t="s">
        <v>773</v>
      </c>
      <c r="C79" s="1" t="s">
        <v>848</v>
      </c>
      <c r="D79" s="1" t="s">
        <v>517</v>
      </c>
      <c r="E79" s="1" t="str">
        <f t="shared" si="1"/>
        <v>W02</v>
      </c>
      <c r="F79" s="4">
        <v>4.5</v>
      </c>
      <c r="G79" s="4">
        <v>3.59</v>
      </c>
      <c r="H79" s="4">
        <v>3.59</v>
      </c>
      <c r="I79" s="4"/>
      <c r="J79" s="1" t="s">
        <v>775</v>
      </c>
      <c r="K79" s="1" t="s">
        <v>805</v>
      </c>
      <c r="L79" s="1" t="s">
        <v>777</v>
      </c>
      <c r="M79" s="1" t="s">
        <v>778</v>
      </c>
      <c r="N79" s="1" t="s">
        <v>788</v>
      </c>
      <c r="O79" s="6">
        <v>44653</v>
      </c>
      <c r="P79" s="6">
        <v>44628</v>
      </c>
      <c r="Q79" s="6">
        <v>44615</v>
      </c>
      <c r="R79" s="1" t="s">
        <v>779</v>
      </c>
      <c r="S79" s="1" t="s">
        <v>792</v>
      </c>
      <c r="T79" s="5">
        <v>577</v>
      </c>
      <c r="U79" s="4">
        <v>11</v>
      </c>
      <c r="V79" s="5">
        <v>336</v>
      </c>
      <c r="W79" s="6">
        <v>45028</v>
      </c>
      <c r="X79" s="6">
        <v>45209</v>
      </c>
      <c r="Y79" s="6"/>
      <c r="Z79" s="6"/>
      <c r="AA79" s="6"/>
      <c r="AB79" s="6"/>
      <c r="AC79" s="6"/>
      <c r="AD79" s="6"/>
    </row>
    <row r="80" spans="1:30">
      <c r="A80" s="1" t="s">
        <v>772</v>
      </c>
      <c r="B80" s="1" t="s">
        <v>773</v>
      </c>
      <c r="C80" s="1" t="s">
        <v>848</v>
      </c>
      <c r="D80" s="1" t="s">
        <v>441</v>
      </c>
      <c r="E80" s="1" t="str">
        <f t="shared" si="1"/>
        <v>W02</v>
      </c>
      <c r="F80" s="4">
        <v>14.2</v>
      </c>
      <c r="G80" s="4">
        <v>11.2</v>
      </c>
      <c r="H80" s="4">
        <v>11.2</v>
      </c>
      <c r="I80" s="4"/>
      <c r="J80" s="1" t="s">
        <v>775</v>
      </c>
      <c r="K80" s="1" t="s">
        <v>860</v>
      </c>
      <c r="L80" s="1" t="s">
        <v>777</v>
      </c>
      <c r="M80" s="1" t="s">
        <v>778</v>
      </c>
      <c r="N80" s="1" t="s">
        <v>777</v>
      </c>
      <c r="O80" s="6">
        <v>44455</v>
      </c>
      <c r="P80" s="6">
        <v>44449</v>
      </c>
      <c r="Q80" s="6">
        <v>44427</v>
      </c>
      <c r="R80" s="1" t="s">
        <v>779</v>
      </c>
      <c r="S80" s="1" t="s">
        <v>795</v>
      </c>
      <c r="T80" s="5">
        <v>577</v>
      </c>
      <c r="U80" s="4">
        <v>16</v>
      </c>
      <c r="V80" s="5">
        <v>515</v>
      </c>
      <c r="W80" s="6">
        <v>43895</v>
      </c>
      <c r="X80" s="6">
        <v>42898</v>
      </c>
      <c r="Y80" s="6"/>
      <c r="Z80" s="6"/>
      <c r="AA80" s="6">
        <v>44870</v>
      </c>
      <c r="AB80" s="6"/>
      <c r="AC80" s="6"/>
      <c r="AD80" s="6"/>
    </row>
    <row r="81" spans="1:30">
      <c r="A81" s="1" t="s">
        <v>772</v>
      </c>
      <c r="B81" s="1" t="s">
        <v>773</v>
      </c>
      <c r="C81" s="1" t="s">
        <v>848</v>
      </c>
      <c r="D81" s="1" t="s">
        <v>524</v>
      </c>
      <c r="E81" s="1" t="str">
        <f t="shared" si="1"/>
        <v>W02</v>
      </c>
      <c r="F81" s="4">
        <v>6.85</v>
      </c>
      <c r="G81" s="4">
        <v>5.37</v>
      </c>
      <c r="H81" s="4">
        <v>5.37</v>
      </c>
      <c r="I81" s="4"/>
      <c r="J81" s="1" t="s">
        <v>775</v>
      </c>
      <c r="K81" s="1" t="s">
        <v>824</v>
      </c>
      <c r="L81" s="1" t="s">
        <v>777</v>
      </c>
      <c r="M81" s="1" t="s">
        <v>778</v>
      </c>
      <c r="O81" s="6">
        <v>44650</v>
      </c>
      <c r="P81" s="6">
        <v>44638</v>
      </c>
      <c r="Q81" s="6">
        <v>44624</v>
      </c>
      <c r="R81" s="1" t="s">
        <v>779</v>
      </c>
      <c r="S81" s="1" t="s">
        <v>780</v>
      </c>
      <c r="T81" s="5">
        <v>517</v>
      </c>
      <c r="U81" s="4">
        <v>10</v>
      </c>
      <c r="V81" s="5">
        <v>326</v>
      </c>
      <c r="W81" s="6">
        <v>43134</v>
      </c>
      <c r="X81" s="6"/>
      <c r="Y81" s="6"/>
      <c r="Z81" s="6"/>
      <c r="AA81" s="6"/>
      <c r="AB81" s="6"/>
      <c r="AC81" s="6"/>
      <c r="AD81" s="6"/>
    </row>
    <row r="82" spans="1:30">
      <c r="A82" s="1" t="s">
        <v>772</v>
      </c>
      <c r="B82" s="1" t="s">
        <v>773</v>
      </c>
      <c r="C82" s="1" t="s">
        <v>848</v>
      </c>
      <c r="D82" s="1" t="s">
        <v>348</v>
      </c>
      <c r="E82" s="1" t="str">
        <f t="shared" si="1"/>
        <v>W02</v>
      </c>
      <c r="F82" s="4">
        <v>9.2100000000000009</v>
      </c>
      <c r="G82" s="5">
        <v>7.28</v>
      </c>
      <c r="H82" s="5">
        <v>7.28</v>
      </c>
      <c r="I82" s="5"/>
      <c r="J82" s="1" t="s">
        <v>775</v>
      </c>
      <c r="K82" s="1" t="s">
        <v>861</v>
      </c>
      <c r="L82" s="1" t="s">
        <v>778</v>
      </c>
      <c r="M82" s="1" t="s">
        <v>788</v>
      </c>
      <c r="N82" s="1" t="s">
        <v>777</v>
      </c>
      <c r="O82" s="6">
        <v>44875</v>
      </c>
      <c r="P82" s="6">
        <v>44814</v>
      </c>
      <c r="Q82" s="6">
        <v>44273</v>
      </c>
      <c r="R82" s="1" t="s">
        <v>779</v>
      </c>
      <c r="T82" s="5">
        <v>300</v>
      </c>
      <c r="U82" s="4">
        <v>4</v>
      </c>
      <c r="V82" s="5">
        <v>150</v>
      </c>
      <c r="W82" s="6">
        <v>43678</v>
      </c>
      <c r="X82" s="6">
        <v>43637</v>
      </c>
      <c r="Y82" s="6"/>
      <c r="Z82" s="6"/>
      <c r="AA82" s="6"/>
      <c r="AB82" s="6"/>
      <c r="AC82" s="6"/>
      <c r="AD82" s="6">
        <v>44887</v>
      </c>
    </row>
    <row r="83" spans="1:30">
      <c r="A83" s="1" t="s">
        <v>772</v>
      </c>
      <c r="B83" s="1" t="s">
        <v>773</v>
      </c>
      <c r="C83" s="1" t="s">
        <v>848</v>
      </c>
      <c r="D83" s="1" t="s">
        <v>252</v>
      </c>
      <c r="E83" s="1" t="str">
        <f t="shared" si="1"/>
        <v>W02</v>
      </c>
      <c r="F83" s="4">
        <v>12.08</v>
      </c>
      <c r="G83" s="4">
        <v>9.5500000000000007</v>
      </c>
      <c r="H83" s="4">
        <v>9.5500000000000007</v>
      </c>
      <c r="I83" s="4"/>
      <c r="J83" s="1" t="s">
        <v>775</v>
      </c>
      <c r="K83" s="1" t="s">
        <v>790</v>
      </c>
      <c r="L83" s="1" t="s">
        <v>787</v>
      </c>
      <c r="M83" s="1" t="s">
        <v>788</v>
      </c>
      <c r="O83" s="6">
        <v>44594</v>
      </c>
      <c r="P83" s="6">
        <v>44576</v>
      </c>
      <c r="Q83" s="6">
        <v>44055</v>
      </c>
      <c r="R83" s="1" t="s">
        <v>779</v>
      </c>
      <c r="T83" s="5">
        <v>402</v>
      </c>
      <c r="U83" s="4">
        <v>12</v>
      </c>
      <c r="V83" s="5">
        <v>388</v>
      </c>
      <c r="W83" s="6">
        <v>43427</v>
      </c>
      <c r="X83" s="6"/>
      <c r="Y83" s="6"/>
      <c r="Z83" s="6"/>
      <c r="AA83" s="6">
        <v>44809</v>
      </c>
      <c r="AB83" s="6"/>
      <c r="AC83" s="6"/>
      <c r="AD83" s="6">
        <v>44597</v>
      </c>
    </row>
    <row r="84" spans="1:30">
      <c r="A84" s="1" t="s">
        <v>772</v>
      </c>
      <c r="B84" s="1" t="s">
        <v>773</v>
      </c>
      <c r="C84" s="1" t="s">
        <v>848</v>
      </c>
      <c r="D84" s="1" t="s">
        <v>341</v>
      </c>
      <c r="E84" s="1" t="str">
        <f t="shared" si="1"/>
        <v>W02</v>
      </c>
      <c r="F84" s="4">
        <v>12.3</v>
      </c>
      <c r="G84" s="4">
        <v>9.86</v>
      </c>
      <c r="H84" s="4">
        <v>9.86</v>
      </c>
      <c r="I84" s="4"/>
      <c r="J84" s="1" t="s">
        <v>775</v>
      </c>
      <c r="K84" s="1" t="s">
        <v>862</v>
      </c>
      <c r="L84" s="1" t="s">
        <v>778</v>
      </c>
      <c r="M84" s="1" t="s">
        <v>788</v>
      </c>
      <c r="N84" s="1" t="s">
        <v>788</v>
      </c>
      <c r="O84" s="6">
        <v>44848</v>
      </c>
      <c r="P84" s="6">
        <v>44795</v>
      </c>
      <c r="Q84" s="6">
        <v>44254</v>
      </c>
      <c r="R84" s="1" t="s">
        <v>779</v>
      </c>
      <c r="T84" s="5">
        <v>300</v>
      </c>
      <c r="U84" s="4">
        <v>5</v>
      </c>
      <c r="V84" s="5">
        <v>169</v>
      </c>
      <c r="W84" s="6">
        <v>43983</v>
      </c>
      <c r="X84" s="6">
        <v>43411</v>
      </c>
      <c r="Y84" s="6"/>
      <c r="Z84" s="6"/>
      <c r="AA84" s="6"/>
      <c r="AB84" s="6"/>
      <c r="AC84" s="6"/>
      <c r="AD84" s="6">
        <v>44861</v>
      </c>
    </row>
    <row r="85" spans="1:30">
      <c r="A85" s="1" t="s">
        <v>772</v>
      </c>
      <c r="B85" s="1" t="s">
        <v>773</v>
      </c>
      <c r="C85" s="1" t="s">
        <v>848</v>
      </c>
      <c r="D85" s="1" t="s">
        <v>319</v>
      </c>
      <c r="E85" s="1" t="str">
        <f t="shared" si="1"/>
        <v>W02</v>
      </c>
      <c r="F85" s="5">
        <v>17.350000000000001</v>
      </c>
      <c r="G85" s="4">
        <v>13.58</v>
      </c>
      <c r="H85" s="4">
        <v>13.58</v>
      </c>
      <c r="I85" s="4"/>
      <c r="J85" s="1" t="s">
        <v>775</v>
      </c>
      <c r="K85" s="1" t="s">
        <v>796</v>
      </c>
      <c r="L85" s="1" t="s">
        <v>787</v>
      </c>
      <c r="M85" s="1" t="s">
        <v>788</v>
      </c>
      <c r="N85" s="1" t="s">
        <v>788</v>
      </c>
      <c r="O85" s="6">
        <v>44744</v>
      </c>
      <c r="P85" s="6">
        <v>44728</v>
      </c>
      <c r="Q85" s="6">
        <v>44209</v>
      </c>
      <c r="R85" s="1" t="s">
        <v>779</v>
      </c>
      <c r="T85" s="5">
        <v>402</v>
      </c>
      <c r="U85" s="4">
        <v>7</v>
      </c>
      <c r="V85" s="5">
        <v>236</v>
      </c>
      <c r="W85" s="6">
        <v>43747</v>
      </c>
      <c r="X85" s="6">
        <v>43665</v>
      </c>
      <c r="Y85" s="6"/>
      <c r="Z85" s="6"/>
      <c r="AA85" s="6">
        <v>44958</v>
      </c>
      <c r="AB85" s="6"/>
      <c r="AC85" s="6"/>
      <c r="AD85" s="6">
        <v>44743</v>
      </c>
    </row>
    <row r="86" spans="1:30">
      <c r="A86" s="1" t="s">
        <v>772</v>
      </c>
      <c r="B86" s="1" t="s">
        <v>773</v>
      </c>
      <c r="C86" s="1" t="s">
        <v>848</v>
      </c>
      <c r="D86" s="1" t="s">
        <v>298</v>
      </c>
      <c r="E86" s="1" t="str">
        <f t="shared" si="1"/>
        <v>W02</v>
      </c>
      <c r="F86" s="4">
        <v>13.36</v>
      </c>
      <c r="G86" s="4">
        <v>10.43</v>
      </c>
      <c r="H86" s="4">
        <v>10.43</v>
      </c>
      <c r="I86" s="4"/>
      <c r="J86" s="1" t="s">
        <v>775</v>
      </c>
      <c r="K86" s="1" t="s">
        <v>863</v>
      </c>
      <c r="L86" s="1" t="s">
        <v>787</v>
      </c>
      <c r="M86" s="1" t="s">
        <v>788</v>
      </c>
      <c r="N86" s="1" t="s">
        <v>835</v>
      </c>
      <c r="O86" s="6">
        <v>44715</v>
      </c>
      <c r="P86" s="6">
        <v>44712</v>
      </c>
      <c r="Q86" s="6">
        <v>44124</v>
      </c>
      <c r="R86" s="1" t="s">
        <v>779</v>
      </c>
      <c r="T86" s="5">
        <v>300</v>
      </c>
      <c r="U86" s="4">
        <v>8</v>
      </c>
      <c r="V86" s="5">
        <v>252</v>
      </c>
      <c r="W86" s="6">
        <v>43545</v>
      </c>
      <c r="X86" s="6">
        <v>43932</v>
      </c>
      <c r="Y86" s="6"/>
      <c r="Z86" s="6"/>
      <c r="AA86" s="6"/>
      <c r="AB86" s="6"/>
      <c r="AC86" s="6"/>
      <c r="AD86" s="6">
        <v>44763</v>
      </c>
    </row>
    <row r="87" spans="1:30">
      <c r="A87" s="1" t="s">
        <v>772</v>
      </c>
      <c r="B87" s="1" t="s">
        <v>773</v>
      </c>
      <c r="C87" s="1" t="s">
        <v>848</v>
      </c>
      <c r="D87" s="1" t="s">
        <v>864</v>
      </c>
      <c r="E87" s="1" t="str">
        <f t="shared" si="1"/>
        <v>W02</v>
      </c>
      <c r="F87" s="4">
        <v>10.82</v>
      </c>
      <c r="G87" s="4">
        <v>9.14</v>
      </c>
      <c r="H87" s="4">
        <v>9.14</v>
      </c>
      <c r="I87" s="4"/>
      <c r="J87" s="1" t="s">
        <v>775</v>
      </c>
      <c r="K87" s="1" t="s">
        <v>865</v>
      </c>
      <c r="L87" s="1" t="s">
        <v>866</v>
      </c>
      <c r="M87" s="1" t="s">
        <v>867</v>
      </c>
      <c r="N87" s="1" t="s">
        <v>787</v>
      </c>
      <c r="O87" s="6">
        <v>44897</v>
      </c>
      <c r="P87" s="6">
        <v>44892</v>
      </c>
      <c r="Q87" s="6">
        <v>44846</v>
      </c>
      <c r="R87" s="1" t="s">
        <v>868</v>
      </c>
      <c r="T87" s="5">
        <v>240</v>
      </c>
      <c r="U87" s="4">
        <v>2</v>
      </c>
      <c r="V87" s="5">
        <v>72</v>
      </c>
      <c r="W87" s="6">
        <v>43710</v>
      </c>
      <c r="X87" s="6">
        <v>42572</v>
      </c>
      <c r="Y87" s="6"/>
      <c r="Z87" s="6"/>
      <c r="AA87" s="6"/>
      <c r="AB87" s="6"/>
      <c r="AC87" s="6"/>
      <c r="AD87" s="6"/>
    </row>
    <row r="88" spans="1:30">
      <c r="A88" s="1" t="s">
        <v>772</v>
      </c>
      <c r="B88" s="1" t="s">
        <v>773</v>
      </c>
      <c r="C88" s="1" t="s">
        <v>848</v>
      </c>
      <c r="D88" s="1" t="s">
        <v>347</v>
      </c>
      <c r="E88" s="1" t="str">
        <f t="shared" si="1"/>
        <v>W02</v>
      </c>
      <c r="F88" s="4">
        <v>7.13</v>
      </c>
      <c r="G88" s="4">
        <v>5.74</v>
      </c>
      <c r="H88" s="4">
        <v>5.74</v>
      </c>
      <c r="I88" s="4"/>
      <c r="J88" s="1" t="s">
        <v>775</v>
      </c>
      <c r="K88" s="1" t="s">
        <v>808</v>
      </c>
      <c r="L88" s="1" t="s">
        <v>809</v>
      </c>
      <c r="M88" s="1" t="s">
        <v>788</v>
      </c>
      <c r="N88" s="1" t="s">
        <v>777</v>
      </c>
      <c r="O88" s="6">
        <v>44880</v>
      </c>
      <c r="P88" s="6">
        <v>44814</v>
      </c>
      <c r="Q88" s="6">
        <v>44267</v>
      </c>
      <c r="R88" s="1" t="s">
        <v>779</v>
      </c>
      <c r="T88" s="5">
        <v>402</v>
      </c>
      <c r="U88" s="4">
        <v>4</v>
      </c>
      <c r="V88" s="5">
        <v>150</v>
      </c>
      <c r="W88" s="6">
        <v>43678</v>
      </c>
      <c r="X88" s="6">
        <v>43637</v>
      </c>
      <c r="Y88" s="6"/>
      <c r="Z88" s="6"/>
      <c r="AA88" s="6"/>
      <c r="AB88" s="6"/>
      <c r="AC88" s="6"/>
      <c r="AD88" s="6"/>
    </row>
    <row r="89" spans="1:30">
      <c r="A89" s="1" t="s">
        <v>772</v>
      </c>
      <c r="B89" s="1" t="s">
        <v>773</v>
      </c>
      <c r="C89" s="1" t="s">
        <v>848</v>
      </c>
      <c r="D89" s="1" t="s">
        <v>288</v>
      </c>
      <c r="E89" s="1" t="str">
        <f t="shared" si="1"/>
        <v>W02</v>
      </c>
      <c r="F89" s="4">
        <v>7.7</v>
      </c>
      <c r="G89" s="4">
        <v>6.13</v>
      </c>
      <c r="H89" s="4">
        <v>6.13</v>
      </c>
      <c r="I89" s="4"/>
      <c r="J89" s="1" t="s">
        <v>775</v>
      </c>
      <c r="K89" s="1" t="s">
        <v>863</v>
      </c>
      <c r="L89" s="1" t="s">
        <v>787</v>
      </c>
      <c r="M89" s="1" t="s">
        <v>788</v>
      </c>
      <c r="N89" s="1" t="s">
        <v>835</v>
      </c>
      <c r="O89" s="6">
        <v>44715</v>
      </c>
      <c r="P89" s="6">
        <v>44712</v>
      </c>
      <c r="Q89" s="6">
        <v>44125</v>
      </c>
      <c r="R89" s="1" t="s">
        <v>779</v>
      </c>
      <c r="T89" s="5">
        <v>300</v>
      </c>
      <c r="U89" s="4">
        <v>8</v>
      </c>
      <c r="V89" s="5">
        <v>252</v>
      </c>
      <c r="W89" s="6">
        <v>43545</v>
      </c>
      <c r="X89" s="6">
        <v>43932</v>
      </c>
      <c r="Y89" s="6"/>
      <c r="Z89" s="6"/>
      <c r="AA89" s="6"/>
      <c r="AB89" s="6"/>
      <c r="AC89" s="6"/>
      <c r="AD89" s="6">
        <v>44763</v>
      </c>
    </row>
    <row r="90" spans="1:30">
      <c r="A90" s="1" t="s">
        <v>772</v>
      </c>
      <c r="B90" s="1" t="s">
        <v>773</v>
      </c>
      <c r="C90" s="1" t="s">
        <v>848</v>
      </c>
      <c r="D90" s="1" t="s">
        <v>261</v>
      </c>
      <c r="E90" s="1" t="str">
        <f t="shared" si="1"/>
        <v>W02</v>
      </c>
      <c r="F90" s="4">
        <v>11.7</v>
      </c>
      <c r="G90" s="4">
        <v>9.1300000000000008</v>
      </c>
      <c r="H90" s="4">
        <v>9.1300000000000008</v>
      </c>
      <c r="I90" s="4"/>
      <c r="J90" s="1" t="s">
        <v>775</v>
      </c>
      <c r="K90" s="1" t="s">
        <v>869</v>
      </c>
      <c r="L90" s="1" t="s">
        <v>787</v>
      </c>
      <c r="M90" s="1" t="s">
        <v>788</v>
      </c>
      <c r="N90" s="1" t="s">
        <v>787</v>
      </c>
      <c r="O90" s="6">
        <v>44622</v>
      </c>
      <c r="P90" s="6">
        <v>44620</v>
      </c>
      <c r="Q90" s="6">
        <v>44070</v>
      </c>
      <c r="R90" s="1" t="s">
        <v>779</v>
      </c>
      <c r="T90" s="5">
        <v>402</v>
      </c>
      <c r="U90" s="4">
        <v>11</v>
      </c>
      <c r="V90" s="5">
        <v>344</v>
      </c>
      <c r="W90" s="6">
        <v>43710</v>
      </c>
      <c r="X90" s="6">
        <v>42572</v>
      </c>
      <c r="Y90" s="6"/>
      <c r="Z90" s="6"/>
      <c r="AA90" s="6">
        <v>44866</v>
      </c>
      <c r="AB90" s="6"/>
      <c r="AC90" s="6"/>
      <c r="AD90" s="6">
        <v>44625</v>
      </c>
    </row>
    <row r="91" spans="1:30">
      <c r="A91" s="1" t="s">
        <v>772</v>
      </c>
      <c r="B91" s="1" t="s">
        <v>773</v>
      </c>
      <c r="C91" s="1" t="s">
        <v>848</v>
      </c>
      <c r="D91" s="1" t="s">
        <v>164</v>
      </c>
      <c r="E91" s="1" t="str">
        <f t="shared" si="1"/>
        <v>W02</v>
      </c>
      <c r="F91" s="4">
        <v>6.26</v>
      </c>
      <c r="G91" s="4">
        <v>4.9400000000000004</v>
      </c>
      <c r="H91" s="4">
        <v>4.9400000000000004</v>
      </c>
      <c r="I91" s="4"/>
      <c r="J91" s="1" t="s">
        <v>775</v>
      </c>
      <c r="K91" s="1" t="s">
        <v>800</v>
      </c>
      <c r="L91" s="1" t="s">
        <v>777</v>
      </c>
      <c r="M91" s="1" t="s">
        <v>778</v>
      </c>
      <c r="O91" s="6">
        <v>44806</v>
      </c>
      <c r="P91" s="6">
        <v>44803</v>
      </c>
      <c r="Q91" s="6">
        <v>44771</v>
      </c>
      <c r="R91" s="1" t="s">
        <v>779</v>
      </c>
      <c r="S91" s="1" t="s">
        <v>795</v>
      </c>
      <c r="T91" s="5">
        <v>577</v>
      </c>
      <c r="U91" s="4">
        <v>5</v>
      </c>
      <c r="V91" s="5">
        <v>161</v>
      </c>
      <c r="W91" s="6">
        <v>45266</v>
      </c>
      <c r="X91" s="6"/>
      <c r="Y91" s="6"/>
      <c r="Z91" s="6"/>
      <c r="AA91" s="6"/>
      <c r="AB91" s="6"/>
      <c r="AC91" s="6"/>
      <c r="AD91" s="6"/>
    </row>
    <row r="92" spans="1:30">
      <c r="A92" s="1" t="s">
        <v>772</v>
      </c>
      <c r="B92" s="1" t="s">
        <v>773</v>
      </c>
      <c r="C92" s="1" t="s">
        <v>848</v>
      </c>
      <c r="D92" s="1" t="s">
        <v>352</v>
      </c>
      <c r="E92" s="1" t="str">
        <f t="shared" si="1"/>
        <v>W02</v>
      </c>
      <c r="F92" s="4">
        <v>9.34</v>
      </c>
      <c r="G92" s="4">
        <v>7.47</v>
      </c>
      <c r="H92" s="4">
        <v>7.47</v>
      </c>
      <c r="I92" s="4"/>
      <c r="J92" s="1" t="s">
        <v>775</v>
      </c>
      <c r="K92" s="1" t="s">
        <v>808</v>
      </c>
      <c r="L92" s="1" t="s">
        <v>809</v>
      </c>
      <c r="M92" s="1" t="s">
        <v>788</v>
      </c>
      <c r="N92" s="1" t="s">
        <v>777</v>
      </c>
      <c r="O92" s="6">
        <v>44880</v>
      </c>
      <c r="P92" s="6">
        <v>44816</v>
      </c>
      <c r="Q92" s="6">
        <v>44270</v>
      </c>
      <c r="R92" s="1" t="s">
        <v>779</v>
      </c>
      <c r="T92" s="5">
        <v>402</v>
      </c>
      <c r="U92" s="4">
        <v>4</v>
      </c>
      <c r="V92" s="5">
        <v>148</v>
      </c>
      <c r="W92" s="6">
        <v>43678</v>
      </c>
      <c r="X92" s="6">
        <v>43637</v>
      </c>
      <c r="Y92" s="6"/>
      <c r="Z92" s="6"/>
      <c r="AA92" s="6"/>
      <c r="AB92" s="6"/>
      <c r="AC92" s="6"/>
      <c r="AD92" s="6"/>
    </row>
    <row r="93" spans="1:30">
      <c r="A93" s="1" t="s">
        <v>772</v>
      </c>
      <c r="B93" s="1" t="s">
        <v>773</v>
      </c>
      <c r="C93" s="1" t="s">
        <v>848</v>
      </c>
      <c r="D93" s="1" t="s">
        <v>501</v>
      </c>
      <c r="E93" s="1" t="str">
        <f t="shared" si="1"/>
        <v>W02</v>
      </c>
      <c r="F93" s="4">
        <v>3.26</v>
      </c>
      <c r="G93" s="4">
        <v>2.61</v>
      </c>
      <c r="H93" s="4">
        <v>2.61</v>
      </c>
      <c r="I93" s="4"/>
      <c r="J93" s="1" t="s">
        <v>775</v>
      </c>
      <c r="K93" s="1" t="s">
        <v>822</v>
      </c>
      <c r="L93" s="1" t="s">
        <v>777</v>
      </c>
      <c r="M93" s="1" t="s">
        <v>778</v>
      </c>
      <c r="N93" s="1" t="s">
        <v>787</v>
      </c>
      <c r="O93" s="6">
        <v>44594</v>
      </c>
      <c r="P93" s="6">
        <v>44592</v>
      </c>
      <c r="Q93" s="6">
        <v>44566</v>
      </c>
      <c r="R93" s="1" t="s">
        <v>779</v>
      </c>
      <c r="S93" s="1" t="s">
        <v>823</v>
      </c>
      <c r="T93" s="5">
        <v>457</v>
      </c>
      <c r="U93" s="4">
        <v>12</v>
      </c>
      <c r="V93" s="5">
        <v>372</v>
      </c>
      <c r="W93" s="6">
        <v>43710</v>
      </c>
      <c r="X93" s="6">
        <v>42572</v>
      </c>
      <c r="Y93" s="6"/>
      <c r="Z93" s="6"/>
      <c r="AA93" s="6">
        <v>44873</v>
      </c>
      <c r="AB93" s="6"/>
      <c r="AC93" s="6"/>
      <c r="AD93" s="6">
        <v>44957</v>
      </c>
    </row>
    <row r="94" spans="1:30">
      <c r="A94" s="1" t="s">
        <v>772</v>
      </c>
      <c r="B94" s="1" t="s">
        <v>773</v>
      </c>
      <c r="C94" s="1" t="s">
        <v>848</v>
      </c>
      <c r="D94" s="1" t="s">
        <v>271</v>
      </c>
      <c r="E94" s="1" t="str">
        <f t="shared" si="1"/>
        <v>W02</v>
      </c>
      <c r="F94" s="4">
        <v>2.6</v>
      </c>
      <c r="G94" s="4">
        <v>2.0499999999999998</v>
      </c>
      <c r="H94" s="4">
        <v>2.0499999999999998</v>
      </c>
      <c r="I94" s="4"/>
      <c r="J94" s="1" t="s">
        <v>775</v>
      </c>
      <c r="K94" s="1" t="s">
        <v>790</v>
      </c>
      <c r="L94" s="1" t="s">
        <v>787</v>
      </c>
      <c r="M94" s="1" t="s">
        <v>788</v>
      </c>
      <c r="O94" s="6">
        <v>44594</v>
      </c>
      <c r="P94" s="6">
        <v>44572</v>
      </c>
      <c r="Q94" s="6">
        <v>44099</v>
      </c>
      <c r="R94" s="1" t="s">
        <v>779</v>
      </c>
      <c r="T94" s="5">
        <v>402</v>
      </c>
      <c r="U94" s="4">
        <v>12</v>
      </c>
      <c r="V94" s="5">
        <v>392</v>
      </c>
      <c r="W94" s="6">
        <v>43427</v>
      </c>
      <c r="X94" s="6"/>
      <c r="Y94" s="6"/>
      <c r="Z94" s="6"/>
      <c r="AA94" s="6">
        <v>44804</v>
      </c>
      <c r="AB94" s="6"/>
      <c r="AC94" s="6"/>
      <c r="AD94" s="6">
        <v>44958</v>
      </c>
    </row>
    <row r="95" spans="1:30">
      <c r="A95" s="1" t="s">
        <v>772</v>
      </c>
      <c r="B95" s="1" t="s">
        <v>773</v>
      </c>
      <c r="C95" s="1" t="s">
        <v>848</v>
      </c>
      <c r="D95" s="1" t="s">
        <v>870</v>
      </c>
      <c r="E95" s="1" t="str">
        <f t="shared" si="1"/>
        <v>W02</v>
      </c>
      <c r="F95" s="4">
        <v>8.1</v>
      </c>
      <c r="G95" s="4">
        <v>6.55</v>
      </c>
      <c r="H95" s="4">
        <v>6.55</v>
      </c>
      <c r="I95" s="4"/>
      <c r="J95" s="1" t="s">
        <v>775</v>
      </c>
      <c r="K95" s="1" t="s">
        <v>871</v>
      </c>
      <c r="L95" s="1" t="s">
        <v>812</v>
      </c>
      <c r="M95" s="1" t="s">
        <v>782</v>
      </c>
      <c r="O95" s="6">
        <v>44536</v>
      </c>
      <c r="P95" s="6">
        <v>44513</v>
      </c>
      <c r="Q95" s="6">
        <v>44513</v>
      </c>
      <c r="R95" s="1" t="s">
        <v>784</v>
      </c>
      <c r="S95" s="1" t="s">
        <v>785</v>
      </c>
      <c r="T95" s="5">
        <v>392</v>
      </c>
      <c r="U95" s="4">
        <v>14</v>
      </c>
      <c r="V95" s="5">
        <v>451</v>
      </c>
      <c r="W95" s="6">
        <v>45091</v>
      </c>
      <c r="X95" s="6"/>
      <c r="Y95" s="6"/>
      <c r="Z95" s="6"/>
      <c r="AA95" s="6"/>
      <c r="AB95" s="6"/>
      <c r="AC95" s="6"/>
      <c r="AD95" s="6">
        <v>44779</v>
      </c>
    </row>
    <row r="96" spans="1:30">
      <c r="A96" s="1" t="s">
        <v>772</v>
      </c>
      <c r="B96" s="1" t="s">
        <v>773</v>
      </c>
      <c r="C96" s="1" t="s">
        <v>848</v>
      </c>
      <c r="D96" s="1" t="s">
        <v>329</v>
      </c>
      <c r="E96" s="1" t="str">
        <f t="shared" si="1"/>
        <v>W02</v>
      </c>
      <c r="F96" s="4">
        <v>8.16</v>
      </c>
      <c r="G96" s="4">
        <v>6.48</v>
      </c>
      <c r="H96" s="4">
        <v>6.48</v>
      </c>
      <c r="I96" s="4"/>
      <c r="J96" s="1" t="s">
        <v>775</v>
      </c>
      <c r="K96" s="1" t="s">
        <v>789</v>
      </c>
      <c r="L96" s="1" t="s">
        <v>787</v>
      </c>
      <c r="M96" s="1" t="s">
        <v>788</v>
      </c>
      <c r="O96" s="6">
        <v>44704</v>
      </c>
      <c r="P96" s="6">
        <v>44699</v>
      </c>
      <c r="Q96" s="6">
        <v>44218</v>
      </c>
      <c r="R96" s="1" t="s">
        <v>779</v>
      </c>
      <c r="T96" s="5">
        <v>402</v>
      </c>
      <c r="U96" s="4">
        <v>8</v>
      </c>
      <c r="V96" s="5">
        <v>265</v>
      </c>
      <c r="W96" s="6"/>
      <c r="X96" s="6"/>
      <c r="Y96" s="6"/>
      <c r="Z96" s="6"/>
      <c r="AA96" s="6">
        <v>44904</v>
      </c>
      <c r="AB96" s="6"/>
      <c r="AC96" s="6"/>
      <c r="AD96" s="6">
        <v>44734</v>
      </c>
    </row>
    <row r="97" spans="1:30">
      <c r="A97" s="1" t="s">
        <v>772</v>
      </c>
      <c r="B97" s="1" t="s">
        <v>773</v>
      </c>
      <c r="C97" s="1" t="s">
        <v>848</v>
      </c>
      <c r="D97" s="1" t="s">
        <v>27</v>
      </c>
      <c r="E97" s="1" t="str">
        <f t="shared" si="1"/>
        <v>W02</v>
      </c>
      <c r="F97" s="4">
        <v>8.82</v>
      </c>
      <c r="G97" s="4">
        <v>6.98</v>
      </c>
      <c r="H97" s="4">
        <v>6.98</v>
      </c>
      <c r="I97" s="4"/>
      <c r="J97" s="1" t="s">
        <v>775</v>
      </c>
      <c r="K97" s="1" t="s">
        <v>839</v>
      </c>
      <c r="L97" s="1" t="s">
        <v>777</v>
      </c>
      <c r="M97" s="1" t="s">
        <v>778</v>
      </c>
      <c r="N97" s="1" t="s">
        <v>787</v>
      </c>
      <c r="O97" s="6">
        <v>44775</v>
      </c>
      <c r="P97" s="6">
        <v>44755</v>
      </c>
      <c r="Q97" s="6">
        <v>44739</v>
      </c>
      <c r="R97" s="1" t="s">
        <v>779</v>
      </c>
      <c r="S97" s="1" t="s">
        <v>841</v>
      </c>
      <c r="T97" s="5">
        <v>577</v>
      </c>
      <c r="U97" s="4">
        <v>6</v>
      </c>
      <c r="V97" s="5">
        <v>209</v>
      </c>
      <c r="W97" s="6">
        <v>43535</v>
      </c>
      <c r="X97" s="6">
        <v>43566</v>
      </c>
      <c r="Y97" s="6"/>
      <c r="Z97" s="6"/>
      <c r="AA97" s="6"/>
      <c r="AB97" s="6"/>
      <c r="AC97" s="6"/>
      <c r="AD97" s="6"/>
    </row>
    <row r="98" spans="1:30">
      <c r="A98" s="1" t="s">
        <v>772</v>
      </c>
      <c r="B98" s="1" t="s">
        <v>773</v>
      </c>
      <c r="C98" s="1" t="s">
        <v>848</v>
      </c>
      <c r="D98" s="1" t="s">
        <v>465</v>
      </c>
      <c r="E98" s="1" t="str">
        <f t="shared" si="1"/>
        <v>W02</v>
      </c>
      <c r="F98" s="4">
        <v>14.78</v>
      </c>
      <c r="G98" s="4">
        <v>11.63</v>
      </c>
      <c r="H98" s="4">
        <v>11.63</v>
      </c>
      <c r="I98" s="4"/>
      <c r="J98" s="1" t="s">
        <v>775</v>
      </c>
      <c r="K98" s="1" t="s">
        <v>872</v>
      </c>
      <c r="L98" s="1" t="s">
        <v>777</v>
      </c>
      <c r="M98" s="1" t="s">
        <v>778</v>
      </c>
      <c r="N98" s="1" t="s">
        <v>873</v>
      </c>
      <c r="O98" s="6">
        <v>44510</v>
      </c>
      <c r="P98" s="6">
        <v>44504</v>
      </c>
      <c r="Q98" s="6">
        <v>44477</v>
      </c>
      <c r="R98" s="1" t="s">
        <v>779</v>
      </c>
      <c r="S98" s="1" t="s">
        <v>823</v>
      </c>
      <c r="T98" s="5">
        <v>457</v>
      </c>
      <c r="U98" s="4">
        <v>15</v>
      </c>
      <c r="V98" s="5">
        <v>460</v>
      </c>
      <c r="W98" s="6">
        <v>43954</v>
      </c>
      <c r="X98" s="6">
        <v>43275</v>
      </c>
      <c r="Y98" s="6"/>
      <c r="Z98" s="6"/>
      <c r="AA98" s="6">
        <v>44816</v>
      </c>
      <c r="AB98" s="6"/>
      <c r="AC98" s="6"/>
      <c r="AD98" s="6">
        <v>44847</v>
      </c>
    </row>
    <row r="99" spans="1:30">
      <c r="A99" s="1" t="s">
        <v>772</v>
      </c>
      <c r="B99" s="1" t="s">
        <v>773</v>
      </c>
      <c r="C99" s="1" t="s">
        <v>848</v>
      </c>
      <c r="D99" s="1" t="s">
        <v>874</v>
      </c>
      <c r="E99" s="1" t="str">
        <f t="shared" si="1"/>
        <v>W02</v>
      </c>
      <c r="F99" s="4">
        <v>6.29</v>
      </c>
      <c r="G99" s="4">
        <v>5.08</v>
      </c>
      <c r="H99" s="4">
        <v>5.08</v>
      </c>
      <c r="I99" s="4"/>
      <c r="J99" s="1" t="s">
        <v>775</v>
      </c>
      <c r="K99" s="1" t="s">
        <v>875</v>
      </c>
      <c r="L99" s="1" t="s">
        <v>835</v>
      </c>
      <c r="M99" s="1" t="s">
        <v>851</v>
      </c>
      <c r="O99" s="6">
        <v>44891</v>
      </c>
      <c r="P99" s="6">
        <v>44666</v>
      </c>
      <c r="Q99" s="6">
        <v>44443</v>
      </c>
      <c r="R99" s="1" t="s">
        <v>784</v>
      </c>
      <c r="S99" s="1" t="s">
        <v>785</v>
      </c>
      <c r="T99" s="5">
        <v>238</v>
      </c>
      <c r="U99" s="4">
        <v>9</v>
      </c>
      <c r="V99" s="5">
        <v>298</v>
      </c>
      <c r="W99" s="6">
        <v>45005</v>
      </c>
      <c r="X99" s="6"/>
      <c r="Y99" s="6"/>
      <c r="Z99" s="6"/>
      <c r="AA99" s="6"/>
      <c r="AB99" s="6"/>
      <c r="AC99" s="6"/>
      <c r="AD99" s="6">
        <v>44931</v>
      </c>
    </row>
    <row r="100" spans="1:30">
      <c r="A100" s="1" t="s">
        <v>772</v>
      </c>
      <c r="B100" s="1" t="s">
        <v>773</v>
      </c>
      <c r="C100" s="1" t="s">
        <v>848</v>
      </c>
      <c r="D100" s="1" t="s">
        <v>220</v>
      </c>
      <c r="E100" s="1" t="str">
        <f t="shared" si="1"/>
        <v>W02</v>
      </c>
      <c r="F100" s="5">
        <v>14.16</v>
      </c>
      <c r="G100" s="4">
        <v>10.96</v>
      </c>
      <c r="H100" s="4">
        <v>10.96</v>
      </c>
      <c r="I100" s="4"/>
      <c r="J100" s="1" t="s">
        <v>775</v>
      </c>
      <c r="K100" s="1" t="s">
        <v>849</v>
      </c>
      <c r="L100" s="1" t="s">
        <v>788</v>
      </c>
      <c r="M100" s="1" t="s">
        <v>787</v>
      </c>
      <c r="N100" s="1" t="s">
        <v>777</v>
      </c>
      <c r="O100" s="6">
        <v>44937</v>
      </c>
      <c r="P100" s="6">
        <v>44936</v>
      </c>
      <c r="Q100" s="6">
        <v>44938</v>
      </c>
      <c r="R100" s="1" t="s">
        <v>779</v>
      </c>
      <c r="T100" s="5">
        <v>30</v>
      </c>
      <c r="U100" s="4">
        <v>0</v>
      </c>
      <c r="V100" s="5">
        <v>28</v>
      </c>
      <c r="W100" s="6">
        <v>43678</v>
      </c>
      <c r="X100" s="6">
        <v>43637</v>
      </c>
      <c r="Y100" s="6"/>
      <c r="Z100" s="6"/>
      <c r="AA100" s="6"/>
      <c r="AB100" s="6"/>
      <c r="AC100" s="6"/>
      <c r="AD100" s="6"/>
    </row>
    <row r="101" spans="1:30">
      <c r="A101" s="1" t="s">
        <v>772</v>
      </c>
      <c r="B101" s="1" t="s">
        <v>773</v>
      </c>
      <c r="C101" s="1" t="s">
        <v>848</v>
      </c>
      <c r="D101" s="1" t="s">
        <v>876</v>
      </c>
      <c r="E101" s="1" t="str">
        <f t="shared" si="1"/>
        <v>W02</v>
      </c>
      <c r="F101" s="4">
        <v>5.28</v>
      </c>
      <c r="G101" s="4">
        <v>4.2</v>
      </c>
      <c r="H101" s="4">
        <v>4.2</v>
      </c>
      <c r="I101" s="4"/>
      <c r="J101" s="1" t="s">
        <v>775</v>
      </c>
      <c r="K101" s="1" t="s">
        <v>875</v>
      </c>
      <c r="L101" s="1" t="s">
        <v>835</v>
      </c>
      <c r="M101" s="1" t="s">
        <v>851</v>
      </c>
      <c r="O101" s="6">
        <v>44891</v>
      </c>
      <c r="P101" s="6">
        <v>44701</v>
      </c>
      <c r="Q101" s="6">
        <v>44476</v>
      </c>
      <c r="R101" s="1" t="s">
        <v>784</v>
      </c>
      <c r="S101" s="1" t="s">
        <v>853</v>
      </c>
      <c r="T101" s="5">
        <v>238</v>
      </c>
      <c r="U101" s="4">
        <v>8</v>
      </c>
      <c r="V101" s="5">
        <v>263</v>
      </c>
      <c r="W101" s="6">
        <v>45005</v>
      </c>
      <c r="X101" s="6"/>
      <c r="Y101" s="6"/>
      <c r="Z101" s="6"/>
      <c r="AA101" s="6"/>
      <c r="AB101" s="6"/>
      <c r="AC101" s="6"/>
      <c r="AD101" s="6">
        <v>44905</v>
      </c>
    </row>
    <row r="102" spans="1:30">
      <c r="A102" s="1" t="s">
        <v>772</v>
      </c>
      <c r="B102" s="1" t="s">
        <v>773</v>
      </c>
      <c r="C102" s="1" t="s">
        <v>848</v>
      </c>
      <c r="D102" s="1" t="s">
        <v>184</v>
      </c>
      <c r="E102" s="1" t="str">
        <f t="shared" si="1"/>
        <v>W02</v>
      </c>
      <c r="F102" s="4">
        <v>16.899999999999999</v>
      </c>
      <c r="G102" s="4">
        <v>13.33</v>
      </c>
      <c r="H102" s="4">
        <v>13.33</v>
      </c>
      <c r="I102" s="4"/>
      <c r="J102" s="1" t="s">
        <v>775</v>
      </c>
      <c r="K102" s="1" t="s">
        <v>877</v>
      </c>
      <c r="L102" s="1" t="s">
        <v>809</v>
      </c>
      <c r="M102" s="1" t="s">
        <v>777</v>
      </c>
      <c r="N102" s="1" t="s">
        <v>873</v>
      </c>
      <c r="O102" s="6">
        <v>44676</v>
      </c>
      <c r="P102" s="6">
        <v>44676</v>
      </c>
      <c r="Q102" s="6"/>
      <c r="R102" s="1" t="s">
        <v>779</v>
      </c>
      <c r="T102" s="5">
        <v>120</v>
      </c>
      <c r="U102" s="4">
        <v>9</v>
      </c>
      <c r="V102" s="5">
        <v>288</v>
      </c>
      <c r="W102" s="6">
        <v>43977</v>
      </c>
      <c r="X102" s="6">
        <v>43275</v>
      </c>
      <c r="Y102" s="6"/>
      <c r="Z102" s="6"/>
      <c r="AA102" s="6"/>
      <c r="AB102" s="6"/>
      <c r="AC102" s="6"/>
      <c r="AD102" s="6"/>
    </row>
    <row r="103" spans="1:30">
      <c r="A103" s="1" t="s">
        <v>772</v>
      </c>
      <c r="B103" s="1" t="s">
        <v>773</v>
      </c>
      <c r="C103" s="1" t="s">
        <v>848</v>
      </c>
      <c r="D103" s="1" t="s">
        <v>246</v>
      </c>
      <c r="E103" s="1" t="str">
        <f t="shared" si="1"/>
        <v>W02</v>
      </c>
      <c r="F103" s="4">
        <v>10.84</v>
      </c>
      <c r="G103" s="4">
        <v>8.6199999999999992</v>
      </c>
      <c r="H103" s="4">
        <v>8.6199999999999992</v>
      </c>
      <c r="I103" s="4"/>
      <c r="J103" s="1" t="s">
        <v>775</v>
      </c>
      <c r="K103" s="1" t="s">
        <v>849</v>
      </c>
      <c r="L103" s="1" t="s">
        <v>788</v>
      </c>
      <c r="M103" s="1" t="s">
        <v>787</v>
      </c>
      <c r="N103" s="1" t="s">
        <v>777</v>
      </c>
      <c r="O103" s="6">
        <v>44946</v>
      </c>
      <c r="P103" s="6">
        <v>44946</v>
      </c>
      <c r="Q103" s="6">
        <v>44947</v>
      </c>
      <c r="R103" s="1" t="s">
        <v>779</v>
      </c>
      <c r="T103" s="5">
        <v>30</v>
      </c>
      <c r="U103" s="4">
        <v>0</v>
      </c>
      <c r="V103" s="5">
        <v>18</v>
      </c>
      <c r="W103" s="6">
        <v>43678</v>
      </c>
      <c r="X103" s="6">
        <v>43637</v>
      </c>
      <c r="Y103" s="6"/>
      <c r="Z103" s="6"/>
      <c r="AA103" s="6"/>
      <c r="AB103" s="6"/>
      <c r="AC103" s="6"/>
      <c r="AD103" s="6"/>
    </row>
    <row r="104" spans="1:30">
      <c r="A104" s="1" t="s">
        <v>772</v>
      </c>
      <c r="B104" s="1" t="s">
        <v>773</v>
      </c>
      <c r="C104" s="1" t="s">
        <v>848</v>
      </c>
      <c r="D104" s="1" t="s">
        <v>199</v>
      </c>
      <c r="E104" s="1" t="str">
        <f t="shared" si="1"/>
        <v>W02</v>
      </c>
      <c r="F104" s="4">
        <v>11.94</v>
      </c>
      <c r="G104" s="4">
        <v>9.61</v>
      </c>
      <c r="H104" s="4">
        <v>9.61</v>
      </c>
      <c r="I104" s="4"/>
      <c r="J104" s="1" t="s">
        <v>775</v>
      </c>
      <c r="K104" s="1" t="s">
        <v>837</v>
      </c>
      <c r="L104" s="1" t="s">
        <v>788</v>
      </c>
      <c r="M104" s="1" t="s">
        <v>835</v>
      </c>
      <c r="O104" s="6">
        <v>44911</v>
      </c>
      <c r="P104" s="6">
        <v>44910</v>
      </c>
      <c r="Q104" s="6">
        <v>44910</v>
      </c>
      <c r="R104" s="1" t="s">
        <v>784</v>
      </c>
      <c r="T104" s="5">
        <v>8</v>
      </c>
      <c r="U104" s="4">
        <v>1</v>
      </c>
      <c r="V104" s="5">
        <v>54</v>
      </c>
      <c r="W104" s="6">
        <v>45208</v>
      </c>
      <c r="X104" s="6"/>
      <c r="Y104" s="6"/>
      <c r="Z104" s="6"/>
      <c r="AA104" s="6"/>
      <c r="AB104" s="6"/>
      <c r="AC104" s="6"/>
      <c r="AD104" s="6"/>
    </row>
    <row r="105" spans="1:30">
      <c r="A105" s="1" t="s">
        <v>772</v>
      </c>
      <c r="B105" s="1" t="s">
        <v>773</v>
      </c>
      <c r="C105" s="1" t="s">
        <v>848</v>
      </c>
      <c r="D105" s="1" t="s">
        <v>878</v>
      </c>
      <c r="E105" s="1" t="str">
        <f t="shared" si="1"/>
        <v>W02</v>
      </c>
      <c r="F105" s="4">
        <v>1.1399999999999999</v>
      </c>
      <c r="G105" s="4">
        <v>0.98</v>
      </c>
      <c r="H105" s="4">
        <v>0.98</v>
      </c>
      <c r="I105" s="4"/>
      <c r="J105" s="1" t="s">
        <v>775</v>
      </c>
      <c r="K105" s="1" t="s">
        <v>855</v>
      </c>
      <c r="L105" s="1" t="s">
        <v>828</v>
      </c>
      <c r="M105" s="1" t="s">
        <v>829</v>
      </c>
      <c r="O105" s="6">
        <v>44959</v>
      </c>
      <c r="P105" s="6">
        <v>44957</v>
      </c>
      <c r="Q105" s="6"/>
      <c r="R105" s="1" t="s">
        <v>830</v>
      </c>
      <c r="T105" s="5">
        <v>60</v>
      </c>
      <c r="U105" s="4">
        <v>0</v>
      </c>
      <c r="V105" s="5">
        <v>7</v>
      </c>
      <c r="W105" s="6">
        <v>43322</v>
      </c>
      <c r="X105" s="6"/>
      <c r="Y105" s="6"/>
      <c r="Z105" s="6"/>
      <c r="AA105" s="6"/>
      <c r="AB105" s="6"/>
      <c r="AC105" s="6"/>
      <c r="AD105" s="6"/>
    </row>
    <row r="106" spans="1:30">
      <c r="A106" s="1" t="s">
        <v>772</v>
      </c>
      <c r="B106" s="1" t="s">
        <v>773</v>
      </c>
      <c r="C106" s="1" t="s">
        <v>774</v>
      </c>
      <c r="D106" s="1" t="s">
        <v>30</v>
      </c>
      <c r="E106" s="1" t="str">
        <f t="shared" si="1"/>
        <v>W01</v>
      </c>
      <c r="F106" s="4">
        <v>13.66</v>
      </c>
      <c r="G106" s="4">
        <v>10.83</v>
      </c>
      <c r="H106" s="4">
        <v>10.83</v>
      </c>
      <c r="I106" s="4"/>
      <c r="J106" s="1" t="s">
        <v>775</v>
      </c>
      <c r="K106" s="1" t="s">
        <v>839</v>
      </c>
      <c r="L106" s="1" t="s">
        <v>777</v>
      </c>
      <c r="M106" s="1" t="s">
        <v>778</v>
      </c>
      <c r="N106" s="1" t="s">
        <v>787</v>
      </c>
      <c r="O106" s="6">
        <v>44775</v>
      </c>
      <c r="P106" s="6">
        <v>44760</v>
      </c>
      <c r="Q106" s="6">
        <v>44706</v>
      </c>
      <c r="R106" s="1" t="s">
        <v>779</v>
      </c>
      <c r="S106" s="1" t="s">
        <v>780</v>
      </c>
      <c r="T106" s="5">
        <v>517</v>
      </c>
      <c r="U106" s="4">
        <v>6</v>
      </c>
      <c r="V106" s="5">
        <v>204</v>
      </c>
      <c r="W106" s="6">
        <v>43535</v>
      </c>
      <c r="X106" s="6">
        <v>43566</v>
      </c>
      <c r="Y106" s="6"/>
      <c r="Z106" s="6"/>
      <c r="AA106" s="6"/>
      <c r="AB106" s="6"/>
      <c r="AC106" s="6"/>
      <c r="AD106" s="6"/>
    </row>
    <row r="107" spans="1:30">
      <c r="A107" s="1" t="s">
        <v>772</v>
      </c>
      <c r="B107" s="1" t="s">
        <v>773</v>
      </c>
      <c r="C107" s="1" t="s">
        <v>774</v>
      </c>
      <c r="D107" s="1" t="s">
        <v>108</v>
      </c>
      <c r="E107" s="1" t="str">
        <f t="shared" si="1"/>
        <v>W01</v>
      </c>
      <c r="F107" s="4">
        <v>12.93</v>
      </c>
      <c r="G107" s="4">
        <v>10.45</v>
      </c>
      <c r="H107" s="4">
        <v>10.45</v>
      </c>
      <c r="I107" s="4"/>
      <c r="J107" s="1" t="s">
        <v>775</v>
      </c>
      <c r="K107" s="1" t="s">
        <v>796</v>
      </c>
      <c r="L107" s="1" t="s">
        <v>787</v>
      </c>
      <c r="M107" s="1" t="s">
        <v>788</v>
      </c>
      <c r="N107" s="1" t="s">
        <v>788</v>
      </c>
      <c r="O107" s="6">
        <v>44744</v>
      </c>
      <c r="P107" s="6">
        <v>44736</v>
      </c>
      <c r="Q107" s="6">
        <v>44173</v>
      </c>
      <c r="R107" s="1" t="s">
        <v>779</v>
      </c>
      <c r="T107" s="5">
        <v>402</v>
      </c>
      <c r="U107" s="4">
        <v>7</v>
      </c>
      <c r="V107" s="5">
        <v>228</v>
      </c>
      <c r="W107" s="6">
        <v>43747</v>
      </c>
      <c r="X107" s="6">
        <v>43665</v>
      </c>
      <c r="Y107" s="6"/>
      <c r="Z107" s="6"/>
      <c r="AA107" s="6">
        <v>44943</v>
      </c>
      <c r="AB107" s="6"/>
      <c r="AC107" s="6"/>
      <c r="AD107" s="6">
        <v>44743</v>
      </c>
    </row>
    <row r="108" spans="1:30">
      <c r="A108" s="1" t="s">
        <v>772</v>
      </c>
      <c r="B108" s="1" t="s">
        <v>773</v>
      </c>
      <c r="C108" s="1" t="s">
        <v>774</v>
      </c>
      <c r="D108" s="1" t="s">
        <v>289</v>
      </c>
      <c r="E108" s="1" t="str">
        <f t="shared" si="1"/>
        <v>W01</v>
      </c>
      <c r="F108" s="4">
        <v>3.64</v>
      </c>
      <c r="G108" s="4">
        <v>2.87</v>
      </c>
      <c r="H108" s="4">
        <v>2.87</v>
      </c>
      <c r="I108" s="4"/>
      <c r="J108" s="1" t="s">
        <v>775</v>
      </c>
      <c r="K108" s="1" t="s">
        <v>796</v>
      </c>
      <c r="L108" s="1" t="s">
        <v>787</v>
      </c>
      <c r="M108" s="1" t="s">
        <v>788</v>
      </c>
      <c r="N108" s="1" t="s">
        <v>788</v>
      </c>
      <c r="O108" s="6">
        <v>44744</v>
      </c>
      <c r="P108" s="6">
        <v>44729</v>
      </c>
      <c r="Q108" s="6">
        <v>44121</v>
      </c>
      <c r="R108" s="1" t="s">
        <v>779</v>
      </c>
      <c r="T108" s="5">
        <v>402</v>
      </c>
      <c r="U108" s="4">
        <v>7</v>
      </c>
      <c r="V108" s="5">
        <v>235</v>
      </c>
      <c r="W108" s="6">
        <v>43747</v>
      </c>
      <c r="X108" s="6">
        <v>43665</v>
      </c>
      <c r="Y108" s="6"/>
      <c r="Z108" s="6"/>
      <c r="AA108" s="6">
        <v>44943</v>
      </c>
      <c r="AB108" s="6"/>
      <c r="AC108" s="6"/>
      <c r="AD108" s="6">
        <v>44743</v>
      </c>
    </row>
    <row r="109" spans="1:30">
      <c r="A109" s="1" t="s">
        <v>772</v>
      </c>
      <c r="B109" s="1" t="s">
        <v>773</v>
      </c>
      <c r="C109" s="1" t="s">
        <v>774</v>
      </c>
      <c r="D109" s="1" t="s">
        <v>306</v>
      </c>
      <c r="E109" s="1" t="str">
        <f t="shared" si="1"/>
        <v>W01</v>
      </c>
      <c r="F109" s="4">
        <v>7.72</v>
      </c>
      <c r="G109" s="4">
        <v>6.17</v>
      </c>
      <c r="H109" s="4">
        <v>6.17</v>
      </c>
      <c r="I109" s="4"/>
      <c r="J109" s="1" t="s">
        <v>775</v>
      </c>
      <c r="K109" s="1" t="s">
        <v>793</v>
      </c>
      <c r="L109" s="1" t="s">
        <v>787</v>
      </c>
      <c r="M109" s="1" t="s">
        <v>788</v>
      </c>
      <c r="O109" s="6">
        <v>44774</v>
      </c>
      <c r="P109" s="6">
        <v>44758</v>
      </c>
      <c r="Q109" s="6">
        <v>44153</v>
      </c>
      <c r="R109" s="1" t="s">
        <v>779</v>
      </c>
      <c r="T109" s="5">
        <v>402</v>
      </c>
      <c r="U109" s="4">
        <v>6</v>
      </c>
      <c r="V109" s="5">
        <v>206</v>
      </c>
      <c r="W109" s="6">
        <v>43803</v>
      </c>
      <c r="X109" s="6"/>
      <c r="Y109" s="6"/>
      <c r="Z109" s="6"/>
      <c r="AA109" s="6"/>
      <c r="AB109" s="6"/>
      <c r="AC109" s="6"/>
      <c r="AD109" s="6">
        <v>44777</v>
      </c>
    </row>
    <row r="110" spans="1:30">
      <c r="A110" s="1" t="s">
        <v>772</v>
      </c>
      <c r="B110" s="1" t="s">
        <v>773</v>
      </c>
      <c r="C110" s="1" t="s">
        <v>774</v>
      </c>
      <c r="D110" s="1" t="s">
        <v>879</v>
      </c>
      <c r="E110" s="1" t="str">
        <f t="shared" si="1"/>
        <v>W01</v>
      </c>
      <c r="F110" s="4">
        <v>6.44</v>
      </c>
      <c r="G110" s="4">
        <v>5.1100000000000003</v>
      </c>
      <c r="H110" s="4">
        <v>5.1100000000000003</v>
      </c>
      <c r="I110" s="4"/>
      <c r="J110" s="1" t="s">
        <v>775</v>
      </c>
      <c r="K110" s="1" t="s">
        <v>880</v>
      </c>
      <c r="L110" s="1" t="s">
        <v>835</v>
      </c>
      <c r="M110" s="1" t="s">
        <v>851</v>
      </c>
      <c r="O110" s="6">
        <v>44740</v>
      </c>
      <c r="P110" s="6">
        <v>44571</v>
      </c>
      <c r="Q110" s="6">
        <v>44406</v>
      </c>
      <c r="R110" s="1" t="s">
        <v>784</v>
      </c>
      <c r="S110" s="1" t="s">
        <v>853</v>
      </c>
      <c r="T110" s="5">
        <v>238</v>
      </c>
      <c r="U110" s="4">
        <v>12</v>
      </c>
      <c r="V110" s="5">
        <v>393</v>
      </c>
      <c r="W110" s="6">
        <v>45131</v>
      </c>
      <c r="X110" s="6"/>
      <c r="Y110" s="6"/>
      <c r="Z110" s="6"/>
      <c r="AA110" s="6"/>
      <c r="AB110" s="6"/>
      <c r="AC110" s="6"/>
      <c r="AD110" s="6">
        <v>44777</v>
      </c>
    </row>
    <row r="111" spans="1:30">
      <c r="A111" s="1" t="s">
        <v>772</v>
      </c>
      <c r="B111" s="1" t="s">
        <v>773</v>
      </c>
      <c r="C111" s="1" t="s">
        <v>774</v>
      </c>
      <c r="D111" s="1" t="s">
        <v>479</v>
      </c>
      <c r="E111" s="1" t="str">
        <f t="shared" si="1"/>
        <v>W01</v>
      </c>
      <c r="F111" s="4">
        <v>7.6</v>
      </c>
      <c r="G111" s="4">
        <v>5.76</v>
      </c>
      <c r="H111" s="4">
        <v>5.76</v>
      </c>
      <c r="I111" s="4"/>
      <c r="J111" s="1" t="s">
        <v>775</v>
      </c>
      <c r="K111" s="1" t="s">
        <v>881</v>
      </c>
      <c r="L111" s="1" t="s">
        <v>777</v>
      </c>
      <c r="M111" s="1" t="s">
        <v>778</v>
      </c>
      <c r="O111" s="6">
        <v>44553</v>
      </c>
      <c r="P111" s="6">
        <v>44533</v>
      </c>
      <c r="Q111" s="6">
        <v>44511</v>
      </c>
      <c r="R111" s="1" t="s">
        <v>779</v>
      </c>
      <c r="S111" s="1" t="s">
        <v>823</v>
      </c>
      <c r="T111" s="5">
        <v>457</v>
      </c>
      <c r="U111" s="4">
        <v>14</v>
      </c>
      <c r="V111" s="5">
        <v>431</v>
      </c>
      <c r="W111" s="6">
        <v>44473</v>
      </c>
      <c r="X111" s="6"/>
      <c r="Y111" s="6"/>
      <c r="Z111" s="6"/>
      <c r="AA111" s="6">
        <v>44848</v>
      </c>
      <c r="AB111" s="6"/>
      <c r="AC111" s="6"/>
      <c r="AD111" s="6">
        <v>44916</v>
      </c>
    </row>
    <row r="112" spans="1:30">
      <c r="A112" s="1" t="s">
        <v>772</v>
      </c>
      <c r="B112" s="1" t="s">
        <v>773</v>
      </c>
      <c r="C112" s="1" t="s">
        <v>774</v>
      </c>
      <c r="D112" s="1" t="s">
        <v>527</v>
      </c>
      <c r="E112" s="1" t="str">
        <f t="shared" si="1"/>
        <v>W01</v>
      </c>
      <c r="F112" s="4">
        <v>6.79</v>
      </c>
      <c r="G112" s="4">
        <v>5.35</v>
      </c>
      <c r="H112" s="4">
        <v>5.35</v>
      </c>
      <c r="I112" s="4"/>
      <c r="J112" s="1" t="s">
        <v>775</v>
      </c>
      <c r="K112" s="1" t="s">
        <v>805</v>
      </c>
      <c r="L112" s="1" t="s">
        <v>777</v>
      </c>
      <c r="M112" s="1" t="s">
        <v>778</v>
      </c>
      <c r="N112" s="1" t="s">
        <v>777</v>
      </c>
      <c r="O112" s="6">
        <v>44660</v>
      </c>
      <c r="P112" s="6">
        <v>44644</v>
      </c>
      <c r="Q112" s="6">
        <v>44629</v>
      </c>
      <c r="R112" s="1" t="s">
        <v>779</v>
      </c>
      <c r="S112" s="1" t="s">
        <v>882</v>
      </c>
      <c r="T112" s="5">
        <v>517</v>
      </c>
      <c r="U112" s="4">
        <v>10</v>
      </c>
      <c r="V112" s="5">
        <v>320</v>
      </c>
      <c r="W112" s="6">
        <v>43138</v>
      </c>
      <c r="X112" s="6">
        <v>43030</v>
      </c>
      <c r="Y112" s="6"/>
      <c r="Z112" s="6"/>
      <c r="AA112" s="6"/>
      <c r="AB112" s="6"/>
      <c r="AC112" s="6"/>
      <c r="AD112" s="6"/>
    </row>
    <row r="113" spans="1:30">
      <c r="A113" s="1" t="s">
        <v>772</v>
      </c>
      <c r="B113" s="1" t="s">
        <v>773</v>
      </c>
      <c r="C113" s="1" t="s">
        <v>774</v>
      </c>
      <c r="D113" s="1" t="s">
        <v>883</v>
      </c>
      <c r="E113" s="1" t="str">
        <f t="shared" si="1"/>
        <v>W01</v>
      </c>
      <c r="F113" s="4">
        <v>8.8699999999999992</v>
      </c>
      <c r="G113" s="4">
        <v>7.04</v>
      </c>
      <c r="H113" s="4">
        <v>7.04</v>
      </c>
      <c r="I113" s="4"/>
      <c r="J113" s="1" t="s">
        <v>775</v>
      </c>
      <c r="K113" s="1" t="s">
        <v>852</v>
      </c>
      <c r="L113" s="1" t="s">
        <v>835</v>
      </c>
      <c r="M113" s="1" t="s">
        <v>851</v>
      </c>
      <c r="O113" s="6">
        <v>44834</v>
      </c>
      <c r="P113" s="6">
        <v>44606</v>
      </c>
      <c r="Q113" s="6">
        <v>44408</v>
      </c>
      <c r="R113" s="1" t="s">
        <v>784</v>
      </c>
      <c r="S113" s="1" t="s">
        <v>785</v>
      </c>
      <c r="T113" s="5">
        <v>238</v>
      </c>
      <c r="U113" s="4">
        <v>11</v>
      </c>
      <c r="V113" s="5">
        <v>358</v>
      </c>
      <c r="W113" s="6">
        <v>45190</v>
      </c>
      <c r="X113" s="6"/>
      <c r="Y113" s="6"/>
      <c r="Z113" s="6"/>
      <c r="AA113" s="6"/>
      <c r="AB113" s="6"/>
      <c r="AC113" s="6"/>
      <c r="AD113" s="6">
        <v>44855</v>
      </c>
    </row>
    <row r="114" spans="1:30">
      <c r="A114" s="1" t="s">
        <v>772</v>
      </c>
      <c r="B114" s="1" t="s">
        <v>773</v>
      </c>
      <c r="C114" s="1" t="s">
        <v>774</v>
      </c>
      <c r="D114" s="1" t="s">
        <v>486</v>
      </c>
      <c r="E114" s="1" t="str">
        <f t="shared" si="1"/>
        <v>W01</v>
      </c>
      <c r="F114" s="4">
        <v>10.1</v>
      </c>
      <c r="G114" s="4">
        <v>8.0500000000000007</v>
      </c>
      <c r="H114" s="4">
        <v>8.0500000000000007</v>
      </c>
      <c r="I114" s="4"/>
      <c r="J114" s="1" t="s">
        <v>775</v>
      </c>
      <c r="K114" s="1" t="s">
        <v>840</v>
      </c>
      <c r="L114" s="1" t="s">
        <v>777</v>
      </c>
      <c r="M114" s="1" t="s">
        <v>778</v>
      </c>
      <c r="N114" s="1" t="s">
        <v>788</v>
      </c>
      <c r="O114" s="6">
        <v>44565</v>
      </c>
      <c r="P114" s="6">
        <v>44561</v>
      </c>
      <c r="Q114" s="6">
        <v>44526</v>
      </c>
      <c r="R114" s="1" t="s">
        <v>779</v>
      </c>
      <c r="S114" s="1" t="s">
        <v>795</v>
      </c>
      <c r="T114" s="5">
        <v>577</v>
      </c>
      <c r="U114" s="4">
        <v>13</v>
      </c>
      <c r="V114" s="5">
        <v>403</v>
      </c>
      <c r="W114" s="6">
        <v>43768</v>
      </c>
      <c r="X114" s="6">
        <v>43697</v>
      </c>
      <c r="Y114" s="6"/>
      <c r="Z114" s="6"/>
      <c r="AA114" s="6"/>
      <c r="AB114" s="6"/>
      <c r="AC114" s="6"/>
      <c r="AD114" s="6"/>
    </row>
    <row r="115" spans="1:30">
      <c r="A115" s="1" t="s">
        <v>772</v>
      </c>
      <c r="B115" s="1" t="s">
        <v>773</v>
      </c>
      <c r="C115" s="1" t="s">
        <v>774</v>
      </c>
      <c r="D115" s="1" t="s">
        <v>557</v>
      </c>
      <c r="E115" s="1" t="str">
        <f t="shared" si="1"/>
        <v>W01</v>
      </c>
      <c r="F115" s="4">
        <v>15.6</v>
      </c>
      <c r="G115" s="4">
        <v>12.3</v>
      </c>
      <c r="H115" s="4">
        <v>12.3</v>
      </c>
      <c r="I115" s="4"/>
      <c r="J115" s="1" t="s">
        <v>775</v>
      </c>
      <c r="K115" s="1" t="s">
        <v>884</v>
      </c>
      <c r="L115" s="1" t="s">
        <v>777</v>
      </c>
      <c r="M115" s="1" t="s">
        <v>778</v>
      </c>
      <c r="O115" s="6">
        <v>44715</v>
      </c>
      <c r="P115" s="6">
        <v>44712</v>
      </c>
      <c r="Q115" s="6">
        <v>44662</v>
      </c>
      <c r="R115" s="1" t="s">
        <v>779</v>
      </c>
      <c r="S115" s="1" t="s">
        <v>792</v>
      </c>
      <c r="T115" s="5">
        <v>577</v>
      </c>
      <c r="U115" s="4">
        <v>8</v>
      </c>
      <c r="V115" s="5">
        <v>252</v>
      </c>
      <c r="W115" s="6">
        <v>45197</v>
      </c>
      <c r="X115" s="6"/>
      <c r="Y115" s="6"/>
      <c r="Z115" s="6"/>
      <c r="AA115" s="6"/>
      <c r="AB115" s="6"/>
      <c r="AC115" s="6"/>
      <c r="AD115" s="6"/>
    </row>
    <row r="116" spans="1:30">
      <c r="A116" s="1" t="s">
        <v>772</v>
      </c>
      <c r="B116" s="1" t="s">
        <v>773</v>
      </c>
      <c r="C116" s="1" t="s">
        <v>774</v>
      </c>
      <c r="D116" s="1" t="s">
        <v>551</v>
      </c>
      <c r="E116" s="1" t="str">
        <f t="shared" si="1"/>
        <v>W01</v>
      </c>
      <c r="F116" s="4">
        <v>10.73</v>
      </c>
      <c r="G116" s="5">
        <v>8.5</v>
      </c>
      <c r="H116" s="5">
        <v>8.5</v>
      </c>
      <c r="I116" s="5"/>
      <c r="J116" s="1" t="s">
        <v>775</v>
      </c>
      <c r="K116" s="1" t="s">
        <v>884</v>
      </c>
      <c r="L116" s="1" t="s">
        <v>777</v>
      </c>
      <c r="M116" s="1" t="s">
        <v>778</v>
      </c>
      <c r="N116" s="1" t="s">
        <v>787</v>
      </c>
      <c r="O116" s="6">
        <v>44714</v>
      </c>
      <c r="P116" s="6">
        <v>44700</v>
      </c>
      <c r="Q116" s="6">
        <v>44659</v>
      </c>
      <c r="R116" s="1" t="s">
        <v>779</v>
      </c>
      <c r="S116" s="1" t="s">
        <v>795</v>
      </c>
      <c r="T116" s="5">
        <v>577</v>
      </c>
      <c r="U116" s="4">
        <v>8</v>
      </c>
      <c r="V116" s="5">
        <v>264</v>
      </c>
      <c r="W116" s="6">
        <v>43293</v>
      </c>
      <c r="X116" s="6">
        <v>43079</v>
      </c>
      <c r="Y116" s="6"/>
      <c r="Z116" s="6"/>
      <c r="AA116" s="6"/>
      <c r="AB116" s="6"/>
      <c r="AC116" s="6"/>
      <c r="AD116" s="6"/>
    </row>
    <row r="117" spans="1:30">
      <c r="A117" s="1" t="s">
        <v>772</v>
      </c>
      <c r="B117" s="1" t="s">
        <v>773</v>
      </c>
      <c r="C117" s="1" t="s">
        <v>774</v>
      </c>
      <c r="D117" s="1" t="s">
        <v>558</v>
      </c>
      <c r="E117" s="1" t="str">
        <f t="shared" si="1"/>
        <v>W01</v>
      </c>
      <c r="F117" s="4">
        <v>6.45</v>
      </c>
      <c r="G117" s="4">
        <v>5.14</v>
      </c>
      <c r="H117" s="4">
        <v>5.14</v>
      </c>
      <c r="I117" s="4"/>
      <c r="J117" s="1" t="s">
        <v>775</v>
      </c>
      <c r="K117" s="1" t="s">
        <v>884</v>
      </c>
      <c r="L117" s="1" t="s">
        <v>777</v>
      </c>
      <c r="M117" s="1" t="s">
        <v>778</v>
      </c>
      <c r="O117" s="6">
        <v>44715</v>
      </c>
      <c r="P117" s="6">
        <v>44712</v>
      </c>
      <c r="Q117" s="6">
        <v>44671</v>
      </c>
      <c r="R117" s="1" t="s">
        <v>779</v>
      </c>
      <c r="S117" s="1" t="s">
        <v>882</v>
      </c>
      <c r="T117" s="5">
        <v>517</v>
      </c>
      <c r="U117" s="4">
        <v>8</v>
      </c>
      <c r="V117" s="5">
        <v>252</v>
      </c>
      <c r="W117" s="6">
        <v>45074</v>
      </c>
      <c r="X117" s="6"/>
      <c r="Y117" s="6"/>
      <c r="Z117" s="6"/>
      <c r="AA117" s="6"/>
      <c r="AB117" s="6"/>
      <c r="AC117" s="6"/>
      <c r="AD117" s="6"/>
    </row>
    <row r="118" spans="1:30">
      <c r="A118" s="1" t="s">
        <v>772</v>
      </c>
      <c r="B118" s="1" t="s">
        <v>773</v>
      </c>
      <c r="C118" s="1" t="s">
        <v>774</v>
      </c>
      <c r="D118" s="1" t="s">
        <v>489</v>
      </c>
      <c r="E118" s="1" t="str">
        <f t="shared" si="1"/>
        <v>W01</v>
      </c>
      <c r="F118" s="4">
        <v>9.6999999999999993</v>
      </c>
      <c r="G118" s="4">
        <v>7.61</v>
      </c>
      <c r="H118" s="4">
        <v>7.61</v>
      </c>
      <c r="I118" s="4"/>
      <c r="J118" s="1" t="s">
        <v>775</v>
      </c>
      <c r="K118" s="1" t="s">
        <v>840</v>
      </c>
      <c r="L118" s="1" t="s">
        <v>777</v>
      </c>
      <c r="M118" s="1" t="s">
        <v>778</v>
      </c>
      <c r="N118" s="1" t="s">
        <v>788</v>
      </c>
      <c r="O118" s="6">
        <v>44579</v>
      </c>
      <c r="P118" s="6">
        <v>44574</v>
      </c>
      <c r="Q118" s="6">
        <v>44540</v>
      </c>
      <c r="R118" s="1" t="s">
        <v>779</v>
      </c>
      <c r="S118" s="1" t="s">
        <v>795</v>
      </c>
      <c r="T118" s="5">
        <v>577</v>
      </c>
      <c r="U118" s="4">
        <v>12</v>
      </c>
      <c r="V118" s="5">
        <v>390</v>
      </c>
      <c r="W118" s="6">
        <v>43747</v>
      </c>
      <c r="X118" s="6">
        <v>43665</v>
      </c>
      <c r="Y118" s="6"/>
      <c r="Z118" s="6"/>
      <c r="AA118" s="6"/>
      <c r="AB118" s="6"/>
      <c r="AC118" s="6"/>
      <c r="AD118" s="6"/>
    </row>
    <row r="119" spans="1:30">
      <c r="A119" s="1" t="s">
        <v>772</v>
      </c>
      <c r="B119" s="1" t="s">
        <v>773</v>
      </c>
      <c r="C119" s="1" t="s">
        <v>774</v>
      </c>
      <c r="D119" s="1" t="s">
        <v>549</v>
      </c>
      <c r="E119" s="1" t="str">
        <f t="shared" si="1"/>
        <v>W01</v>
      </c>
      <c r="F119" s="4">
        <v>1.52</v>
      </c>
      <c r="G119" s="4">
        <v>1.24</v>
      </c>
      <c r="H119" s="4">
        <v>1.24</v>
      </c>
      <c r="I119" s="4"/>
      <c r="J119" s="1" t="s">
        <v>775</v>
      </c>
      <c r="K119" s="1" t="s">
        <v>885</v>
      </c>
      <c r="L119" s="1" t="s">
        <v>777</v>
      </c>
      <c r="M119" s="1" t="s">
        <v>778</v>
      </c>
      <c r="O119" s="6">
        <v>44698</v>
      </c>
      <c r="P119" s="6">
        <v>44692</v>
      </c>
      <c r="Q119" s="6">
        <v>44665</v>
      </c>
      <c r="R119" s="1" t="s">
        <v>779</v>
      </c>
      <c r="S119" s="1" t="s">
        <v>823</v>
      </c>
      <c r="T119" s="5">
        <v>457</v>
      </c>
      <c r="U119" s="4">
        <v>8</v>
      </c>
      <c r="V119" s="5">
        <v>272</v>
      </c>
      <c r="W119" s="6">
        <v>43388</v>
      </c>
      <c r="X119" s="6"/>
      <c r="Y119" s="6"/>
      <c r="Z119" s="6"/>
      <c r="AA119" s="6"/>
      <c r="AB119" s="6"/>
      <c r="AC119" s="6"/>
      <c r="AD119" s="6"/>
    </row>
    <row r="120" spans="1:30">
      <c r="A120" s="1" t="s">
        <v>772</v>
      </c>
      <c r="B120" s="1" t="s">
        <v>773</v>
      </c>
      <c r="C120" s="1" t="s">
        <v>774</v>
      </c>
      <c r="D120" s="1" t="s">
        <v>493</v>
      </c>
      <c r="E120" s="1" t="str">
        <f t="shared" si="1"/>
        <v>W01</v>
      </c>
      <c r="F120" s="4">
        <v>12.84</v>
      </c>
      <c r="G120" s="4">
        <v>10.16</v>
      </c>
      <c r="H120" s="4">
        <v>10.16</v>
      </c>
      <c r="I120" s="4"/>
      <c r="J120" s="1" t="s">
        <v>775</v>
      </c>
      <c r="K120" s="1" t="s">
        <v>840</v>
      </c>
      <c r="L120" s="1" t="s">
        <v>777</v>
      </c>
      <c r="M120" s="1" t="s">
        <v>778</v>
      </c>
      <c r="N120" s="1" t="s">
        <v>787</v>
      </c>
      <c r="O120" s="6">
        <v>44589</v>
      </c>
      <c r="P120" s="6">
        <v>44580</v>
      </c>
      <c r="Q120" s="6">
        <v>44546</v>
      </c>
      <c r="R120" s="1" t="s">
        <v>779</v>
      </c>
      <c r="S120" s="1" t="s">
        <v>780</v>
      </c>
      <c r="T120" s="5">
        <v>517</v>
      </c>
      <c r="U120" s="4">
        <v>12</v>
      </c>
      <c r="V120" s="5">
        <v>384</v>
      </c>
      <c r="W120" s="6">
        <v>43373</v>
      </c>
      <c r="X120" s="6">
        <v>42702</v>
      </c>
      <c r="Y120" s="6"/>
      <c r="Z120" s="6"/>
      <c r="AA120" s="6">
        <v>44949</v>
      </c>
      <c r="AB120" s="6"/>
      <c r="AC120" s="6"/>
      <c r="AD120" s="6"/>
    </row>
    <row r="121" spans="1:30">
      <c r="A121" s="1" t="s">
        <v>772</v>
      </c>
      <c r="B121" s="1" t="s">
        <v>773</v>
      </c>
      <c r="C121" s="1" t="s">
        <v>774</v>
      </c>
      <c r="D121" s="1" t="s">
        <v>450</v>
      </c>
      <c r="E121" s="1" t="str">
        <f t="shared" si="1"/>
        <v>W01</v>
      </c>
      <c r="F121" s="4">
        <v>10.46</v>
      </c>
      <c r="G121" s="4">
        <v>8.1999999999999993</v>
      </c>
      <c r="H121" s="4">
        <v>8.1999999999999993</v>
      </c>
      <c r="I121" s="4"/>
      <c r="J121" s="1" t="s">
        <v>775</v>
      </c>
      <c r="K121" s="1" t="s">
        <v>886</v>
      </c>
      <c r="L121" s="1" t="s">
        <v>777</v>
      </c>
      <c r="M121" s="1" t="s">
        <v>778</v>
      </c>
      <c r="N121" s="1" t="s">
        <v>788</v>
      </c>
      <c r="O121" s="6">
        <v>44484</v>
      </c>
      <c r="P121" s="6">
        <v>44471</v>
      </c>
      <c r="Q121" s="6">
        <v>44462</v>
      </c>
      <c r="R121" s="1" t="s">
        <v>779</v>
      </c>
      <c r="S121" s="1" t="s">
        <v>795</v>
      </c>
      <c r="T121" s="5">
        <v>577</v>
      </c>
      <c r="U121" s="4">
        <v>16</v>
      </c>
      <c r="V121" s="5">
        <v>493</v>
      </c>
      <c r="W121" s="6">
        <v>43432</v>
      </c>
      <c r="X121" s="6">
        <v>43807</v>
      </c>
      <c r="Y121" s="6"/>
      <c r="Z121" s="6"/>
      <c r="AA121" s="6">
        <v>44873</v>
      </c>
      <c r="AB121" s="6"/>
      <c r="AC121" s="6"/>
      <c r="AD121" s="6"/>
    </row>
    <row r="122" spans="1:30">
      <c r="A122" s="1" t="s">
        <v>772</v>
      </c>
      <c r="B122" s="1" t="s">
        <v>773</v>
      </c>
      <c r="C122" s="1" t="s">
        <v>774</v>
      </c>
      <c r="D122" s="1" t="s">
        <v>33</v>
      </c>
      <c r="E122" s="1" t="str">
        <f t="shared" si="1"/>
        <v>W01</v>
      </c>
      <c r="F122" s="4">
        <v>8.56</v>
      </c>
      <c r="G122" s="4">
        <v>6.87</v>
      </c>
      <c r="H122" s="4">
        <v>6.87</v>
      </c>
      <c r="I122" s="4"/>
      <c r="J122" s="1" t="s">
        <v>775</v>
      </c>
      <c r="K122" s="1" t="s">
        <v>839</v>
      </c>
      <c r="L122" s="1" t="s">
        <v>777</v>
      </c>
      <c r="M122" s="1" t="s">
        <v>778</v>
      </c>
      <c r="N122" s="1" t="s">
        <v>787</v>
      </c>
      <c r="O122" s="6">
        <v>44775</v>
      </c>
      <c r="P122" s="6">
        <v>44766</v>
      </c>
      <c r="Q122" s="6">
        <v>44749</v>
      </c>
      <c r="R122" s="1" t="s">
        <v>779</v>
      </c>
      <c r="S122" s="1" t="s">
        <v>795</v>
      </c>
      <c r="T122" s="5">
        <v>577</v>
      </c>
      <c r="U122" s="4">
        <v>6</v>
      </c>
      <c r="V122" s="5">
        <v>198</v>
      </c>
      <c r="W122" s="6">
        <v>43535</v>
      </c>
      <c r="X122" s="6">
        <v>43566</v>
      </c>
      <c r="Y122" s="6"/>
      <c r="Z122" s="6"/>
      <c r="AA122" s="6"/>
      <c r="AB122" s="6"/>
      <c r="AC122" s="6"/>
      <c r="AD122" s="6"/>
    </row>
    <row r="123" spans="1:30">
      <c r="A123" s="1" t="s">
        <v>772</v>
      </c>
      <c r="B123" s="1" t="s">
        <v>773</v>
      </c>
      <c r="C123" s="1" t="s">
        <v>774</v>
      </c>
      <c r="D123" s="1" t="s">
        <v>10</v>
      </c>
      <c r="E123" s="1" t="str">
        <f t="shared" si="1"/>
        <v>W01</v>
      </c>
      <c r="F123" s="4">
        <v>11.15</v>
      </c>
      <c r="G123" s="4">
        <v>8.9</v>
      </c>
      <c r="H123" s="4">
        <v>8.9</v>
      </c>
      <c r="I123" s="4"/>
      <c r="J123" s="1" t="s">
        <v>775</v>
      </c>
      <c r="K123" s="1" t="s">
        <v>839</v>
      </c>
      <c r="L123" s="1" t="s">
        <v>777</v>
      </c>
      <c r="M123" s="1" t="s">
        <v>778</v>
      </c>
      <c r="N123" s="1" t="s">
        <v>787</v>
      </c>
      <c r="O123" s="6">
        <v>44798</v>
      </c>
      <c r="P123" s="6">
        <v>44783</v>
      </c>
      <c r="Q123" s="6">
        <v>44753</v>
      </c>
      <c r="R123" s="1" t="s">
        <v>779</v>
      </c>
      <c r="S123" s="1" t="s">
        <v>795</v>
      </c>
      <c r="T123" s="5">
        <v>577</v>
      </c>
      <c r="U123" s="4">
        <v>5</v>
      </c>
      <c r="V123" s="5">
        <v>181</v>
      </c>
      <c r="W123" s="6">
        <v>43293</v>
      </c>
      <c r="X123" s="6">
        <v>43079</v>
      </c>
      <c r="Y123" s="6"/>
      <c r="Z123" s="6"/>
      <c r="AA123" s="6"/>
      <c r="AB123" s="6"/>
      <c r="AC123" s="6"/>
      <c r="AD123" s="6"/>
    </row>
    <row r="124" spans="1:30">
      <c r="A124" s="1" t="s">
        <v>772</v>
      </c>
      <c r="B124" s="1" t="s">
        <v>773</v>
      </c>
      <c r="C124" s="1" t="s">
        <v>774</v>
      </c>
      <c r="D124" s="1" t="s">
        <v>8</v>
      </c>
      <c r="E124" s="1" t="str">
        <f t="shared" si="1"/>
        <v>W01</v>
      </c>
      <c r="F124" s="4">
        <v>10.4</v>
      </c>
      <c r="G124" s="4">
        <v>8.24</v>
      </c>
      <c r="H124" s="4">
        <v>8.24</v>
      </c>
      <c r="I124" s="4"/>
      <c r="J124" s="1" t="s">
        <v>775</v>
      </c>
      <c r="K124" s="1" t="s">
        <v>839</v>
      </c>
      <c r="L124" s="1" t="s">
        <v>777</v>
      </c>
      <c r="M124" s="1" t="s">
        <v>778</v>
      </c>
      <c r="N124" s="1" t="s">
        <v>787</v>
      </c>
      <c r="O124" s="6">
        <v>44798</v>
      </c>
      <c r="P124" s="6">
        <v>44788</v>
      </c>
      <c r="Q124" s="6">
        <v>44753</v>
      </c>
      <c r="R124" s="1" t="s">
        <v>779</v>
      </c>
      <c r="S124" s="1" t="s">
        <v>841</v>
      </c>
      <c r="T124" s="5">
        <v>577</v>
      </c>
      <c r="U124" s="4">
        <v>5</v>
      </c>
      <c r="V124" s="5">
        <v>176</v>
      </c>
      <c r="W124" s="6">
        <v>43293</v>
      </c>
      <c r="X124" s="6">
        <v>43079</v>
      </c>
      <c r="Y124" s="6"/>
      <c r="Z124" s="6"/>
      <c r="AA124" s="6"/>
      <c r="AB124" s="6"/>
      <c r="AC124" s="6"/>
      <c r="AD124" s="6"/>
    </row>
    <row r="125" spans="1:30">
      <c r="A125" s="1" t="s">
        <v>772</v>
      </c>
      <c r="B125" s="1" t="s">
        <v>773</v>
      </c>
      <c r="C125" s="1" t="s">
        <v>848</v>
      </c>
      <c r="D125" s="1" t="s">
        <v>544</v>
      </c>
      <c r="E125" s="1" t="str">
        <f t="shared" si="1"/>
        <v>W02</v>
      </c>
      <c r="F125" s="4">
        <v>14.9</v>
      </c>
      <c r="G125" s="4">
        <v>11.71</v>
      </c>
      <c r="H125" s="4">
        <v>11.71</v>
      </c>
      <c r="I125" s="4"/>
      <c r="J125" s="1" t="s">
        <v>775</v>
      </c>
      <c r="K125" s="1" t="s">
        <v>805</v>
      </c>
      <c r="L125" s="1" t="s">
        <v>777</v>
      </c>
      <c r="M125" s="1" t="s">
        <v>778</v>
      </c>
      <c r="N125" s="1" t="s">
        <v>787</v>
      </c>
      <c r="O125" s="6">
        <v>44680</v>
      </c>
      <c r="P125" s="6">
        <v>44671</v>
      </c>
      <c r="Q125" s="6">
        <v>44651</v>
      </c>
      <c r="R125" s="1" t="s">
        <v>779</v>
      </c>
      <c r="S125" s="1" t="s">
        <v>780</v>
      </c>
      <c r="T125" s="5">
        <v>517</v>
      </c>
      <c r="U125" s="4">
        <v>9</v>
      </c>
      <c r="V125" s="5">
        <v>293</v>
      </c>
      <c r="W125" s="6">
        <v>43293</v>
      </c>
      <c r="X125" s="6">
        <v>43079</v>
      </c>
      <c r="Y125" s="6"/>
      <c r="Z125" s="6"/>
      <c r="AA125" s="6"/>
      <c r="AB125" s="6"/>
      <c r="AC125" s="6"/>
      <c r="AD125" s="6"/>
    </row>
    <row r="126" spans="1:30">
      <c r="A126" s="1" t="s">
        <v>772</v>
      </c>
      <c r="B126" s="1" t="s">
        <v>773</v>
      </c>
      <c r="C126" s="1" t="s">
        <v>848</v>
      </c>
      <c r="D126" s="1" t="s">
        <v>264</v>
      </c>
      <c r="E126" s="1" t="str">
        <f t="shared" si="1"/>
        <v>W02</v>
      </c>
      <c r="F126" s="4">
        <v>7.5</v>
      </c>
      <c r="G126" s="4">
        <v>6.05</v>
      </c>
      <c r="H126" s="4">
        <v>6.05</v>
      </c>
      <c r="I126" s="4"/>
      <c r="J126" s="1" t="s">
        <v>775</v>
      </c>
      <c r="K126" s="1" t="s">
        <v>790</v>
      </c>
      <c r="L126" s="1" t="s">
        <v>787</v>
      </c>
      <c r="M126" s="1" t="s">
        <v>788</v>
      </c>
      <c r="N126" s="1" t="s">
        <v>788</v>
      </c>
      <c r="O126" s="6">
        <v>44594</v>
      </c>
      <c r="P126" s="6">
        <v>44572</v>
      </c>
      <c r="Q126" s="6">
        <v>44085</v>
      </c>
      <c r="R126" s="1" t="s">
        <v>779</v>
      </c>
      <c r="T126" s="5">
        <v>402</v>
      </c>
      <c r="U126" s="4">
        <v>12</v>
      </c>
      <c r="V126" s="5">
        <v>392</v>
      </c>
      <c r="W126" s="6">
        <v>43432</v>
      </c>
      <c r="X126" s="6">
        <v>43807</v>
      </c>
      <c r="Y126" s="6"/>
      <c r="Z126" s="6"/>
      <c r="AA126" s="6">
        <v>44804</v>
      </c>
      <c r="AB126" s="6"/>
      <c r="AC126" s="6"/>
      <c r="AD126" s="6">
        <v>44599</v>
      </c>
    </row>
    <row r="127" spans="1:30">
      <c r="A127" s="1" t="s">
        <v>772</v>
      </c>
      <c r="B127" s="1" t="s">
        <v>773</v>
      </c>
      <c r="C127" s="1" t="s">
        <v>848</v>
      </c>
      <c r="D127" s="1" t="s">
        <v>265</v>
      </c>
      <c r="E127" s="1" t="str">
        <f t="shared" si="1"/>
        <v>W02</v>
      </c>
      <c r="F127" s="4">
        <v>5.24</v>
      </c>
      <c r="G127" s="4">
        <v>4.3099999999999996</v>
      </c>
      <c r="H127" s="4">
        <v>4.3099999999999996</v>
      </c>
      <c r="I127" s="4"/>
      <c r="J127" s="1" t="s">
        <v>775</v>
      </c>
      <c r="K127" s="1" t="s">
        <v>790</v>
      </c>
      <c r="L127" s="1" t="s">
        <v>787</v>
      </c>
      <c r="M127" s="1" t="s">
        <v>788</v>
      </c>
      <c r="O127" s="6">
        <v>44594</v>
      </c>
      <c r="P127" s="6">
        <v>44573</v>
      </c>
      <c r="Q127" s="6">
        <v>44088</v>
      </c>
      <c r="R127" s="1" t="s">
        <v>779</v>
      </c>
      <c r="T127" s="5">
        <v>402</v>
      </c>
      <c r="U127" s="4">
        <v>12</v>
      </c>
      <c r="V127" s="5">
        <v>391</v>
      </c>
      <c r="W127" s="6">
        <v>43427</v>
      </c>
      <c r="X127" s="6"/>
      <c r="Y127" s="6"/>
      <c r="Z127" s="6"/>
      <c r="AA127" s="6">
        <v>44810</v>
      </c>
      <c r="AB127" s="6"/>
      <c r="AC127" s="6"/>
      <c r="AD127" s="6">
        <v>44599</v>
      </c>
    </row>
    <row r="128" spans="1:30">
      <c r="A128" s="1" t="s">
        <v>772</v>
      </c>
      <c r="B128" s="1" t="s">
        <v>773</v>
      </c>
      <c r="C128" s="1" t="s">
        <v>848</v>
      </c>
      <c r="D128" s="1" t="s">
        <v>162</v>
      </c>
      <c r="E128" s="1" t="str">
        <f t="shared" si="1"/>
        <v>W02</v>
      </c>
      <c r="F128" s="4">
        <v>13.24</v>
      </c>
      <c r="G128" s="4">
        <v>10.6</v>
      </c>
      <c r="H128" s="4">
        <v>10.1</v>
      </c>
      <c r="I128" s="4"/>
      <c r="J128" s="1" t="s">
        <v>775</v>
      </c>
      <c r="K128" s="1" t="s">
        <v>887</v>
      </c>
      <c r="L128" s="1" t="s">
        <v>835</v>
      </c>
      <c r="M128" s="1" t="s">
        <v>851</v>
      </c>
      <c r="O128" s="6">
        <v>44803</v>
      </c>
      <c r="P128" s="6">
        <v>44606</v>
      </c>
      <c r="Q128" s="6">
        <v>44345</v>
      </c>
      <c r="R128" s="1" t="s">
        <v>784</v>
      </c>
      <c r="S128" s="1" t="s">
        <v>815</v>
      </c>
      <c r="T128" s="5">
        <v>238</v>
      </c>
      <c r="U128" s="4">
        <v>11</v>
      </c>
      <c r="V128" s="5">
        <v>358</v>
      </c>
      <c r="W128" s="6">
        <v>44848</v>
      </c>
      <c r="X128" s="6"/>
      <c r="Y128" s="6"/>
      <c r="Z128" s="6"/>
      <c r="AA128" s="6"/>
      <c r="AB128" s="6"/>
      <c r="AC128" s="6"/>
      <c r="AD128" s="6">
        <v>44840</v>
      </c>
    </row>
    <row r="129" spans="1:30">
      <c r="A129" s="1" t="s">
        <v>772</v>
      </c>
      <c r="B129" s="1" t="s">
        <v>773</v>
      </c>
      <c r="C129" s="1" t="s">
        <v>848</v>
      </c>
      <c r="D129" s="1" t="s">
        <v>291</v>
      </c>
      <c r="E129" s="1" t="str">
        <f t="shared" si="1"/>
        <v>W02</v>
      </c>
      <c r="F129" s="4">
        <v>8.92</v>
      </c>
      <c r="G129" s="4">
        <v>7.14</v>
      </c>
      <c r="H129" s="4">
        <v>7.14</v>
      </c>
      <c r="I129" s="4"/>
      <c r="J129" s="1" t="s">
        <v>775</v>
      </c>
      <c r="K129" s="1" t="s">
        <v>825</v>
      </c>
      <c r="L129" s="1" t="s">
        <v>787</v>
      </c>
      <c r="M129" s="1" t="s">
        <v>788</v>
      </c>
      <c r="O129" s="6">
        <v>44670</v>
      </c>
      <c r="P129" s="6">
        <v>44661</v>
      </c>
      <c r="Q129" s="6">
        <v>44122</v>
      </c>
      <c r="R129" s="1" t="s">
        <v>779</v>
      </c>
      <c r="T129" s="5">
        <v>402</v>
      </c>
      <c r="U129" s="4">
        <v>9</v>
      </c>
      <c r="V129" s="5">
        <v>303</v>
      </c>
      <c r="W129" s="6">
        <v>43016</v>
      </c>
      <c r="X129" s="6"/>
      <c r="Y129" s="6"/>
      <c r="Z129" s="6"/>
      <c r="AA129" s="6">
        <v>44925</v>
      </c>
      <c r="AB129" s="6"/>
      <c r="AC129" s="6"/>
      <c r="AD129" s="6">
        <v>44671</v>
      </c>
    </row>
    <row r="130" spans="1:30">
      <c r="A130" s="1" t="s">
        <v>772</v>
      </c>
      <c r="B130" s="1" t="s">
        <v>773</v>
      </c>
      <c r="C130" s="1" t="s">
        <v>848</v>
      </c>
      <c r="D130" s="1" t="s">
        <v>228</v>
      </c>
      <c r="E130" s="1" t="str">
        <f t="shared" si="1"/>
        <v>W02</v>
      </c>
      <c r="F130" s="4">
        <v>13.46</v>
      </c>
      <c r="G130" s="4">
        <v>10.8</v>
      </c>
      <c r="H130" s="4">
        <v>10.8</v>
      </c>
      <c r="I130" s="4"/>
      <c r="J130" s="1" t="s">
        <v>775</v>
      </c>
      <c r="K130" s="1" t="s">
        <v>790</v>
      </c>
      <c r="L130" s="1" t="s">
        <v>787</v>
      </c>
      <c r="M130" s="1" t="s">
        <v>788</v>
      </c>
      <c r="N130" s="1" t="s">
        <v>777</v>
      </c>
      <c r="O130" s="6">
        <v>44594</v>
      </c>
      <c r="P130" s="6">
        <v>44578</v>
      </c>
      <c r="Q130" s="6">
        <v>44017</v>
      </c>
      <c r="R130" s="1" t="s">
        <v>779</v>
      </c>
      <c r="T130" s="5">
        <v>402</v>
      </c>
      <c r="U130" s="4">
        <v>12</v>
      </c>
      <c r="V130" s="5">
        <v>386</v>
      </c>
      <c r="W130" s="6">
        <v>43175</v>
      </c>
      <c r="X130" s="6">
        <v>43206</v>
      </c>
      <c r="Y130" s="6"/>
      <c r="Z130" s="6"/>
      <c r="AA130" s="6">
        <v>44810</v>
      </c>
      <c r="AB130" s="6"/>
      <c r="AC130" s="6"/>
      <c r="AD130" s="6">
        <v>44596</v>
      </c>
    </row>
    <row r="131" spans="1:30">
      <c r="A131" s="1" t="s">
        <v>772</v>
      </c>
      <c r="B131" s="1" t="s">
        <v>773</v>
      </c>
      <c r="C131" s="1" t="s">
        <v>848</v>
      </c>
      <c r="D131" s="1" t="s">
        <v>255</v>
      </c>
      <c r="E131" s="1" t="str">
        <f t="shared" ref="E131:E194" si="2">RIGHT(C131,3)</f>
        <v>W02</v>
      </c>
      <c r="F131" s="4">
        <v>12.96</v>
      </c>
      <c r="G131" s="4">
        <v>10.32</v>
      </c>
      <c r="H131" s="4">
        <v>10.32</v>
      </c>
      <c r="I131" s="4"/>
      <c r="J131" s="1" t="s">
        <v>775</v>
      </c>
      <c r="K131" s="1" t="s">
        <v>825</v>
      </c>
      <c r="L131" s="1" t="s">
        <v>787</v>
      </c>
      <c r="M131" s="1" t="s">
        <v>788</v>
      </c>
      <c r="N131" s="1" t="s">
        <v>787</v>
      </c>
      <c r="O131" s="6">
        <v>44653</v>
      </c>
      <c r="P131" s="6">
        <v>44641</v>
      </c>
      <c r="Q131" s="6">
        <v>44079</v>
      </c>
      <c r="R131" s="1" t="s">
        <v>779</v>
      </c>
      <c r="T131" s="5">
        <v>402</v>
      </c>
      <c r="U131" s="4">
        <v>10</v>
      </c>
      <c r="V131" s="5">
        <v>323</v>
      </c>
      <c r="W131" s="6">
        <v>43404</v>
      </c>
      <c r="X131" s="6">
        <v>43435</v>
      </c>
      <c r="Y131" s="6"/>
      <c r="Z131" s="6"/>
      <c r="AA131" s="6">
        <v>44925</v>
      </c>
      <c r="AB131" s="6"/>
      <c r="AC131" s="6"/>
      <c r="AD131" s="6">
        <v>44653</v>
      </c>
    </row>
    <row r="132" spans="1:30">
      <c r="A132" s="1" t="s">
        <v>772</v>
      </c>
      <c r="B132" s="1" t="s">
        <v>773</v>
      </c>
      <c r="C132" s="1" t="s">
        <v>848</v>
      </c>
      <c r="D132" s="1" t="s">
        <v>440</v>
      </c>
      <c r="E132" s="1" t="str">
        <f t="shared" si="2"/>
        <v>W02</v>
      </c>
      <c r="F132" s="4">
        <v>14.3</v>
      </c>
      <c r="G132" s="4">
        <v>11.33</v>
      </c>
      <c r="H132" s="4">
        <v>11.33</v>
      </c>
      <c r="I132" s="4"/>
      <c r="J132" s="1" t="s">
        <v>775</v>
      </c>
      <c r="K132" s="1" t="s">
        <v>860</v>
      </c>
      <c r="L132" s="1" t="s">
        <v>777</v>
      </c>
      <c r="M132" s="1" t="s">
        <v>778</v>
      </c>
      <c r="N132" s="1" t="s">
        <v>777</v>
      </c>
      <c r="O132" s="6">
        <v>44455</v>
      </c>
      <c r="P132" s="6">
        <v>44448</v>
      </c>
      <c r="Q132" s="6">
        <v>44414</v>
      </c>
      <c r="R132" s="1" t="s">
        <v>779</v>
      </c>
      <c r="S132" s="1" t="s">
        <v>780</v>
      </c>
      <c r="T132" s="5">
        <v>517</v>
      </c>
      <c r="U132" s="4">
        <v>16</v>
      </c>
      <c r="V132" s="5">
        <v>516</v>
      </c>
      <c r="W132" s="6">
        <v>43895</v>
      </c>
      <c r="X132" s="6">
        <v>42898</v>
      </c>
      <c r="Y132" s="6"/>
      <c r="Z132" s="6"/>
      <c r="AA132" s="6">
        <v>44816</v>
      </c>
      <c r="AB132" s="6"/>
      <c r="AC132" s="6"/>
      <c r="AD132" s="6">
        <v>44900</v>
      </c>
    </row>
    <row r="133" spans="1:30">
      <c r="A133" s="1" t="s">
        <v>772</v>
      </c>
      <c r="B133" s="1" t="s">
        <v>773</v>
      </c>
      <c r="C133" s="1" t="s">
        <v>848</v>
      </c>
      <c r="D133" s="1" t="s">
        <v>231</v>
      </c>
      <c r="E133" s="1" t="str">
        <f t="shared" si="2"/>
        <v>W02</v>
      </c>
      <c r="F133" s="4">
        <v>5.5</v>
      </c>
      <c r="G133" s="4">
        <v>4.3</v>
      </c>
      <c r="H133" s="4">
        <v>4.3</v>
      </c>
      <c r="I133" s="4"/>
      <c r="J133" s="1" t="s">
        <v>775</v>
      </c>
      <c r="K133" s="1" t="s">
        <v>791</v>
      </c>
      <c r="L133" s="1" t="s">
        <v>777</v>
      </c>
      <c r="M133" s="1" t="s">
        <v>778</v>
      </c>
      <c r="N133" s="1" t="s">
        <v>787</v>
      </c>
      <c r="O133" s="6">
        <v>44928</v>
      </c>
      <c r="P133" s="6">
        <v>44905</v>
      </c>
      <c r="Q133" s="6">
        <v>44897</v>
      </c>
      <c r="R133" s="1" t="s">
        <v>779</v>
      </c>
      <c r="S133" s="1" t="s">
        <v>792</v>
      </c>
      <c r="T133" s="5">
        <v>577</v>
      </c>
      <c r="U133" s="4">
        <v>1</v>
      </c>
      <c r="V133" s="5">
        <v>59</v>
      </c>
      <c r="W133" s="6">
        <v>43373</v>
      </c>
      <c r="X133" s="6">
        <v>42702</v>
      </c>
      <c r="Y133" s="6"/>
      <c r="Z133" s="6"/>
      <c r="AA133" s="6"/>
      <c r="AB133" s="6"/>
      <c r="AC133" s="6"/>
      <c r="AD133" s="6"/>
    </row>
    <row r="134" spans="1:30">
      <c r="A134" s="1" t="s">
        <v>772</v>
      </c>
      <c r="B134" s="1" t="s">
        <v>773</v>
      </c>
      <c r="C134" s="1" t="s">
        <v>848</v>
      </c>
      <c r="D134" s="1" t="s">
        <v>232</v>
      </c>
      <c r="E134" s="1" t="str">
        <f t="shared" si="2"/>
        <v>W02</v>
      </c>
      <c r="F134" s="4">
        <v>11.13</v>
      </c>
      <c r="G134" s="4">
        <v>8.7799999999999994</v>
      </c>
      <c r="H134" s="4">
        <v>8.7799999999999994</v>
      </c>
      <c r="I134" s="4"/>
      <c r="J134" s="1" t="s">
        <v>775</v>
      </c>
      <c r="K134" s="1" t="s">
        <v>888</v>
      </c>
      <c r="L134" s="1" t="s">
        <v>778</v>
      </c>
      <c r="M134" s="1" t="s">
        <v>777</v>
      </c>
      <c r="N134" s="1" t="s">
        <v>787</v>
      </c>
      <c r="O134" s="6">
        <v>44865</v>
      </c>
      <c r="P134" s="6">
        <v>44849</v>
      </c>
      <c r="Q134" s="6"/>
      <c r="R134" s="1" t="s">
        <v>779</v>
      </c>
      <c r="T134" s="5">
        <v>120</v>
      </c>
      <c r="U134" s="4">
        <v>3</v>
      </c>
      <c r="V134" s="5">
        <v>115</v>
      </c>
      <c r="W134" s="6">
        <v>43963</v>
      </c>
      <c r="X134" s="6">
        <v>43997</v>
      </c>
      <c r="Y134" s="6"/>
      <c r="Z134" s="6"/>
      <c r="AA134" s="6"/>
      <c r="AB134" s="6"/>
      <c r="AC134" s="6"/>
      <c r="AD134" s="6"/>
    </row>
    <row r="135" spans="1:30">
      <c r="A135" s="1" t="s">
        <v>772</v>
      </c>
      <c r="B135" s="1" t="s">
        <v>773</v>
      </c>
      <c r="C135" s="1" t="s">
        <v>848</v>
      </c>
      <c r="D135" s="1" t="s">
        <v>270</v>
      </c>
      <c r="E135" s="1" t="str">
        <f t="shared" si="2"/>
        <v>W02</v>
      </c>
      <c r="F135" s="4">
        <v>7.78</v>
      </c>
      <c r="G135" s="4">
        <v>6.13</v>
      </c>
      <c r="H135" s="4">
        <v>6.13</v>
      </c>
      <c r="I135" s="4"/>
      <c r="J135" s="1" t="s">
        <v>775</v>
      </c>
      <c r="K135" s="1" t="s">
        <v>825</v>
      </c>
      <c r="L135" s="1" t="s">
        <v>787</v>
      </c>
      <c r="M135" s="1" t="s">
        <v>788</v>
      </c>
      <c r="O135" s="6">
        <v>44653</v>
      </c>
      <c r="P135" s="6">
        <v>44647</v>
      </c>
      <c r="Q135" s="6">
        <v>44086</v>
      </c>
      <c r="R135" s="1" t="s">
        <v>779</v>
      </c>
      <c r="T135" s="5">
        <v>402</v>
      </c>
      <c r="U135" s="4">
        <v>10</v>
      </c>
      <c r="V135" s="5">
        <v>317</v>
      </c>
      <c r="W135" s="6">
        <v>43427</v>
      </c>
      <c r="X135" s="6"/>
      <c r="Y135" s="6"/>
      <c r="Z135" s="6"/>
      <c r="AA135" s="6">
        <v>44925</v>
      </c>
      <c r="AB135" s="6"/>
      <c r="AC135" s="6"/>
      <c r="AD135" s="6">
        <v>44652</v>
      </c>
    </row>
    <row r="136" spans="1:30">
      <c r="A136" s="1" t="s">
        <v>772</v>
      </c>
      <c r="B136" s="1" t="s">
        <v>773</v>
      </c>
      <c r="C136" s="1" t="s">
        <v>848</v>
      </c>
      <c r="D136" s="1" t="s">
        <v>251</v>
      </c>
      <c r="E136" s="1" t="str">
        <f t="shared" si="2"/>
        <v>W02</v>
      </c>
      <c r="F136" s="4">
        <v>9.86</v>
      </c>
      <c r="G136" s="4">
        <v>7.72</v>
      </c>
      <c r="H136" s="4">
        <v>7.72</v>
      </c>
      <c r="I136" s="4"/>
      <c r="J136" s="1" t="s">
        <v>775</v>
      </c>
      <c r="K136" s="1" t="s">
        <v>889</v>
      </c>
      <c r="L136" s="1" t="s">
        <v>777</v>
      </c>
      <c r="M136" s="1" t="s">
        <v>777</v>
      </c>
      <c r="N136" s="1" t="s">
        <v>787</v>
      </c>
      <c r="O136" s="6">
        <v>44930</v>
      </c>
      <c r="P136" s="6">
        <v>44927</v>
      </c>
      <c r="Q136" s="6"/>
      <c r="R136" s="1" t="s">
        <v>779</v>
      </c>
      <c r="T136" s="5">
        <v>120</v>
      </c>
      <c r="U136" s="4">
        <v>1</v>
      </c>
      <c r="V136" s="5">
        <v>37</v>
      </c>
      <c r="W136" s="6">
        <v>43404</v>
      </c>
      <c r="X136" s="6">
        <v>43435</v>
      </c>
      <c r="Y136" s="6"/>
      <c r="Z136" s="6"/>
      <c r="AA136" s="6"/>
      <c r="AB136" s="6"/>
      <c r="AC136" s="6"/>
      <c r="AD136" s="6"/>
    </row>
    <row r="137" spans="1:30">
      <c r="A137" s="1" t="s">
        <v>772</v>
      </c>
      <c r="B137" s="1" t="s">
        <v>773</v>
      </c>
      <c r="C137" s="1" t="s">
        <v>848</v>
      </c>
      <c r="D137" s="1" t="s">
        <v>573</v>
      </c>
      <c r="E137" s="1" t="str">
        <f t="shared" si="2"/>
        <v>W02</v>
      </c>
      <c r="F137" s="4">
        <v>7.3</v>
      </c>
      <c r="G137" s="4">
        <v>5.86</v>
      </c>
      <c r="H137" s="4">
        <v>5.86</v>
      </c>
      <c r="I137" s="4"/>
      <c r="J137" s="1" t="s">
        <v>775</v>
      </c>
      <c r="K137" s="1" t="s">
        <v>859</v>
      </c>
      <c r="L137" s="1" t="s">
        <v>777</v>
      </c>
      <c r="M137" s="1" t="s">
        <v>778</v>
      </c>
      <c r="N137" s="1" t="s">
        <v>787</v>
      </c>
      <c r="O137" s="6">
        <v>44753</v>
      </c>
      <c r="P137" s="6">
        <v>44748</v>
      </c>
      <c r="Q137" s="6">
        <v>44707</v>
      </c>
      <c r="R137" s="1" t="s">
        <v>779</v>
      </c>
      <c r="S137" s="1" t="s">
        <v>841</v>
      </c>
      <c r="T137" s="5">
        <v>577</v>
      </c>
      <c r="U137" s="4">
        <v>7</v>
      </c>
      <c r="V137" s="5">
        <v>216</v>
      </c>
      <c r="W137" s="6">
        <v>43535</v>
      </c>
      <c r="X137" s="6">
        <v>43566</v>
      </c>
      <c r="Y137" s="6"/>
      <c r="Z137" s="6"/>
      <c r="AA137" s="6"/>
      <c r="AB137" s="6"/>
      <c r="AC137" s="6"/>
      <c r="AD137" s="6"/>
    </row>
    <row r="138" spans="1:30">
      <c r="A138" s="1" t="s">
        <v>772</v>
      </c>
      <c r="B138" s="1" t="s">
        <v>773</v>
      </c>
      <c r="C138" s="1" t="s">
        <v>848</v>
      </c>
      <c r="D138" s="1" t="s">
        <v>439</v>
      </c>
      <c r="E138" s="1" t="str">
        <f t="shared" si="2"/>
        <v>W02</v>
      </c>
      <c r="F138" s="4">
        <v>10.65</v>
      </c>
      <c r="G138" s="4">
        <v>8.35</v>
      </c>
      <c r="H138" s="4">
        <v>8.35</v>
      </c>
      <c r="I138" s="4"/>
      <c r="J138" s="1" t="s">
        <v>775</v>
      </c>
      <c r="K138" s="1" t="s">
        <v>860</v>
      </c>
      <c r="L138" s="1" t="s">
        <v>777</v>
      </c>
      <c r="M138" s="1" t="s">
        <v>778</v>
      </c>
      <c r="N138" s="1" t="s">
        <v>777</v>
      </c>
      <c r="O138" s="6">
        <v>44455</v>
      </c>
      <c r="P138" s="6">
        <v>44446</v>
      </c>
      <c r="Q138" s="6">
        <v>44429</v>
      </c>
      <c r="R138" s="1" t="s">
        <v>779</v>
      </c>
      <c r="S138" s="1" t="s">
        <v>882</v>
      </c>
      <c r="T138" s="5">
        <v>517</v>
      </c>
      <c r="U138" s="4">
        <v>17</v>
      </c>
      <c r="V138" s="5">
        <v>518</v>
      </c>
      <c r="W138" s="6">
        <v>43895</v>
      </c>
      <c r="X138" s="6">
        <v>42898</v>
      </c>
      <c r="Y138" s="6"/>
      <c r="Z138" s="6"/>
      <c r="AA138" s="6">
        <v>44847</v>
      </c>
      <c r="AB138" s="6"/>
      <c r="AC138" s="6"/>
      <c r="AD138" s="6">
        <v>44909</v>
      </c>
    </row>
    <row r="139" spans="1:30">
      <c r="A139" s="1" t="s">
        <v>772</v>
      </c>
      <c r="B139" s="1" t="s">
        <v>773</v>
      </c>
      <c r="C139" s="1" t="s">
        <v>848</v>
      </c>
      <c r="D139" s="1" t="s">
        <v>340</v>
      </c>
      <c r="E139" s="1" t="str">
        <f t="shared" si="2"/>
        <v>W02</v>
      </c>
      <c r="F139" s="4">
        <v>10.45</v>
      </c>
      <c r="G139" s="4">
        <v>8.2799999999999994</v>
      </c>
      <c r="H139" s="4">
        <v>8.2799999999999994</v>
      </c>
      <c r="I139" s="4"/>
      <c r="J139" s="1" t="s">
        <v>775</v>
      </c>
      <c r="K139" s="1" t="s">
        <v>890</v>
      </c>
      <c r="L139" s="1" t="s">
        <v>787</v>
      </c>
      <c r="M139" s="1" t="s">
        <v>788</v>
      </c>
      <c r="N139" s="1" t="s">
        <v>777</v>
      </c>
      <c r="O139" s="6">
        <v>44837</v>
      </c>
      <c r="P139" s="6">
        <v>44817</v>
      </c>
      <c r="Q139" s="6">
        <v>44251</v>
      </c>
      <c r="R139" s="1" t="s">
        <v>779</v>
      </c>
      <c r="T139" s="5">
        <v>402</v>
      </c>
      <c r="U139" s="4">
        <v>4</v>
      </c>
      <c r="V139" s="5">
        <v>147</v>
      </c>
      <c r="W139" s="6">
        <v>43678</v>
      </c>
      <c r="X139" s="6">
        <v>43637</v>
      </c>
      <c r="Y139" s="6"/>
      <c r="Z139" s="6"/>
      <c r="AA139" s="6"/>
      <c r="AB139" s="6"/>
      <c r="AC139" s="6"/>
      <c r="AD139" s="6"/>
    </row>
    <row r="140" spans="1:30">
      <c r="A140" s="1" t="s">
        <v>772</v>
      </c>
      <c r="B140" s="1" t="s">
        <v>773</v>
      </c>
      <c r="C140" s="1" t="s">
        <v>848</v>
      </c>
      <c r="D140" s="1" t="s">
        <v>36</v>
      </c>
      <c r="E140" s="1" t="str">
        <f t="shared" si="2"/>
        <v>W02</v>
      </c>
      <c r="F140" s="4">
        <v>10.64</v>
      </c>
      <c r="G140" s="4">
        <v>8.41</v>
      </c>
      <c r="H140" s="4">
        <v>8.41</v>
      </c>
      <c r="I140" s="4"/>
      <c r="J140" s="1" t="s">
        <v>775</v>
      </c>
      <c r="K140" s="1" t="s">
        <v>839</v>
      </c>
      <c r="L140" s="1" t="s">
        <v>777</v>
      </c>
      <c r="M140" s="1" t="s">
        <v>778</v>
      </c>
      <c r="N140" s="1" t="s">
        <v>787</v>
      </c>
      <c r="O140" s="6">
        <v>44775</v>
      </c>
      <c r="P140" s="6">
        <v>44755</v>
      </c>
      <c r="Q140" s="6">
        <v>44705</v>
      </c>
      <c r="R140" s="1" t="s">
        <v>779</v>
      </c>
      <c r="S140" s="1" t="s">
        <v>823</v>
      </c>
      <c r="T140" s="5">
        <v>457</v>
      </c>
      <c r="U140" s="4">
        <v>6</v>
      </c>
      <c r="V140" s="5">
        <v>209</v>
      </c>
      <c r="W140" s="6">
        <v>43535</v>
      </c>
      <c r="X140" s="6">
        <v>43566</v>
      </c>
      <c r="Y140" s="6"/>
      <c r="Z140" s="6"/>
      <c r="AA140" s="6"/>
      <c r="AB140" s="6"/>
      <c r="AC140" s="6"/>
      <c r="AD140" s="6"/>
    </row>
    <row r="141" spans="1:30">
      <c r="A141" s="1" t="s">
        <v>772</v>
      </c>
      <c r="B141" s="1" t="s">
        <v>773</v>
      </c>
      <c r="C141" s="1" t="s">
        <v>848</v>
      </c>
      <c r="D141" s="1" t="s">
        <v>685</v>
      </c>
      <c r="E141" s="1" t="str">
        <f t="shared" si="2"/>
        <v>W02</v>
      </c>
      <c r="F141" s="4">
        <v>7.86</v>
      </c>
      <c r="G141" s="4">
        <v>4.6500000000000004</v>
      </c>
      <c r="H141" s="4">
        <v>4.6500000000000004</v>
      </c>
      <c r="I141" s="4"/>
      <c r="J141" s="1" t="s">
        <v>775</v>
      </c>
      <c r="K141" s="1" t="s">
        <v>804</v>
      </c>
      <c r="L141" s="1" t="s">
        <v>783</v>
      </c>
      <c r="M141" s="1" t="s">
        <v>777</v>
      </c>
      <c r="O141" s="6">
        <v>44891</v>
      </c>
      <c r="P141" s="6">
        <v>44891</v>
      </c>
      <c r="Q141" s="6">
        <v>43718</v>
      </c>
      <c r="R141" s="1" t="s">
        <v>784</v>
      </c>
      <c r="T141" s="5">
        <v>60</v>
      </c>
      <c r="U141" s="4">
        <v>2</v>
      </c>
      <c r="V141" s="5">
        <v>73</v>
      </c>
      <c r="W141" s="6">
        <v>45005</v>
      </c>
      <c r="X141" s="6"/>
      <c r="Y141" s="6"/>
      <c r="Z141" s="6"/>
      <c r="AA141" s="6"/>
      <c r="AB141" s="6"/>
      <c r="AC141" s="6"/>
      <c r="AD141" s="6"/>
    </row>
    <row r="142" spans="1:30">
      <c r="A142" s="1" t="s">
        <v>772</v>
      </c>
      <c r="B142" s="1" t="s">
        <v>773</v>
      </c>
      <c r="C142" s="1" t="s">
        <v>848</v>
      </c>
      <c r="D142" s="1" t="s">
        <v>695</v>
      </c>
      <c r="E142" s="1" t="str">
        <f t="shared" si="2"/>
        <v>W02</v>
      </c>
      <c r="F142" s="4">
        <v>6.58</v>
      </c>
      <c r="G142" s="4">
        <v>5.55</v>
      </c>
      <c r="H142" s="4">
        <v>5.55</v>
      </c>
      <c r="I142" s="4"/>
      <c r="J142" s="1" t="s">
        <v>775</v>
      </c>
      <c r="K142" s="1" t="s">
        <v>832</v>
      </c>
      <c r="L142" s="1" t="s">
        <v>783</v>
      </c>
      <c r="M142" s="1" t="s">
        <v>777</v>
      </c>
      <c r="O142" s="6">
        <v>44926</v>
      </c>
      <c r="P142" s="6">
        <v>44926</v>
      </c>
      <c r="Q142" s="6">
        <v>44228</v>
      </c>
      <c r="R142" s="1" t="s">
        <v>784</v>
      </c>
      <c r="T142" s="5">
        <v>60</v>
      </c>
      <c r="U142" s="4">
        <v>1</v>
      </c>
      <c r="V142" s="5">
        <v>38</v>
      </c>
      <c r="W142" s="6">
        <v>44473</v>
      </c>
      <c r="X142" s="6"/>
      <c r="Y142" s="6"/>
      <c r="Z142" s="6"/>
      <c r="AA142" s="6"/>
      <c r="AB142" s="6"/>
      <c r="AC142" s="6"/>
      <c r="AD142" s="6"/>
    </row>
    <row r="143" spans="1:30">
      <c r="A143" s="1" t="s">
        <v>772</v>
      </c>
      <c r="B143" s="1" t="s">
        <v>773</v>
      </c>
      <c r="C143" s="1" t="s">
        <v>848</v>
      </c>
      <c r="D143" s="1" t="s">
        <v>686</v>
      </c>
      <c r="E143" s="1" t="str">
        <f t="shared" si="2"/>
        <v>W02</v>
      </c>
      <c r="F143" s="4">
        <v>9.92</v>
      </c>
      <c r="G143" s="4">
        <v>8.31</v>
      </c>
      <c r="H143" s="4">
        <v>8.31</v>
      </c>
      <c r="I143" s="4"/>
      <c r="J143" s="1" t="s">
        <v>775</v>
      </c>
      <c r="K143" s="1" t="s">
        <v>891</v>
      </c>
      <c r="L143" s="1" t="s">
        <v>782</v>
      </c>
      <c r="M143" s="1" t="s">
        <v>783</v>
      </c>
      <c r="O143" s="6">
        <v>44646</v>
      </c>
      <c r="P143" s="6">
        <v>44515</v>
      </c>
      <c r="Q143" s="6">
        <v>43852</v>
      </c>
      <c r="R143" s="1" t="s">
        <v>784</v>
      </c>
      <c r="S143" s="1" t="s">
        <v>847</v>
      </c>
      <c r="T143" s="5">
        <v>357</v>
      </c>
      <c r="U143" s="4">
        <v>14</v>
      </c>
      <c r="V143" s="5">
        <v>449</v>
      </c>
      <c r="W143" s="6">
        <v>44648</v>
      </c>
      <c r="X143" s="6"/>
      <c r="Y143" s="6"/>
      <c r="Z143" s="6"/>
      <c r="AA143" s="6"/>
      <c r="AB143" s="6"/>
      <c r="AC143" s="6"/>
      <c r="AD143" s="6">
        <v>44704</v>
      </c>
    </row>
    <row r="144" spans="1:30">
      <c r="A144" s="1" t="s">
        <v>772</v>
      </c>
      <c r="B144" s="1" t="s">
        <v>773</v>
      </c>
      <c r="C144" s="1" t="s">
        <v>774</v>
      </c>
      <c r="D144" s="1" t="s">
        <v>120</v>
      </c>
      <c r="E144" s="1" t="str">
        <f t="shared" si="2"/>
        <v>W01</v>
      </c>
      <c r="F144" s="4">
        <v>11.4</v>
      </c>
      <c r="G144" s="4">
        <v>9.0399999999999991</v>
      </c>
      <c r="H144" s="4">
        <v>9.0399999999999991</v>
      </c>
      <c r="I144" s="4"/>
      <c r="J144" s="1" t="s">
        <v>775</v>
      </c>
      <c r="K144" s="1" t="s">
        <v>793</v>
      </c>
      <c r="L144" s="1" t="s">
        <v>809</v>
      </c>
      <c r="M144" s="1" t="s">
        <v>788</v>
      </c>
      <c r="N144" s="1" t="s">
        <v>788</v>
      </c>
      <c r="O144" s="6">
        <v>44789</v>
      </c>
      <c r="P144" s="6">
        <v>44742</v>
      </c>
      <c r="Q144" s="6">
        <v>44184</v>
      </c>
      <c r="R144" s="1" t="s">
        <v>779</v>
      </c>
      <c r="T144" s="5">
        <v>402</v>
      </c>
      <c r="U144" s="4">
        <v>7</v>
      </c>
      <c r="V144" s="5">
        <v>222</v>
      </c>
      <c r="W144" s="6">
        <v>43747</v>
      </c>
      <c r="X144" s="6">
        <v>43665</v>
      </c>
      <c r="Y144" s="6"/>
      <c r="Z144" s="6"/>
      <c r="AA144" s="6"/>
      <c r="AB144" s="6"/>
      <c r="AC144" s="6"/>
      <c r="AD144" s="6"/>
    </row>
    <row r="145" spans="1:30">
      <c r="A145" s="1" t="s">
        <v>772</v>
      </c>
      <c r="B145" s="1" t="s">
        <v>773</v>
      </c>
      <c r="C145" s="1" t="s">
        <v>848</v>
      </c>
      <c r="D145" s="1" t="s">
        <v>892</v>
      </c>
      <c r="E145" s="1" t="str">
        <f t="shared" si="2"/>
        <v>W02</v>
      </c>
      <c r="F145" s="4">
        <v>8.6999999999999993</v>
      </c>
      <c r="G145" s="4">
        <v>6.63</v>
      </c>
      <c r="H145" s="4">
        <v>6.63</v>
      </c>
      <c r="I145" s="4"/>
      <c r="J145" s="1" t="s">
        <v>775</v>
      </c>
      <c r="K145" s="1" t="s">
        <v>893</v>
      </c>
      <c r="L145" s="1" t="s">
        <v>782</v>
      </c>
      <c r="M145" s="1" t="s">
        <v>783</v>
      </c>
      <c r="O145" s="6">
        <v>44891</v>
      </c>
      <c r="P145" s="6">
        <v>44780</v>
      </c>
      <c r="Q145" s="6">
        <v>44207</v>
      </c>
      <c r="R145" s="1" t="s">
        <v>784</v>
      </c>
      <c r="S145" s="1" t="s">
        <v>785</v>
      </c>
      <c r="T145" s="5">
        <v>357</v>
      </c>
      <c r="U145" s="4">
        <v>6</v>
      </c>
      <c r="V145" s="5">
        <v>184</v>
      </c>
      <c r="W145" s="6">
        <v>45005</v>
      </c>
      <c r="X145" s="6"/>
      <c r="Y145" s="6"/>
      <c r="Z145" s="6"/>
      <c r="AA145" s="6"/>
      <c r="AB145" s="6"/>
      <c r="AC145" s="6"/>
      <c r="AD145" s="6">
        <v>44909</v>
      </c>
    </row>
    <row r="146" spans="1:30">
      <c r="A146" s="1" t="s">
        <v>772</v>
      </c>
      <c r="B146" s="1" t="s">
        <v>773</v>
      </c>
      <c r="C146" s="1" t="s">
        <v>858</v>
      </c>
      <c r="D146" s="1" t="s">
        <v>253</v>
      </c>
      <c r="E146" s="1" t="str">
        <f t="shared" si="2"/>
        <v>W04</v>
      </c>
      <c r="F146" s="4">
        <v>4.5599999999999996</v>
      </c>
      <c r="G146" s="4">
        <v>3.63</v>
      </c>
      <c r="H146" s="4">
        <v>3.63</v>
      </c>
      <c r="I146" s="4"/>
      <c r="J146" s="1" t="s">
        <v>775</v>
      </c>
      <c r="K146" s="1" t="s">
        <v>889</v>
      </c>
      <c r="L146" s="1" t="s">
        <v>778</v>
      </c>
      <c r="M146" s="1" t="s">
        <v>777</v>
      </c>
      <c r="N146" s="1" t="s">
        <v>787</v>
      </c>
      <c r="O146" s="6">
        <v>44928</v>
      </c>
      <c r="P146" s="6">
        <v>44918</v>
      </c>
      <c r="Q146" s="6"/>
      <c r="R146" s="1" t="s">
        <v>779</v>
      </c>
      <c r="T146" s="5">
        <v>120</v>
      </c>
      <c r="U146" s="4">
        <v>1</v>
      </c>
      <c r="V146" s="5">
        <v>46</v>
      </c>
      <c r="W146" s="6">
        <v>43404</v>
      </c>
      <c r="X146" s="6">
        <v>43435</v>
      </c>
      <c r="Y146" s="6"/>
      <c r="Z146" s="6"/>
      <c r="AA146" s="6"/>
      <c r="AB146" s="6"/>
      <c r="AC146" s="6"/>
      <c r="AD146" s="6"/>
    </row>
    <row r="147" spans="1:30">
      <c r="A147" s="1" t="s">
        <v>772</v>
      </c>
      <c r="B147" s="1" t="s">
        <v>773</v>
      </c>
      <c r="C147" s="1" t="s">
        <v>858</v>
      </c>
      <c r="D147" s="1" t="s">
        <v>243</v>
      </c>
      <c r="E147" s="1" t="str">
        <f t="shared" si="2"/>
        <v>W04</v>
      </c>
      <c r="F147" s="4">
        <v>12.64</v>
      </c>
      <c r="G147" s="4">
        <v>10.08</v>
      </c>
      <c r="H147" s="4">
        <v>10.08</v>
      </c>
      <c r="I147" s="4"/>
      <c r="J147" s="1" t="s">
        <v>775</v>
      </c>
      <c r="K147" s="1" t="s">
        <v>889</v>
      </c>
      <c r="L147" s="1" t="s">
        <v>809</v>
      </c>
      <c r="M147" s="1" t="s">
        <v>777</v>
      </c>
      <c r="N147" s="1" t="s">
        <v>788</v>
      </c>
      <c r="O147" s="6">
        <v>44928</v>
      </c>
      <c r="P147" s="6">
        <v>44921</v>
      </c>
      <c r="Q147" s="6"/>
      <c r="R147" s="1" t="s">
        <v>779</v>
      </c>
      <c r="T147" s="5">
        <v>120</v>
      </c>
      <c r="U147" s="4">
        <v>1</v>
      </c>
      <c r="V147" s="5">
        <v>43</v>
      </c>
      <c r="W147" s="6">
        <v>43747</v>
      </c>
      <c r="X147" s="6">
        <v>43665</v>
      </c>
      <c r="Y147" s="6"/>
      <c r="Z147" s="6"/>
      <c r="AA147" s="6"/>
      <c r="AB147" s="6"/>
      <c r="AC147" s="6"/>
      <c r="AD147" s="6"/>
    </row>
    <row r="148" spans="1:30">
      <c r="A148" s="1" t="s">
        <v>772</v>
      </c>
      <c r="B148" s="1" t="s">
        <v>773</v>
      </c>
      <c r="C148" s="1" t="s">
        <v>858</v>
      </c>
      <c r="D148" s="1" t="s">
        <v>219</v>
      </c>
      <c r="E148" s="1" t="str">
        <f t="shared" si="2"/>
        <v>W04</v>
      </c>
      <c r="F148" s="4">
        <v>9.92</v>
      </c>
      <c r="G148" s="4">
        <v>7.8</v>
      </c>
      <c r="H148" s="4">
        <v>7.8</v>
      </c>
      <c r="I148" s="4"/>
      <c r="J148" s="1" t="s">
        <v>775</v>
      </c>
      <c r="K148" s="1" t="s">
        <v>888</v>
      </c>
      <c r="L148" s="1" t="s">
        <v>778</v>
      </c>
      <c r="M148" s="1" t="s">
        <v>777</v>
      </c>
      <c r="N148" s="1" t="s">
        <v>788</v>
      </c>
      <c r="O148" s="6">
        <v>44861</v>
      </c>
      <c r="P148" s="6">
        <v>44849</v>
      </c>
      <c r="Q148" s="6"/>
      <c r="R148" s="1" t="s">
        <v>779</v>
      </c>
      <c r="T148" s="5">
        <v>120</v>
      </c>
      <c r="U148" s="4">
        <v>3</v>
      </c>
      <c r="V148" s="5">
        <v>115</v>
      </c>
      <c r="W148" s="6">
        <v>43516</v>
      </c>
      <c r="X148" s="6">
        <v>43735</v>
      </c>
      <c r="Y148" s="6"/>
      <c r="Z148" s="6"/>
      <c r="AA148" s="6"/>
      <c r="AB148" s="6"/>
      <c r="AC148" s="6"/>
      <c r="AD148" s="6"/>
    </row>
    <row r="149" spans="1:30">
      <c r="A149" s="1" t="s">
        <v>772</v>
      </c>
      <c r="B149" s="1" t="s">
        <v>773</v>
      </c>
      <c r="C149" s="1" t="s">
        <v>858</v>
      </c>
      <c r="D149" s="1" t="s">
        <v>38</v>
      </c>
      <c r="E149" s="1" t="str">
        <f t="shared" si="2"/>
        <v>W04</v>
      </c>
      <c r="F149" s="4">
        <v>14.86</v>
      </c>
      <c r="G149" s="4">
        <v>11.75</v>
      </c>
      <c r="H149" s="4">
        <v>11.75</v>
      </c>
      <c r="I149" s="4"/>
      <c r="J149" s="1" t="s">
        <v>775</v>
      </c>
      <c r="K149" s="1" t="s">
        <v>839</v>
      </c>
      <c r="L149" s="1" t="s">
        <v>777</v>
      </c>
      <c r="M149" s="1" t="s">
        <v>778</v>
      </c>
      <c r="N149" s="1" t="s">
        <v>787</v>
      </c>
      <c r="O149" s="6">
        <v>44798</v>
      </c>
      <c r="P149" s="6">
        <v>44782</v>
      </c>
      <c r="Q149" s="6">
        <v>44735</v>
      </c>
      <c r="R149" s="1" t="s">
        <v>779</v>
      </c>
      <c r="S149" s="1" t="s">
        <v>795</v>
      </c>
      <c r="T149" s="5">
        <v>577</v>
      </c>
      <c r="U149" s="4">
        <v>5</v>
      </c>
      <c r="V149" s="5">
        <v>182</v>
      </c>
      <c r="W149" s="6">
        <v>43293</v>
      </c>
      <c r="X149" s="6">
        <v>43079</v>
      </c>
      <c r="Y149" s="6"/>
      <c r="Z149" s="6"/>
      <c r="AA149" s="6"/>
      <c r="AB149" s="6"/>
      <c r="AC149" s="6"/>
      <c r="AD149" s="6"/>
    </row>
    <row r="150" spans="1:30">
      <c r="A150" s="1" t="s">
        <v>772</v>
      </c>
      <c r="B150" s="1" t="s">
        <v>773</v>
      </c>
      <c r="C150" s="1" t="s">
        <v>858</v>
      </c>
      <c r="D150" s="1" t="s">
        <v>376</v>
      </c>
      <c r="E150" s="1" t="str">
        <f t="shared" si="2"/>
        <v>W04</v>
      </c>
      <c r="F150" s="4">
        <v>3.21</v>
      </c>
      <c r="G150" s="4">
        <v>2.5</v>
      </c>
      <c r="H150" s="4">
        <v>2.5</v>
      </c>
      <c r="I150" s="4"/>
      <c r="J150" s="1" t="s">
        <v>775</v>
      </c>
      <c r="K150" s="1" t="s">
        <v>894</v>
      </c>
      <c r="L150" s="1" t="s">
        <v>787</v>
      </c>
      <c r="M150" s="1" t="s">
        <v>788</v>
      </c>
      <c r="O150" s="6">
        <v>44959</v>
      </c>
      <c r="P150" s="6">
        <v>44957</v>
      </c>
      <c r="Q150" s="6">
        <v>44325</v>
      </c>
      <c r="R150" s="1" t="s">
        <v>779</v>
      </c>
      <c r="T150" s="5">
        <v>402</v>
      </c>
      <c r="U150" s="4">
        <v>0</v>
      </c>
      <c r="V150" s="5">
        <v>7</v>
      </c>
      <c r="W150" s="6"/>
      <c r="X150" s="6"/>
      <c r="Y150" s="6"/>
      <c r="Z150" s="6"/>
      <c r="AA150" s="6"/>
      <c r="AB150" s="6"/>
      <c r="AC150" s="6"/>
      <c r="AD150" s="6"/>
    </row>
    <row r="151" spans="1:30">
      <c r="A151" s="1" t="s">
        <v>772</v>
      </c>
      <c r="B151" s="1" t="s">
        <v>773</v>
      </c>
      <c r="C151" s="1" t="s">
        <v>858</v>
      </c>
      <c r="D151" s="1" t="s">
        <v>42</v>
      </c>
      <c r="E151" s="1" t="str">
        <f t="shared" si="2"/>
        <v>W04</v>
      </c>
      <c r="F151" s="4">
        <v>9</v>
      </c>
      <c r="G151" s="4">
        <v>7.07</v>
      </c>
      <c r="H151" s="4">
        <v>7.07</v>
      </c>
      <c r="I151" s="4"/>
      <c r="J151" s="1" t="s">
        <v>775</v>
      </c>
      <c r="K151" s="1" t="s">
        <v>800</v>
      </c>
      <c r="L151" s="1" t="s">
        <v>777</v>
      </c>
      <c r="M151" s="1" t="s">
        <v>778</v>
      </c>
      <c r="O151" s="6">
        <v>44806</v>
      </c>
      <c r="P151" s="6">
        <v>44793</v>
      </c>
      <c r="Q151" s="6">
        <v>44739</v>
      </c>
      <c r="R151" s="1" t="s">
        <v>779</v>
      </c>
      <c r="S151" s="1" t="s">
        <v>780</v>
      </c>
      <c r="T151" s="5">
        <v>517</v>
      </c>
      <c r="U151" s="4">
        <v>5</v>
      </c>
      <c r="V151" s="5">
        <v>171</v>
      </c>
      <c r="W151" s="6">
        <v>45144</v>
      </c>
      <c r="X151" s="6"/>
      <c r="Y151" s="6"/>
      <c r="Z151" s="6"/>
      <c r="AA151" s="6"/>
      <c r="AB151" s="6"/>
      <c r="AC151" s="6"/>
      <c r="AD151" s="6"/>
    </row>
    <row r="152" spans="1:30">
      <c r="A152" s="1" t="s">
        <v>772</v>
      </c>
      <c r="B152" s="1" t="s">
        <v>773</v>
      </c>
      <c r="C152" s="1" t="s">
        <v>858</v>
      </c>
      <c r="D152" s="1" t="s">
        <v>460</v>
      </c>
      <c r="E152" s="1" t="str">
        <f t="shared" si="2"/>
        <v>W04</v>
      </c>
      <c r="F152" s="4">
        <v>8.4</v>
      </c>
      <c r="G152" s="4">
        <v>6.75</v>
      </c>
      <c r="H152" s="4">
        <v>6.75</v>
      </c>
      <c r="I152" s="4"/>
      <c r="J152" s="1" t="s">
        <v>775</v>
      </c>
      <c r="K152" s="1" t="s">
        <v>886</v>
      </c>
      <c r="L152" s="1" t="s">
        <v>777</v>
      </c>
      <c r="M152" s="1" t="s">
        <v>778</v>
      </c>
      <c r="N152" s="1" t="s">
        <v>777</v>
      </c>
      <c r="O152" s="6">
        <v>44497</v>
      </c>
      <c r="P152" s="6">
        <v>44489</v>
      </c>
      <c r="Q152" s="6">
        <v>44474</v>
      </c>
      <c r="R152" s="1" t="s">
        <v>779</v>
      </c>
      <c r="S152" s="1" t="s">
        <v>795</v>
      </c>
      <c r="T152" s="5">
        <v>577</v>
      </c>
      <c r="U152" s="4">
        <v>15</v>
      </c>
      <c r="V152" s="5">
        <v>475</v>
      </c>
      <c r="W152" s="6">
        <v>44025</v>
      </c>
      <c r="X152" s="6">
        <v>43581</v>
      </c>
      <c r="Y152" s="6"/>
      <c r="Z152" s="6"/>
      <c r="AA152" s="6">
        <v>44903</v>
      </c>
      <c r="AB152" s="6"/>
      <c r="AC152" s="6"/>
      <c r="AD152" s="6"/>
    </row>
    <row r="153" spans="1:30">
      <c r="A153" s="1" t="s">
        <v>772</v>
      </c>
      <c r="B153" s="1" t="s">
        <v>773</v>
      </c>
      <c r="C153" s="1" t="s">
        <v>858</v>
      </c>
      <c r="D153" s="1" t="s">
        <v>338</v>
      </c>
      <c r="E153" s="1" t="str">
        <f t="shared" si="2"/>
        <v>W04</v>
      </c>
      <c r="F153" s="4">
        <v>10</v>
      </c>
      <c r="G153" s="4">
        <v>7.96</v>
      </c>
      <c r="H153" s="4">
        <v>7.96</v>
      </c>
      <c r="I153" s="4"/>
      <c r="J153" s="1" t="s">
        <v>775</v>
      </c>
      <c r="K153" s="1" t="s">
        <v>786</v>
      </c>
      <c r="L153" s="1" t="s">
        <v>787</v>
      </c>
      <c r="M153" s="1" t="s">
        <v>788</v>
      </c>
      <c r="N153" s="1" t="s">
        <v>777</v>
      </c>
      <c r="O153" s="6">
        <v>44805</v>
      </c>
      <c r="P153" s="6">
        <v>44787</v>
      </c>
      <c r="Q153" s="6">
        <v>44239</v>
      </c>
      <c r="R153" s="1" t="s">
        <v>779</v>
      </c>
      <c r="T153" s="5">
        <v>402</v>
      </c>
      <c r="U153" s="4">
        <v>5</v>
      </c>
      <c r="V153" s="5">
        <v>177</v>
      </c>
      <c r="W153" s="6">
        <v>43100</v>
      </c>
      <c r="X153" s="6">
        <v>43100</v>
      </c>
      <c r="Y153" s="6"/>
      <c r="Z153" s="6"/>
      <c r="AA153" s="6"/>
      <c r="AB153" s="6"/>
      <c r="AC153" s="6"/>
      <c r="AD153" s="6">
        <v>44810</v>
      </c>
    </row>
    <row r="154" spans="1:30">
      <c r="A154" s="1" t="s">
        <v>772</v>
      </c>
      <c r="B154" s="1" t="s">
        <v>773</v>
      </c>
      <c r="C154" s="1" t="s">
        <v>858</v>
      </c>
      <c r="D154" s="1" t="s">
        <v>330</v>
      </c>
      <c r="E154" s="1" t="str">
        <f t="shared" si="2"/>
        <v>W04</v>
      </c>
      <c r="F154" s="5">
        <v>5.6</v>
      </c>
      <c r="G154" s="4">
        <v>4.53</v>
      </c>
      <c r="H154" s="4">
        <v>4.53</v>
      </c>
      <c r="I154" s="4"/>
      <c r="J154" s="1" t="s">
        <v>775</v>
      </c>
      <c r="K154" s="1" t="s">
        <v>808</v>
      </c>
      <c r="L154" s="1" t="s">
        <v>809</v>
      </c>
      <c r="M154" s="1" t="s">
        <v>788</v>
      </c>
      <c r="N154" s="1" t="s">
        <v>788</v>
      </c>
      <c r="O154" s="6">
        <v>44884</v>
      </c>
      <c r="P154" s="6">
        <v>44818</v>
      </c>
      <c r="Q154" s="6">
        <v>44235</v>
      </c>
      <c r="R154" s="1" t="s">
        <v>779</v>
      </c>
      <c r="T154" s="5">
        <v>402</v>
      </c>
      <c r="U154" s="4">
        <v>4</v>
      </c>
      <c r="V154" s="5">
        <v>146</v>
      </c>
      <c r="W154" s="6">
        <v>43516</v>
      </c>
      <c r="X154" s="6">
        <v>43735</v>
      </c>
      <c r="Y154" s="6"/>
      <c r="Z154" s="6"/>
      <c r="AA154" s="6"/>
      <c r="AB154" s="6"/>
      <c r="AC154" s="6"/>
      <c r="AD154" s="6"/>
    </row>
    <row r="155" spans="1:30">
      <c r="A155" s="1" t="s">
        <v>772</v>
      </c>
      <c r="B155" s="1" t="s">
        <v>773</v>
      </c>
      <c r="C155" s="1" t="s">
        <v>858</v>
      </c>
      <c r="D155" s="1" t="s">
        <v>370</v>
      </c>
      <c r="E155" s="1" t="str">
        <f t="shared" si="2"/>
        <v>W04</v>
      </c>
      <c r="F155" s="4">
        <v>2.57</v>
      </c>
      <c r="G155" s="4">
        <v>2.0299999999999998</v>
      </c>
      <c r="H155" s="4">
        <v>2.0299999999999998</v>
      </c>
      <c r="I155" s="4"/>
      <c r="J155" s="1" t="s">
        <v>775</v>
      </c>
      <c r="K155" s="1" t="s">
        <v>799</v>
      </c>
      <c r="L155" s="1" t="s">
        <v>777</v>
      </c>
      <c r="M155" s="1" t="s">
        <v>778</v>
      </c>
      <c r="O155" s="6">
        <v>44357</v>
      </c>
      <c r="P155" s="6">
        <v>44351</v>
      </c>
      <c r="Q155" s="6">
        <v>44325</v>
      </c>
      <c r="R155" s="1" t="s">
        <v>779</v>
      </c>
      <c r="S155" s="1" t="s">
        <v>795</v>
      </c>
      <c r="T155" s="5">
        <v>577</v>
      </c>
      <c r="U155" s="4">
        <v>20</v>
      </c>
      <c r="V155" s="5">
        <v>613</v>
      </c>
      <c r="W155" s="6">
        <v>43322</v>
      </c>
      <c r="X155" s="6"/>
      <c r="Y155" s="6"/>
      <c r="Z155" s="6"/>
      <c r="AA155" s="6">
        <v>44810</v>
      </c>
      <c r="AB155" s="6"/>
      <c r="AC155" s="6"/>
      <c r="AD155" s="6">
        <v>44896</v>
      </c>
    </row>
    <row r="156" spans="1:30">
      <c r="A156" s="1" t="s">
        <v>772</v>
      </c>
      <c r="B156" s="1" t="s">
        <v>773</v>
      </c>
      <c r="C156" s="1" t="s">
        <v>858</v>
      </c>
      <c r="D156" s="1" t="s">
        <v>106</v>
      </c>
      <c r="E156" s="1" t="str">
        <f t="shared" si="2"/>
        <v>W04</v>
      </c>
      <c r="F156" s="4">
        <v>3.54</v>
      </c>
      <c r="G156" s="4">
        <v>3.06</v>
      </c>
      <c r="H156" s="4">
        <v>3.06</v>
      </c>
      <c r="I156" s="4"/>
      <c r="J156" s="1" t="s">
        <v>775</v>
      </c>
      <c r="K156" s="1" t="s">
        <v>895</v>
      </c>
      <c r="L156" s="1" t="s">
        <v>866</v>
      </c>
      <c r="M156" s="1" t="s">
        <v>867</v>
      </c>
      <c r="N156" s="1" t="s">
        <v>777</v>
      </c>
      <c r="O156" s="6">
        <v>44805</v>
      </c>
      <c r="P156" s="6">
        <v>44805</v>
      </c>
      <c r="Q156" s="6">
        <v>44784</v>
      </c>
      <c r="R156" s="1" t="s">
        <v>868</v>
      </c>
      <c r="T156" s="5">
        <v>240</v>
      </c>
      <c r="U156" s="4">
        <v>5</v>
      </c>
      <c r="V156" s="5">
        <v>159</v>
      </c>
      <c r="W156" s="6">
        <v>43100</v>
      </c>
      <c r="X156" s="6">
        <v>43100</v>
      </c>
      <c r="Y156" s="6"/>
      <c r="Z156" s="6"/>
      <c r="AA156" s="6"/>
      <c r="AB156" s="6"/>
      <c r="AC156" s="6"/>
      <c r="AD156" s="6">
        <v>44916</v>
      </c>
    </row>
    <row r="157" spans="1:30">
      <c r="A157" s="1" t="s">
        <v>772</v>
      </c>
      <c r="B157" s="1" t="s">
        <v>773</v>
      </c>
      <c r="C157" s="1" t="s">
        <v>858</v>
      </c>
      <c r="D157" s="1" t="s">
        <v>707</v>
      </c>
      <c r="E157" s="1" t="str">
        <f t="shared" si="2"/>
        <v>W04</v>
      </c>
      <c r="F157" s="4">
        <v>13.62</v>
      </c>
      <c r="G157" s="4">
        <v>11.37</v>
      </c>
      <c r="H157" s="4">
        <v>11.37</v>
      </c>
      <c r="I157" s="4"/>
      <c r="J157" s="1" t="s">
        <v>775</v>
      </c>
      <c r="K157" s="1" t="s">
        <v>896</v>
      </c>
      <c r="L157" s="1" t="s">
        <v>866</v>
      </c>
      <c r="M157" s="1" t="s">
        <v>867</v>
      </c>
      <c r="N157" s="1" t="s">
        <v>787</v>
      </c>
      <c r="O157" s="6">
        <v>44838</v>
      </c>
      <c r="P157" s="6">
        <v>44834</v>
      </c>
      <c r="Q157" s="6">
        <v>44784</v>
      </c>
      <c r="R157" s="1" t="s">
        <v>868</v>
      </c>
      <c r="T157" s="5">
        <v>240</v>
      </c>
      <c r="U157" s="4">
        <v>4</v>
      </c>
      <c r="V157" s="5">
        <v>130</v>
      </c>
      <c r="W157" s="6">
        <v>43710</v>
      </c>
      <c r="X157" s="6">
        <v>42572</v>
      </c>
      <c r="Y157" s="6"/>
      <c r="Z157" s="6"/>
      <c r="AA157" s="6"/>
      <c r="AB157" s="6"/>
      <c r="AC157" s="6"/>
      <c r="AD157" s="6">
        <v>44922</v>
      </c>
    </row>
    <row r="158" spans="1:30">
      <c r="A158" s="1" t="s">
        <v>772</v>
      </c>
      <c r="B158" s="1" t="s">
        <v>773</v>
      </c>
      <c r="C158" s="1" t="s">
        <v>858</v>
      </c>
      <c r="D158" s="1" t="s">
        <v>603</v>
      </c>
      <c r="E158" s="1" t="str">
        <f t="shared" si="2"/>
        <v>W04</v>
      </c>
      <c r="F158" s="4">
        <v>10.5</v>
      </c>
      <c r="G158" s="4">
        <v>8.36</v>
      </c>
      <c r="H158" s="4">
        <v>8.36</v>
      </c>
      <c r="I158" s="4"/>
      <c r="J158" s="1" t="s">
        <v>775</v>
      </c>
      <c r="K158" s="1" t="s">
        <v>797</v>
      </c>
      <c r="L158" s="1" t="s">
        <v>777</v>
      </c>
      <c r="M158" s="1" t="s">
        <v>778</v>
      </c>
      <c r="O158" s="6">
        <v>44851</v>
      </c>
      <c r="P158" s="6">
        <v>44841</v>
      </c>
      <c r="Q158" s="6">
        <v>44830</v>
      </c>
      <c r="R158" s="1" t="s">
        <v>779</v>
      </c>
      <c r="S158" s="1" t="s">
        <v>795</v>
      </c>
      <c r="T158" s="5">
        <v>577</v>
      </c>
      <c r="U158" s="4">
        <v>4</v>
      </c>
      <c r="V158" s="5">
        <v>123</v>
      </c>
      <c r="W158" s="6">
        <v>44473</v>
      </c>
      <c r="X158" s="6"/>
      <c r="Y158" s="6"/>
      <c r="Z158" s="6"/>
      <c r="AA158" s="6"/>
      <c r="AB158" s="6"/>
      <c r="AC158" s="6"/>
      <c r="AD158" s="6"/>
    </row>
    <row r="159" spans="1:30">
      <c r="A159" s="1" t="s">
        <v>772</v>
      </c>
      <c r="B159" s="1" t="s">
        <v>773</v>
      </c>
      <c r="C159" s="1" t="s">
        <v>858</v>
      </c>
      <c r="D159" s="1" t="s">
        <v>466</v>
      </c>
      <c r="E159" s="1" t="str">
        <f t="shared" si="2"/>
        <v>W04</v>
      </c>
      <c r="F159" s="4">
        <v>13.42</v>
      </c>
      <c r="G159" s="4">
        <v>10.52</v>
      </c>
      <c r="H159" s="4">
        <v>10.52</v>
      </c>
      <c r="I159" s="4"/>
      <c r="J159" s="1" t="s">
        <v>79</v>
      </c>
      <c r="K159" s="1" t="s">
        <v>872</v>
      </c>
      <c r="L159" s="1" t="s">
        <v>777</v>
      </c>
      <c r="M159" s="1" t="s">
        <v>778</v>
      </c>
      <c r="N159" s="1" t="s">
        <v>873</v>
      </c>
      <c r="O159" s="6">
        <v>44529</v>
      </c>
      <c r="P159" s="6">
        <v>44504</v>
      </c>
      <c r="Q159" s="6">
        <v>44475</v>
      </c>
      <c r="R159" s="1" t="s">
        <v>779</v>
      </c>
      <c r="S159" s="1" t="s">
        <v>795</v>
      </c>
      <c r="T159" s="5">
        <v>577</v>
      </c>
      <c r="U159" s="4">
        <v>15</v>
      </c>
      <c r="V159" s="5">
        <v>460</v>
      </c>
      <c r="W159" s="6">
        <v>43954</v>
      </c>
      <c r="X159" s="6">
        <v>43275</v>
      </c>
      <c r="Y159" s="6"/>
      <c r="Z159" s="6"/>
      <c r="AA159" s="6">
        <v>44912</v>
      </c>
      <c r="AB159" s="6"/>
      <c r="AC159" s="6"/>
      <c r="AD159" s="6"/>
    </row>
    <row r="160" spans="1:30">
      <c r="A160" s="1" t="s">
        <v>772</v>
      </c>
      <c r="B160" s="1" t="s">
        <v>773</v>
      </c>
      <c r="C160" s="1" t="s">
        <v>858</v>
      </c>
      <c r="D160" s="1" t="s">
        <v>606</v>
      </c>
      <c r="E160" s="1" t="str">
        <f t="shared" si="2"/>
        <v>W04</v>
      </c>
      <c r="F160" s="4">
        <v>9.36</v>
      </c>
      <c r="G160" s="4">
        <v>7.42</v>
      </c>
      <c r="H160" s="4">
        <v>7.42</v>
      </c>
      <c r="I160" s="4"/>
      <c r="J160" s="1" t="s">
        <v>775</v>
      </c>
      <c r="K160" s="1" t="s">
        <v>797</v>
      </c>
      <c r="L160" s="1" t="s">
        <v>777</v>
      </c>
      <c r="M160" s="1" t="s">
        <v>778</v>
      </c>
      <c r="O160" s="6">
        <v>44865</v>
      </c>
      <c r="P160" s="6">
        <v>44849</v>
      </c>
      <c r="Q160" s="6">
        <v>44825</v>
      </c>
      <c r="R160" s="1" t="s">
        <v>779</v>
      </c>
      <c r="S160" s="1" t="s">
        <v>795</v>
      </c>
      <c r="T160" s="5">
        <v>577</v>
      </c>
      <c r="U160" s="4">
        <v>3</v>
      </c>
      <c r="V160" s="5">
        <v>115</v>
      </c>
      <c r="W160" s="6">
        <v>44473</v>
      </c>
      <c r="X160" s="6"/>
      <c r="Y160" s="6"/>
      <c r="Z160" s="6"/>
      <c r="AA160" s="6"/>
      <c r="AB160" s="6"/>
      <c r="AC160" s="6"/>
      <c r="AD160" s="6"/>
    </row>
    <row r="161" spans="1:30">
      <c r="A161" s="1" t="s">
        <v>772</v>
      </c>
      <c r="B161" s="1" t="s">
        <v>773</v>
      </c>
      <c r="C161" s="1" t="s">
        <v>858</v>
      </c>
      <c r="D161" s="1" t="s">
        <v>581</v>
      </c>
      <c r="E161" s="1" t="str">
        <f t="shared" si="2"/>
        <v>W04</v>
      </c>
      <c r="F161" s="4">
        <v>5</v>
      </c>
      <c r="G161" s="4">
        <v>3.91</v>
      </c>
      <c r="H161" s="4">
        <v>3.91</v>
      </c>
      <c r="I161" s="4"/>
      <c r="J161" s="1" t="s">
        <v>775</v>
      </c>
      <c r="K161" s="1" t="s">
        <v>800</v>
      </c>
      <c r="L161" s="1" t="s">
        <v>777</v>
      </c>
      <c r="M161" s="1" t="s">
        <v>778</v>
      </c>
      <c r="O161" s="6">
        <v>44806</v>
      </c>
      <c r="P161" s="6">
        <v>44793</v>
      </c>
      <c r="Q161" s="6">
        <v>44783</v>
      </c>
      <c r="R161" s="1" t="s">
        <v>779</v>
      </c>
      <c r="S161" s="1" t="s">
        <v>795</v>
      </c>
      <c r="T161" s="5">
        <v>577</v>
      </c>
      <c r="U161" s="4">
        <v>5</v>
      </c>
      <c r="V161" s="5">
        <v>171</v>
      </c>
      <c r="W161" s="6">
        <v>44383</v>
      </c>
      <c r="X161" s="6"/>
      <c r="Y161" s="6"/>
      <c r="Z161" s="6"/>
      <c r="AA161" s="6"/>
      <c r="AB161" s="6"/>
      <c r="AC161" s="6"/>
      <c r="AD161" s="6"/>
    </row>
    <row r="162" spans="1:30">
      <c r="A162" s="1" t="s">
        <v>772</v>
      </c>
      <c r="B162" s="1" t="s">
        <v>773</v>
      </c>
      <c r="C162" s="1" t="s">
        <v>858</v>
      </c>
      <c r="D162" s="1" t="s">
        <v>522</v>
      </c>
      <c r="E162" s="1" t="str">
        <f t="shared" si="2"/>
        <v>W04</v>
      </c>
      <c r="F162" s="4">
        <v>11.6</v>
      </c>
      <c r="G162" s="4">
        <v>9.02</v>
      </c>
      <c r="H162" s="4">
        <v>9.02</v>
      </c>
      <c r="I162" s="4"/>
      <c r="J162" s="1" t="s">
        <v>775</v>
      </c>
      <c r="K162" s="1" t="s">
        <v>824</v>
      </c>
      <c r="L162" s="1" t="s">
        <v>777</v>
      </c>
      <c r="M162" s="1" t="s">
        <v>778</v>
      </c>
      <c r="N162" s="1" t="s">
        <v>788</v>
      </c>
      <c r="O162" s="6">
        <v>44642</v>
      </c>
      <c r="P162" s="6">
        <v>44635</v>
      </c>
      <c r="Q162" s="6">
        <v>44607</v>
      </c>
      <c r="R162" s="1" t="s">
        <v>779</v>
      </c>
      <c r="S162" s="1" t="s">
        <v>792</v>
      </c>
      <c r="T162" s="5">
        <v>577</v>
      </c>
      <c r="U162" s="4">
        <v>10</v>
      </c>
      <c r="V162" s="5">
        <v>329</v>
      </c>
      <c r="W162" s="6">
        <v>45028</v>
      </c>
      <c r="X162" s="6">
        <v>45209</v>
      </c>
      <c r="Y162" s="6"/>
      <c r="Z162" s="6"/>
      <c r="AA162" s="6"/>
      <c r="AB162" s="6"/>
      <c r="AC162" s="6"/>
      <c r="AD162" s="6"/>
    </row>
    <row r="163" spans="1:30">
      <c r="A163" s="1" t="s">
        <v>772</v>
      </c>
      <c r="B163" s="1" t="s">
        <v>773</v>
      </c>
      <c r="C163" s="1" t="s">
        <v>858</v>
      </c>
      <c r="D163" s="1" t="s">
        <v>498</v>
      </c>
      <c r="E163" s="1" t="str">
        <f t="shared" si="2"/>
        <v>W04</v>
      </c>
      <c r="F163" s="4">
        <v>10</v>
      </c>
      <c r="G163" s="4">
        <v>7.82</v>
      </c>
      <c r="H163" s="4">
        <v>7.82</v>
      </c>
      <c r="I163" s="4"/>
      <c r="J163" s="1" t="s">
        <v>775</v>
      </c>
      <c r="K163" s="1" t="s">
        <v>822</v>
      </c>
      <c r="L163" s="1" t="s">
        <v>777</v>
      </c>
      <c r="M163" s="1" t="s">
        <v>778</v>
      </c>
      <c r="N163" s="1" t="s">
        <v>787</v>
      </c>
      <c r="O163" s="6">
        <v>44594</v>
      </c>
      <c r="P163" s="6">
        <v>44588</v>
      </c>
      <c r="Q163" s="6">
        <v>44568</v>
      </c>
      <c r="R163" s="1" t="s">
        <v>779</v>
      </c>
      <c r="S163" s="1" t="s">
        <v>780</v>
      </c>
      <c r="T163" s="5">
        <v>517</v>
      </c>
      <c r="U163" s="4">
        <v>12</v>
      </c>
      <c r="V163" s="5">
        <v>376</v>
      </c>
      <c r="W163" s="6">
        <v>43710</v>
      </c>
      <c r="X163" s="6">
        <v>42572</v>
      </c>
      <c r="Y163" s="6"/>
      <c r="Z163" s="6"/>
      <c r="AA163" s="6">
        <v>44932</v>
      </c>
      <c r="AB163" s="6"/>
      <c r="AC163" s="6"/>
      <c r="AD163" s="6"/>
    </row>
    <row r="164" spans="1:30">
      <c r="A164" s="1" t="s">
        <v>772</v>
      </c>
      <c r="B164" s="1" t="s">
        <v>773</v>
      </c>
      <c r="C164" s="1" t="s">
        <v>858</v>
      </c>
      <c r="D164" s="1" t="s">
        <v>530</v>
      </c>
      <c r="E164" s="1" t="str">
        <f t="shared" si="2"/>
        <v>W04</v>
      </c>
      <c r="F164" s="4">
        <v>12.18</v>
      </c>
      <c r="G164" s="4">
        <v>9.5299999999999994</v>
      </c>
      <c r="H164" s="4">
        <v>9.5299999999999994</v>
      </c>
      <c r="I164" s="4"/>
      <c r="J164" s="1" t="s">
        <v>775</v>
      </c>
      <c r="K164" s="1" t="s">
        <v>805</v>
      </c>
      <c r="L164" s="1" t="s">
        <v>777</v>
      </c>
      <c r="M164" s="1" t="s">
        <v>778</v>
      </c>
      <c r="O164" s="6">
        <v>44653</v>
      </c>
      <c r="P164" s="6">
        <v>44651</v>
      </c>
      <c r="Q164" s="6">
        <v>44624</v>
      </c>
      <c r="R164" s="1" t="s">
        <v>779</v>
      </c>
      <c r="S164" s="1" t="s">
        <v>795</v>
      </c>
      <c r="T164" s="5">
        <v>577</v>
      </c>
      <c r="U164" s="4">
        <v>10</v>
      </c>
      <c r="V164" s="5">
        <v>313</v>
      </c>
      <c r="W164" s="6">
        <v>43134</v>
      </c>
      <c r="X164" s="6"/>
      <c r="Y164" s="6"/>
      <c r="Z164" s="6"/>
      <c r="AA164" s="6"/>
      <c r="AB164" s="6"/>
      <c r="AC164" s="6"/>
      <c r="AD164" s="6"/>
    </row>
    <row r="165" spans="1:30">
      <c r="A165" s="1" t="s">
        <v>772</v>
      </c>
      <c r="B165" s="1" t="s">
        <v>773</v>
      </c>
      <c r="C165" s="1" t="s">
        <v>858</v>
      </c>
      <c r="D165" s="1" t="s">
        <v>249</v>
      </c>
      <c r="E165" s="1" t="str">
        <f t="shared" si="2"/>
        <v>W04</v>
      </c>
      <c r="F165" s="4">
        <v>17.920000000000002</v>
      </c>
      <c r="G165" s="4">
        <v>14.2</v>
      </c>
      <c r="H165" s="4">
        <v>14.2</v>
      </c>
      <c r="I165" s="4"/>
      <c r="J165" s="1" t="s">
        <v>775</v>
      </c>
      <c r="K165" s="1" t="s">
        <v>897</v>
      </c>
      <c r="L165" s="1" t="s">
        <v>787</v>
      </c>
      <c r="M165" s="1" t="s">
        <v>788</v>
      </c>
      <c r="N165" s="1" t="s">
        <v>777</v>
      </c>
      <c r="O165" s="6">
        <v>44564</v>
      </c>
      <c r="P165" s="6">
        <v>44545</v>
      </c>
      <c r="Q165" s="6">
        <v>44062</v>
      </c>
      <c r="R165" s="1" t="s">
        <v>779</v>
      </c>
      <c r="T165" s="5">
        <v>402</v>
      </c>
      <c r="U165" s="4">
        <v>13</v>
      </c>
      <c r="V165" s="5">
        <v>419</v>
      </c>
      <c r="W165" s="6">
        <v>43830</v>
      </c>
      <c r="X165" s="6">
        <v>43577</v>
      </c>
      <c r="Y165" s="6"/>
      <c r="Z165" s="6"/>
      <c r="AA165" s="6">
        <v>44803</v>
      </c>
      <c r="AB165" s="6"/>
      <c r="AC165" s="6"/>
      <c r="AD165" s="6">
        <v>44901</v>
      </c>
    </row>
    <row r="166" spans="1:30">
      <c r="A166" s="1" t="s">
        <v>772</v>
      </c>
      <c r="B166" s="1" t="s">
        <v>773</v>
      </c>
      <c r="C166" s="1" t="s">
        <v>858</v>
      </c>
      <c r="D166" s="1" t="s">
        <v>312</v>
      </c>
      <c r="E166" s="1" t="str">
        <f t="shared" si="2"/>
        <v>W04</v>
      </c>
      <c r="F166" s="4">
        <v>14.22</v>
      </c>
      <c r="G166" s="4">
        <v>11.56</v>
      </c>
      <c r="H166" s="4">
        <v>11.56</v>
      </c>
      <c r="I166" s="4"/>
      <c r="J166" s="1" t="s">
        <v>775</v>
      </c>
      <c r="K166" s="1" t="s">
        <v>793</v>
      </c>
      <c r="L166" s="1" t="s">
        <v>787</v>
      </c>
      <c r="M166" s="1" t="s">
        <v>788</v>
      </c>
      <c r="O166" s="6">
        <v>44774</v>
      </c>
      <c r="P166" s="6">
        <v>44765</v>
      </c>
      <c r="Q166" s="6">
        <v>44165</v>
      </c>
      <c r="R166" s="1" t="s">
        <v>779</v>
      </c>
      <c r="T166" s="5">
        <v>402</v>
      </c>
      <c r="U166" s="4">
        <v>6</v>
      </c>
      <c r="V166" s="5">
        <v>199</v>
      </c>
      <c r="W166" s="6">
        <v>43803</v>
      </c>
      <c r="X166" s="6"/>
      <c r="Y166" s="6"/>
      <c r="Z166" s="6"/>
      <c r="AA166" s="6"/>
      <c r="AB166" s="6"/>
      <c r="AC166" s="6"/>
      <c r="AD166" s="6">
        <v>44775</v>
      </c>
    </row>
    <row r="167" spans="1:30">
      <c r="A167" s="1" t="s">
        <v>772</v>
      </c>
      <c r="B167" s="1" t="s">
        <v>773</v>
      </c>
      <c r="C167" s="1" t="s">
        <v>858</v>
      </c>
      <c r="D167" s="1" t="s">
        <v>622</v>
      </c>
      <c r="E167" s="1" t="str">
        <f t="shared" si="2"/>
        <v>W04</v>
      </c>
      <c r="F167" s="4">
        <v>8.3000000000000007</v>
      </c>
      <c r="G167" s="4">
        <v>6.6</v>
      </c>
      <c r="H167" s="4">
        <v>6.6</v>
      </c>
      <c r="I167" s="4"/>
      <c r="J167" s="1" t="s">
        <v>775</v>
      </c>
      <c r="K167" s="1" t="s">
        <v>794</v>
      </c>
      <c r="L167" s="1" t="s">
        <v>777</v>
      </c>
      <c r="M167" s="1" t="s">
        <v>778</v>
      </c>
      <c r="N167" s="1" t="s">
        <v>788</v>
      </c>
      <c r="O167" s="6">
        <v>44897</v>
      </c>
      <c r="P167" s="6">
        <v>44889</v>
      </c>
      <c r="Q167" s="6">
        <v>44849</v>
      </c>
      <c r="R167" s="1" t="s">
        <v>779</v>
      </c>
      <c r="S167" s="1" t="s">
        <v>823</v>
      </c>
      <c r="T167" s="5">
        <v>457</v>
      </c>
      <c r="U167" s="4">
        <v>2</v>
      </c>
      <c r="V167" s="5">
        <v>75</v>
      </c>
      <c r="W167" s="6">
        <v>43747</v>
      </c>
      <c r="X167" s="6">
        <v>43665</v>
      </c>
      <c r="Y167" s="6"/>
      <c r="Z167" s="6"/>
      <c r="AA167" s="6"/>
      <c r="AB167" s="6"/>
      <c r="AC167" s="6"/>
      <c r="AD167" s="6"/>
    </row>
    <row r="168" spans="1:30">
      <c r="A168" s="1" t="s">
        <v>772</v>
      </c>
      <c r="B168" s="1" t="s">
        <v>773</v>
      </c>
      <c r="C168" s="1" t="s">
        <v>858</v>
      </c>
      <c r="D168" s="1" t="s">
        <v>309</v>
      </c>
      <c r="E168" s="1" t="str">
        <f t="shared" si="2"/>
        <v>W04</v>
      </c>
      <c r="F168" s="4">
        <v>15.98</v>
      </c>
      <c r="G168" s="4">
        <v>12.86</v>
      </c>
      <c r="H168" s="4">
        <v>12.86</v>
      </c>
      <c r="I168" s="4"/>
      <c r="J168" s="1" t="s">
        <v>775</v>
      </c>
      <c r="K168" s="1" t="s">
        <v>898</v>
      </c>
      <c r="L168" s="1" t="s">
        <v>787</v>
      </c>
      <c r="M168" s="1" t="s">
        <v>788</v>
      </c>
      <c r="N168" s="1" t="s">
        <v>835</v>
      </c>
      <c r="O168" s="6">
        <v>44715</v>
      </c>
      <c r="P168" s="6">
        <v>44712</v>
      </c>
      <c r="Q168" s="6">
        <v>44163</v>
      </c>
      <c r="R168" s="1" t="s">
        <v>779</v>
      </c>
      <c r="T168" s="5">
        <v>402</v>
      </c>
      <c r="U168" s="4">
        <v>8</v>
      </c>
      <c r="V168" s="5">
        <v>252</v>
      </c>
      <c r="W168" s="6">
        <v>43545</v>
      </c>
      <c r="X168" s="6">
        <v>43932</v>
      </c>
      <c r="Y168" s="6"/>
      <c r="Z168" s="6"/>
      <c r="AA168" s="6"/>
      <c r="AB168" s="6"/>
      <c r="AC168" s="6"/>
      <c r="AD168" s="6">
        <v>44713</v>
      </c>
    </row>
    <row r="169" spans="1:30">
      <c r="A169" s="1" t="s">
        <v>772</v>
      </c>
      <c r="B169" s="1" t="s">
        <v>773</v>
      </c>
      <c r="C169" s="1" t="s">
        <v>858</v>
      </c>
      <c r="D169" s="1" t="s">
        <v>410</v>
      </c>
      <c r="E169" s="1" t="str">
        <f t="shared" si="2"/>
        <v>W04</v>
      </c>
      <c r="F169" s="4">
        <v>4.9400000000000004</v>
      </c>
      <c r="G169" s="4">
        <v>3.9</v>
      </c>
      <c r="H169" s="4">
        <v>3.9</v>
      </c>
      <c r="I169" s="4"/>
      <c r="J169" s="1" t="s">
        <v>775</v>
      </c>
      <c r="K169" s="1" t="s">
        <v>807</v>
      </c>
      <c r="L169" s="1" t="s">
        <v>787</v>
      </c>
      <c r="M169" s="1" t="s">
        <v>788</v>
      </c>
      <c r="N169" s="1" t="s">
        <v>787</v>
      </c>
      <c r="O169" s="6">
        <v>44897</v>
      </c>
      <c r="P169" s="6">
        <v>44889</v>
      </c>
      <c r="Q169" s="6">
        <v>44378</v>
      </c>
      <c r="R169" s="1" t="s">
        <v>779</v>
      </c>
      <c r="T169" s="5">
        <v>402</v>
      </c>
      <c r="U169" s="4">
        <v>2</v>
      </c>
      <c r="V169" s="5">
        <v>75</v>
      </c>
      <c r="W169" s="6">
        <v>43710</v>
      </c>
      <c r="X169" s="6">
        <v>42572</v>
      </c>
      <c r="Y169" s="6"/>
      <c r="Z169" s="6"/>
      <c r="AA169" s="6"/>
      <c r="AB169" s="6"/>
      <c r="AC169" s="6"/>
      <c r="AD169" s="6"/>
    </row>
    <row r="170" spans="1:30">
      <c r="A170" s="1" t="s">
        <v>772</v>
      </c>
      <c r="B170" s="1" t="s">
        <v>773</v>
      </c>
      <c r="C170" s="1" t="s">
        <v>848</v>
      </c>
      <c r="D170" s="1" t="s">
        <v>582</v>
      </c>
      <c r="E170" s="1" t="str">
        <f t="shared" si="2"/>
        <v>W02</v>
      </c>
      <c r="F170" s="4">
        <v>10.34</v>
      </c>
      <c r="G170" s="4">
        <v>8.14</v>
      </c>
      <c r="H170" s="4">
        <v>8.14</v>
      </c>
      <c r="I170" s="4"/>
      <c r="J170" s="1" t="s">
        <v>775</v>
      </c>
      <c r="K170" s="1" t="s">
        <v>800</v>
      </c>
      <c r="L170" s="1" t="s">
        <v>777</v>
      </c>
      <c r="M170" s="1" t="s">
        <v>778</v>
      </c>
      <c r="O170" s="6">
        <v>44806</v>
      </c>
      <c r="P170" s="6">
        <v>44793</v>
      </c>
      <c r="Q170" s="6">
        <v>44771</v>
      </c>
      <c r="R170" s="1" t="s">
        <v>779</v>
      </c>
      <c r="S170" s="1" t="s">
        <v>795</v>
      </c>
      <c r="T170" s="5">
        <v>577</v>
      </c>
      <c r="U170" s="4">
        <v>5</v>
      </c>
      <c r="V170" s="5">
        <v>171</v>
      </c>
      <c r="W170" s="6">
        <v>44383</v>
      </c>
      <c r="X170" s="6"/>
      <c r="Y170" s="6"/>
      <c r="Z170" s="6"/>
      <c r="AA170" s="6"/>
      <c r="AB170" s="6"/>
      <c r="AC170" s="6"/>
      <c r="AD170" s="6"/>
    </row>
    <row r="171" spans="1:30">
      <c r="A171" s="1" t="s">
        <v>772</v>
      </c>
      <c r="B171" s="1" t="s">
        <v>773</v>
      </c>
      <c r="C171" s="1" t="s">
        <v>848</v>
      </c>
      <c r="D171" s="1" t="s">
        <v>318</v>
      </c>
      <c r="E171" s="1" t="str">
        <f t="shared" si="2"/>
        <v>W02</v>
      </c>
      <c r="F171" s="4">
        <v>14.04</v>
      </c>
      <c r="G171" s="4">
        <v>11.17</v>
      </c>
      <c r="H171" s="4">
        <v>11.17</v>
      </c>
      <c r="I171" s="4"/>
      <c r="J171" s="1" t="s">
        <v>775</v>
      </c>
      <c r="K171" s="1" t="s">
        <v>786</v>
      </c>
      <c r="L171" s="1" t="s">
        <v>787</v>
      </c>
      <c r="M171" s="1" t="s">
        <v>788</v>
      </c>
      <c r="O171" s="6">
        <v>44805</v>
      </c>
      <c r="P171" s="6">
        <v>44800</v>
      </c>
      <c r="Q171" s="6">
        <v>44216</v>
      </c>
      <c r="R171" s="1" t="s">
        <v>779</v>
      </c>
      <c r="T171" s="5">
        <v>402</v>
      </c>
      <c r="U171" s="4">
        <v>5</v>
      </c>
      <c r="V171" s="5">
        <v>164</v>
      </c>
      <c r="W171" s="6">
        <v>43322</v>
      </c>
      <c r="X171" s="6"/>
      <c r="Y171" s="6"/>
      <c r="Z171" s="6"/>
      <c r="AA171" s="6"/>
      <c r="AB171" s="6"/>
      <c r="AC171" s="6"/>
      <c r="AD171" s="6">
        <v>44805</v>
      </c>
    </row>
    <row r="172" spans="1:30">
      <c r="A172" s="1" t="s">
        <v>772</v>
      </c>
      <c r="B172" s="1" t="s">
        <v>773</v>
      </c>
      <c r="C172" s="1" t="s">
        <v>848</v>
      </c>
      <c r="D172" s="1" t="s">
        <v>221</v>
      </c>
      <c r="E172" s="1" t="str">
        <f t="shared" si="2"/>
        <v>W02</v>
      </c>
      <c r="F172" s="4">
        <v>4.8</v>
      </c>
      <c r="G172" s="4">
        <v>3.8</v>
      </c>
      <c r="H172" s="4">
        <v>3.8</v>
      </c>
      <c r="I172" s="4"/>
      <c r="J172" s="1" t="s">
        <v>775</v>
      </c>
      <c r="K172" s="1" t="s">
        <v>888</v>
      </c>
      <c r="L172" s="1" t="s">
        <v>778</v>
      </c>
      <c r="M172" s="1" t="s">
        <v>777</v>
      </c>
      <c r="N172" s="1" t="s">
        <v>788</v>
      </c>
      <c r="O172" s="6">
        <v>44837</v>
      </c>
      <c r="P172" s="6">
        <v>44834</v>
      </c>
      <c r="Q172" s="6"/>
      <c r="R172" s="1" t="s">
        <v>779</v>
      </c>
      <c r="T172" s="5">
        <v>120</v>
      </c>
      <c r="U172" s="4">
        <v>4</v>
      </c>
      <c r="V172" s="5">
        <v>130</v>
      </c>
      <c r="W172" s="6">
        <v>43747</v>
      </c>
      <c r="X172" s="6">
        <v>43665</v>
      </c>
      <c r="Y172" s="6"/>
      <c r="Z172" s="6"/>
      <c r="AA172" s="6"/>
      <c r="AB172" s="6"/>
      <c r="AC172" s="6"/>
      <c r="AD172" s="6"/>
    </row>
    <row r="173" spans="1:30">
      <c r="A173" s="1" t="s">
        <v>772</v>
      </c>
      <c r="B173" s="1" t="s">
        <v>773</v>
      </c>
      <c r="C173" s="1" t="s">
        <v>848</v>
      </c>
      <c r="D173" s="1" t="s">
        <v>240</v>
      </c>
      <c r="E173" s="1" t="str">
        <f t="shared" si="2"/>
        <v>W02</v>
      </c>
      <c r="F173" s="4">
        <v>5.56</v>
      </c>
      <c r="G173" s="4">
        <v>4.38</v>
      </c>
      <c r="H173" s="4">
        <v>4.38</v>
      </c>
      <c r="I173" s="4"/>
      <c r="J173" s="1" t="s">
        <v>775</v>
      </c>
      <c r="K173" s="1" t="s">
        <v>888</v>
      </c>
      <c r="L173" s="1" t="s">
        <v>778</v>
      </c>
      <c r="M173" s="1" t="s">
        <v>777</v>
      </c>
      <c r="N173" s="1" t="s">
        <v>787</v>
      </c>
      <c r="O173" s="6">
        <v>44865</v>
      </c>
      <c r="P173" s="6">
        <v>44850</v>
      </c>
      <c r="Q173" s="6"/>
      <c r="R173" s="1" t="s">
        <v>779</v>
      </c>
      <c r="T173" s="5">
        <v>120</v>
      </c>
      <c r="U173" s="4">
        <v>3</v>
      </c>
      <c r="V173" s="5">
        <v>114</v>
      </c>
      <c r="W173" s="6">
        <v>43963</v>
      </c>
      <c r="X173" s="6">
        <v>43997</v>
      </c>
      <c r="Y173" s="6"/>
      <c r="Z173" s="6"/>
      <c r="AA173" s="6"/>
      <c r="AB173" s="6"/>
      <c r="AC173" s="6"/>
      <c r="AD173" s="6"/>
    </row>
    <row r="174" spans="1:30">
      <c r="A174" s="1" t="s">
        <v>772</v>
      </c>
      <c r="B174" s="1" t="s">
        <v>773</v>
      </c>
      <c r="C174" s="1" t="s">
        <v>848</v>
      </c>
      <c r="D174" s="1" t="s">
        <v>503</v>
      </c>
      <c r="E174" s="1" t="str">
        <f t="shared" si="2"/>
        <v>W02</v>
      </c>
      <c r="F174" s="4">
        <v>13.84</v>
      </c>
      <c r="G174" s="4">
        <v>10.9</v>
      </c>
      <c r="H174" s="4">
        <v>10.9</v>
      </c>
      <c r="I174" s="4"/>
      <c r="J174" s="1" t="s">
        <v>775</v>
      </c>
      <c r="K174" s="1" t="s">
        <v>822</v>
      </c>
      <c r="L174" s="1" t="s">
        <v>777</v>
      </c>
      <c r="M174" s="1" t="s">
        <v>778</v>
      </c>
      <c r="N174" s="1" t="s">
        <v>873</v>
      </c>
      <c r="O174" s="6">
        <v>44614</v>
      </c>
      <c r="P174" s="6">
        <v>44597</v>
      </c>
      <c r="Q174" s="6">
        <v>44579</v>
      </c>
      <c r="R174" s="1" t="s">
        <v>779</v>
      </c>
      <c r="S174" s="1" t="s">
        <v>795</v>
      </c>
      <c r="T174" s="5">
        <v>577</v>
      </c>
      <c r="U174" s="4">
        <v>12</v>
      </c>
      <c r="V174" s="5">
        <v>367</v>
      </c>
      <c r="W174" s="6">
        <v>43977</v>
      </c>
      <c r="X174" s="6">
        <v>43275</v>
      </c>
      <c r="Y174" s="6"/>
      <c r="Z174" s="6"/>
      <c r="AA174" s="6"/>
      <c r="AB174" s="6"/>
      <c r="AC174" s="6"/>
      <c r="AD174" s="6"/>
    </row>
    <row r="175" spans="1:30">
      <c r="A175" s="1" t="s">
        <v>772</v>
      </c>
      <c r="B175" s="1" t="s">
        <v>773</v>
      </c>
      <c r="C175" s="1" t="s">
        <v>848</v>
      </c>
      <c r="D175" s="1" t="s">
        <v>174</v>
      </c>
      <c r="E175" s="1" t="str">
        <f t="shared" si="2"/>
        <v>W02</v>
      </c>
      <c r="F175" s="4">
        <v>16.25</v>
      </c>
      <c r="G175" s="4">
        <v>12.7</v>
      </c>
      <c r="H175" s="4">
        <v>12.7</v>
      </c>
      <c r="I175" s="4"/>
      <c r="J175" s="1" t="s">
        <v>775</v>
      </c>
      <c r="K175" s="1" t="s">
        <v>800</v>
      </c>
      <c r="L175" s="1" t="s">
        <v>777</v>
      </c>
      <c r="M175" s="1" t="s">
        <v>778</v>
      </c>
      <c r="O175" s="6">
        <v>44834</v>
      </c>
      <c r="P175" s="6">
        <v>44826</v>
      </c>
      <c r="Q175" s="6">
        <v>44803</v>
      </c>
      <c r="R175" s="1" t="s">
        <v>779</v>
      </c>
      <c r="S175" s="1" t="s">
        <v>795</v>
      </c>
      <c r="T175" s="5">
        <v>577</v>
      </c>
      <c r="U175" s="4">
        <v>4</v>
      </c>
      <c r="V175" s="5">
        <v>138</v>
      </c>
      <c r="W175" s="6">
        <v>43435</v>
      </c>
      <c r="X175" s="6"/>
      <c r="Y175" s="6"/>
      <c r="Z175" s="6"/>
      <c r="AA175" s="6"/>
      <c r="AB175" s="6"/>
      <c r="AC175" s="6"/>
      <c r="AD175" s="6"/>
    </row>
    <row r="176" spans="1:30">
      <c r="A176" s="1" t="s">
        <v>772</v>
      </c>
      <c r="B176" s="1" t="s">
        <v>773</v>
      </c>
      <c r="C176" s="1" t="s">
        <v>848</v>
      </c>
      <c r="D176" s="1" t="s">
        <v>492</v>
      </c>
      <c r="E176" s="1" t="str">
        <f t="shared" si="2"/>
        <v>W02</v>
      </c>
      <c r="F176" s="4">
        <v>11.52</v>
      </c>
      <c r="G176" s="4">
        <v>9.2100000000000009</v>
      </c>
      <c r="H176" s="4">
        <v>9.2100000000000009</v>
      </c>
      <c r="I176" s="4"/>
      <c r="J176" s="1" t="s">
        <v>775</v>
      </c>
      <c r="K176" s="1" t="s">
        <v>840</v>
      </c>
      <c r="L176" s="1" t="s">
        <v>777</v>
      </c>
      <c r="M176" s="1" t="s">
        <v>778</v>
      </c>
      <c r="O176" s="6">
        <v>44589</v>
      </c>
      <c r="P176" s="6">
        <v>44579</v>
      </c>
      <c r="Q176" s="6">
        <v>44537</v>
      </c>
      <c r="R176" s="1" t="s">
        <v>779</v>
      </c>
      <c r="S176" s="1" t="s">
        <v>823</v>
      </c>
      <c r="T176" s="5">
        <v>457</v>
      </c>
      <c r="U176" s="4">
        <v>12</v>
      </c>
      <c r="V176" s="5">
        <v>385</v>
      </c>
      <c r="W176" s="6">
        <v>43134</v>
      </c>
      <c r="X176" s="6"/>
      <c r="Y176" s="6"/>
      <c r="Z176" s="6"/>
      <c r="AA176" s="6">
        <v>44875</v>
      </c>
      <c r="AB176" s="6"/>
      <c r="AC176" s="6"/>
      <c r="AD176" s="6"/>
    </row>
    <row r="177" spans="1:30">
      <c r="A177" s="1" t="s">
        <v>772</v>
      </c>
      <c r="B177" s="1" t="s">
        <v>773</v>
      </c>
      <c r="C177" s="1" t="s">
        <v>848</v>
      </c>
      <c r="D177" s="1" t="s">
        <v>494</v>
      </c>
      <c r="E177" s="1" t="str">
        <f t="shared" si="2"/>
        <v>W02</v>
      </c>
      <c r="F177" s="4">
        <v>12.15</v>
      </c>
      <c r="G177" s="4">
        <v>9.68</v>
      </c>
      <c r="H177" s="4">
        <v>9.68</v>
      </c>
      <c r="I177" s="4"/>
      <c r="J177" s="1" t="s">
        <v>775</v>
      </c>
      <c r="K177" s="1" t="s">
        <v>840</v>
      </c>
      <c r="L177" s="1" t="s">
        <v>777</v>
      </c>
      <c r="M177" s="1" t="s">
        <v>778</v>
      </c>
      <c r="N177" s="1" t="s">
        <v>787</v>
      </c>
      <c r="O177" s="6">
        <v>44589</v>
      </c>
      <c r="P177" s="6">
        <v>44581</v>
      </c>
      <c r="Q177" s="6">
        <v>44565</v>
      </c>
      <c r="R177" s="1" t="s">
        <v>779</v>
      </c>
      <c r="S177" s="1" t="s">
        <v>823</v>
      </c>
      <c r="T177" s="5">
        <v>457</v>
      </c>
      <c r="U177" s="4">
        <v>12</v>
      </c>
      <c r="V177" s="5">
        <v>383</v>
      </c>
      <c r="W177" s="6">
        <v>43620</v>
      </c>
      <c r="X177" s="6">
        <v>42472</v>
      </c>
      <c r="Y177" s="6"/>
      <c r="Z177" s="6"/>
      <c r="AA177" s="6">
        <v>44900</v>
      </c>
      <c r="AB177" s="6"/>
      <c r="AC177" s="6"/>
      <c r="AD177" s="6"/>
    </row>
    <row r="178" spans="1:30">
      <c r="A178" s="1" t="s">
        <v>772</v>
      </c>
      <c r="B178" s="1" t="s">
        <v>773</v>
      </c>
      <c r="C178" s="1" t="s">
        <v>848</v>
      </c>
      <c r="D178" s="1" t="s">
        <v>47</v>
      </c>
      <c r="E178" s="1" t="str">
        <f t="shared" si="2"/>
        <v>W02</v>
      </c>
      <c r="F178" s="4">
        <v>10.68</v>
      </c>
      <c r="G178" s="4">
        <v>8.4499999999999993</v>
      </c>
      <c r="H178" s="4">
        <v>8.4499999999999993</v>
      </c>
      <c r="I178" s="4"/>
      <c r="J178" s="1" t="s">
        <v>775</v>
      </c>
      <c r="K178" s="1" t="s">
        <v>839</v>
      </c>
      <c r="L178" s="1" t="s">
        <v>777</v>
      </c>
      <c r="M178" s="1" t="s">
        <v>778</v>
      </c>
      <c r="O178" s="6">
        <v>44775</v>
      </c>
      <c r="P178" s="6">
        <v>44773</v>
      </c>
      <c r="Q178" s="6">
        <v>44713</v>
      </c>
      <c r="R178" s="1" t="s">
        <v>779</v>
      </c>
      <c r="S178" s="1" t="s">
        <v>795</v>
      </c>
      <c r="T178" s="5">
        <v>577</v>
      </c>
      <c r="U178" s="4">
        <v>6</v>
      </c>
      <c r="V178" s="5">
        <v>191</v>
      </c>
      <c r="W178" s="6">
        <v>45241</v>
      </c>
      <c r="X178" s="6"/>
      <c r="Y178" s="6"/>
      <c r="Z178" s="6"/>
      <c r="AA178" s="6"/>
      <c r="AB178" s="6"/>
      <c r="AC178" s="6"/>
      <c r="AD178" s="6"/>
    </row>
    <row r="179" spans="1:30">
      <c r="A179" s="1" t="s">
        <v>772</v>
      </c>
      <c r="B179" s="1" t="s">
        <v>773</v>
      </c>
      <c r="C179" s="1" t="s">
        <v>848</v>
      </c>
      <c r="D179" s="1" t="s">
        <v>361</v>
      </c>
      <c r="E179" s="1" t="str">
        <f t="shared" si="2"/>
        <v>W02</v>
      </c>
      <c r="F179" s="4">
        <v>8.3699999999999992</v>
      </c>
      <c r="G179" s="4">
        <v>6.68</v>
      </c>
      <c r="H179" s="4">
        <v>6.68</v>
      </c>
      <c r="I179" s="4"/>
      <c r="J179" s="1" t="s">
        <v>775</v>
      </c>
      <c r="K179" s="1" t="s">
        <v>861</v>
      </c>
      <c r="L179" s="1" t="s">
        <v>787</v>
      </c>
      <c r="M179" s="1" t="s">
        <v>788</v>
      </c>
      <c r="N179" s="1" t="s">
        <v>777</v>
      </c>
      <c r="O179" s="6">
        <v>44866</v>
      </c>
      <c r="P179" s="6">
        <v>44850</v>
      </c>
      <c r="Q179" s="6">
        <v>44294</v>
      </c>
      <c r="R179" s="1" t="s">
        <v>779</v>
      </c>
      <c r="T179" s="5">
        <v>300</v>
      </c>
      <c r="U179" s="4">
        <v>3</v>
      </c>
      <c r="V179" s="5">
        <v>114</v>
      </c>
      <c r="W179" s="6">
        <v>43175</v>
      </c>
      <c r="X179" s="6">
        <v>43206</v>
      </c>
      <c r="Y179" s="6"/>
      <c r="Z179" s="6"/>
      <c r="AA179" s="6"/>
      <c r="AB179" s="6"/>
      <c r="AC179" s="6"/>
      <c r="AD179" s="6">
        <v>44897</v>
      </c>
    </row>
    <row r="180" spans="1:30">
      <c r="A180" s="1" t="s">
        <v>772</v>
      </c>
      <c r="B180" s="1" t="s">
        <v>773</v>
      </c>
      <c r="C180" s="1" t="s">
        <v>848</v>
      </c>
      <c r="D180" s="1" t="s">
        <v>502</v>
      </c>
      <c r="E180" s="1" t="str">
        <f t="shared" si="2"/>
        <v>W02</v>
      </c>
      <c r="F180" s="4">
        <v>12.33</v>
      </c>
      <c r="G180" s="4">
        <v>9.93</v>
      </c>
      <c r="H180" s="4">
        <v>9.93</v>
      </c>
      <c r="I180" s="4"/>
      <c r="J180" s="1" t="s">
        <v>775</v>
      </c>
      <c r="K180" s="1" t="s">
        <v>822</v>
      </c>
      <c r="L180" s="1" t="s">
        <v>777</v>
      </c>
      <c r="M180" s="1" t="s">
        <v>778</v>
      </c>
      <c r="N180" s="1" t="s">
        <v>787</v>
      </c>
      <c r="O180" s="6">
        <v>44607</v>
      </c>
      <c r="P180" s="6">
        <v>44597</v>
      </c>
      <c r="Q180" s="6">
        <v>44574</v>
      </c>
      <c r="R180" s="1" t="s">
        <v>779</v>
      </c>
      <c r="S180" s="1" t="s">
        <v>795</v>
      </c>
      <c r="T180" s="5">
        <v>577</v>
      </c>
      <c r="U180" s="4">
        <v>12</v>
      </c>
      <c r="V180" s="5">
        <v>367</v>
      </c>
      <c r="W180" s="6">
        <v>43620</v>
      </c>
      <c r="X180" s="6">
        <v>42472</v>
      </c>
      <c r="Y180" s="6"/>
      <c r="Z180" s="6"/>
      <c r="AA180" s="6"/>
      <c r="AB180" s="6"/>
      <c r="AC180" s="6"/>
      <c r="AD180" s="6"/>
    </row>
    <row r="181" spans="1:30">
      <c r="A181" s="1" t="s">
        <v>772</v>
      </c>
      <c r="B181" s="1" t="s">
        <v>773</v>
      </c>
      <c r="C181" s="1" t="s">
        <v>848</v>
      </c>
      <c r="D181" s="1" t="s">
        <v>496</v>
      </c>
      <c r="E181" s="1" t="str">
        <f t="shared" si="2"/>
        <v>W02</v>
      </c>
      <c r="F181" s="4">
        <v>11.33</v>
      </c>
      <c r="G181" s="4">
        <v>9.15</v>
      </c>
      <c r="H181" s="4">
        <v>9.15</v>
      </c>
      <c r="I181" s="4"/>
      <c r="J181" s="1" t="s">
        <v>775</v>
      </c>
      <c r="K181" s="1" t="s">
        <v>840</v>
      </c>
      <c r="L181" s="1" t="s">
        <v>777</v>
      </c>
      <c r="M181" s="1" t="s">
        <v>778</v>
      </c>
      <c r="N181" s="1" t="s">
        <v>787</v>
      </c>
      <c r="O181" s="6">
        <v>44589</v>
      </c>
      <c r="P181" s="6">
        <v>44581</v>
      </c>
      <c r="Q181" s="6">
        <v>44568</v>
      </c>
      <c r="R181" s="1" t="s">
        <v>779</v>
      </c>
      <c r="S181" s="1" t="s">
        <v>795</v>
      </c>
      <c r="T181" s="5">
        <v>577</v>
      </c>
      <c r="U181" s="4">
        <v>12</v>
      </c>
      <c r="V181" s="5">
        <v>383</v>
      </c>
      <c r="W181" s="6">
        <v>43620</v>
      </c>
      <c r="X181" s="6">
        <v>42472</v>
      </c>
      <c r="Y181" s="6"/>
      <c r="Z181" s="6"/>
      <c r="AA181" s="6"/>
      <c r="AB181" s="6"/>
      <c r="AC181" s="6"/>
      <c r="AD181" s="6"/>
    </row>
    <row r="182" spans="1:30">
      <c r="A182" s="1" t="s">
        <v>772</v>
      </c>
      <c r="B182" s="1" t="s">
        <v>773</v>
      </c>
      <c r="C182" s="1" t="s">
        <v>848</v>
      </c>
      <c r="D182" s="1" t="s">
        <v>305</v>
      </c>
      <c r="E182" s="1" t="str">
        <f t="shared" si="2"/>
        <v>W02</v>
      </c>
      <c r="F182" s="4">
        <v>11.6</v>
      </c>
      <c r="G182" s="4">
        <v>9.6199999999999992</v>
      </c>
      <c r="H182" s="4">
        <v>9.6199999999999992</v>
      </c>
      <c r="I182" s="4"/>
      <c r="J182" s="1" t="s">
        <v>775</v>
      </c>
      <c r="K182" s="1" t="s">
        <v>898</v>
      </c>
      <c r="L182" s="1" t="s">
        <v>787</v>
      </c>
      <c r="M182" s="1" t="s">
        <v>788</v>
      </c>
      <c r="N182" s="1" t="s">
        <v>835</v>
      </c>
      <c r="O182" s="6">
        <v>44715</v>
      </c>
      <c r="P182" s="6">
        <v>44712</v>
      </c>
      <c r="Q182" s="6">
        <v>44153</v>
      </c>
      <c r="R182" s="1" t="s">
        <v>779</v>
      </c>
      <c r="T182" s="5">
        <v>402</v>
      </c>
      <c r="U182" s="4">
        <v>8</v>
      </c>
      <c r="V182" s="5">
        <v>252</v>
      </c>
      <c r="W182" s="6">
        <v>43545</v>
      </c>
      <c r="X182" s="6">
        <v>43932</v>
      </c>
      <c r="Y182" s="6"/>
      <c r="Z182" s="6"/>
      <c r="AA182" s="6">
        <v>44956</v>
      </c>
      <c r="AB182" s="6"/>
      <c r="AC182" s="6"/>
      <c r="AD182" s="6">
        <v>44733</v>
      </c>
    </row>
    <row r="183" spans="1:30">
      <c r="A183" s="1" t="s">
        <v>772</v>
      </c>
      <c r="B183" s="1" t="s">
        <v>773</v>
      </c>
      <c r="C183" s="1" t="s">
        <v>848</v>
      </c>
      <c r="D183" s="1" t="s">
        <v>405</v>
      </c>
      <c r="E183" s="1" t="str">
        <f t="shared" si="2"/>
        <v>W02</v>
      </c>
      <c r="F183" s="4">
        <v>12.93</v>
      </c>
      <c r="G183" s="4">
        <v>10.31</v>
      </c>
      <c r="H183" s="4">
        <v>10.31</v>
      </c>
      <c r="I183" s="4"/>
      <c r="J183" s="1" t="s">
        <v>775</v>
      </c>
      <c r="K183" s="1" t="s">
        <v>894</v>
      </c>
      <c r="L183" s="1" t="s">
        <v>787</v>
      </c>
      <c r="M183" s="1" t="s">
        <v>788</v>
      </c>
      <c r="O183" s="6">
        <v>44959</v>
      </c>
      <c r="P183" s="6">
        <v>44957</v>
      </c>
      <c r="Q183" s="6">
        <v>44363</v>
      </c>
      <c r="R183" s="1" t="s">
        <v>779</v>
      </c>
      <c r="T183" s="5">
        <v>402</v>
      </c>
      <c r="U183" s="4">
        <v>0</v>
      </c>
      <c r="V183" s="5">
        <v>7</v>
      </c>
      <c r="W183" s="6">
        <v>43803</v>
      </c>
      <c r="X183" s="6"/>
      <c r="Y183" s="6"/>
      <c r="Z183" s="6"/>
      <c r="AA183" s="6"/>
      <c r="AB183" s="6"/>
      <c r="AC183" s="6"/>
      <c r="AD183" s="6"/>
    </row>
    <row r="184" spans="1:30">
      <c r="A184" s="1" t="s">
        <v>772</v>
      </c>
      <c r="B184" s="1" t="s">
        <v>773</v>
      </c>
      <c r="C184" s="1" t="s">
        <v>858</v>
      </c>
      <c r="D184" s="1" t="s">
        <v>403</v>
      </c>
      <c r="E184" s="1" t="str">
        <f t="shared" si="2"/>
        <v>W04</v>
      </c>
      <c r="F184" s="4">
        <v>6.89</v>
      </c>
      <c r="G184" s="4">
        <v>5.5</v>
      </c>
      <c r="H184" s="4">
        <v>5.5</v>
      </c>
      <c r="I184" s="4"/>
      <c r="J184" s="1" t="s">
        <v>775</v>
      </c>
      <c r="K184" s="1" t="s">
        <v>899</v>
      </c>
      <c r="L184" s="1" t="s">
        <v>777</v>
      </c>
      <c r="M184" s="1" t="s">
        <v>778</v>
      </c>
      <c r="N184" s="1" t="s">
        <v>788</v>
      </c>
      <c r="O184" s="6">
        <v>44394</v>
      </c>
      <c r="P184" s="6">
        <v>44385</v>
      </c>
      <c r="Q184" s="6">
        <v>44369</v>
      </c>
      <c r="R184" s="1" t="s">
        <v>779</v>
      </c>
      <c r="S184" s="1" t="s">
        <v>795</v>
      </c>
      <c r="T184" s="5">
        <v>577</v>
      </c>
      <c r="U184" s="4">
        <v>19</v>
      </c>
      <c r="V184" s="5">
        <v>579</v>
      </c>
      <c r="W184" s="6">
        <v>43763</v>
      </c>
      <c r="X184" s="6">
        <v>43468</v>
      </c>
      <c r="Y184" s="6"/>
      <c r="Z184" s="6"/>
      <c r="AA184" s="6">
        <v>44817</v>
      </c>
      <c r="AB184" s="6"/>
      <c r="AC184" s="6"/>
      <c r="AD184" s="6">
        <v>44958</v>
      </c>
    </row>
    <row r="185" spans="1:30">
      <c r="A185" s="1" t="s">
        <v>772</v>
      </c>
      <c r="B185" s="1" t="s">
        <v>773</v>
      </c>
      <c r="C185" s="1" t="s">
        <v>858</v>
      </c>
      <c r="D185" s="1" t="s">
        <v>400</v>
      </c>
      <c r="E185" s="1" t="str">
        <f t="shared" si="2"/>
        <v>W04</v>
      </c>
      <c r="F185" s="5">
        <v>10.41</v>
      </c>
      <c r="G185" s="5">
        <v>8.18</v>
      </c>
      <c r="H185" s="5">
        <v>8.18</v>
      </c>
      <c r="I185" s="5"/>
      <c r="J185" s="1" t="s">
        <v>775</v>
      </c>
      <c r="K185" s="1" t="s">
        <v>899</v>
      </c>
      <c r="L185" s="1" t="s">
        <v>777</v>
      </c>
      <c r="M185" s="1" t="s">
        <v>778</v>
      </c>
      <c r="N185" s="1" t="s">
        <v>788</v>
      </c>
      <c r="O185" s="6">
        <v>44394</v>
      </c>
      <c r="P185" s="6">
        <v>44379</v>
      </c>
      <c r="Q185" s="6">
        <v>44366</v>
      </c>
      <c r="R185" s="1" t="s">
        <v>779</v>
      </c>
      <c r="S185" s="1" t="s">
        <v>795</v>
      </c>
      <c r="T185" s="5">
        <v>577</v>
      </c>
      <c r="U185" s="4">
        <v>19</v>
      </c>
      <c r="V185" s="5">
        <v>585</v>
      </c>
      <c r="W185" s="6">
        <v>43763</v>
      </c>
      <c r="X185" s="6">
        <v>43468</v>
      </c>
      <c r="Y185" s="6"/>
      <c r="Z185" s="6"/>
      <c r="AA185" s="6">
        <v>44811</v>
      </c>
      <c r="AB185" s="6"/>
      <c r="AC185" s="6"/>
      <c r="AD185" s="6">
        <v>44932</v>
      </c>
    </row>
    <row r="186" spans="1:30">
      <c r="A186" s="1" t="s">
        <v>772</v>
      </c>
      <c r="B186" s="1" t="s">
        <v>773</v>
      </c>
      <c r="C186" s="1" t="s">
        <v>858</v>
      </c>
      <c r="D186" s="1" t="s">
        <v>519</v>
      </c>
      <c r="E186" s="1" t="str">
        <f t="shared" si="2"/>
        <v>W04</v>
      </c>
      <c r="F186" s="4">
        <v>8.24</v>
      </c>
      <c r="G186" s="4">
        <v>6.48</v>
      </c>
      <c r="H186" s="4">
        <v>6.48</v>
      </c>
      <c r="I186" s="4"/>
      <c r="J186" s="1" t="s">
        <v>775</v>
      </c>
      <c r="K186" s="1" t="s">
        <v>824</v>
      </c>
      <c r="L186" s="1" t="s">
        <v>777</v>
      </c>
      <c r="M186" s="1" t="s">
        <v>778</v>
      </c>
      <c r="N186" s="1" t="s">
        <v>787</v>
      </c>
      <c r="O186" s="6">
        <v>44642</v>
      </c>
      <c r="P186" s="6">
        <v>44630</v>
      </c>
      <c r="Q186" s="6">
        <v>44610</v>
      </c>
      <c r="R186" s="1" t="s">
        <v>779</v>
      </c>
      <c r="S186" s="1" t="s">
        <v>780</v>
      </c>
      <c r="T186" s="5">
        <v>517</v>
      </c>
      <c r="U186" s="4">
        <v>10</v>
      </c>
      <c r="V186" s="5">
        <v>334</v>
      </c>
      <c r="W186" s="6">
        <v>43497</v>
      </c>
      <c r="X186" s="6">
        <v>42702</v>
      </c>
      <c r="Y186" s="6"/>
      <c r="Z186" s="6"/>
      <c r="AA186" s="6"/>
      <c r="AB186" s="6"/>
      <c r="AC186" s="6"/>
      <c r="AD186" s="6"/>
    </row>
    <row r="187" spans="1:30">
      <c r="A187" s="1" t="s">
        <v>772</v>
      </c>
      <c r="B187" s="1" t="s">
        <v>773</v>
      </c>
      <c r="C187" s="1" t="s">
        <v>858</v>
      </c>
      <c r="D187" s="1" t="s">
        <v>457</v>
      </c>
      <c r="E187" s="1" t="str">
        <f t="shared" si="2"/>
        <v>W04</v>
      </c>
      <c r="F187" s="4">
        <v>11.8</v>
      </c>
      <c r="G187" s="4">
        <v>9.3000000000000007</v>
      </c>
      <c r="H187" s="4">
        <v>9.3000000000000007</v>
      </c>
      <c r="I187" s="4"/>
      <c r="J187" s="1" t="s">
        <v>775</v>
      </c>
      <c r="K187" s="1" t="s">
        <v>886</v>
      </c>
      <c r="L187" s="1" t="s">
        <v>777</v>
      </c>
      <c r="M187" s="1" t="s">
        <v>778</v>
      </c>
      <c r="N187" s="1" t="s">
        <v>788</v>
      </c>
      <c r="O187" s="6">
        <v>44488</v>
      </c>
      <c r="P187" s="6">
        <v>44485</v>
      </c>
      <c r="Q187" s="6">
        <v>44461</v>
      </c>
      <c r="R187" s="1" t="s">
        <v>779</v>
      </c>
      <c r="S187" s="1" t="s">
        <v>841</v>
      </c>
      <c r="T187" s="5">
        <v>577</v>
      </c>
      <c r="U187" s="4">
        <v>15</v>
      </c>
      <c r="V187" s="5">
        <v>479</v>
      </c>
      <c r="W187" s="6">
        <v>43432</v>
      </c>
      <c r="X187" s="6">
        <v>43807</v>
      </c>
      <c r="Y187" s="6"/>
      <c r="Z187" s="6"/>
      <c r="AA187" s="6">
        <v>44875</v>
      </c>
      <c r="AB187" s="6"/>
      <c r="AC187" s="6"/>
      <c r="AD187" s="6"/>
    </row>
    <row r="188" spans="1:30">
      <c r="A188" s="1" t="s">
        <v>772</v>
      </c>
      <c r="B188" s="1" t="s">
        <v>773</v>
      </c>
      <c r="C188" s="1" t="s">
        <v>858</v>
      </c>
      <c r="D188" s="1" t="s">
        <v>655</v>
      </c>
      <c r="E188" s="1" t="str">
        <f t="shared" si="2"/>
        <v>W04</v>
      </c>
      <c r="F188" s="4">
        <v>16.100000000000001</v>
      </c>
      <c r="G188" s="4">
        <v>14.1</v>
      </c>
      <c r="H188" s="4">
        <v>14.1</v>
      </c>
      <c r="I188" s="4"/>
      <c r="J188" s="1" t="s">
        <v>775</v>
      </c>
      <c r="K188" s="1" t="s">
        <v>900</v>
      </c>
      <c r="L188" s="1" t="s">
        <v>828</v>
      </c>
      <c r="M188" s="1" t="s">
        <v>777</v>
      </c>
      <c r="N188" s="1" t="s">
        <v>788</v>
      </c>
      <c r="O188" s="6">
        <v>44943</v>
      </c>
      <c r="P188" s="6">
        <v>44942</v>
      </c>
      <c r="Q188" s="6"/>
      <c r="R188" s="1" t="s">
        <v>830</v>
      </c>
      <c r="T188" s="5">
        <v>60</v>
      </c>
      <c r="U188" s="4">
        <v>0</v>
      </c>
      <c r="V188" s="5">
        <v>22</v>
      </c>
      <c r="W188" s="6">
        <v>43767</v>
      </c>
      <c r="X188" s="6">
        <v>43796</v>
      </c>
      <c r="Y188" s="6"/>
      <c r="Z188" s="6"/>
      <c r="AA188" s="6"/>
      <c r="AB188" s="6"/>
      <c r="AC188" s="6"/>
      <c r="AD188" s="6"/>
    </row>
    <row r="189" spans="1:30">
      <c r="A189" s="1" t="s">
        <v>772</v>
      </c>
      <c r="B189" s="1" t="s">
        <v>773</v>
      </c>
      <c r="C189" s="1" t="s">
        <v>858</v>
      </c>
      <c r="D189" s="1" t="s">
        <v>192</v>
      </c>
      <c r="E189" s="1" t="str">
        <f t="shared" si="2"/>
        <v>W04</v>
      </c>
      <c r="F189" s="4">
        <v>7.3</v>
      </c>
      <c r="G189" s="4">
        <v>5.7</v>
      </c>
      <c r="H189" s="4">
        <v>5.7</v>
      </c>
      <c r="I189" s="4"/>
      <c r="J189" s="1" t="s">
        <v>775</v>
      </c>
      <c r="K189" s="1" t="s">
        <v>794</v>
      </c>
      <c r="L189" s="1" t="s">
        <v>777</v>
      </c>
      <c r="M189" s="1" t="s">
        <v>778</v>
      </c>
      <c r="N189" s="1" t="s">
        <v>788</v>
      </c>
      <c r="O189" s="6">
        <v>44897</v>
      </c>
      <c r="P189" s="6">
        <v>44889</v>
      </c>
      <c r="Q189" s="6">
        <v>44859</v>
      </c>
      <c r="R189" s="1" t="s">
        <v>779</v>
      </c>
      <c r="S189" s="1" t="s">
        <v>780</v>
      </c>
      <c r="T189" s="5">
        <v>517</v>
      </c>
      <c r="U189" s="4">
        <v>2</v>
      </c>
      <c r="V189" s="5">
        <v>75</v>
      </c>
      <c r="W189" s="6">
        <v>43747</v>
      </c>
      <c r="X189" s="6">
        <v>43665</v>
      </c>
      <c r="Y189" s="6"/>
      <c r="Z189" s="6"/>
      <c r="AA189" s="6"/>
      <c r="AB189" s="6"/>
      <c r="AC189" s="6"/>
      <c r="AD189" s="6"/>
    </row>
    <row r="190" spans="1:30">
      <c r="A190" s="1" t="s">
        <v>772</v>
      </c>
      <c r="B190" s="1" t="s">
        <v>773</v>
      </c>
      <c r="C190" s="1" t="s">
        <v>858</v>
      </c>
      <c r="D190" s="1" t="s">
        <v>188</v>
      </c>
      <c r="E190" s="1" t="str">
        <f t="shared" si="2"/>
        <v>W04</v>
      </c>
      <c r="F190" s="4">
        <v>12.26</v>
      </c>
      <c r="G190" s="4">
        <v>9.66</v>
      </c>
      <c r="H190" s="4">
        <v>9.66</v>
      </c>
      <c r="I190" s="4"/>
      <c r="J190" s="1" t="s">
        <v>775</v>
      </c>
      <c r="K190" s="1" t="s">
        <v>797</v>
      </c>
      <c r="L190" s="1" t="s">
        <v>777</v>
      </c>
      <c r="M190" s="1" t="s">
        <v>778</v>
      </c>
      <c r="O190" s="6">
        <v>44865</v>
      </c>
      <c r="P190" s="6">
        <v>44849</v>
      </c>
      <c r="Q190" s="6">
        <v>44827</v>
      </c>
      <c r="R190" s="1" t="s">
        <v>779</v>
      </c>
      <c r="S190" s="1" t="s">
        <v>795</v>
      </c>
      <c r="T190" s="5">
        <v>577</v>
      </c>
      <c r="U190" s="4">
        <v>3</v>
      </c>
      <c r="V190" s="5">
        <v>115</v>
      </c>
      <c r="W190" s="6">
        <v>44473</v>
      </c>
      <c r="X190" s="6"/>
      <c r="Y190" s="6"/>
      <c r="Z190" s="6"/>
      <c r="AA190" s="6"/>
      <c r="AB190" s="6"/>
      <c r="AC190" s="6"/>
      <c r="AD190" s="6"/>
    </row>
    <row r="191" spans="1:30">
      <c r="A191" s="1" t="s">
        <v>772</v>
      </c>
      <c r="B191" s="1" t="s">
        <v>773</v>
      </c>
      <c r="C191" s="1" t="s">
        <v>858</v>
      </c>
      <c r="D191" s="1" t="s">
        <v>427</v>
      </c>
      <c r="E191" s="1" t="str">
        <f t="shared" si="2"/>
        <v>W04</v>
      </c>
      <c r="F191" s="4">
        <v>5.03</v>
      </c>
      <c r="G191" s="4">
        <v>3.95</v>
      </c>
      <c r="H191" s="4">
        <v>3.95</v>
      </c>
      <c r="I191" s="4"/>
      <c r="J191" s="1" t="s">
        <v>775</v>
      </c>
      <c r="K191" s="1" t="s">
        <v>833</v>
      </c>
      <c r="L191" s="1" t="s">
        <v>777</v>
      </c>
      <c r="M191" s="1" t="s">
        <v>778</v>
      </c>
      <c r="N191" s="1" t="s">
        <v>788</v>
      </c>
      <c r="O191" s="6">
        <v>44424</v>
      </c>
      <c r="P191" s="6">
        <v>44416</v>
      </c>
      <c r="Q191" s="6">
        <v>44394</v>
      </c>
      <c r="R191" s="1" t="s">
        <v>779</v>
      </c>
      <c r="S191" s="1" t="s">
        <v>792</v>
      </c>
      <c r="T191" s="5">
        <v>577</v>
      </c>
      <c r="U191" s="4">
        <v>18</v>
      </c>
      <c r="V191" s="5">
        <v>548</v>
      </c>
      <c r="W191" s="6">
        <v>44993</v>
      </c>
      <c r="X191" s="6">
        <v>45359</v>
      </c>
      <c r="Y191" s="6"/>
      <c r="Z191" s="6"/>
      <c r="AA191" s="6">
        <v>44817</v>
      </c>
      <c r="AB191" s="6"/>
      <c r="AC191" s="6"/>
      <c r="AD191" s="6">
        <v>44910</v>
      </c>
    </row>
    <row r="192" spans="1:30">
      <c r="A192" s="1" t="s">
        <v>772</v>
      </c>
      <c r="B192" s="1" t="s">
        <v>773</v>
      </c>
      <c r="C192" s="1" t="s">
        <v>858</v>
      </c>
      <c r="D192" s="1" t="s">
        <v>216</v>
      </c>
      <c r="E192" s="1" t="str">
        <f t="shared" si="2"/>
        <v>W04</v>
      </c>
      <c r="F192" s="4">
        <v>11.9</v>
      </c>
      <c r="G192" s="4">
        <v>9.52</v>
      </c>
      <c r="H192" s="4">
        <v>9.52</v>
      </c>
      <c r="I192" s="4"/>
      <c r="J192" s="1" t="s">
        <v>775</v>
      </c>
      <c r="K192" s="1" t="s">
        <v>901</v>
      </c>
      <c r="L192" s="1" t="s">
        <v>778</v>
      </c>
      <c r="M192" s="1" t="s">
        <v>777</v>
      </c>
      <c r="N192" s="1" t="s">
        <v>778</v>
      </c>
      <c r="O192" s="6">
        <v>44926</v>
      </c>
      <c r="P192" s="6">
        <v>44918</v>
      </c>
      <c r="Q192" s="6">
        <v>43998</v>
      </c>
      <c r="R192" s="1" t="s">
        <v>779</v>
      </c>
      <c r="T192" s="5">
        <v>120</v>
      </c>
      <c r="U192" s="4">
        <v>1</v>
      </c>
      <c r="V192" s="5">
        <v>46</v>
      </c>
      <c r="W192" s="6">
        <v>43357</v>
      </c>
      <c r="X192" s="6">
        <v>43877</v>
      </c>
      <c r="Y192" s="6"/>
      <c r="Z192" s="6"/>
      <c r="AA192" s="6"/>
      <c r="AB192" s="6"/>
      <c r="AC192" s="6"/>
      <c r="AD192" s="6"/>
    </row>
    <row r="193" spans="1:30">
      <c r="A193" s="1" t="s">
        <v>772</v>
      </c>
      <c r="B193" s="1" t="s">
        <v>773</v>
      </c>
      <c r="C193" s="1" t="s">
        <v>858</v>
      </c>
      <c r="D193" s="1" t="s">
        <v>429</v>
      </c>
      <c r="E193" s="1" t="str">
        <f t="shared" si="2"/>
        <v>W04</v>
      </c>
      <c r="F193" s="4">
        <v>13.3</v>
      </c>
      <c r="G193" s="4">
        <v>10.52</v>
      </c>
      <c r="H193" s="4">
        <v>10.52</v>
      </c>
      <c r="I193" s="4"/>
      <c r="J193" s="1" t="s">
        <v>775</v>
      </c>
      <c r="K193" s="1" t="s">
        <v>833</v>
      </c>
      <c r="L193" s="1" t="s">
        <v>777</v>
      </c>
      <c r="M193" s="1" t="s">
        <v>778</v>
      </c>
      <c r="N193" s="1" t="s">
        <v>777</v>
      </c>
      <c r="O193" s="6">
        <v>44424</v>
      </c>
      <c r="P193" s="6">
        <v>44418</v>
      </c>
      <c r="Q193" s="6">
        <v>44394</v>
      </c>
      <c r="R193" s="1" t="s">
        <v>779</v>
      </c>
      <c r="S193" s="1" t="s">
        <v>795</v>
      </c>
      <c r="T193" s="5">
        <v>577</v>
      </c>
      <c r="U193" s="4">
        <v>17</v>
      </c>
      <c r="V193" s="5">
        <v>546</v>
      </c>
      <c r="W193" s="6">
        <v>43100</v>
      </c>
      <c r="X193" s="6">
        <v>43100</v>
      </c>
      <c r="Y193" s="6"/>
      <c r="Z193" s="6"/>
      <c r="AA193" s="6">
        <v>44847</v>
      </c>
      <c r="AB193" s="6"/>
      <c r="AC193" s="6"/>
      <c r="AD193" s="6">
        <v>44950</v>
      </c>
    </row>
    <row r="194" spans="1:30">
      <c r="A194" s="1" t="s">
        <v>772</v>
      </c>
      <c r="B194" s="1" t="s">
        <v>773</v>
      </c>
      <c r="C194" s="1" t="s">
        <v>858</v>
      </c>
      <c r="D194" s="1" t="s">
        <v>241</v>
      </c>
      <c r="E194" s="1" t="str">
        <f t="shared" si="2"/>
        <v>W04</v>
      </c>
      <c r="F194" s="4">
        <v>16.149999999999999</v>
      </c>
      <c r="G194" s="4">
        <v>12.68</v>
      </c>
      <c r="H194" s="4">
        <v>12.68</v>
      </c>
      <c r="I194" s="4"/>
      <c r="J194" s="1" t="s">
        <v>775</v>
      </c>
      <c r="K194" s="1" t="s">
        <v>849</v>
      </c>
      <c r="L194" s="1" t="s">
        <v>788</v>
      </c>
      <c r="M194" s="1" t="s">
        <v>787</v>
      </c>
      <c r="N194" s="1" t="s">
        <v>777</v>
      </c>
      <c r="O194" s="6">
        <v>44946</v>
      </c>
      <c r="P194" s="6">
        <v>44946</v>
      </c>
      <c r="Q194" s="6"/>
      <c r="R194" s="1" t="s">
        <v>779</v>
      </c>
      <c r="T194" s="5">
        <v>30</v>
      </c>
      <c r="U194" s="4">
        <v>0</v>
      </c>
      <c r="V194" s="5">
        <v>18</v>
      </c>
      <c r="W194" s="6">
        <v>43678</v>
      </c>
      <c r="X194" s="6">
        <v>43637</v>
      </c>
      <c r="Y194" s="6"/>
      <c r="Z194" s="6"/>
      <c r="AA194" s="6"/>
      <c r="AB194" s="6"/>
      <c r="AC194" s="6"/>
      <c r="AD194" s="6"/>
    </row>
    <row r="195" spans="1:30">
      <c r="A195" s="1" t="s">
        <v>772</v>
      </c>
      <c r="B195" s="1" t="s">
        <v>773</v>
      </c>
      <c r="C195" s="1" t="s">
        <v>858</v>
      </c>
      <c r="D195" s="1" t="s">
        <v>902</v>
      </c>
      <c r="E195" s="1" t="str">
        <f t="shared" ref="E195:E258" si="3">RIGHT(C195,3)</f>
        <v>W04</v>
      </c>
      <c r="F195" s="4">
        <v>0.14000000000000001</v>
      </c>
      <c r="G195" s="4">
        <v>0.14000000000000001</v>
      </c>
      <c r="H195" s="4">
        <v>0.14000000000000001</v>
      </c>
      <c r="I195" s="4"/>
      <c r="J195" s="1" t="s">
        <v>775</v>
      </c>
      <c r="K195" s="1" t="s">
        <v>900</v>
      </c>
      <c r="L195" s="1" t="s">
        <v>828</v>
      </c>
      <c r="M195" s="1" t="s">
        <v>829</v>
      </c>
      <c r="N195" s="1" t="s">
        <v>777</v>
      </c>
      <c r="O195" s="6">
        <v>44929</v>
      </c>
      <c r="P195" s="6">
        <v>44926</v>
      </c>
      <c r="Q195" s="6"/>
      <c r="R195" s="1" t="s">
        <v>830</v>
      </c>
      <c r="T195" s="5">
        <v>60</v>
      </c>
      <c r="U195" s="4">
        <v>1</v>
      </c>
      <c r="V195" s="5">
        <v>38</v>
      </c>
      <c r="W195" s="6">
        <v>44045</v>
      </c>
      <c r="X195" s="6">
        <v>43292</v>
      </c>
      <c r="Y195" s="6"/>
      <c r="Z195" s="6"/>
      <c r="AA195" s="6"/>
      <c r="AB195" s="6"/>
      <c r="AC195" s="6"/>
      <c r="AD195" s="6"/>
    </row>
    <row r="196" spans="1:30">
      <c r="A196" s="1" t="s">
        <v>772</v>
      </c>
      <c r="B196" s="1" t="s">
        <v>773</v>
      </c>
      <c r="C196" s="1" t="s">
        <v>858</v>
      </c>
      <c r="D196" s="1" t="s">
        <v>218</v>
      </c>
      <c r="E196" s="1" t="str">
        <f t="shared" si="3"/>
        <v>W04</v>
      </c>
      <c r="F196" s="4">
        <v>13.05</v>
      </c>
      <c r="G196" s="4">
        <v>10.38</v>
      </c>
      <c r="H196" s="4">
        <v>10.38</v>
      </c>
      <c r="I196" s="4"/>
      <c r="J196" s="1" t="s">
        <v>775</v>
      </c>
      <c r="K196" s="1" t="s">
        <v>849</v>
      </c>
      <c r="L196" s="1" t="s">
        <v>788</v>
      </c>
      <c r="M196" s="1" t="s">
        <v>787</v>
      </c>
      <c r="N196" s="1" t="s">
        <v>777</v>
      </c>
      <c r="O196" s="6">
        <v>44937</v>
      </c>
      <c r="P196" s="6">
        <v>44936</v>
      </c>
      <c r="Q196" s="6"/>
      <c r="R196" s="1" t="s">
        <v>779</v>
      </c>
      <c r="T196" s="5">
        <v>30</v>
      </c>
      <c r="U196" s="4">
        <v>0</v>
      </c>
      <c r="V196" s="5">
        <v>28</v>
      </c>
      <c r="W196" s="6">
        <v>43678</v>
      </c>
      <c r="X196" s="6">
        <v>43637</v>
      </c>
      <c r="Y196" s="6"/>
      <c r="Z196" s="6"/>
      <c r="AA196" s="6"/>
      <c r="AB196" s="6"/>
      <c r="AC196" s="6"/>
      <c r="AD196" s="6"/>
    </row>
    <row r="197" spans="1:30">
      <c r="A197" s="1" t="s">
        <v>772</v>
      </c>
      <c r="B197" s="1" t="s">
        <v>773</v>
      </c>
      <c r="C197" s="1" t="s">
        <v>858</v>
      </c>
      <c r="D197" s="1" t="s">
        <v>416</v>
      </c>
      <c r="E197" s="1" t="str">
        <f t="shared" si="3"/>
        <v>W04</v>
      </c>
      <c r="F197" s="4">
        <v>14.76</v>
      </c>
      <c r="G197" s="4">
        <v>11.65</v>
      </c>
      <c r="H197" s="4">
        <v>11.65</v>
      </c>
      <c r="I197" s="4"/>
      <c r="J197" s="1" t="s">
        <v>775</v>
      </c>
      <c r="K197" s="1" t="s">
        <v>833</v>
      </c>
      <c r="L197" s="1" t="s">
        <v>777</v>
      </c>
      <c r="M197" s="1" t="s">
        <v>778</v>
      </c>
      <c r="N197" s="1" t="s">
        <v>788</v>
      </c>
      <c r="O197" s="6">
        <v>44411</v>
      </c>
      <c r="P197" s="6">
        <v>44405</v>
      </c>
      <c r="Q197" s="6">
        <v>44384</v>
      </c>
      <c r="R197" s="1" t="s">
        <v>779</v>
      </c>
      <c r="S197" s="1" t="s">
        <v>795</v>
      </c>
      <c r="T197" s="5">
        <v>577</v>
      </c>
      <c r="U197" s="4">
        <v>18</v>
      </c>
      <c r="V197" s="5">
        <v>559</v>
      </c>
      <c r="W197" s="6">
        <v>45197</v>
      </c>
      <c r="X197" s="6">
        <v>45654</v>
      </c>
      <c r="Y197" s="6"/>
      <c r="Z197" s="6"/>
      <c r="AA197" s="6">
        <v>44825</v>
      </c>
      <c r="AB197" s="6"/>
      <c r="AC197" s="6"/>
      <c r="AD197" s="6">
        <v>44952</v>
      </c>
    </row>
    <row r="198" spans="1:30">
      <c r="A198" s="1" t="s">
        <v>772</v>
      </c>
      <c r="B198" s="1" t="s">
        <v>773</v>
      </c>
      <c r="C198" s="1" t="s">
        <v>858</v>
      </c>
      <c r="D198" s="1" t="s">
        <v>295</v>
      </c>
      <c r="E198" s="1" t="str">
        <f t="shared" si="3"/>
        <v>W04</v>
      </c>
      <c r="F198" s="4">
        <v>17</v>
      </c>
      <c r="G198" s="4">
        <v>13.58</v>
      </c>
      <c r="H198" s="4">
        <v>13.58</v>
      </c>
      <c r="I198" s="4"/>
      <c r="J198" s="1" t="s">
        <v>775</v>
      </c>
      <c r="K198" s="1" t="s">
        <v>834</v>
      </c>
      <c r="L198" s="1" t="s">
        <v>787</v>
      </c>
      <c r="M198" s="1" t="s">
        <v>788</v>
      </c>
      <c r="N198" s="1" t="s">
        <v>835</v>
      </c>
      <c r="O198" s="6">
        <v>44680</v>
      </c>
      <c r="P198" s="6">
        <v>44679</v>
      </c>
      <c r="Q198" s="6">
        <v>44132</v>
      </c>
      <c r="R198" s="1" t="s">
        <v>779</v>
      </c>
      <c r="T198" s="5">
        <v>300</v>
      </c>
      <c r="U198" s="4">
        <v>9</v>
      </c>
      <c r="V198" s="5">
        <v>285</v>
      </c>
      <c r="W198" s="6">
        <v>43545</v>
      </c>
      <c r="X198" s="6">
        <v>43932</v>
      </c>
      <c r="Y198" s="6"/>
      <c r="Z198" s="6"/>
      <c r="AA198" s="6"/>
      <c r="AB198" s="6"/>
      <c r="AC198" s="6"/>
      <c r="AD198" s="6">
        <v>44743</v>
      </c>
    </row>
    <row r="199" spans="1:30">
      <c r="A199" s="1" t="s">
        <v>772</v>
      </c>
      <c r="B199" s="1" t="s">
        <v>773</v>
      </c>
      <c r="C199" s="1" t="s">
        <v>858</v>
      </c>
      <c r="D199" s="1" t="s">
        <v>142</v>
      </c>
      <c r="E199" s="1" t="str">
        <f t="shared" si="3"/>
        <v>W04</v>
      </c>
      <c r="F199" s="4">
        <v>11.8</v>
      </c>
      <c r="G199" s="4">
        <v>9.34</v>
      </c>
      <c r="H199" s="4">
        <v>9.34</v>
      </c>
      <c r="I199" s="4"/>
      <c r="J199" s="1" t="s">
        <v>775</v>
      </c>
      <c r="K199" s="1" t="s">
        <v>793</v>
      </c>
      <c r="L199" s="1" t="s">
        <v>787</v>
      </c>
      <c r="M199" s="1" t="s">
        <v>788</v>
      </c>
      <c r="O199" s="6">
        <v>44774</v>
      </c>
      <c r="P199" s="6">
        <v>44764</v>
      </c>
      <c r="Q199" s="6">
        <v>44151</v>
      </c>
      <c r="R199" s="1" t="s">
        <v>779</v>
      </c>
      <c r="T199" s="5">
        <v>402</v>
      </c>
      <c r="U199" s="4">
        <v>6</v>
      </c>
      <c r="V199" s="5">
        <v>200</v>
      </c>
      <c r="W199" s="6">
        <v>43803</v>
      </c>
      <c r="X199" s="6"/>
      <c r="Y199" s="6"/>
      <c r="Z199" s="6"/>
      <c r="AA199" s="6"/>
      <c r="AB199" s="6"/>
      <c r="AC199" s="6"/>
      <c r="AD199" s="6"/>
    </row>
    <row r="200" spans="1:30">
      <c r="A200" s="1" t="s">
        <v>772</v>
      </c>
      <c r="B200" s="1" t="s">
        <v>773</v>
      </c>
      <c r="C200" s="1" t="s">
        <v>858</v>
      </c>
      <c r="D200" s="1" t="s">
        <v>480</v>
      </c>
      <c r="E200" s="1" t="str">
        <f t="shared" si="3"/>
        <v>W04</v>
      </c>
      <c r="F200" s="4">
        <v>8.2100000000000009</v>
      </c>
      <c r="G200" s="4">
        <v>6.41</v>
      </c>
      <c r="H200" s="4">
        <v>6.41</v>
      </c>
      <c r="I200" s="4"/>
      <c r="J200" s="1" t="s">
        <v>775</v>
      </c>
      <c r="K200" s="1" t="s">
        <v>881</v>
      </c>
      <c r="L200" s="1" t="s">
        <v>777</v>
      </c>
      <c r="M200" s="1" t="s">
        <v>778</v>
      </c>
      <c r="O200" s="6">
        <v>44553</v>
      </c>
      <c r="P200" s="6">
        <v>44537</v>
      </c>
      <c r="Q200" s="6">
        <v>44520</v>
      </c>
      <c r="R200" s="1" t="s">
        <v>779</v>
      </c>
      <c r="S200" s="1" t="s">
        <v>823</v>
      </c>
      <c r="T200" s="5">
        <v>457</v>
      </c>
      <c r="U200" s="4">
        <v>14</v>
      </c>
      <c r="V200" s="5">
        <v>427</v>
      </c>
      <c r="W200" s="6">
        <v>43863</v>
      </c>
      <c r="X200" s="6"/>
      <c r="Y200" s="6"/>
      <c r="Z200" s="6"/>
      <c r="AA200" s="6">
        <v>44880</v>
      </c>
      <c r="AB200" s="6"/>
      <c r="AC200" s="6"/>
      <c r="AD200" s="6">
        <v>44828</v>
      </c>
    </row>
    <row r="201" spans="1:30">
      <c r="A201" s="1" t="s">
        <v>772</v>
      </c>
      <c r="B201" s="1" t="s">
        <v>773</v>
      </c>
      <c r="C201" s="1" t="s">
        <v>858</v>
      </c>
      <c r="D201" s="1" t="s">
        <v>234</v>
      </c>
      <c r="E201" s="1" t="str">
        <f t="shared" si="3"/>
        <v>W04</v>
      </c>
      <c r="F201" s="4">
        <v>7.44</v>
      </c>
      <c r="G201" s="4">
        <v>5.85</v>
      </c>
      <c r="H201" s="4">
        <v>5.85</v>
      </c>
      <c r="I201" s="4"/>
      <c r="J201" s="1" t="s">
        <v>775</v>
      </c>
      <c r="K201" s="1" t="s">
        <v>888</v>
      </c>
      <c r="L201" s="1" t="s">
        <v>778</v>
      </c>
      <c r="M201" s="1" t="s">
        <v>777</v>
      </c>
      <c r="N201" s="1" t="s">
        <v>788</v>
      </c>
      <c r="O201" s="6">
        <v>44837</v>
      </c>
      <c r="P201" s="6">
        <v>44834</v>
      </c>
      <c r="Q201" s="6"/>
      <c r="R201" s="1" t="s">
        <v>779</v>
      </c>
      <c r="T201" s="5">
        <v>120</v>
      </c>
      <c r="U201" s="4">
        <v>4</v>
      </c>
      <c r="V201" s="5">
        <v>130</v>
      </c>
      <c r="W201" s="6">
        <v>43516</v>
      </c>
      <c r="X201" s="6">
        <v>43735</v>
      </c>
      <c r="Y201" s="6"/>
      <c r="Z201" s="6"/>
      <c r="AA201" s="6"/>
      <c r="AB201" s="6"/>
      <c r="AC201" s="6"/>
      <c r="AD201" s="6"/>
    </row>
    <row r="202" spans="1:30">
      <c r="A202" s="1" t="s">
        <v>772</v>
      </c>
      <c r="B202" s="1" t="s">
        <v>773</v>
      </c>
      <c r="C202" s="1" t="s">
        <v>858</v>
      </c>
      <c r="D202" s="1" t="s">
        <v>235</v>
      </c>
      <c r="E202" s="1" t="str">
        <f t="shared" si="3"/>
        <v>W04</v>
      </c>
      <c r="F202" s="4">
        <v>4.92</v>
      </c>
      <c r="G202" s="4">
        <v>3.86</v>
      </c>
      <c r="H202" s="4">
        <v>3.86</v>
      </c>
      <c r="I202" s="4"/>
      <c r="J202" s="1" t="s">
        <v>775</v>
      </c>
      <c r="K202" s="1" t="s">
        <v>888</v>
      </c>
      <c r="L202" s="1" t="s">
        <v>778</v>
      </c>
      <c r="M202" s="1" t="s">
        <v>777</v>
      </c>
      <c r="N202" s="1" t="s">
        <v>788</v>
      </c>
      <c r="O202" s="6">
        <v>44837</v>
      </c>
      <c r="P202" s="6">
        <v>44834</v>
      </c>
      <c r="Q202" s="6"/>
      <c r="R202" s="1" t="s">
        <v>779</v>
      </c>
      <c r="T202" s="5">
        <v>120</v>
      </c>
      <c r="U202" s="4">
        <v>4</v>
      </c>
      <c r="V202" s="5">
        <v>130</v>
      </c>
      <c r="W202" s="6">
        <v>43516</v>
      </c>
      <c r="X202" s="6">
        <v>43735</v>
      </c>
      <c r="Y202" s="6"/>
      <c r="Z202" s="6"/>
      <c r="AA202" s="6"/>
      <c r="AB202" s="6"/>
      <c r="AC202" s="6"/>
      <c r="AD202" s="6"/>
    </row>
    <row r="203" spans="1:30">
      <c r="A203" s="1" t="s">
        <v>772</v>
      </c>
      <c r="B203" s="1" t="s">
        <v>903</v>
      </c>
      <c r="C203" s="1" t="s">
        <v>904</v>
      </c>
      <c r="D203" s="1" t="s">
        <v>905</v>
      </c>
      <c r="E203" s="1" t="str">
        <f t="shared" si="3"/>
        <v>W03</v>
      </c>
      <c r="F203" s="4">
        <v>3.3</v>
      </c>
      <c r="G203" s="4">
        <v>3.3</v>
      </c>
      <c r="H203" s="4">
        <v>3.3</v>
      </c>
      <c r="I203" s="4"/>
      <c r="J203" s="1" t="s">
        <v>775</v>
      </c>
      <c r="K203" s="1" t="s">
        <v>906</v>
      </c>
      <c r="L203" s="1" t="s">
        <v>907</v>
      </c>
      <c r="M203" s="1" t="s">
        <v>908</v>
      </c>
      <c r="N203" s="1" t="s">
        <v>907</v>
      </c>
      <c r="O203" s="6">
        <v>41883</v>
      </c>
      <c r="P203" s="6">
        <v>40817</v>
      </c>
      <c r="Q203" s="6">
        <v>40756</v>
      </c>
      <c r="R203" s="1" t="s">
        <v>909</v>
      </c>
      <c r="S203" s="1" t="s">
        <v>910</v>
      </c>
      <c r="T203" s="5">
        <v>9330</v>
      </c>
      <c r="U203" s="4">
        <v>136</v>
      </c>
      <c r="V203" s="5">
        <v>4147</v>
      </c>
      <c r="W203" s="6">
        <v>50148</v>
      </c>
      <c r="X203" s="6">
        <v>50154</v>
      </c>
      <c r="Y203" s="6"/>
      <c r="Z203" s="6"/>
      <c r="AA203" s="6"/>
      <c r="AB203" s="6"/>
      <c r="AC203" s="6"/>
      <c r="AD203" s="6">
        <v>42703</v>
      </c>
    </row>
    <row r="204" spans="1:30">
      <c r="A204" s="1" t="s">
        <v>772</v>
      </c>
      <c r="B204" s="1" t="s">
        <v>773</v>
      </c>
      <c r="C204" s="1" t="s">
        <v>858</v>
      </c>
      <c r="D204" s="1" t="s">
        <v>472</v>
      </c>
      <c r="E204" s="1" t="str">
        <f t="shared" si="3"/>
        <v>W04</v>
      </c>
      <c r="F204" s="4">
        <v>18.62</v>
      </c>
      <c r="G204" s="4">
        <v>14.38</v>
      </c>
      <c r="H204" s="4">
        <v>14.38</v>
      </c>
      <c r="I204" s="4"/>
      <c r="J204" s="1" t="s">
        <v>775</v>
      </c>
      <c r="K204" s="1" t="s">
        <v>872</v>
      </c>
      <c r="L204" s="1" t="s">
        <v>777</v>
      </c>
      <c r="M204" s="1" t="s">
        <v>778</v>
      </c>
      <c r="N204" s="1" t="s">
        <v>787</v>
      </c>
      <c r="O204" s="6">
        <v>44529</v>
      </c>
      <c r="P204" s="6">
        <v>44523</v>
      </c>
      <c r="Q204" s="6">
        <v>44483</v>
      </c>
      <c r="R204" s="1" t="s">
        <v>779</v>
      </c>
      <c r="S204" s="1" t="s">
        <v>780</v>
      </c>
      <c r="T204" s="5">
        <v>517</v>
      </c>
      <c r="U204" s="4">
        <v>14</v>
      </c>
      <c r="V204" s="5">
        <v>441</v>
      </c>
      <c r="W204" s="6">
        <v>43293</v>
      </c>
      <c r="X204" s="6">
        <v>43079</v>
      </c>
      <c r="Y204" s="6"/>
      <c r="Z204" s="6"/>
      <c r="AA204" s="6">
        <v>44866</v>
      </c>
      <c r="AB204" s="6"/>
      <c r="AC204" s="6"/>
      <c r="AD204" s="6"/>
    </row>
    <row r="205" spans="1:30">
      <c r="A205" s="1" t="s">
        <v>772</v>
      </c>
      <c r="B205" s="1" t="s">
        <v>773</v>
      </c>
      <c r="C205" s="1" t="s">
        <v>858</v>
      </c>
      <c r="D205" s="1" t="s">
        <v>506</v>
      </c>
      <c r="E205" s="1" t="str">
        <f t="shared" si="3"/>
        <v>W04</v>
      </c>
      <c r="F205" s="4">
        <v>2.63</v>
      </c>
      <c r="G205" s="4">
        <v>2.02</v>
      </c>
      <c r="H205" s="4">
        <v>2.02</v>
      </c>
      <c r="I205" s="4"/>
      <c r="J205" s="1" t="s">
        <v>775</v>
      </c>
      <c r="K205" s="1" t="s">
        <v>822</v>
      </c>
      <c r="L205" s="1" t="s">
        <v>777</v>
      </c>
      <c r="M205" s="1" t="s">
        <v>778</v>
      </c>
      <c r="N205" s="1" t="s">
        <v>777</v>
      </c>
      <c r="O205" s="6">
        <v>44617</v>
      </c>
      <c r="P205" s="6">
        <v>44607</v>
      </c>
      <c r="Q205" s="6">
        <v>44569</v>
      </c>
      <c r="R205" s="1" t="s">
        <v>779</v>
      </c>
      <c r="S205" s="1" t="s">
        <v>823</v>
      </c>
      <c r="T205" s="5">
        <v>457</v>
      </c>
      <c r="U205" s="4">
        <v>11</v>
      </c>
      <c r="V205" s="5">
        <v>357</v>
      </c>
      <c r="W205" s="6">
        <v>44025</v>
      </c>
      <c r="X205" s="6">
        <v>43581</v>
      </c>
      <c r="Y205" s="6"/>
      <c r="Z205" s="6"/>
      <c r="AA205" s="6">
        <v>44880</v>
      </c>
      <c r="AB205" s="6"/>
      <c r="AC205" s="6"/>
      <c r="AD205" s="6">
        <v>44954</v>
      </c>
    </row>
    <row r="206" spans="1:30">
      <c r="A206" s="1" t="s">
        <v>772</v>
      </c>
      <c r="B206" s="1" t="s">
        <v>773</v>
      </c>
      <c r="C206" s="1" t="s">
        <v>858</v>
      </c>
      <c r="D206" s="1" t="s">
        <v>50</v>
      </c>
      <c r="E206" s="1" t="str">
        <f t="shared" si="3"/>
        <v>W04</v>
      </c>
      <c r="F206" s="4">
        <v>12.8</v>
      </c>
      <c r="G206" s="4">
        <v>10.1</v>
      </c>
      <c r="H206" s="4">
        <v>10.1</v>
      </c>
      <c r="I206" s="4"/>
      <c r="J206" s="1" t="s">
        <v>775</v>
      </c>
      <c r="K206" s="1" t="s">
        <v>839</v>
      </c>
      <c r="L206" s="1" t="s">
        <v>777</v>
      </c>
      <c r="M206" s="1" t="s">
        <v>778</v>
      </c>
      <c r="O206" s="6">
        <v>44775</v>
      </c>
      <c r="P206" s="6">
        <v>44773</v>
      </c>
      <c r="Q206" s="6">
        <v>44727</v>
      </c>
      <c r="R206" s="1" t="s">
        <v>779</v>
      </c>
      <c r="S206" s="1" t="s">
        <v>795</v>
      </c>
      <c r="T206" s="5">
        <v>577</v>
      </c>
      <c r="U206" s="4">
        <v>6</v>
      </c>
      <c r="V206" s="5">
        <v>191</v>
      </c>
      <c r="W206" s="6">
        <v>45241</v>
      </c>
      <c r="X206" s="6"/>
      <c r="Y206" s="6"/>
      <c r="Z206" s="6"/>
      <c r="AA206" s="6"/>
      <c r="AB206" s="6"/>
      <c r="AC206" s="6"/>
      <c r="AD206" s="6"/>
    </row>
    <row r="207" spans="1:30">
      <c r="A207" s="1" t="s">
        <v>772</v>
      </c>
      <c r="B207" s="1" t="s">
        <v>773</v>
      </c>
      <c r="C207" s="1" t="s">
        <v>858</v>
      </c>
      <c r="D207" s="1" t="s">
        <v>911</v>
      </c>
      <c r="E207" s="1" t="str">
        <f t="shared" si="3"/>
        <v>W04</v>
      </c>
      <c r="F207" s="4">
        <v>3.76</v>
      </c>
      <c r="G207" s="4">
        <v>3.26</v>
      </c>
      <c r="H207" s="4">
        <v>3.26</v>
      </c>
      <c r="I207" s="4"/>
      <c r="J207" s="1" t="s">
        <v>775</v>
      </c>
      <c r="K207" s="1" t="s">
        <v>912</v>
      </c>
      <c r="L207" s="1" t="s">
        <v>829</v>
      </c>
      <c r="M207" s="1" t="s">
        <v>913</v>
      </c>
      <c r="N207" s="1" t="s">
        <v>788</v>
      </c>
      <c r="O207" s="6">
        <v>44813</v>
      </c>
      <c r="P207" s="6">
        <v>44774</v>
      </c>
      <c r="Q207" s="6">
        <v>44774</v>
      </c>
      <c r="R207" s="1" t="s">
        <v>830</v>
      </c>
      <c r="S207" s="1" t="s">
        <v>914</v>
      </c>
      <c r="T207" s="5">
        <v>330</v>
      </c>
      <c r="U207" s="4">
        <v>6</v>
      </c>
      <c r="V207" s="5">
        <v>190</v>
      </c>
      <c r="W207" s="6">
        <v>43747</v>
      </c>
      <c r="X207" s="6">
        <v>43665</v>
      </c>
      <c r="Y207" s="6"/>
      <c r="Z207" s="6"/>
      <c r="AA207" s="6"/>
      <c r="AB207" s="6"/>
      <c r="AC207" s="6"/>
      <c r="AD207" s="6"/>
    </row>
    <row r="208" spans="1:30">
      <c r="A208" s="1" t="s">
        <v>772</v>
      </c>
      <c r="B208" s="1" t="s">
        <v>773</v>
      </c>
      <c r="C208" s="1" t="s">
        <v>858</v>
      </c>
      <c r="D208" s="1" t="s">
        <v>915</v>
      </c>
      <c r="E208" s="1" t="str">
        <f t="shared" si="3"/>
        <v>W04</v>
      </c>
      <c r="F208" s="4">
        <v>17.36</v>
      </c>
      <c r="G208" s="4">
        <v>14.96</v>
      </c>
      <c r="H208" s="4">
        <v>14.96</v>
      </c>
      <c r="I208" s="4"/>
      <c r="J208" s="1" t="s">
        <v>775</v>
      </c>
      <c r="K208" s="1" t="s">
        <v>900</v>
      </c>
      <c r="L208" s="1" t="s">
        <v>828</v>
      </c>
      <c r="M208" s="1" t="s">
        <v>916</v>
      </c>
      <c r="O208" s="6">
        <v>44953</v>
      </c>
      <c r="P208" s="6">
        <v>44951</v>
      </c>
      <c r="Q208" s="6"/>
      <c r="R208" s="1" t="s">
        <v>830</v>
      </c>
      <c r="T208" s="5">
        <v>64</v>
      </c>
      <c r="U208" s="4">
        <v>0</v>
      </c>
      <c r="V208" s="5">
        <v>13</v>
      </c>
      <c r="W208" s="6">
        <v>43388</v>
      </c>
      <c r="X208" s="6"/>
      <c r="Y208" s="6"/>
      <c r="Z208" s="6"/>
      <c r="AA208" s="6"/>
      <c r="AB208" s="6"/>
      <c r="AC208" s="6"/>
      <c r="AD208" s="6"/>
    </row>
    <row r="209" spans="1:30">
      <c r="A209" s="1" t="s">
        <v>772</v>
      </c>
      <c r="B209" s="1" t="s">
        <v>917</v>
      </c>
      <c r="C209" s="1" t="s">
        <v>858</v>
      </c>
      <c r="D209" s="1" t="s">
        <v>918</v>
      </c>
      <c r="E209" s="1" t="str">
        <f t="shared" si="3"/>
        <v>W04</v>
      </c>
      <c r="F209" s="4">
        <v>5.5</v>
      </c>
      <c r="G209" s="4">
        <v>4.62</v>
      </c>
      <c r="H209" s="4">
        <v>4.62</v>
      </c>
      <c r="I209" s="4"/>
      <c r="J209" s="1" t="s">
        <v>775</v>
      </c>
      <c r="K209" s="1" t="s">
        <v>919</v>
      </c>
      <c r="L209" s="1" t="s">
        <v>916</v>
      </c>
      <c r="M209" s="1" t="s">
        <v>920</v>
      </c>
      <c r="O209" s="6">
        <v>44818</v>
      </c>
      <c r="P209" s="6">
        <v>44814</v>
      </c>
      <c r="Q209" s="6">
        <v>44789</v>
      </c>
      <c r="R209" s="1" t="s">
        <v>921</v>
      </c>
      <c r="S209" s="1" t="s">
        <v>922</v>
      </c>
      <c r="T209" s="5">
        <v>0</v>
      </c>
      <c r="U209" s="4">
        <v>4</v>
      </c>
      <c r="V209" s="5">
        <v>150</v>
      </c>
      <c r="W209" s="6"/>
      <c r="X209" s="6"/>
      <c r="Y209" s="6"/>
      <c r="Z209" s="6"/>
      <c r="AA209" s="6"/>
      <c r="AB209" s="6"/>
      <c r="AC209" s="6"/>
      <c r="AD209" s="6"/>
    </row>
    <row r="210" spans="1:30">
      <c r="A210" s="1" t="s">
        <v>772</v>
      </c>
      <c r="B210" s="1" t="s">
        <v>917</v>
      </c>
      <c r="C210" s="1" t="s">
        <v>858</v>
      </c>
      <c r="D210" s="1" t="s">
        <v>923</v>
      </c>
      <c r="E210" s="1" t="str">
        <f t="shared" si="3"/>
        <v>W04</v>
      </c>
      <c r="F210" s="4">
        <v>8.35</v>
      </c>
      <c r="G210" s="4">
        <v>7.57</v>
      </c>
      <c r="H210" s="4">
        <v>7.57</v>
      </c>
      <c r="I210" s="4"/>
      <c r="J210" s="1" t="s">
        <v>775</v>
      </c>
      <c r="K210" s="1" t="s">
        <v>924</v>
      </c>
      <c r="L210" s="1" t="s">
        <v>925</v>
      </c>
      <c r="M210" s="1" t="s">
        <v>926</v>
      </c>
      <c r="O210" s="6">
        <v>43503</v>
      </c>
      <c r="P210" s="6">
        <v>42434</v>
      </c>
      <c r="Q210" s="6">
        <v>42360</v>
      </c>
      <c r="R210" s="1" t="s">
        <v>927</v>
      </c>
      <c r="T210" s="5">
        <v>364</v>
      </c>
      <c r="U210" s="4">
        <v>83</v>
      </c>
      <c r="V210" s="5">
        <v>2530</v>
      </c>
      <c r="W210" s="6">
        <v>42435</v>
      </c>
      <c r="X210" s="6">
        <v>42556</v>
      </c>
      <c r="Y210" s="6"/>
      <c r="Z210" s="6"/>
      <c r="AA210" s="6"/>
      <c r="AB210" s="6"/>
      <c r="AC210" s="6"/>
      <c r="AD210" s="6">
        <v>43519</v>
      </c>
    </row>
    <row r="211" spans="1:30">
      <c r="A211" s="1" t="s">
        <v>772</v>
      </c>
      <c r="B211" s="1" t="s">
        <v>917</v>
      </c>
      <c r="C211" s="1" t="s">
        <v>858</v>
      </c>
      <c r="D211" s="1" t="s">
        <v>928</v>
      </c>
      <c r="E211" s="1" t="str">
        <f t="shared" si="3"/>
        <v>W04</v>
      </c>
      <c r="F211" s="4">
        <v>9.33</v>
      </c>
      <c r="G211" s="4">
        <v>8.4600000000000009</v>
      </c>
      <c r="H211" s="4">
        <v>8.4600000000000009</v>
      </c>
      <c r="I211" s="4"/>
      <c r="J211" s="1" t="s">
        <v>775</v>
      </c>
      <c r="K211" s="1" t="s">
        <v>929</v>
      </c>
      <c r="L211" s="1" t="s">
        <v>925</v>
      </c>
      <c r="M211" s="1" t="s">
        <v>926</v>
      </c>
      <c r="O211" s="6">
        <v>43530</v>
      </c>
      <c r="P211" s="6">
        <v>42434</v>
      </c>
      <c r="Q211" s="6">
        <v>42434</v>
      </c>
      <c r="R211" s="1" t="s">
        <v>927</v>
      </c>
      <c r="T211" s="5">
        <v>364</v>
      </c>
      <c r="U211" s="4">
        <v>83</v>
      </c>
      <c r="V211" s="5">
        <v>2530</v>
      </c>
      <c r="W211" s="6">
        <v>42435</v>
      </c>
      <c r="X211" s="6">
        <v>42556</v>
      </c>
      <c r="Y211" s="6"/>
      <c r="Z211" s="6"/>
      <c r="AA211" s="6"/>
      <c r="AB211" s="6"/>
      <c r="AC211" s="6"/>
      <c r="AD211" s="6">
        <v>43533</v>
      </c>
    </row>
    <row r="212" spans="1:30">
      <c r="A212" s="1" t="s">
        <v>772</v>
      </c>
      <c r="B212" s="1" t="s">
        <v>903</v>
      </c>
      <c r="C212" s="1" t="s">
        <v>904</v>
      </c>
      <c r="D212" s="1" t="s">
        <v>930</v>
      </c>
      <c r="E212" s="1" t="str">
        <f t="shared" si="3"/>
        <v>W03</v>
      </c>
      <c r="F212" s="4">
        <v>4.0999999999999996</v>
      </c>
      <c r="G212" s="4">
        <v>4.0999999999999996</v>
      </c>
      <c r="H212" s="4">
        <v>4.0999999999999996</v>
      </c>
      <c r="I212" s="4"/>
      <c r="J212" s="1" t="s">
        <v>775</v>
      </c>
      <c r="K212" s="1" t="s">
        <v>906</v>
      </c>
      <c r="L212" s="1" t="s">
        <v>907</v>
      </c>
      <c r="M212" s="1" t="s">
        <v>908</v>
      </c>
      <c r="N212" s="1" t="s">
        <v>907</v>
      </c>
      <c r="O212" s="6">
        <v>41883</v>
      </c>
      <c r="P212" s="6">
        <v>40817</v>
      </c>
      <c r="Q212" s="6">
        <v>40756</v>
      </c>
      <c r="R212" s="1" t="s">
        <v>909</v>
      </c>
      <c r="S212" s="1" t="s">
        <v>910</v>
      </c>
      <c r="T212" s="5">
        <v>9330</v>
      </c>
      <c r="U212" s="4">
        <v>136</v>
      </c>
      <c r="V212" s="5">
        <v>4147</v>
      </c>
      <c r="W212" s="6">
        <v>50148</v>
      </c>
      <c r="X212" s="6">
        <v>50154</v>
      </c>
      <c r="Y212" s="6"/>
      <c r="Z212" s="6"/>
      <c r="AA212" s="6"/>
      <c r="AB212" s="6"/>
      <c r="AC212" s="6"/>
      <c r="AD212" s="6">
        <v>42703</v>
      </c>
    </row>
    <row r="213" spans="1:30">
      <c r="A213" s="1" t="s">
        <v>772</v>
      </c>
      <c r="B213" s="1" t="s">
        <v>773</v>
      </c>
      <c r="C213" s="1" t="s">
        <v>858</v>
      </c>
      <c r="D213" s="1" t="s">
        <v>565</v>
      </c>
      <c r="E213" s="1" t="str">
        <f t="shared" si="3"/>
        <v>W04</v>
      </c>
      <c r="F213" s="4">
        <v>16.78</v>
      </c>
      <c r="G213" s="4">
        <v>13.32</v>
      </c>
      <c r="H213" s="4">
        <v>13.32</v>
      </c>
      <c r="I213" s="4"/>
      <c r="J213" s="1" t="s">
        <v>775</v>
      </c>
      <c r="K213" s="1" t="s">
        <v>884</v>
      </c>
      <c r="L213" s="1" t="s">
        <v>777</v>
      </c>
      <c r="M213" s="1" t="s">
        <v>778</v>
      </c>
      <c r="N213" s="1" t="s">
        <v>787</v>
      </c>
      <c r="O213" s="6">
        <v>44733</v>
      </c>
      <c r="P213" s="6">
        <v>44727</v>
      </c>
      <c r="Q213" s="6">
        <v>44677</v>
      </c>
      <c r="R213" s="1" t="s">
        <v>779</v>
      </c>
      <c r="S213" s="1" t="s">
        <v>792</v>
      </c>
      <c r="T213" s="5">
        <v>577</v>
      </c>
      <c r="U213" s="4">
        <v>7</v>
      </c>
      <c r="V213" s="5">
        <v>237</v>
      </c>
      <c r="W213" s="6">
        <v>43373</v>
      </c>
      <c r="X213" s="6">
        <v>42702</v>
      </c>
      <c r="Y213" s="6"/>
      <c r="Z213" s="6"/>
      <c r="AA213" s="6"/>
      <c r="AB213" s="6"/>
      <c r="AC213" s="6"/>
      <c r="AD213" s="6"/>
    </row>
    <row r="214" spans="1:30">
      <c r="A214" s="1" t="s">
        <v>772</v>
      </c>
      <c r="B214" s="1" t="s">
        <v>773</v>
      </c>
      <c r="C214" s="1" t="s">
        <v>858</v>
      </c>
      <c r="D214" s="1" t="s">
        <v>237</v>
      </c>
      <c r="E214" s="1" t="str">
        <f t="shared" si="3"/>
        <v>W04</v>
      </c>
      <c r="F214" s="4">
        <v>11.07</v>
      </c>
      <c r="G214" s="4">
        <v>8.8800000000000008</v>
      </c>
      <c r="H214" s="4">
        <v>8.8800000000000008</v>
      </c>
      <c r="I214" s="4"/>
      <c r="J214" s="1" t="s">
        <v>775</v>
      </c>
      <c r="K214" s="1" t="s">
        <v>901</v>
      </c>
      <c r="L214" s="1" t="s">
        <v>778</v>
      </c>
      <c r="M214" s="1" t="s">
        <v>777</v>
      </c>
      <c r="N214" s="1" t="s">
        <v>778</v>
      </c>
      <c r="O214" s="6">
        <v>44926</v>
      </c>
      <c r="P214" s="6">
        <v>44917</v>
      </c>
      <c r="Q214" s="6"/>
      <c r="R214" s="1" t="s">
        <v>779</v>
      </c>
      <c r="T214" s="5">
        <v>120</v>
      </c>
      <c r="U214" s="4">
        <v>1</v>
      </c>
      <c r="V214" s="5">
        <v>47</v>
      </c>
      <c r="W214" s="6">
        <v>43357</v>
      </c>
      <c r="X214" s="6">
        <v>43877</v>
      </c>
      <c r="Y214" s="6"/>
      <c r="Z214" s="6"/>
      <c r="AA214" s="6"/>
      <c r="AB214" s="6"/>
      <c r="AC214" s="6"/>
      <c r="AD214" s="6">
        <v>44914</v>
      </c>
    </row>
    <row r="215" spans="1:30">
      <c r="A215" s="1" t="s">
        <v>772</v>
      </c>
      <c r="B215" s="1" t="s">
        <v>917</v>
      </c>
      <c r="C215" s="1" t="s">
        <v>858</v>
      </c>
      <c r="D215" s="1" t="s">
        <v>931</v>
      </c>
      <c r="E215" s="1" t="str">
        <f t="shared" si="3"/>
        <v>W04</v>
      </c>
      <c r="F215" s="4">
        <v>16.600000000000001</v>
      </c>
      <c r="G215" s="4">
        <v>13.7</v>
      </c>
      <c r="H215" s="4">
        <v>13.7</v>
      </c>
      <c r="I215" s="4"/>
      <c r="J215" s="1" t="s">
        <v>775</v>
      </c>
      <c r="K215" s="1" t="s">
        <v>932</v>
      </c>
      <c r="L215" s="1" t="s">
        <v>925</v>
      </c>
      <c r="M215" s="1" t="s">
        <v>933</v>
      </c>
      <c r="N215" s="1" t="s">
        <v>777</v>
      </c>
      <c r="O215" s="6">
        <v>43833</v>
      </c>
      <c r="P215" s="6">
        <v>42788</v>
      </c>
      <c r="Q215" s="6">
        <v>42771</v>
      </c>
      <c r="R215" s="1" t="s">
        <v>927</v>
      </c>
      <c r="T215" s="5">
        <v>660</v>
      </c>
      <c r="U215" s="4">
        <v>71</v>
      </c>
      <c r="V215" s="5">
        <v>2176</v>
      </c>
      <c r="W215" s="6">
        <v>42775</v>
      </c>
      <c r="X215" s="6">
        <v>42686</v>
      </c>
      <c r="Y215" s="6"/>
      <c r="Z215" s="6"/>
      <c r="AA215" s="6"/>
      <c r="AB215" s="6"/>
      <c r="AC215" s="6"/>
      <c r="AD215" s="6">
        <v>43837</v>
      </c>
    </row>
    <row r="216" spans="1:30">
      <c r="A216" s="1" t="s">
        <v>772</v>
      </c>
      <c r="B216" s="1" t="s">
        <v>917</v>
      </c>
      <c r="C216" s="1" t="s">
        <v>858</v>
      </c>
      <c r="D216" s="1" t="s">
        <v>934</v>
      </c>
      <c r="E216" s="1" t="str">
        <f t="shared" si="3"/>
        <v>W04</v>
      </c>
      <c r="F216" s="4">
        <v>14.2</v>
      </c>
      <c r="G216" s="4">
        <v>11.5</v>
      </c>
      <c r="H216" s="4">
        <v>11.5</v>
      </c>
      <c r="I216" s="4"/>
      <c r="J216" s="1" t="s">
        <v>775</v>
      </c>
      <c r="K216" s="1" t="s">
        <v>935</v>
      </c>
      <c r="L216" s="1" t="s">
        <v>925</v>
      </c>
      <c r="M216" s="1" t="s">
        <v>933</v>
      </c>
      <c r="N216" s="1" t="s">
        <v>926</v>
      </c>
      <c r="O216" s="6">
        <v>43774</v>
      </c>
      <c r="P216" s="6">
        <v>42709</v>
      </c>
      <c r="Q216" s="6">
        <v>42686</v>
      </c>
      <c r="R216" s="1" t="s">
        <v>927</v>
      </c>
      <c r="T216" s="5">
        <v>364</v>
      </c>
      <c r="U216" s="4">
        <v>74</v>
      </c>
      <c r="V216" s="5">
        <v>2255</v>
      </c>
      <c r="W216" s="6">
        <v>42687</v>
      </c>
      <c r="X216" s="6">
        <v>42688</v>
      </c>
      <c r="Y216" s="6"/>
      <c r="Z216" s="6"/>
      <c r="AA216" s="6"/>
      <c r="AB216" s="6"/>
      <c r="AC216" s="6"/>
      <c r="AD216" s="6">
        <v>43780</v>
      </c>
    </row>
    <row r="217" spans="1:30">
      <c r="A217" s="1" t="s">
        <v>772</v>
      </c>
      <c r="B217" s="1" t="s">
        <v>917</v>
      </c>
      <c r="C217" s="1" t="s">
        <v>858</v>
      </c>
      <c r="D217" s="1" t="s">
        <v>936</v>
      </c>
      <c r="E217" s="1" t="str">
        <f t="shared" si="3"/>
        <v>W04</v>
      </c>
      <c r="F217" s="4">
        <v>6.66</v>
      </c>
      <c r="G217" s="4">
        <v>5.38</v>
      </c>
      <c r="H217" s="4">
        <v>5.38</v>
      </c>
      <c r="I217" s="4"/>
      <c r="J217" s="1" t="s">
        <v>775</v>
      </c>
      <c r="K217" s="1" t="s">
        <v>937</v>
      </c>
      <c r="L217" s="1" t="s">
        <v>925</v>
      </c>
      <c r="M217" s="1" t="s">
        <v>926</v>
      </c>
      <c r="N217" s="1" t="s">
        <v>926</v>
      </c>
      <c r="O217" s="6">
        <v>43629</v>
      </c>
      <c r="P217" s="6">
        <v>42569</v>
      </c>
      <c r="Q217" s="6">
        <v>42532</v>
      </c>
      <c r="R217" s="1" t="s">
        <v>927</v>
      </c>
      <c r="T217" s="5">
        <v>364</v>
      </c>
      <c r="U217" s="4">
        <v>78</v>
      </c>
      <c r="V217" s="5">
        <v>2395</v>
      </c>
      <c r="W217" s="6">
        <v>42570</v>
      </c>
      <c r="X217" s="6">
        <v>42571</v>
      </c>
      <c r="Y217" s="6"/>
      <c r="Z217" s="6"/>
      <c r="AA217" s="6"/>
      <c r="AB217" s="6"/>
      <c r="AC217" s="6"/>
      <c r="AD217" s="6">
        <v>43634</v>
      </c>
    </row>
    <row r="218" spans="1:30">
      <c r="A218" s="1" t="s">
        <v>772</v>
      </c>
      <c r="B218" s="1" t="s">
        <v>917</v>
      </c>
      <c r="C218" s="1" t="s">
        <v>858</v>
      </c>
      <c r="D218" s="1" t="s">
        <v>938</v>
      </c>
      <c r="E218" s="1" t="str">
        <f t="shared" si="3"/>
        <v>W04</v>
      </c>
      <c r="F218" s="4">
        <v>13.06</v>
      </c>
      <c r="G218" s="4">
        <v>11.36</v>
      </c>
      <c r="H218" s="4">
        <v>11.36</v>
      </c>
      <c r="I218" s="4"/>
      <c r="J218" s="1" t="s">
        <v>775</v>
      </c>
      <c r="K218" s="1" t="s">
        <v>939</v>
      </c>
      <c r="L218" s="1" t="s">
        <v>925</v>
      </c>
      <c r="M218" s="1" t="s">
        <v>926</v>
      </c>
      <c r="N218" s="1" t="s">
        <v>777</v>
      </c>
      <c r="O218" s="6">
        <v>43682</v>
      </c>
      <c r="P218" s="6">
        <v>42642</v>
      </c>
      <c r="Q218" s="6">
        <v>42608</v>
      </c>
      <c r="R218" s="1" t="s">
        <v>927</v>
      </c>
      <c r="T218" s="5">
        <v>364</v>
      </c>
      <c r="U218" s="4">
        <v>76</v>
      </c>
      <c r="V218" s="5">
        <v>2322</v>
      </c>
      <c r="W218" s="6">
        <v>42619</v>
      </c>
      <c r="X218" s="6">
        <v>42680</v>
      </c>
      <c r="Y218" s="6"/>
      <c r="Z218" s="6"/>
      <c r="AA218" s="6"/>
      <c r="AB218" s="6"/>
      <c r="AC218" s="6"/>
      <c r="AD218" s="6">
        <v>43683</v>
      </c>
    </row>
    <row r="219" spans="1:30">
      <c r="A219" s="1" t="s">
        <v>772</v>
      </c>
      <c r="B219" s="1" t="s">
        <v>773</v>
      </c>
      <c r="C219" s="1" t="s">
        <v>858</v>
      </c>
      <c r="D219" s="1" t="s">
        <v>940</v>
      </c>
      <c r="E219" s="1" t="str">
        <f t="shared" si="3"/>
        <v>W04</v>
      </c>
      <c r="F219" s="4">
        <v>1.88</v>
      </c>
      <c r="G219" s="4">
        <v>1.57</v>
      </c>
      <c r="H219" s="4">
        <v>1.57</v>
      </c>
      <c r="I219" s="4"/>
      <c r="J219" s="1" t="s">
        <v>775</v>
      </c>
      <c r="K219" s="1" t="s">
        <v>941</v>
      </c>
      <c r="L219" s="1" t="s">
        <v>866</v>
      </c>
      <c r="M219" s="1" t="s">
        <v>867</v>
      </c>
      <c r="N219" s="1" t="s">
        <v>788</v>
      </c>
      <c r="O219" s="6">
        <v>44746</v>
      </c>
      <c r="P219" s="6">
        <v>44743</v>
      </c>
      <c r="Q219" s="6">
        <v>44730</v>
      </c>
      <c r="R219" s="1" t="s">
        <v>868</v>
      </c>
      <c r="T219" s="5">
        <v>300</v>
      </c>
      <c r="U219" s="4">
        <v>7</v>
      </c>
      <c r="V219" s="5">
        <v>221</v>
      </c>
      <c r="W219" s="6">
        <v>43747</v>
      </c>
      <c r="X219" s="6">
        <v>43665</v>
      </c>
      <c r="Y219" s="6"/>
      <c r="Z219" s="6"/>
      <c r="AA219" s="6"/>
      <c r="AB219" s="6"/>
      <c r="AC219" s="6"/>
      <c r="AD219" s="6">
        <v>44860</v>
      </c>
    </row>
    <row r="220" spans="1:30">
      <c r="A220" s="1" t="s">
        <v>772</v>
      </c>
      <c r="B220" s="1" t="s">
        <v>773</v>
      </c>
      <c r="C220" s="1" t="s">
        <v>904</v>
      </c>
      <c r="D220" s="1" t="s">
        <v>942</v>
      </c>
      <c r="E220" s="1" t="str">
        <f t="shared" si="3"/>
        <v>W03</v>
      </c>
      <c r="F220" s="4">
        <v>19.440000000000001</v>
      </c>
      <c r="G220" s="4">
        <v>16.68</v>
      </c>
      <c r="H220" s="4">
        <v>16.68</v>
      </c>
      <c r="I220" s="4"/>
      <c r="J220" s="1" t="s">
        <v>775</v>
      </c>
      <c r="K220" s="1" t="s">
        <v>912</v>
      </c>
      <c r="L220" s="1" t="s">
        <v>829</v>
      </c>
      <c r="M220" s="1" t="s">
        <v>913</v>
      </c>
      <c r="O220" s="6">
        <v>44813</v>
      </c>
      <c r="P220" s="6">
        <v>44794</v>
      </c>
      <c r="Q220" s="6">
        <v>44760</v>
      </c>
      <c r="R220" s="1" t="s">
        <v>830</v>
      </c>
      <c r="S220" s="1" t="s">
        <v>914</v>
      </c>
      <c r="T220" s="5">
        <v>330</v>
      </c>
      <c r="U220" s="4">
        <v>5</v>
      </c>
      <c r="V220" s="5">
        <v>170</v>
      </c>
      <c r="W220" s="6">
        <v>44748</v>
      </c>
      <c r="X220" s="6"/>
      <c r="Y220" s="6"/>
      <c r="Z220" s="6"/>
      <c r="AA220" s="6"/>
      <c r="AB220" s="6"/>
      <c r="AC220" s="6"/>
      <c r="AD220" s="6"/>
    </row>
    <row r="221" spans="1:30">
      <c r="A221" s="1" t="s">
        <v>772</v>
      </c>
      <c r="B221" s="1" t="s">
        <v>773</v>
      </c>
      <c r="C221" s="1" t="s">
        <v>904</v>
      </c>
      <c r="D221" s="1" t="s">
        <v>943</v>
      </c>
      <c r="E221" s="1" t="str">
        <f t="shared" si="3"/>
        <v>W03</v>
      </c>
      <c r="F221" s="4">
        <v>1.6</v>
      </c>
      <c r="G221" s="4">
        <v>1.42</v>
      </c>
      <c r="H221" s="4">
        <v>1.42</v>
      </c>
      <c r="I221" s="4"/>
      <c r="J221" s="1" t="s">
        <v>775</v>
      </c>
      <c r="K221" s="1" t="s">
        <v>855</v>
      </c>
      <c r="L221" s="1" t="s">
        <v>828</v>
      </c>
      <c r="M221" s="1" t="s">
        <v>829</v>
      </c>
      <c r="O221" s="6">
        <v>44959</v>
      </c>
      <c r="P221" s="6">
        <v>44957</v>
      </c>
      <c r="Q221" s="6"/>
      <c r="R221" s="1" t="s">
        <v>830</v>
      </c>
      <c r="T221" s="5">
        <v>60</v>
      </c>
      <c r="U221" s="4">
        <v>0</v>
      </c>
      <c r="V221" s="5">
        <v>7</v>
      </c>
      <c r="W221" s="6">
        <v>43322</v>
      </c>
      <c r="X221" s="6"/>
      <c r="Y221" s="6"/>
      <c r="Z221" s="6"/>
      <c r="AA221" s="6"/>
      <c r="AB221" s="6"/>
      <c r="AC221" s="6"/>
      <c r="AD221" s="6"/>
    </row>
    <row r="222" spans="1:30">
      <c r="A222" s="1" t="s">
        <v>772</v>
      </c>
      <c r="B222" s="1" t="s">
        <v>773</v>
      </c>
      <c r="C222" s="1" t="s">
        <v>904</v>
      </c>
      <c r="D222" s="1" t="s">
        <v>944</v>
      </c>
      <c r="E222" s="1" t="str">
        <f t="shared" si="3"/>
        <v>W03</v>
      </c>
      <c r="F222" s="4">
        <v>13.67</v>
      </c>
      <c r="G222" s="4">
        <v>11.12</v>
      </c>
      <c r="H222" s="4">
        <v>11.12</v>
      </c>
      <c r="I222" s="4"/>
      <c r="J222" s="1" t="s">
        <v>775</v>
      </c>
      <c r="K222" s="1" t="s">
        <v>945</v>
      </c>
      <c r="L222" s="1" t="s">
        <v>829</v>
      </c>
      <c r="M222" s="1" t="s">
        <v>913</v>
      </c>
      <c r="N222" s="1" t="s">
        <v>946</v>
      </c>
      <c r="O222" s="6">
        <v>44845</v>
      </c>
      <c r="P222" s="6">
        <v>44820</v>
      </c>
      <c r="Q222" s="6">
        <v>44777</v>
      </c>
      <c r="R222" s="1" t="s">
        <v>830</v>
      </c>
      <c r="S222" s="1" t="s">
        <v>914</v>
      </c>
      <c r="T222" s="5">
        <v>330</v>
      </c>
      <c r="U222" s="4">
        <v>4</v>
      </c>
      <c r="V222" s="5">
        <v>144</v>
      </c>
      <c r="W222" s="6">
        <v>44793</v>
      </c>
      <c r="X222" s="6">
        <v>45153</v>
      </c>
      <c r="Y222" s="6"/>
      <c r="Z222" s="6"/>
      <c r="AA222" s="6"/>
      <c r="AB222" s="6"/>
      <c r="AC222" s="6"/>
      <c r="AD222" s="6"/>
    </row>
    <row r="223" spans="1:30">
      <c r="A223" s="1" t="s">
        <v>772</v>
      </c>
      <c r="B223" s="1" t="s">
        <v>773</v>
      </c>
      <c r="C223" s="1" t="s">
        <v>904</v>
      </c>
      <c r="D223" s="1" t="s">
        <v>947</v>
      </c>
      <c r="E223" s="1" t="str">
        <f t="shared" si="3"/>
        <v>W03</v>
      </c>
      <c r="F223" s="4">
        <v>3.21</v>
      </c>
      <c r="G223" s="4">
        <v>2.59</v>
      </c>
      <c r="H223" s="4">
        <v>2.59</v>
      </c>
      <c r="I223" s="4"/>
      <c r="J223" s="1" t="s">
        <v>775</v>
      </c>
      <c r="K223" s="1" t="s">
        <v>948</v>
      </c>
      <c r="L223" s="1" t="s">
        <v>829</v>
      </c>
      <c r="M223" s="1" t="s">
        <v>913</v>
      </c>
      <c r="O223" s="6">
        <v>44960</v>
      </c>
      <c r="P223" s="6">
        <v>44930</v>
      </c>
      <c r="Q223" s="6">
        <v>44928</v>
      </c>
      <c r="R223" s="1" t="s">
        <v>830</v>
      </c>
      <c r="S223" s="1" t="s">
        <v>914</v>
      </c>
      <c r="T223" s="5">
        <v>330</v>
      </c>
      <c r="U223" s="4">
        <v>1</v>
      </c>
      <c r="V223" s="5">
        <v>34</v>
      </c>
      <c r="W223" s="6"/>
      <c r="X223" s="6"/>
      <c r="Y223" s="6"/>
      <c r="Z223" s="6"/>
      <c r="AA223" s="6"/>
      <c r="AB223" s="6"/>
      <c r="AC223" s="6"/>
      <c r="AD223" s="6"/>
    </row>
    <row r="224" spans="1:30">
      <c r="A224" s="1" t="s">
        <v>772</v>
      </c>
      <c r="B224" s="1" t="s">
        <v>773</v>
      </c>
      <c r="C224" s="1" t="s">
        <v>904</v>
      </c>
      <c r="D224" s="1" t="s">
        <v>171</v>
      </c>
      <c r="E224" s="1" t="str">
        <f t="shared" si="3"/>
        <v>W03</v>
      </c>
      <c r="F224" s="4">
        <v>6.42</v>
      </c>
      <c r="G224" s="4">
        <v>5.36</v>
      </c>
      <c r="H224" s="4">
        <v>5.36</v>
      </c>
      <c r="I224" s="4"/>
      <c r="J224" s="1" t="s">
        <v>775</v>
      </c>
      <c r="K224" s="1" t="s">
        <v>949</v>
      </c>
      <c r="L224" s="1" t="s">
        <v>866</v>
      </c>
      <c r="M224" s="1" t="s">
        <v>867</v>
      </c>
      <c r="N224" s="1" t="s">
        <v>788</v>
      </c>
      <c r="O224" s="6">
        <v>44951</v>
      </c>
      <c r="P224" s="6">
        <v>44919</v>
      </c>
      <c r="Q224" s="6">
        <v>44882</v>
      </c>
      <c r="R224" s="1" t="s">
        <v>868</v>
      </c>
      <c r="T224" s="5">
        <v>240</v>
      </c>
      <c r="U224" s="4">
        <v>1</v>
      </c>
      <c r="V224" s="5">
        <v>45</v>
      </c>
      <c r="W224" s="6">
        <v>43706</v>
      </c>
      <c r="X224" s="6">
        <v>43748</v>
      </c>
      <c r="Y224" s="6"/>
      <c r="Z224" s="6"/>
      <c r="AA224" s="6"/>
      <c r="AB224" s="6"/>
      <c r="AC224" s="6"/>
      <c r="AD224" s="6"/>
    </row>
    <row r="225" spans="1:30">
      <c r="A225" s="1" t="s">
        <v>772</v>
      </c>
      <c r="B225" s="1" t="s">
        <v>773</v>
      </c>
      <c r="C225" s="1" t="s">
        <v>904</v>
      </c>
      <c r="D225" s="1" t="s">
        <v>531</v>
      </c>
      <c r="E225" s="1" t="str">
        <f t="shared" si="3"/>
        <v>W03</v>
      </c>
      <c r="F225" s="4">
        <v>14.68</v>
      </c>
      <c r="G225" s="4">
        <v>11.65</v>
      </c>
      <c r="H225" s="4">
        <v>11.65</v>
      </c>
      <c r="I225" s="4"/>
      <c r="J225" s="1" t="s">
        <v>775</v>
      </c>
      <c r="K225" s="1" t="s">
        <v>805</v>
      </c>
      <c r="L225" s="1" t="s">
        <v>777</v>
      </c>
      <c r="M225" s="1" t="s">
        <v>778</v>
      </c>
      <c r="N225" s="1" t="s">
        <v>788</v>
      </c>
      <c r="O225" s="6">
        <v>44653</v>
      </c>
      <c r="P225" s="6">
        <v>44651</v>
      </c>
      <c r="Q225" s="6">
        <v>44627</v>
      </c>
      <c r="R225" s="1" t="s">
        <v>779</v>
      </c>
      <c r="S225" s="1" t="s">
        <v>792</v>
      </c>
      <c r="T225" s="5">
        <v>577</v>
      </c>
      <c r="U225" s="4">
        <v>10</v>
      </c>
      <c r="V225" s="5">
        <v>313</v>
      </c>
      <c r="W225" s="6">
        <v>45020</v>
      </c>
      <c r="X225" s="6">
        <v>45211</v>
      </c>
      <c r="Y225" s="6"/>
      <c r="Z225" s="6"/>
      <c r="AA225" s="6"/>
      <c r="AB225" s="6"/>
      <c r="AC225" s="6"/>
      <c r="AD225" s="6"/>
    </row>
    <row r="226" spans="1:30">
      <c r="A226" s="1" t="s">
        <v>772</v>
      </c>
      <c r="B226" s="1" t="s">
        <v>773</v>
      </c>
      <c r="C226" s="1" t="s">
        <v>904</v>
      </c>
      <c r="D226" s="1" t="s">
        <v>217</v>
      </c>
      <c r="E226" s="1" t="str">
        <f t="shared" si="3"/>
        <v>W03</v>
      </c>
      <c r="F226" s="4">
        <v>12.85</v>
      </c>
      <c r="G226" s="4">
        <v>10.029999999999999</v>
      </c>
      <c r="H226" s="4">
        <v>10.029999999999999</v>
      </c>
      <c r="I226" s="4"/>
      <c r="J226" s="1" t="s">
        <v>775</v>
      </c>
      <c r="K226" s="1" t="s">
        <v>800</v>
      </c>
      <c r="L226" s="1" t="s">
        <v>777</v>
      </c>
      <c r="M226" s="1" t="s">
        <v>778</v>
      </c>
      <c r="O226" s="6">
        <v>44834</v>
      </c>
      <c r="P226" s="6">
        <v>44827</v>
      </c>
      <c r="Q226" s="6">
        <v>44811</v>
      </c>
      <c r="R226" s="1" t="s">
        <v>779</v>
      </c>
      <c r="S226" s="1" t="s">
        <v>795</v>
      </c>
      <c r="T226" s="5">
        <v>577</v>
      </c>
      <c r="U226" s="4">
        <v>4</v>
      </c>
      <c r="V226" s="5">
        <v>137</v>
      </c>
      <c r="W226" s="6">
        <v>43435</v>
      </c>
      <c r="X226" s="6"/>
      <c r="Y226" s="6"/>
      <c r="Z226" s="6"/>
      <c r="AA226" s="6"/>
      <c r="AB226" s="6"/>
      <c r="AC226" s="6"/>
      <c r="AD226" s="6"/>
    </row>
    <row r="227" spans="1:30">
      <c r="A227" s="1" t="s">
        <v>772</v>
      </c>
      <c r="B227" s="1" t="s">
        <v>773</v>
      </c>
      <c r="C227" s="1" t="s">
        <v>904</v>
      </c>
      <c r="D227" s="1" t="s">
        <v>521</v>
      </c>
      <c r="E227" s="1" t="str">
        <f t="shared" si="3"/>
        <v>W03</v>
      </c>
      <c r="F227" s="4">
        <v>17.52</v>
      </c>
      <c r="G227" s="4">
        <v>13.91</v>
      </c>
      <c r="H227" s="4">
        <v>13.91</v>
      </c>
      <c r="I227" s="4"/>
      <c r="J227" s="1" t="s">
        <v>775</v>
      </c>
      <c r="K227" s="1" t="s">
        <v>824</v>
      </c>
      <c r="L227" s="1" t="s">
        <v>777</v>
      </c>
      <c r="M227" s="1" t="s">
        <v>778</v>
      </c>
      <c r="N227" s="1" t="s">
        <v>787</v>
      </c>
      <c r="O227" s="6">
        <v>44642</v>
      </c>
      <c r="P227" s="6">
        <v>44636</v>
      </c>
      <c r="Q227" s="6">
        <v>44607</v>
      </c>
      <c r="R227" s="1" t="s">
        <v>779</v>
      </c>
      <c r="S227" s="1" t="s">
        <v>795</v>
      </c>
      <c r="T227" s="5">
        <v>577</v>
      </c>
      <c r="U227" s="4">
        <v>10</v>
      </c>
      <c r="V227" s="5">
        <v>328</v>
      </c>
      <c r="W227" s="6">
        <v>43293</v>
      </c>
      <c r="X227" s="6">
        <v>43079</v>
      </c>
      <c r="Y227" s="6"/>
      <c r="Z227" s="6"/>
      <c r="AA227" s="6"/>
      <c r="AB227" s="6"/>
      <c r="AC227" s="6"/>
      <c r="AD227" s="6"/>
    </row>
    <row r="228" spans="1:30">
      <c r="A228" s="1" t="s">
        <v>772</v>
      </c>
      <c r="B228" s="1" t="s">
        <v>773</v>
      </c>
      <c r="C228" s="1" t="s">
        <v>858</v>
      </c>
      <c r="D228" s="1" t="s">
        <v>609</v>
      </c>
      <c r="E228" s="1" t="str">
        <f t="shared" si="3"/>
        <v>W04</v>
      </c>
      <c r="F228" s="4">
        <v>15.35</v>
      </c>
      <c r="G228" s="4">
        <v>12.1</v>
      </c>
      <c r="H228" s="4">
        <v>12.1</v>
      </c>
      <c r="I228" s="4"/>
      <c r="J228" s="1" t="s">
        <v>775</v>
      </c>
      <c r="K228" s="1" t="s">
        <v>797</v>
      </c>
      <c r="L228" s="1" t="s">
        <v>777</v>
      </c>
      <c r="M228" s="1" t="s">
        <v>778</v>
      </c>
      <c r="O228" s="6">
        <v>44865</v>
      </c>
      <c r="P228" s="6">
        <v>44854</v>
      </c>
      <c r="Q228" s="6">
        <v>44832</v>
      </c>
      <c r="R228" s="1" t="s">
        <v>779</v>
      </c>
      <c r="S228" s="1" t="s">
        <v>795</v>
      </c>
      <c r="T228" s="5">
        <v>577</v>
      </c>
      <c r="U228" s="4">
        <v>3</v>
      </c>
      <c r="V228" s="5">
        <v>110</v>
      </c>
      <c r="W228" s="6"/>
      <c r="X228" s="6"/>
      <c r="Y228" s="6"/>
      <c r="Z228" s="6"/>
      <c r="AA228" s="6"/>
      <c r="AB228" s="6"/>
      <c r="AC228" s="6"/>
      <c r="AD228" s="6"/>
    </row>
    <row r="229" spans="1:30">
      <c r="A229" s="1" t="s">
        <v>772</v>
      </c>
      <c r="B229" s="1" t="s">
        <v>773</v>
      </c>
      <c r="C229" s="1" t="s">
        <v>858</v>
      </c>
      <c r="D229" s="1" t="s">
        <v>143</v>
      </c>
      <c r="E229" s="1" t="str">
        <f t="shared" si="3"/>
        <v>W04</v>
      </c>
      <c r="F229" s="4">
        <v>8.3000000000000007</v>
      </c>
      <c r="G229" s="4">
        <v>6.48</v>
      </c>
      <c r="H229" s="4">
        <v>6.48</v>
      </c>
      <c r="I229" s="4"/>
      <c r="J229" s="1" t="s">
        <v>775</v>
      </c>
      <c r="K229" s="1" t="s">
        <v>862</v>
      </c>
      <c r="L229" s="1" t="s">
        <v>787</v>
      </c>
      <c r="M229" s="1" t="s">
        <v>788</v>
      </c>
      <c r="N229" s="1" t="s">
        <v>777</v>
      </c>
      <c r="O229" s="6">
        <v>44837</v>
      </c>
      <c r="P229" s="6">
        <v>44833</v>
      </c>
      <c r="Q229" s="6">
        <v>44265</v>
      </c>
      <c r="R229" s="1" t="s">
        <v>779</v>
      </c>
      <c r="T229" s="5">
        <v>300</v>
      </c>
      <c r="U229" s="4">
        <v>4</v>
      </c>
      <c r="V229" s="5">
        <v>131</v>
      </c>
      <c r="W229" s="6">
        <v>43100</v>
      </c>
      <c r="X229" s="6">
        <v>43100</v>
      </c>
      <c r="Y229" s="6"/>
      <c r="Z229" s="6"/>
      <c r="AA229" s="6"/>
      <c r="AB229" s="6"/>
      <c r="AC229" s="6"/>
      <c r="AD229" s="6">
        <v>44910</v>
      </c>
    </row>
    <row r="230" spans="1:30">
      <c r="A230" s="1" t="s">
        <v>772</v>
      </c>
      <c r="B230" s="1" t="s">
        <v>773</v>
      </c>
      <c r="C230" s="1" t="s">
        <v>904</v>
      </c>
      <c r="D230" s="1" t="s">
        <v>356</v>
      </c>
      <c r="E230" s="1" t="str">
        <f t="shared" si="3"/>
        <v>W03</v>
      </c>
      <c r="F230" s="4">
        <v>6.6</v>
      </c>
      <c r="G230" s="4">
        <v>5.38</v>
      </c>
      <c r="H230" s="4">
        <v>5.38</v>
      </c>
      <c r="I230" s="4"/>
      <c r="J230" s="1" t="s">
        <v>775</v>
      </c>
      <c r="K230" s="1" t="s">
        <v>861</v>
      </c>
      <c r="L230" s="1" t="s">
        <v>787</v>
      </c>
      <c r="M230" s="1" t="s">
        <v>788</v>
      </c>
      <c r="O230" s="6">
        <v>44866</v>
      </c>
      <c r="P230" s="6">
        <v>44843</v>
      </c>
      <c r="Q230" s="6">
        <v>44285</v>
      </c>
      <c r="R230" s="1" t="s">
        <v>779</v>
      </c>
      <c r="T230" s="5">
        <v>300</v>
      </c>
      <c r="U230" s="4">
        <v>3</v>
      </c>
      <c r="V230" s="5">
        <v>121</v>
      </c>
      <c r="W230" s="6">
        <v>43016</v>
      </c>
      <c r="X230" s="6"/>
      <c r="Y230" s="6"/>
      <c r="Z230" s="6"/>
      <c r="AA230" s="6"/>
      <c r="AB230" s="6"/>
      <c r="AC230" s="6"/>
      <c r="AD230" s="6">
        <v>44911</v>
      </c>
    </row>
    <row r="231" spans="1:30">
      <c r="A231" s="1" t="s">
        <v>772</v>
      </c>
      <c r="B231" s="1" t="s">
        <v>773</v>
      </c>
      <c r="C231" s="1" t="s">
        <v>904</v>
      </c>
      <c r="D231" s="1" t="s">
        <v>244</v>
      </c>
      <c r="E231" s="1" t="str">
        <f t="shared" si="3"/>
        <v>W03</v>
      </c>
      <c r="F231" s="4">
        <v>13.58</v>
      </c>
      <c r="G231" s="4">
        <v>11.05</v>
      </c>
      <c r="H231" s="4">
        <v>11.05</v>
      </c>
      <c r="I231" s="4"/>
      <c r="J231" s="1" t="s">
        <v>775</v>
      </c>
      <c r="K231" s="1" t="s">
        <v>790</v>
      </c>
      <c r="L231" s="1" t="s">
        <v>787</v>
      </c>
      <c r="M231" s="1" t="s">
        <v>788</v>
      </c>
      <c r="O231" s="6">
        <v>44594</v>
      </c>
      <c r="P231" s="6">
        <v>44591</v>
      </c>
      <c r="Q231" s="6">
        <v>44025</v>
      </c>
      <c r="R231" s="1" t="s">
        <v>779</v>
      </c>
      <c r="T231" s="5">
        <v>402</v>
      </c>
      <c r="U231" s="4">
        <v>12</v>
      </c>
      <c r="V231" s="5">
        <v>373</v>
      </c>
      <c r="W231" s="6">
        <v>43427</v>
      </c>
      <c r="X231" s="6"/>
      <c r="Y231" s="6"/>
      <c r="Z231" s="6"/>
      <c r="AA231" s="6">
        <v>44847</v>
      </c>
      <c r="AB231" s="6"/>
      <c r="AC231" s="6"/>
      <c r="AD231" s="6">
        <v>44602</v>
      </c>
    </row>
    <row r="232" spans="1:30">
      <c r="A232" s="1" t="s">
        <v>772</v>
      </c>
      <c r="B232" s="1" t="s">
        <v>773</v>
      </c>
      <c r="C232" s="1" t="s">
        <v>904</v>
      </c>
      <c r="D232" s="1" t="s">
        <v>369</v>
      </c>
      <c r="E232" s="1" t="str">
        <f t="shared" si="3"/>
        <v>W03</v>
      </c>
      <c r="F232" s="4">
        <v>21.08</v>
      </c>
      <c r="G232" s="4">
        <v>16.75</v>
      </c>
      <c r="H232" s="4">
        <v>16.75</v>
      </c>
      <c r="I232" s="4"/>
      <c r="J232" s="1" t="s">
        <v>775</v>
      </c>
      <c r="K232" s="1" t="s">
        <v>842</v>
      </c>
      <c r="L232" s="1" t="s">
        <v>787</v>
      </c>
      <c r="M232" s="1" t="s">
        <v>788</v>
      </c>
      <c r="N232" s="1" t="s">
        <v>777</v>
      </c>
      <c r="O232" s="6">
        <v>44926</v>
      </c>
      <c r="P232" s="6">
        <v>44913</v>
      </c>
      <c r="Q232" s="6">
        <v>44309</v>
      </c>
      <c r="R232" s="1" t="s">
        <v>779</v>
      </c>
      <c r="T232" s="5">
        <v>300</v>
      </c>
      <c r="U232" s="4">
        <v>1</v>
      </c>
      <c r="V232" s="5">
        <v>51</v>
      </c>
      <c r="W232" s="6">
        <v>43175</v>
      </c>
      <c r="X232" s="6">
        <v>43206</v>
      </c>
      <c r="Y232" s="6"/>
      <c r="Z232" s="6"/>
      <c r="AA232" s="6"/>
      <c r="AB232" s="6"/>
      <c r="AC232" s="6"/>
      <c r="AD232" s="6"/>
    </row>
    <row r="233" spans="1:30">
      <c r="A233" s="1" t="s">
        <v>772</v>
      </c>
      <c r="B233" s="1" t="s">
        <v>773</v>
      </c>
      <c r="C233" s="1" t="s">
        <v>904</v>
      </c>
      <c r="D233" s="1" t="s">
        <v>382</v>
      </c>
      <c r="E233" s="1" t="str">
        <f t="shared" si="3"/>
        <v>W03</v>
      </c>
      <c r="F233" s="4">
        <v>13.26</v>
      </c>
      <c r="G233" s="4">
        <v>10.48</v>
      </c>
      <c r="H233" s="4">
        <v>10.48</v>
      </c>
      <c r="I233" s="4"/>
      <c r="J233" s="1" t="s">
        <v>775</v>
      </c>
      <c r="K233" s="1" t="s">
        <v>950</v>
      </c>
      <c r="L233" s="1" t="s">
        <v>787</v>
      </c>
      <c r="M233" s="1" t="s">
        <v>788</v>
      </c>
      <c r="N233" s="1" t="s">
        <v>788</v>
      </c>
      <c r="O233" s="6">
        <v>44928</v>
      </c>
      <c r="P233" s="6">
        <v>44915</v>
      </c>
      <c r="Q233" s="6">
        <v>44317</v>
      </c>
      <c r="R233" s="1" t="s">
        <v>779</v>
      </c>
      <c r="T233" s="5">
        <v>300</v>
      </c>
      <c r="U233" s="4">
        <v>1</v>
      </c>
      <c r="V233" s="5">
        <v>49</v>
      </c>
      <c r="W233" s="6">
        <v>43747</v>
      </c>
      <c r="X233" s="6">
        <v>43665</v>
      </c>
      <c r="Y233" s="6"/>
      <c r="Z233" s="6"/>
      <c r="AA233" s="6"/>
      <c r="AB233" s="6"/>
      <c r="AC233" s="6"/>
      <c r="AD233" s="6"/>
    </row>
    <row r="234" spans="1:30">
      <c r="A234" s="1" t="s">
        <v>772</v>
      </c>
      <c r="B234" s="1" t="s">
        <v>773</v>
      </c>
      <c r="C234" s="1" t="s">
        <v>904</v>
      </c>
      <c r="D234" s="1" t="s">
        <v>383</v>
      </c>
      <c r="E234" s="1" t="str">
        <f t="shared" si="3"/>
        <v>W03</v>
      </c>
      <c r="F234" s="5">
        <v>6.48</v>
      </c>
      <c r="G234" s="4">
        <v>5.25</v>
      </c>
      <c r="H234" s="4">
        <v>5.25</v>
      </c>
      <c r="I234" s="4"/>
      <c r="J234" s="1" t="s">
        <v>775</v>
      </c>
      <c r="K234" s="1" t="s">
        <v>842</v>
      </c>
      <c r="L234" s="1" t="s">
        <v>787</v>
      </c>
      <c r="M234" s="1" t="s">
        <v>788</v>
      </c>
      <c r="N234" s="1" t="s">
        <v>788</v>
      </c>
      <c r="O234" s="6">
        <v>44897</v>
      </c>
      <c r="P234" s="6">
        <v>44877</v>
      </c>
      <c r="Q234" s="6">
        <v>44317</v>
      </c>
      <c r="R234" s="1" t="s">
        <v>779</v>
      </c>
      <c r="T234" s="5">
        <v>300</v>
      </c>
      <c r="U234" s="4">
        <v>2</v>
      </c>
      <c r="V234" s="5">
        <v>87</v>
      </c>
      <c r="W234" s="6">
        <v>43763</v>
      </c>
      <c r="X234" s="6">
        <v>43468</v>
      </c>
      <c r="Y234" s="6"/>
      <c r="Z234" s="6"/>
      <c r="AA234" s="6"/>
      <c r="AB234" s="6"/>
      <c r="AC234" s="6"/>
      <c r="AD234" s="6"/>
    </row>
    <row r="235" spans="1:30">
      <c r="A235" s="1" t="s">
        <v>772</v>
      </c>
      <c r="B235" s="1" t="s">
        <v>773</v>
      </c>
      <c r="C235" s="1" t="s">
        <v>904</v>
      </c>
      <c r="D235" s="1" t="s">
        <v>534</v>
      </c>
      <c r="E235" s="1" t="str">
        <f t="shared" si="3"/>
        <v>W03</v>
      </c>
      <c r="F235" s="4">
        <v>8.35</v>
      </c>
      <c r="G235" s="4">
        <v>6.6</v>
      </c>
      <c r="H235" s="4">
        <v>6.6</v>
      </c>
      <c r="I235" s="4"/>
      <c r="J235" s="1" t="s">
        <v>775</v>
      </c>
      <c r="K235" s="1" t="s">
        <v>805</v>
      </c>
      <c r="L235" s="1" t="s">
        <v>777</v>
      </c>
      <c r="M235" s="1" t="s">
        <v>778</v>
      </c>
      <c r="N235" s="1" t="s">
        <v>788</v>
      </c>
      <c r="O235" s="6">
        <v>44669</v>
      </c>
      <c r="P235" s="6">
        <v>44658</v>
      </c>
      <c r="Q235" s="6">
        <v>44639</v>
      </c>
      <c r="R235" s="1" t="s">
        <v>779</v>
      </c>
      <c r="S235" s="1" t="s">
        <v>823</v>
      </c>
      <c r="T235" s="5">
        <v>457</v>
      </c>
      <c r="U235" s="4">
        <v>10</v>
      </c>
      <c r="V235" s="5">
        <v>306</v>
      </c>
      <c r="W235" s="6">
        <v>43858</v>
      </c>
      <c r="X235" s="6">
        <v>44234</v>
      </c>
      <c r="Y235" s="6"/>
      <c r="Z235" s="6"/>
      <c r="AA235" s="6"/>
      <c r="AB235" s="6"/>
      <c r="AC235" s="6"/>
      <c r="AD235" s="6"/>
    </row>
    <row r="236" spans="1:30">
      <c r="A236" s="1" t="s">
        <v>772</v>
      </c>
      <c r="B236" s="1" t="s">
        <v>773</v>
      </c>
      <c r="C236" s="1" t="s">
        <v>904</v>
      </c>
      <c r="D236" s="1" t="s">
        <v>239</v>
      </c>
      <c r="E236" s="1" t="str">
        <f t="shared" si="3"/>
        <v>W03</v>
      </c>
      <c r="F236" s="5">
        <v>7.74</v>
      </c>
      <c r="G236" s="4">
        <v>6.37</v>
      </c>
      <c r="H236" s="4">
        <v>6.37</v>
      </c>
      <c r="I236" s="4"/>
      <c r="J236" s="1" t="s">
        <v>775</v>
      </c>
      <c r="K236" s="1" t="s">
        <v>798</v>
      </c>
      <c r="L236" s="1" t="s">
        <v>778</v>
      </c>
      <c r="M236" s="1" t="s">
        <v>777</v>
      </c>
      <c r="N236" s="1" t="s">
        <v>787</v>
      </c>
      <c r="O236" s="6">
        <v>44882</v>
      </c>
      <c r="P236" s="6">
        <v>44876</v>
      </c>
      <c r="Q236" s="6"/>
      <c r="R236" s="1" t="s">
        <v>779</v>
      </c>
      <c r="T236" s="5">
        <v>120</v>
      </c>
      <c r="U236" s="4">
        <v>2</v>
      </c>
      <c r="V236" s="5">
        <v>88</v>
      </c>
      <c r="W236" s="6">
        <v>43963</v>
      </c>
      <c r="X236" s="6">
        <v>43997</v>
      </c>
      <c r="Y236" s="6"/>
      <c r="Z236" s="6"/>
      <c r="AA236" s="6"/>
      <c r="AB236" s="6"/>
      <c r="AC236" s="6"/>
      <c r="AD236" s="6"/>
    </row>
    <row r="237" spans="1:30">
      <c r="A237" s="1" t="s">
        <v>772</v>
      </c>
      <c r="B237" s="1" t="s">
        <v>773</v>
      </c>
      <c r="C237" s="1" t="s">
        <v>904</v>
      </c>
      <c r="D237" s="1" t="s">
        <v>453</v>
      </c>
      <c r="E237" s="1" t="str">
        <f t="shared" si="3"/>
        <v>W03</v>
      </c>
      <c r="F237" s="4">
        <v>7.83</v>
      </c>
      <c r="G237" s="4">
        <v>6.27</v>
      </c>
      <c r="H237" s="4">
        <v>6.27</v>
      </c>
      <c r="I237" s="4"/>
      <c r="J237" s="1" t="s">
        <v>775</v>
      </c>
      <c r="K237" s="1" t="s">
        <v>886</v>
      </c>
      <c r="L237" s="1" t="s">
        <v>777</v>
      </c>
      <c r="M237" s="1" t="s">
        <v>778</v>
      </c>
      <c r="N237" s="1" t="s">
        <v>787</v>
      </c>
      <c r="O237" s="6">
        <v>44488</v>
      </c>
      <c r="P237" s="6">
        <v>44482</v>
      </c>
      <c r="Q237" s="6">
        <v>44456</v>
      </c>
      <c r="R237" s="1" t="s">
        <v>779</v>
      </c>
      <c r="S237" s="1" t="s">
        <v>795</v>
      </c>
      <c r="T237" s="5">
        <v>577</v>
      </c>
      <c r="U237" s="4">
        <v>15</v>
      </c>
      <c r="V237" s="5">
        <v>482</v>
      </c>
      <c r="W237" s="6">
        <v>43373</v>
      </c>
      <c r="X237" s="6">
        <v>42702</v>
      </c>
      <c r="Y237" s="6"/>
      <c r="Z237" s="6"/>
      <c r="AA237" s="6">
        <v>44878</v>
      </c>
      <c r="AB237" s="6"/>
      <c r="AC237" s="6"/>
      <c r="AD237" s="6">
        <v>44946</v>
      </c>
    </row>
    <row r="238" spans="1:30">
      <c r="A238" s="1" t="s">
        <v>772</v>
      </c>
      <c r="B238" s="1" t="s">
        <v>773</v>
      </c>
      <c r="C238" s="1" t="s">
        <v>904</v>
      </c>
      <c r="D238" s="1" t="s">
        <v>110</v>
      </c>
      <c r="E238" s="1" t="str">
        <f t="shared" si="3"/>
        <v>W03</v>
      </c>
      <c r="F238" s="4">
        <v>10.96</v>
      </c>
      <c r="G238" s="4">
        <v>9</v>
      </c>
      <c r="H238" s="4">
        <v>9</v>
      </c>
      <c r="I238" s="4"/>
      <c r="J238" s="1" t="s">
        <v>775</v>
      </c>
      <c r="K238" s="1" t="s">
        <v>796</v>
      </c>
      <c r="L238" s="1" t="s">
        <v>787</v>
      </c>
      <c r="M238" s="1" t="s">
        <v>788</v>
      </c>
      <c r="N238" s="1" t="s">
        <v>788</v>
      </c>
      <c r="O238" s="6">
        <v>44744</v>
      </c>
      <c r="P238" s="6">
        <v>44741</v>
      </c>
      <c r="Q238" s="6">
        <v>44193</v>
      </c>
      <c r="R238" s="1" t="s">
        <v>779</v>
      </c>
      <c r="T238" s="5">
        <v>402</v>
      </c>
      <c r="U238" s="4">
        <v>7</v>
      </c>
      <c r="V238" s="5">
        <v>223</v>
      </c>
      <c r="W238" s="6">
        <v>43747</v>
      </c>
      <c r="X238" s="6">
        <v>43665</v>
      </c>
      <c r="Y238" s="6"/>
      <c r="Z238" s="6"/>
      <c r="AA238" s="6"/>
      <c r="AB238" s="6"/>
      <c r="AC238" s="6"/>
      <c r="AD238" s="6">
        <v>44744</v>
      </c>
    </row>
    <row r="239" spans="1:30">
      <c r="A239" s="1" t="s">
        <v>772</v>
      </c>
      <c r="B239" s="1" t="s">
        <v>773</v>
      </c>
      <c r="C239" s="1" t="s">
        <v>858</v>
      </c>
      <c r="D239" s="1" t="s">
        <v>290</v>
      </c>
      <c r="E239" s="1" t="str">
        <f t="shared" si="3"/>
        <v>W04</v>
      </c>
      <c r="F239" s="4">
        <v>11.88</v>
      </c>
      <c r="G239" s="4">
        <v>9.6</v>
      </c>
      <c r="H239" s="4">
        <v>9.6</v>
      </c>
      <c r="I239" s="4"/>
      <c r="J239" s="1" t="s">
        <v>775</v>
      </c>
      <c r="K239" s="1" t="s">
        <v>790</v>
      </c>
      <c r="L239" s="1" t="s">
        <v>787</v>
      </c>
      <c r="M239" s="1" t="s">
        <v>788</v>
      </c>
      <c r="O239" s="6">
        <v>44594</v>
      </c>
      <c r="P239" s="6">
        <v>44582</v>
      </c>
      <c r="Q239" s="6">
        <v>44117</v>
      </c>
      <c r="R239" s="1" t="s">
        <v>779</v>
      </c>
      <c r="T239" s="5">
        <v>402</v>
      </c>
      <c r="U239" s="4">
        <v>12</v>
      </c>
      <c r="V239" s="5">
        <v>382</v>
      </c>
      <c r="W239" s="6">
        <v>43427</v>
      </c>
      <c r="X239" s="6"/>
      <c r="Y239" s="6"/>
      <c r="Z239" s="6"/>
      <c r="AA239" s="6">
        <v>44813</v>
      </c>
      <c r="AB239" s="6"/>
      <c r="AC239" s="6"/>
      <c r="AD239" s="6">
        <v>44600</v>
      </c>
    </row>
    <row r="240" spans="1:30">
      <c r="A240" s="1" t="s">
        <v>772</v>
      </c>
      <c r="B240" s="1" t="s">
        <v>773</v>
      </c>
      <c r="C240" s="1" t="s">
        <v>858</v>
      </c>
      <c r="D240" s="1" t="s">
        <v>593</v>
      </c>
      <c r="E240" s="1" t="str">
        <f t="shared" si="3"/>
        <v>W04</v>
      </c>
      <c r="F240" s="4">
        <v>15.55</v>
      </c>
      <c r="G240" s="4">
        <v>12.14</v>
      </c>
      <c r="H240" s="4">
        <v>12.14</v>
      </c>
      <c r="I240" s="4"/>
      <c r="J240" s="1" t="s">
        <v>775</v>
      </c>
      <c r="K240" s="1" t="s">
        <v>797</v>
      </c>
      <c r="L240" s="1" t="s">
        <v>777</v>
      </c>
      <c r="M240" s="1" t="s">
        <v>778</v>
      </c>
      <c r="N240" s="1" t="s">
        <v>787</v>
      </c>
      <c r="O240" s="6">
        <v>44838</v>
      </c>
      <c r="P240" s="6">
        <v>44832</v>
      </c>
      <c r="Q240" s="6">
        <v>44800</v>
      </c>
      <c r="R240" s="1" t="s">
        <v>779</v>
      </c>
      <c r="S240" s="1" t="s">
        <v>795</v>
      </c>
      <c r="T240" s="5">
        <v>577</v>
      </c>
      <c r="U240" s="4">
        <v>4</v>
      </c>
      <c r="V240" s="5">
        <v>132</v>
      </c>
      <c r="W240" s="6">
        <v>43710</v>
      </c>
      <c r="X240" s="6">
        <v>42572</v>
      </c>
      <c r="Y240" s="6"/>
      <c r="Z240" s="6"/>
      <c r="AA240" s="6"/>
      <c r="AB240" s="6"/>
      <c r="AC240" s="6"/>
      <c r="AD240" s="6"/>
    </row>
    <row r="241" spans="1:30">
      <c r="A241" s="1" t="s">
        <v>772</v>
      </c>
      <c r="B241" s="1" t="s">
        <v>773</v>
      </c>
      <c r="C241" s="1" t="s">
        <v>858</v>
      </c>
      <c r="D241" s="1" t="s">
        <v>247</v>
      </c>
      <c r="E241" s="1" t="str">
        <f t="shared" si="3"/>
        <v>W04</v>
      </c>
      <c r="F241" s="4">
        <v>8.5500000000000007</v>
      </c>
      <c r="G241" s="4">
        <v>6.81</v>
      </c>
      <c r="H241" s="4">
        <v>6.81</v>
      </c>
      <c r="I241" s="4"/>
      <c r="J241" s="1" t="s">
        <v>775</v>
      </c>
      <c r="K241" s="1" t="s">
        <v>951</v>
      </c>
      <c r="L241" s="1" t="s">
        <v>778</v>
      </c>
      <c r="M241" s="1" t="s">
        <v>777</v>
      </c>
      <c r="N241" s="1" t="s">
        <v>778</v>
      </c>
      <c r="O241" s="6">
        <v>44958</v>
      </c>
      <c r="P241" s="6">
        <v>44957</v>
      </c>
      <c r="Q241" s="6"/>
      <c r="R241" s="1" t="s">
        <v>779</v>
      </c>
      <c r="T241" s="5">
        <v>120</v>
      </c>
      <c r="U241" s="4">
        <v>0</v>
      </c>
      <c r="V241" s="5">
        <v>7</v>
      </c>
      <c r="W241" s="6">
        <v>43414</v>
      </c>
      <c r="X241" s="6">
        <v>43934</v>
      </c>
      <c r="Y241" s="6"/>
      <c r="Z241" s="6"/>
      <c r="AA241" s="6"/>
      <c r="AB241" s="6"/>
      <c r="AC241" s="6"/>
      <c r="AD241" s="6">
        <v>44951</v>
      </c>
    </row>
    <row r="242" spans="1:30">
      <c r="A242" s="1" t="s">
        <v>772</v>
      </c>
      <c r="B242" s="1" t="s">
        <v>773</v>
      </c>
      <c r="C242" s="1" t="s">
        <v>904</v>
      </c>
      <c r="D242" s="1" t="s">
        <v>308</v>
      </c>
      <c r="E242" s="1" t="str">
        <f t="shared" si="3"/>
        <v>W03</v>
      </c>
      <c r="F242" s="4">
        <v>7.5</v>
      </c>
      <c r="G242" s="4">
        <v>6.28</v>
      </c>
      <c r="H242" s="4">
        <v>6.28</v>
      </c>
      <c r="I242" s="4"/>
      <c r="J242" s="1" t="s">
        <v>775</v>
      </c>
      <c r="K242" s="1" t="s">
        <v>825</v>
      </c>
      <c r="L242" s="1" t="s">
        <v>787</v>
      </c>
      <c r="M242" s="1" t="s">
        <v>788</v>
      </c>
      <c r="O242" s="6">
        <v>44653</v>
      </c>
      <c r="P242" s="6">
        <v>44644</v>
      </c>
      <c r="Q242" s="6">
        <v>44155</v>
      </c>
      <c r="R242" s="1" t="s">
        <v>779</v>
      </c>
      <c r="T242" s="5">
        <v>402</v>
      </c>
      <c r="U242" s="4">
        <v>10</v>
      </c>
      <c r="V242" s="5">
        <v>320</v>
      </c>
      <c r="W242" s="6">
        <v>43427</v>
      </c>
      <c r="X242" s="6"/>
      <c r="Y242" s="6"/>
      <c r="Z242" s="6"/>
      <c r="AA242" s="6">
        <v>44873</v>
      </c>
      <c r="AB242" s="6"/>
      <c r="AC242" s="6"/>
      <c r="AD242" s="6"/>
    </row>
    <row r="243" spans="1:30">
      <c r="A243" s="1" t="s">
        <v>772</v>
      </c>
      <c r="B243" s="1" t="s">
        <v>773</v>
      </c>
      <c r="C243" s="1" t="s">
        <v>858</v>
      </c>
      <c r="D243" s="1" t="s">
        <v>259</v>
      </c>
      <c r="E243" s="1" t="str">
        <f t="shared" si="3"/>
        <v>W04</v>
      </c>
      <c r="F243" s="4">
        <v>17.100000000000001</v>
      </c>
      <c r="G243" s="4">
        <v>13.58</v>
      </c>
      <c r="H243" s="4">
        <v>13.58</v>
      </c>
      <c r="I243" s="4"/>
      <c r="J243" s="1" t="s">
        <v>775</v>
      </c>
      <c r="K243" s="1" t="s">
        <v>951</v>
      </c>
      <c r="L243" s="1" t="s">
        <v>778</v>
      </c>
      <c r="M243" s="1" t="s">
        <v>777</v>
      </c>
      <c r="N243" s="1" t="s">
        <v>787</v>
      </c>
      <c r="O243" s="6">
        <v>44958</v>
      </c>
      <c r="P243" s="6">
        <v>44939</v>
      </c>
      <c r="Q243" s="6"/>
      <c r="R243" s="1" t="s">
        <v>779</v>
      </c>
      <c r="T243" s="5">
        <v>120</v>
      </c>
      <c r="U243" s="4">
        <v>0</v>
      </c>
      <c r="V243" s="5">
        <v>25</v>
      </c>
      <c r="W243" s="6">
        <v>43373</v>
      </c>
      <c r="X243" s="6">
        <v>42702</v>
      </c>
      <c r="Y243" s="6"/>
      <c r="Z243" s="6"/>
      <c r="AA243" s="6"/>
      <c r="AB243" s="6"/>
      <c r="AC243" s="6"/>
      <c r="AD243" s="6">
        <v>44949</v>
      </c>
    </row>
    <row r="244" spans="1:30">
      <c r="A244" s="1" t="s">
        <v>772</v>
      </c>
      <c r="B244" s="1" t="s">
        <v>773</v>
      </c>
      <c r="C244" s="1" t="s">
        <v>858</v>
      </c>
      <c r="D244" s="1" t="s">
        <v>516</v>
      </c>
      <c r="E244" s="1" t="str">
        <f t="shared" si="3"/>
        <v>W04</v>
      </c>
      <c r="F244" s="4">
        <v>11.91</v>
      </c>
      <c r="G244" s="4">
        <v>9.4</v>
      </c>
      <c r="H244" s="4">
        <v>9.4</v>
      </c>
      <c r="I244" s="4"/>
      <c r="J244" s="1" t="s">
        <v>775</v>
      </c>
      <c r="K244" s="1" t="s">
        <v>824</v>
      </c>
      <c r="L244" s="1" t="s">
        <v>777</v>
      </c>
      <c r="M244" s="1" t="s">
        <v>778</v>
      </c>
      <c r="N244" s="1" t="s">
        <v>788</v>
      </c>
      <c r="O244" s="6">
        <v>44635</v>
      </c>
      <c r="P244" s="6">
        <v>44625</v>
      </c>
      <c r="Q244" s="6">
        <v>44597</v>
      </c>
      <c r="R244" s="1" t="s">
        <v>779</v>
      </c>
      <c r="S244" s="1" t="s">
        <v>795</v>
      </c>
      <c r="T244" s="5">
        <v>577</v>
      </c>
      <c r="U244" s="4">
        <v>11</v>
      </c>
      <c r="V244" s="5">
        <v>339</v>
      </c>
      <c r="W244" s="6">
        <v>43883</v>
      </c>
      <c r="X244" s="6">
        <v>43468</v>
      </c>
      <c r="Y244" s="6"/>
      <c r="Z244" s="6"/>
      <c r="AA244" s="6"/>
      <c r="AB244" s="6"/>
      <c r="AC244" s="6"/>
      <c r="AD244" s="6"/>
    </row>
    <row r="245" spans="1:30">
      <c r="A245" s="1" t="s">
        <v>772</v>
      </c>
      <c r="B245" s="1" t="s">
        <v>773</v>
      </c>
      <c r="C245" s="1" t="s">
        <v>858</v>
      </c>
      <c r="D245" s="1" t="s">
        <v>518</v>
      </c>
      <c r="E245" s="1" t="str">
        <f t="shared" si="3"/>
        <v>W04</v>
      </c>
      <c r="F245" s="4">
        <v>12.57</v>
      </c>
      <c r="G245" s="4">
        <v>10.050000000000001</v>
      </c>
      <c r="H245" s="4">
        <v>10.050000000000001</v>
      </c>
      <c r="I245" s="4"/>
      <c r="J245" s="1" t="s">
        <v>775</v>
      </c>
      <c r="K245" s="1" t="s">
        <v>824</v>
      </c>
      <c r="L245" s="1" t="s">
        <v>777</v>
      </c>
      <c r="M245" s="1" t="s">
        <v>778</v>
      </c>
      <c r="N245" s="1" t="s">
        <v>787</v>
      </c>
      <c r="O245" s="6">
        <v>44642</v>
      </c>
      <c r="P245" s="6">
        <v>44628</v>
      </c>
      <c r="Q245" s="6">
        <v>44604</v>
      </c>
      <c r="R245" s="1" t="s">
        <v>779</v>
      </c>
      <c r="S245" s="1" t="s">
        <v>780</v>
      </c>
      <c r="T245" s="5">
        <v>517</v>
      </c>
      <c r="U245" s="4">
        <v>11</v>
      </c>
      <c r="V245" s="5">
        <v>336</v>
      </c>
      <c r="W245" s="6">
        <v>43620</v>
      </c>
      <c r="X245" s="6">
        <v>42472</v>
      </c>
      <c r="Y245" s="6"/>
      <c r="Z245" s="6"/>
      <c r="AA245" s="6"/>
      <c r="AB245" s="6"/>
      <c r="AC245" s="6"/>
      <c r="AD245" s="6"/>
    </row>
    <row r="246" spans="1:30">
      <c r="A246" s="1" t="s">
        <v>772</v>
      </c>
      <c r="B246" s="1" t="s">
        <v>773</v>
      </c>
      <c r="C246" s="1" t="s">
        <v>904</v>
      </c>
      <c r="D246" s="1" t="s">
        <v>548</v>
      </c>
      <c r="E246" s="1" t="str">
        <f t="shared" si="3"/>
        <v>W03</v>
      </c>
      <c r="F246" s="4">
        <v>10.88</v>
      </c>
      <c r="G246" s="4">
        <v>8.6999999999999993</v>
      </c>
      <c r="H246" s="4">
        <v>8.6999999999999993</v>
      </c>
      <c r="I246" s="4"/>
      <c r="J246" s="1" t="s">
        <v>775</v>
      </c>
      <c r="K246" s="1" t="s">
        <v>885</v>
      </c>
      <c r="L246" s="1" t="s">
        <v>777</v>
      </c>
      <c r="M246" s="1" t="s">
        <v>778</v>
      </c>
      <c r="O246" s="6">
        <v>44692</v>
      </c>
      <c r="P246" s="6">
        <v>44691</v>
      </c>
      <c r="Q246" s="6">
        <v>44666</v>
      </c>
      <c r="R246" s="1" t="s">
        <v>779</v>
      </c>
      <c r="S246" s="1" t="s">
        <v>795</v>
      </c>
      <c r="T246" s="5">
        <v>577</v>
      </c>
      <c r="U246" s="4">
        <v>8</v>
      </c>
      <c r="V246" s="5">
        <v>273</v>
      </c>
      <c r="W246" s="6">
        <v>43388</v>
      </c>
      <c r="X246" s="6"/>
      <c r="Y246" s="6"/>
      <c r="Z246" s="6"/>
      <c r="AA246" s="6"/>
      <c r="AB246" s="6"/>
      <c r="AC246" s="6"/>
      <c r="AD246" s="6"/>
    </row>
    <row r="247" spans="1:30">
      <c r="A247" s="1" t="s">
        <v>772</v>
      </c>
      <c r="B247" s="1" t="s">
        <v>773</v>
      </c>
      <c r="C247" s="1" t="s">
        <v>904</v>
      </c>
      <c r="D247" s="1" t="s">
        <v>334</v>
      </c>
      <c r="E247" s="1" t="str">
        <f t="shared" si="3"/>
        <v>W03</v>
      </c>
      <c r="F247" s="4">
        <v>10.48</v>
      </c>
      <c r="G247" s="4">
        <v>8.2799999999999994</v>
      </c>
      <c r="H247" s="4">
        <v>8.2799999999999994</v>
      </c>
      <c r="I247" s="4"/>
      <c r="J247" s="1" t="s">
        <v>775</v>
      </c>
      <c r="K247" s="1" t="s">
        <v>952</v>
      </c>
      <c r="L247" s="1" t="s">
        <v>787</v>
      </c>
      <c r="M247" s="1" t="s">
        <v>788</v>
      </c>
      <c r="O247" s="6">
        <v>44805</v>
      </c>
      <c r="P247" s="6">
        <v>44790</v>
      </c>
      <c r="Q247" s="6">
        <v>44239</v>
      </c>
      <c r="R247" s="1" t="s">
        <v>779</v>
      </c>
      <c r="T247" s="5">
        <v>300</v>
      </c>
      <c r="U247" s="4">
        <v>5</v>
      </c>
      <c r="V247" s="5">
        <v>174</v>
      </c>
      <c r="W247" s="6">
        <v>43322</v>
      </c>
      <c r="X247" s="6"/>
      <c r="Y247" s="6"/>
      <c r="Z247" s="6"/>
      <c r="AA247" s="6"/>
      <c r="AB247" s="6"/>
      <c r="AC247" s="6"/>
      <c r="AD247" s="6">
        <v>44846</v>
      </c>
    </row>
    <row r="248" spans="1:30">
      <c r="A248" s="1" t="s">
        <v>772</v>
      </c>
      <c r="B248" s="1" t="s">
        <v>773</v>
      </c>
      <c r="C248" s="1" t="s">
        <v>858</v>
      </c>
      <c r="D248" s="1" t="s">
        <v>343</v>
      </c>
      <c r="E248" s="1" t="str">
        <f t="shared" si="3"/>
        <v>W04</v>
      </c>
      <c r="F248" s="4">
        <v>9.7200000000000006</v>
      </c>
      <c r="G248" s="4">
        <v>7.72</v>
      </c>
      <c r="H248" s="4">
        <v>7.72</v>
      </c>
      <c r="I248" s="4"/>
      <c r="J248" s="1" t="s">
        <v>775</v>
      </c>
      <c r="K248" s="1" t="s">
        <v>862</v>
      </c>
      <c r="L248" s="1" t="s">
        <v>778</v>
      </c>
      <c r="M248" s="1" t="s">
        <v>788</v>
      </c>
      <c r="O248" s="6">
        <v>44851</v>
      </c>
      <c r="P248" s="6">
        <v>44792</v>
      </c>
      <c r="Q248" s="6">
        <v>44263</v>
      </c>
      <c r="R248" s="1" t="s">
        <v>779</v>
      </c>
      <c r="T248" s="5">
        <v>300</v>
      </c>
      <c r="U248" s="4">
        <v>5</v>
      </c>
      <c r="V248" s="5">
        <v>172</v>
      </c>
      <c r="W248" s="6">
        <v>43322</v>
      </c>
      <c r="X248" s="6"/>
      <c r="Y248" s="6"/>
      <c r="Z248" s="6"/>
      <c r="AA248" s="6"/>
      <c r="AB248" s="6"/>
      <c r="AC248" s="6"/>
      <c r="AD248" s="6">
        <v>44865</v>
      </c>
    </row>
    <row r="249" spans="1:30">
      <c r="A249" s="1" t="s">
        <v>772</v>
      </c>
      <c r="B249" s="1" t="s">
        <v>773</v>
      </c>
      <c r="C249" s="1" t="s">
        <v>858</v>
      </c>
      <c r="D249" s="1" t="s">
        <v>953</v>
      </c>
      <c r="E249" s="1" t="str">
        <f t="shared" si="3"/>
        <v>W04</v>
      </c>
      <c r="F249" s="4">
        <v>1.06</v>
      </c>
      <c r="G249" s="4">
        <v>1.06</v>
      </c>
      <c r="H249" s="4">
        <v>1.06</v>
      </c>
      <c r="I249" s="4"/>
      <c r="J249" s="1" t="s">
        <v>775</v>
      </c>
      <c r="K249" s="1" t="s">
        <v>827</v>
      </c>
      <c r="L249" s="1" t="s">
        <v>828</v>
      </c>
      <c r="M249" s="1" t="s">
        <v>829</v>
      </c>
      <c r="O249" s="6">
        <v>44897</v>
      </c>
      <c r="P249" s="6">
        <v>44895</v>
      </c>
      <c r="Q249" s="6"/>
      <c r="R249" s="1" t="s">
        <v>830</v>
      </c>
      <c r="T249" s="5">
        <v>60</v>
      </c>
      <c r="U249" s="4">
        <v>2</v>
      </c>
      <c r="V249" s="5">
        <v>69</v>
      </c>
      <c r="W249" s="6">
        <v>44473</v>
      </c>
      <c r="X249" s="6"/>
      <c r="Y249" s="6"/>
      <c r="Z249" s="6"/>
      <c r="AA249" s="6"/>
      <c r="AB249" s="6"/>
      <c r="AC249" s="6"/>
      <c r="AD249" s="6"/>
    </row>
    <row r="250" spans="1:30">
      <c r="A250" s="1" t="s">
        <v>772</v>
      </c>
      <c r="B250" s="1" t="s">
        <v>773</v>
      </c>
      <c r="C250" s="1" t="s">
        <v>858</v>
      </c>
      <c r="D250" s="1" t="s">
        <v>404</v>
      </c>
      <c r="E250" s="1" t="str">
        <f t="shared" si="3"/>
        <v>W04</v>
      </c>
      <c r="F250" s="4">
        <v>15.56</v>
      </c>
      <c r="G250" s="4">
        <v>12.16</v>
      </c>
      <c r="H250" s="4">
        <v>12.16</v>
      </c>
      <c r="I250" s="4"/>
      <c r="J250" s="1" t="s">
        <v>775</v>
      </c>
      <c r="K250" s="1" t="s">
        <v>807</v>
      </c>
      <c r="L250" s="1" t="s">
        <v>787</v>
      </c>
      <c r="M250" s="1" t="s">
        <v>788</v>
      </c>
      <c r="N250" s="1" t="s">
        <v>787</v>
      </c>
      <c r="O250" s="6">
        <v>44897</v>
      </c>
      <c r="P250" s="6">
        <v>44888</v>
      </c>
      <c r="Q250" s="6">
        <v>44344</v>
      </c>
      <c r="R250" s="1" t="s">
        <v>779</v>
      </c>
      <c r="T250" s="5">
        <v>402</v>
      </c>
      <c r="U250" s="4">
        <v>2</v>
      </c>
      <c r="V250" s="5">
        <v>76</v>
      </c>
      <c r="W250" s="6">
        <v>43710</v>
      </c>
      <c r="X250" s="6">
        <v>42572</v>
      </c>
      <c r="Y250" s="6"/>
      <c r="Z250" s="6"/>
      <c r="AA250" s="6"/>
      <c r="AB250" s="6"/>
      <c r="AC250" s="6"/>
      <c r="AD250" s="6"/>
    </row>
    <row r="251" spans="1:30">
      <c r="A251" s="1" t="s">
        <v>772</v>
      </c>
      <c r="B251" s="1" t="s">
        <v>773</v>
      </c>
      <c r="C251" s="1" t="s">
        <v>858</v>
      </c>
      <c r="D251" s="1" t="s">
        <v>452</v>
      </c>
      <c r="E251" s="1" t="str">
        <f t="shared" si="3"/>
        <v>W04</v>
      </c>
      <c r="F251" s="4">
        <v>8.86</v>
      </c>
      <c r="G251" s="4">
        <v>6.83</v>
      </c>
      <c r="H251" s="4">
        <v>6.83</v>
      </c>
      <c r="I251" s="4"/>
      <c r="J251" s="1" t="s">
        <v>775</v>
      </c>
      <c r="K251" s="1" t="s">
        <v>894</v>
      </c>
      <c r="L251" s="1" t="s">
        <v>787</v>
      </c>
      <c r="M251" s="1" t="s">
        <v>788</v>
      </c>
      <c r="N251" s="1" t="s">
        <v>787</v>
      </c>
      <c r="O251" s="6">
        <v>44958</v>
      </c>
      <c r="P251" s="6">
        <v>44939</v>
      </c>
      <c r="Q251" s="6">
        <v>44454</v>
      </c>
      <c r="R251" s="1" t="s">
        <v>779</v>
      </c>
      <c r="T251" s="5">
        <v>402</v>
      </c>
      <c r="U251" s="4">
        <v>0</v>
      </c>
      <c r="V251" s="5">
        <v>25</v>
      </c>
      <c r="W251" s="6">
        <v>43373</v>
      </c>
      <c r="X251" s="6">
        <v>42702</v>
      </c>
      <c r="Y251" s="6"/>
      <c r="Z251" s="6"/>
      <c r="AA251" s="6"/>
      <c r="AB251" s="6"/>
      <c r="AC251" s="6"/>
      <c r="AD251" s="6">
        <v>44950</v>
      </c>
    </row>
    <row r="252" spans="1:30">
      <c r="A252" s="1" t="s">
        <v>772</v>
      </c>
      <c r="B252" s="1" t="s">
        <v>773</v>
      </c>
      <c r="C252" s="1" t="s">
        <v>858</v>
      </c>
      <c r="D252" s="1" t="s">
        <v>510</v>
      </c>
      <c r="E252" s="1" t="str">
        <f t="shared" si="3"/>
        <v>W04</v>
      </c>
      <c r="F252" s="5">
        <v>13.87</v>
      </c>
      <c r="G252" s="4">
        <v>10.9</v>
      </c>
      <c r="H252" s="4">
        <v>10.9</v>
      </c>
      <c r="I252" s="4"/>
      <c r="J252" s="1" t="s">
        <v>775</v>
      </c>
      <c r="K252" s="1" t="s">
        <v>824</v>
      </c>
      <c r="L252" s="1" t="s">
        <v>777</v>
      </c>
      <c r="M252" s="1" t="s">
        <v>778</v>
      </c>
      <c r="O252" s="6">
        <v>44635</v>
      </c>
      <c r="P252" s="6">
        <v>44617</v>
      </c>
      <c r="Q252" s="6">
        <v>44580</v>
      </c>
      <c r="R252" s="1" t="s">
        <v>779</v>
      </c>
      <c r="S252" s="1" t="s">
        <v>841</v>
      </c>
      <c r="T252" s="5">
        <v>577</v>
      </c>
      <c r="U252" s="4">
        <v>11</v>
      </c>
      <c r="V252" s="5">
        <v>347</v>
      </c>
      <c r="W252" s="6">
        <v>45107</v>
      </c>
      <c r="X252" s="6"/>
      <c r="Y252" s="6"/>
      <c r="Z252" s="6"/>
      <c r="AA252" s="6"/>
      <c r="AB252" s="6"/>
      <c r="AC252" s="6"/>
      <c r="AD252" s="6"/>
    </row>
    <row r="253" spans="1:30">
      <c r="A253" s="1" t="s">
        <v>772</v>
      </c>
      <c r="B253" s="1" t="s">
        <v>773</v>
      </c>
      <c r="C253" s="1" t="s">
        <v>858</v>
      </c>
      <c r="D253" s="1" t="s">
        <v>954</v>
      </c>
      <c r="E253" s="1" t="str">
        <f t="shared" si="3"/>
        <v>W04</v>
      </c>
      <c r="F253" s="4">
        <v>9.34</v>
      </c>
      <c r="G253" s="4">
        <v>7.53</v>
      </c>
      <c r="H253" s="4">
        <v>7.53</v>
      </c>
      <c r="I253" s="4"/>
      <c r="J253" s="1" t="s">
        <v>775</v>
      </c>
      <c r="K253" s="1" t="s">
        <v>955</v>
      </c>
      <c r="L253" s="1" t="s">
        <v>851</v>
      </c>
      <c r="M253" s="1" t="s">
        <v>802</v>
      </c>
      <c r="O253" s="6">
        <v>44956</v>
      </c>
      <c r="P253" s="6">
        <v>44956</v>
      </c>
      <c r="Q253" s="6">
        <v>44009</v>
      </c>
      <c r="R253" s="1" t="s">
        <v>784</v>
      </c>
      <c r="S253" s="1" t="s">
        <v>785</v>
      </c>
      <c r="T253" s="5">
        <v>294</v>
      </c>
      <c r="U253" s="4">
        <v>0</v>
      </c>
      <c r="V253" s="5">
        <v>8</v>
      </c>
      <c r="W253" s="6">
        <v>45043</v>
      </c>
      <c r="X253" s="6"/>
      <c r="Y253" s="6"/>
      <c r="Z253" s="6"/>
      <c r="AA253" s="6"/>
      <c r="AB253" s="6"/>
      <c r="AC253" s="6"/>
      <c r="AD253" s="6"/>
    </row>
    <row r="254" spans="1:30">
      <c r="A254" s="1" t="s">
        <v>772</v>
      </c>
      <c r="B254" s="1" t="s">
        <v>773</v>
      </c>
      <c r="C254" s="1" t="s">
        <v>858</v>
      </c>
      <c r="D254" s="1" t="s">
        <v>569</v>
      </c>
      <c r="E254" s="1" t="str">
        <f t="shared" si="3"/>
        <v>W04</v>
      </c>
      <c r="F254" s="4">
        <v>7.12</v>
      </c>
      <c r="G254" s="4">
        <v>5.69</v>
      </c>
      <c r="H254" s="4">
        <v>5.69</v>
      </c>
      <c r="I254" s="4"/>
      <c r="J254" s="1" t="s">
        <v>775</v>
      </c>
      <c r="K254" s="1" t="s">
        <v>859</v>
      </c>
      <c r="L254" s="1" t="s">
        <v>777</v>
      </c>
      <c r="M254" s="1" t="s">
        <v>778</v>
      </c>
      <c r="O254" s="6">
        <v>44746</v>
      </c>
      <c r="P254" s="6">
        <v>44737</v>
      </c>
      <c r="Q254" s="6">
        <v>44723</v>
      </c>
      <c r="R254" s="1" t="s">
        <v>779</v>
      </c>
      <c r="S254" s="1" t="s">
        <v>841</v>
      </c>
      <c r="T254" s="5">
        <v>577</v>
      </c>
      <c r="U254" s="4">
        <v>7</v>
      </c>
      <c r="V254" s="5">
        <v>227</v>
      </c>
      <c r="W254" s="6"/>
      <c r="X254" s="6"/>
      <c r="Y254" s="6"/>
      <c r="Z254" s="6"/>
      <c r="AA254" s="6"/>
      <c r="AB254" s="6"/>
      <c r="AC254" s="6"/>
      <c r="AD254" s="6"/>
    </row>
    <row r="255" spans="1:30">
      <c r="A255" s="1" t="s">
        <v>772</v>
      </c>
      <c r="B255" s="1" t="s">
        <v>773</v>
      </c>
      <c r="C255" s="1" t="s">
        <v>858</v>
      </c>
      <c r="D255" s="1" t="s">
        <v>337</v>
      </c>
      <c r="E255" s="1" t="str">
        <f t="shared" si="3"/>
        <v>W04</v>
      </c>
      <c r="F255" s="4">
        <v>11.64</v>
      </c>
      <c r="G255" s="4">
        <v>9.17</v>
      </c>
      <c r="H255" s="4">
        <v>9.17</v>
      </c>
      <c r="I255" s="4"/>
      <c r="J255" s="1" t="s">
        <v>775</v>
      </c>
      <c r="K255" s="1" t="s">
        <v>890</v>
      </c>
      <c r="L255" s="1" t="s">
        <v>787</v>
      </c>
      <c r="M255" s="1" t="s">
        <v>788</v>
      </c>
      <c r="N255" s="1" t="s">
        <v>777</v>
      </c>
      <c r="O255" s="6">
        <v>44837</v>
      </c>
      <c r="P255" s="6">
        <v>44832</v>
      </c>
      <c r="Q255" s="6">
        <v>44250</v>
      </c>
      <c r="R255" s="1" t="s">
        <v>779</v>
      </c>
      <c r="T255" s="5">
        <v>402</v>
      </c>
      <c r="U255" s="4">
        <v>4</v>
      </c>
      <c r="V255" s="5">
        <v>132</v>
      </c>
      <c r="W255" s="6">
        <v>43100</v>
      </c>
      <c r="X255" s="6">
        <v>43100</v>
      </c>
      <c r="Y255" s="6"/>
      <c r="Z255" s="6"/>
      <c r="AA255" s="6"/>
      <c r="AB255" s="6"/>
      <c r="AC255" s="6"/>
      <c r="AD255" s="6"/>
    </row>
    <row r="256" spans="1:30">
      <c r="A256" s="1" t="s">
        <v>772</v>
      </c>
      <c r="B256" s="1" t="s">
        <v>773</v>
      </c>
      <c r="C256" s="1" t="s">
        <v>858</v>
      </c>
      <c r="D256" s="1" t="s">
        <v>11</v>
      </c>
      <c r="E256" s="1" t="str">
        <f t="shared" si="3"/>
        <v>W04</v>
      </c>
      <c r="F256" s="4">
        <v>10.82</v>
      </c>
      <c r="G256" s="4">
        <v>8.5399999999999991</v>
      </c>
      <c r="H256" s="4">
        <v>8.5399999999999991</v>
      </c>
      <c r="I256" s="4"/>
      <c r="J256" s="1" t="s">
        <v>775</v>
      </c>
      <c r="K256" s="1" t="s">
        <v>839</v>
      </c>
      <c r="L256" s="1" t="s">
        <v>777</v>
      </c>
      <c r="M256" s="1" t="s">
        <v>778</v>
      </c>
      <c r="O256" s="6">
        <v>44798</v>
      </c>
      <c r="P256" s="6">
        <v>44789</v>
      </c>
      <c r="Q256" s="6">
        <v>44764</v>
      </c>
      <c r="R256" s="1" t="s">
        <v>779</v>
      </c>
      <c r="S256" s="1" t="s">
        <v>795</v>
      </c>
      <c r="T256" s="5">
        <v>577</v>
      </c>
      <c r="U256" s="4">
        <v>5</v>
      </c>
      <c r="V256" s="5">
        <v>175</v>
      </c>
      <c r="W256" s="6">
        <v>45211</v>
      </c>
      <c r="X256" s="6"/>
      <c r="Y256" s="6"/>
      <c r="Z256" s="6"/>
      <c r="AA256" s="6"/>
      <c r="AB256" s="6"/>
      <c r="AC256" s="6"/>
      <c r="AD256" s="6"/>
    </row>
    <row r="257" spans="1:30">
      <c r="A257" s="1" t="s">
        <v>772</v>
      </c>
      <c r="B257" s="1" t="s">
        <v>773</v>
      </c>
      <c r="C257" s="1" t="s">
        <v>858</v>
      </c>
      <c r="D257" s="1" t="s">
        <v>14</v>
      </c>
      <c r="E257" s="1" t="str">
        <f t="shared" si="3"/>
        <v>W04</v>
      </c>
      <c r="F257" s="4">
        <v>12.85</v>
      </c>
      <c r="G257" s="4">
        <v>10.039999999999999</v>
      </c>
      <c r="H257" s="4">
        <v>10.039999999999999</v>
      </c>
      <c r="I257" s="4"/>
      <c r="J257" s="1" t="s">
        <v>775</v>
      </c>
      <c r="K257" s="1" t="s">
        <v>839</v>
      </c>
      <c r="L257" s="1" t="s">
        <v>777</v>
      </c>
      <c r="M257" s="1" t="s">
        <v>778</v>
      </c>
      <c r="N257" s="1" t="s">
        <v>787</v>
      </c>
      <c r="O257" s="6">
        <v>44798</v>
      </c>
      <c r="P257" s="6">
        <v>44785</v>
      </c>
      <c r="Q257" s="6">
        <v>44767</v>
      </c>
      <c r="R257" s="1" t="s">
        <v>779</v>
      </c>
      <c r="S257" s="1" t="s">
        <v>792</v>
      </c>
      <c r="T257" s="5">
        <v>577</v>
      </c>
      <c r="U257" s="4">
        <v>5</v>
      </c>
      <c r="V257" s="5">
        <v>179</v>
      </c>
      <c r="W257" s="6">
        <v>43293</v>
      </c>
      <c r="X257" s="6">
        <v>43079</v>
      </c>
      <c r="Y257" s="6"/>
      <c r="Z257" s="6"/>
      <c r="AA257" s="6"/>
      <c r="AB257" s="6"/>
      <c r="AC257" s="6"/>
      <c r="AD257" s="6"/>
    </row>
    <row r="258" spans="1:30">
      <c r="A258" s="1" t="s">
        <v>772</v>
      </c>
      <c r="B258" s="1" t="s">
        <v>773</v>
      </c>
      <c r="C258" s="1" t="s">
        <v>858</v>
      </c>
      <c r="D258" s="1" t="s">
        <v>17</v>
      </c>
      <c r="E258" s="1" t="str">
        <f t="shared" si="3"/>
        <v>W04</v>
      </c>
      <c r="F258" s="4">
        <v>14.5</v>
      </c>
      <c r="G258" s="4">
        <v>11.4</v>
      </c>
      <c r="H258" s="4">
        <v>11.4</v>
      </c>
      <c r="I258" s="4"/>
      <c r="J258" s="1" t="s">
        <v>775</v>
      </c>
      <c r="K258" s="1" t="s">
        <v>800</v>
      </c>
      <c r="L258" s="1" t="s">
        <v>777</v>
      </c>
      <c r="M258" s="1" t="s">
        <v>778</v>
      </c>
      <c r="N258" s="1" t="s">
        <v>777</v>
      </c>
      <c r="O258" s="6">
        <v>44824</v>
      </c>
      <c r="P258" s="6">
        <v>44817</v>
      </c>
      <c r="Q258" s="6">
        <v>44757</v>
      </c>
      <c r="R258" s="1" t="s">
        <v>779</v>
      </c>
      <c r="S258" s="1" t="s">
        <v>780</v>
      </c>
      <c r="T258" s="5">
        <v>517</v>
      </c>
      <c r="U258" s="4">
        <v>4</v>
      </c>
      <c r="V258" s="5">
        <v>147</v>
      </c>
      <c r="W258" s="6">
        <v>43483</v>
      </c>
      <c r="X258" s="6">
        <v>43356</v>
      </c>
      <c r="Y258" s="6"/>
      <c r="Z258" s="6"/>
      <c r="AA258" s="6"/>
      <c r="AB258" s="6"/>
      <c r="AC258" s="6"/>
      <c r="AD258" s="6"/>
    </row>
    <row r="259" spans="1:30">
      <c r="A259" s="1" t="s">
        <v>772</v>
      </c>
      <c r="B259" s="1" t="s">
        <v>773</v>
      </c>
      <c r="C259" s="1" t="s">
        <v>858</v>
      </c>
      <c r="D259" s="1" t="s">
        <v>594</v>
      </c>
      <c r="E259" s="1" t="str">
        <f>RIGHT(C259,3)</f>
        <v>W04</v>
      </c>
      <c r="F259" s="4">
        <v>4.66</v>
      </c>
      <c r="G259" s="4">
        <v>3.62</v>
      </c>
      <c r="H259" s="4">
        <v>3.62</v>
      </c>
      <c r="I259" s="4"/>
      <c r="J259" s="1" t="s">
        <v>775</v>
      </c>
      <c r="K259" s="1" t="s">
        <v>797</v>
      </c>
      <c r="L259" s="1" t="s">
        <v>777</v>
      </c>
      <c r="M259" s="1" t="s">
        <v>778</v>
      </c>
      <c r="N259" s="1" t="s">
        <v>777</v>
      </c>
      <c r="O259" s="6">
        <v>44838</v>
      </c>
      <c r="P259" s="6">
        <v>44832</v>
      </c>
      <c r="Q259" s="6">
        <v>44823</v>
      </c>
      <c r="R259" s="1" t="s">
        <v>779</v>
      </c>
      <c r="S259" s="1" t="s">
        <v>795</v>
      </c>
      <c r="T259" s="5">
        <v>577</v>
      </c>
      <c r="U259" s="4">
        <v>4</v>
      </c>
      <c r="V259" s="5">
        <v>132</v>
      </c>
      <c r="W259" s="6">
        <v>43175</v>
      </c>
      <c r="X259" s="6">
        <v>43206</v>
      </c>
      <c r="Y259" s="6"/>
      <c r="Z259" s="6"/>
      <c r="AA259" s="6"/>
      <c r="AB259" s="6"/>
      <c r="AC259" s="6"/>
      <c r="AD259" s="6"/>
    </row>
    <row r="260" spans="1:30">
      <c r="A260" s="1" t="s">
        <v>772</v>
      </c>
      <c r="B260" s="1" t="s">
        <v>773</v>
      </c>
      <c r="C260" s="1" t="s">
        <v>858</v>
      </c>
      <c r="D260" s="1" t="s">
        <v>53</v>
      </c>
      <c r="E260" s="1" t="str">
        <f>RIGHT(C260,3)</f>
        <v>W04</v>
      </c>
      <c r="F260" s="4">
        <v>6.94</v>
      </c>
      <c r="G260" s="4">
        <v>5.57</v>
      </c>
      <c r="H260" s="4">
        <v>5.57</v>
      </c>
      <c r="I260" s="4"/>
      <c r="J260" s="1" t="s">
        <v>775</v>
      </c>
      <c r="K260" s="1" t="s">
        <v>839</v>
      </c>
      <c r="L260" s="1" t="s">
        <v>777</v>
      </c>
      <c r="M260" s="1" t="s">
        <v>778</v>
      </c>
      <c r="N260" s="1" t="s">
        <v>787</v>
      </c>
      <c r="O260" s="6">
        <v>44775</v>
      </c>
      <c r="P260" s="6">
        <v>44766</v>
      </c>
      <c r="Q260" s="6">
        <v>44723</v>
      </c>
      <c r="R260" s="1" t="s">
        <v>779</v>
      </c>
      <c r="S260" s="1" t="s">
        <v>823</v>
      </c>
      <c r="T260" s="5">
        <v>457</v>
      </c>
      <c r="U260" s="4">
        <v>6</v>
      </c>
      <c r="V260" s="5">
        <v>198</v>
      </c>
      <c r="W260" s="6">
        <v>43535</v>
      </c>
      <c r="X260" s="6">
        <v>43566</v>
      </c>
      <c r="Y260" s="6"/>
      <c r="Z260" s="6"/>
      <c r="AA260" s="6"/>
      <c r="AB260" s="6"/>
      <c r="AC260" s="6"/>
      <c r="AD260" s="6"/>
    </row>
    <row r="261" spans="1:30">
      <c r="A261" s="1" t="s">
        <v>772</v>
      </c>
      <c r="B261" s="1" t="s">
        <v>773</v>
      </c>
      <c r="C261" s="1" t="s">
        <v>858</v>
      </c>
      <c r="D261" s="1" t="s">
        <v>601</v>
      </c>
      <c r="E261" s="1" t="str">
        <f t="shared" ref="E261:E324" si="4">RIGHT(C261,3)</f>
        <v>W04</v>
      </c>
      <c r="F261" s="4">
        <v>8.8800000000000008</v>
      </c>
      <c r="G261" s="4">
        <v>6.93</v>
      </c>
      <c r="H261" s="4">
        <v>6.93</v>
      </c>
      <c r="I261" s="4"/>
      <c r="J261" s="1" t="s">
        <v>775</v>
      </c>
      <c r="K261" s="1" t="s">
        <v>797</v>
      </c>
      <c r="L261" s="1" t="s">
        <v>777</v>
      </c>
      <c r="M261" s="1" t="s">
        <v>778</v>
      </c>
      <c r="O261" s="6">
        <v>44851</v>
      </c>
      <c r="P261" s="6">
        <v>44841</v>
      </c>
      <c r="Q261" s="6">
        <v>44823</v>
      </c>
      <c r="R261" s="1" t="s">
        <v>779</v>
      </c>
      <c r="S261" s="1" t="s">
        <v>792</v>
      </c>
      <c r="T261" s="5">
        <v>577</v>
      </c>
      <c r="U261" s="4">
        <v>4</v>
      </c>
      <c r="V261" s="5">
        <v>123</v>
      </c>
      <c r="W261" s="6">
        <v>44473</v>
      </c>
      <c r="X261" s="6"/>
      <c r="Y261" s="6"/>
      <c r="Z261" s="6"/>
      <c r="AA261" s="6"/>
      <c r="AB261" s="6"/>
      <c r="AC261" s="6"/>
      <c r="AD261" s="6"/>
    </row>
    <row r="262" spans="1:30">
      <c r="A262" s="1" t="s">
        <v>772</v>
      </c>
      <c r="B262" s="1" t="s">
        <v>773</v>
      </c>
      <c r="C262" s="1" t="s">
        <v>858</v>
      </c>
      <c r="D262" s="1" t="s">
        <v>567</v>
      </c>
      <c r="E262" s="1" t="str">
        <f t="shared" si="4"/>
        <v>W04</v>
      </c>
      <c r="F262" s="4">
        <v>10.26</v>
      </c>
      <c r="G262" s="4">
        <v>8.1999999999999993</v>
      </c>
      <c r="H262" s="4">
        <v>8.1999999999999993</v>
      </c>
      <c r="I262" s="4"/>
      <c r="J262" s="1" t="s">
        <v>775</v>
      </c>
      <c r="K262" s="1" t="s">
        <v>859</v>
      </c>
      <c r="L262" s="1" t="s">
        <v>777</v>
      </c>
      <c r="M262" s="1" t="s">
        <v>778</v>
      </c>
      <c r="N262" s="1" t="s">
        <v>778</v>
      </c>
      <c r="O262" s="6">
        <v>44746</v>
      </c>
      <c r="P262" s="6">
        <v>44734</v>
      </c>
      <c r="Q262" s="6">
        <v>44699</v>
      </c>
      <c r="R262" s="1" t="s">
        <v>779</v>
      </c>
      <c r="S262" s="1" t="s">
        <v>795</v>
      </c>
      <c r="T262" s="5">
        <v>577</v>
      </c>
      <c r="U262" s="4">
        <v>7</v>
      </c>
      <c r="V262" s="5">
        <v>230</v>
      </c>
      <c r="W262" s="6">
        <v>44728</v>
      </c>
      <c r="X262" s="6">
        <v>45246</v>
      </c>
      <c r="Y262" s="6"/>
      <c r="Z262" s="6"/>
      <c r="AA262" s="6"/>
      <c r="AB262" s="6"/>
      <c r="AC262" s="6"/>
      <c r="AD262" s="6"/>
    </row>
    <row r="263" spans="1:30">
      <c r="A263" s="1" t="s">
        <v>772</v>
      </c>
      <c r="B263" s="1" t="s">
        <v>773</v>
      </c>
      <c r="C263" s="1" t="s">
        <v>904</v>
      </c>
      <c r="D263" s="1" t="s">
        <v>956</v>
      </c>
      <c r="E263" s="1" t="str">
        <f t="shared" si="4"/>
        <v>W03</v>
      </c>
      <c r="F263" s="4">
        <v>5.35</v>
      </c>
      <c r="G263" s="4">
        <v>4.4400000000000004</v>
      </c>
      <c r="H263" s="4">
        <v>4.4400000000000004</v>
      </c>
      <c r="I263" s="4"/>
      <c r="J263" s="1" t="s">
        <v>775</v>
      </c>
      <c r="K263" s="1" t="s">
        <v>875</v>
      </c>
      <c r="L263" s="1" t="s">
        <v>835</v>
      </c>
      <c r="M263" s="1" t="s">
        <v>851</v>
      </c>
      <c r="O263" s="6">
        <v>44891</v>
      </c>
      <c r="P263" s="6">
        <v>44706</v>
      </c>
      <c r="Q263" s="6">
        <v>44455</v>
      </c>
      <c r="R263" s="1" t="s">
        <v>784</v>
      </c>
      <c r="S263" s="1" t="s">
        <v>957</v>
      </c>
      <c r="T263" s="5">
        <v>238</v>
      </c>
      <c r="U263" s="4">
        <v>8</v>
      </c>
      <c r="V263" s="5">
        <v>258</v>
      </c>
      <c r="W263" s="6">
        <v>45005</v>
      </c>
      <c r="X263" s="6"/>
      <c r="Y263" s="6"/>
      <c r="Z263" s="6"/>
      <c r="AA263" s="6"/>
      <c r="AB263" s="6"/>
      <c r="AC263" s="6"/>
      <c r="AD263" s="6">
        <v>44896</v>
      </c>
    </row>
    <row r="264" spans="1:30">
      <c r="A264" s="1" t="s">
        <v>772</v>
      </c>
      <c r="B264" s="1" t="s">
        <v>773</v>
      </c>
      <c r="C264" s="1" t="s">
        <v>904</v>
      </c>
      <c r="D264" s="1" t="s">
        <v>958</v>
      </c>
      <c r="E264" s="1" t="str">
        <f t="shared" si="4"/>
        <v>W03</v>
      </c>
      <c r="F264" s="4">
        <v>1.71</v>
      </c>
      <c r="G264" s="4">
        <v>1.36</v>
      </c>
      <c r="H264" s="4">
        <v>1.36</v>
      </c>
      <c r="I264" s="4"/>
      <c r="J264" s="1" t="s">
        <v>775</v>
      </c>
      <c r="K264" s="1" t="s">
        <v>855</v>
      </c>
      <c r="L264" s="1" t="s">
        <v>828</v>
      </c>
      <c r="M264" s="1" t="s">
        <v>829</v>
      </c>
      <c r="O264" s="6">
        <v>44959</v>
      </c>
      <c r="P264" s="6">
        <v>44957</v>
      </c>
      <c r="Q264" s="6"/>
      <c r="R264" s="1" t="s">
        <v>830</v>
      </c>
      <c r="T264" s="5">
        <v>60</v>
      </c>
      <c r="U264" s="4">
        <v>0</v>
      </c>
      <c r="V264" s="5">
        <v>7</v>
      </c>
      <c r="W264" s="6">
        <v>43322</v>
      </c>
      <c r="X264" s="6"/>
      <c r="Y264" s="6"/>
      <c r="Z264" s="6"/>
      <c r="AA264" s="6"/>
      <c r="AB264" s="6"/>
      <c r="AC264" s="6"/>
      <c r="AD264" s="6"/>
    </row>
    <row r="265" spans="1:30">
      <c r="A265" s="1" t="s">
        <v>772</v>
      </c>
      <c r="B265" s="1" t="s">
        <v>773</v>
      </c>
      <c r="C265" s="1" t="s">
        <v>904</v>
      </c>
      <c r="D265" s="1" t="s">
        <v>702</v>
      </c>
      <c r="E265" s="1" t="str">
        <f t="shared" si="4"/>
        <v>W03</v>
      </c>
      <c r="F265" s="4">
        <v>6.22</v>
      </c>
      <c r="G265" s="4">
        <v>5.09</v>
      </c>
      <c r="H265" s="4">
        <v>5.09</v>
      </c>
      <c r="I265" s="4"/>
      <c r="J265" s="1" t="s">
        <v>775</v>
      </c>
      <c r="K265" s="1" t="s">
        <v>959</v>
      </c>
      <c r="L265" s="1" t="s">
        <v>850</v>
      </c>
      <c r="M265" s="1" t="s">
        <v>828</v>
      </c>
      <c r="O265" s="6">
        <v>44957</v>
      </c>
      <c r="P265" s="6">
        <v>44957</v>
      </c>
      <c r="Q265" s="6"/>
      <c r="R265" s="1" t="s">
        <v>830</v>
      </c>
      <c r="T265" s="5">
        <v>30</v>
      </c>
      <c r="U265" s="4">
        <v>0</v>
      </c>
      <c r="V265" s="5">
        <v>7</v>
      </c>
      <c r="W265" s="6">
        <v>44473</v>
      </c>
      <c r="X265" s="6"/>
      <c r="Y265" s="6"/>
      <c r="Z265" s="6"/>
      <c r="AA265" s="6"/>
      <c r="AB265" s="6"/>
      <c r="AC265" s="6"/>
      <c r="AD265" s="6"/>
    </row>
    <row r="266" spans="1:30">
      <c r="A266" s="1" t="s">
        <v>772</v>
      </c>
      <c r="B266" s="1" t="s">
        <v>773</v>
      </c>
      <c r="C266" s="1" t="s">
        <v>904</v>
      </c>
      <c r="D266" s="1" t="s">
        <v>320</v>
      </c>
      <c r="E266" s="1" t="str">
        <f t="shared" si="4"/>
        <v>W03</v>
      </c>
      <c r="F266" s="4">
        <v>11.56</v>
      </c>
      <c r="G266" s="4">
        <v>9.0299999999999994</v>
      </c>
      <c r="H266" s="4">
        <v>9.0299999999999994</v>
      </c>
      <c r="I266" s="4"/>
      <c r="J266" s="1" t="s">
        <v>775</v>
      </c>
      <c r="K266" s="1" t="s">
        <v>796</v>
      </c>
      <c r="L266" s="1" t="s">
        <v>787</v>
      </c>
      <c r="M266" s="1" t="s">
        <v>788</v>
      </c>
      <c r="O266" s="6">
        <v>44744</v>
      </c>
      <c r="P266" s="6">
        <v>44742</v>
      </c>
      <c r="Q266" s="6">
        <v>44216</v>
      </c>
      <c r="R266" s="1" t="s">
        <v>779</v>
      </c>
      <c r="T266" s="5">
        <v>402</v>
      </c>
      <c r="U266" s="4">
        <v>7</v>
      </c>
      <c r="V266" s="5">
        <v>222</v>
      </c>
      <c r="W266" s="6"/>
      <c r="X266" s="6"/>
      <c r="Y266" s="6"/>
      <c r="Z266" s="6"/>
      <c r="AA266" s="6"/>
      <c r="AB266" s="6"/>
      <c r="AC266" s="6"/>
      <c r="AD266" s="6">
        <v>44744</v>
      </c>
    </row>
    <row r="267" spans="1:30">
      <c r="A267" s="1" t="s">
        <v>772</v>
      </c>
      <c r="B267" s="1" t="s">
        <v>773</v>
      </c>
      <c r="C267" s="1" t="s">
        <v>904</v>
      </c>
      <c r="D267" s="1" t="s">
        <v>960</v>
      </c>
      <c r="E267" s="1" t="str">
        <f t="shared" si="4"/>
        <v>W03</v>
      </c>
      <c r="F267" s="4">
        <v>7.85</v>
      </c>
      <c r="G267" s="4">
        <v>6</v>
      </c>
      <c r="H267" s="4">
        <v>6</v>
      </c>
      <c r="I267" s="4"/>
      <c r="J267" s="1" t="s">
        <v>775</v>
      </c>
      <c r="K267" s="1" t="s">
        <v>961</v>
      </c>
      <c r="L267" s="1" t="s">
        <v>835</v>
      </c>
      <c r="M267" s="1" t="s">
        <v>851</v>
      </c>
      <c r="O267" s="6">
        <v>44956</v>
      </c>
      <c r="P267" s="6">
        <v>44956</v>
      </c>
      <c r="Q267" s="6">
        <v>44498</v>
      </c>
      <c r="R267" s="1" t="s">
        <v>784</v>
      </c>
      <c r="S267" s="1" t="s">
        <v>785</v>
      </c>
      <c r="T267" s="5">
        <v>238</v>
      </c>
      <c r="U267" s="4">
        <v>0</v>
      </c>
      <c r="V267" s="5">
        <v>8</v>
      </c>
      <c r="W267" s="6">
        <v>45043</v>
      </c>
      <c r="X267" s="6"/>
      <c r="Y267" s="6"/>
      <c r="Z267" s="6"/>
      <c r="AA267" s="6"/>
      <c r="AB267" s="6"/>
      <c r="AC267" s="6"/>
      <c r="AD267" s="6">
        <v>44960</v>
      </c>
    </row>
    <row r="268" spans="1:30">
      <c r="A268" s="1" t="s">
        <v>772</v>
      </c>
      <c r="B268" s="1" t="s">
        <v>773</v>
      </c>
      <c r="C268" s="1" t="s">
        <v>904</v>
      </c>
      <c r="D268" s="1" t="s">
        <v>165</v>
      </c>
      <c r="E268" s="1" t="str">
        <f t="shared" si="4"/>
        <v>W03</v>
      </c>
      <c r="F268" s="4">
        <v>10.33</v>
      </c>
      <c r="G268" s="4">
        <v>8.59</v>
      </c>
      <c r="H268" s="4">
        <v>8.59</v>
      </c>
      <c r="I268" s="4"/>
      <c r="J268" s="1" t="s">
        <v>775</v>
      </c>
      <c r="K268" s="1" t="s">
        <v>962</v>
      </c>
      <c r="L268" s="1" t="s">
        <v>788</v>
      </c>
      <c r="M268" s="1" t="s">
        <v>812</v>
      </c>
      <c r="O268" s="6">
        <v>44763</v>
      </c>
      <c r="P268" s="6">
        <v>44763</v>
      </c>
      <c r="Q268" s="6">
        <v>44763</v>
      </c>
      <c r="R268" s="1" t="s">
        <v>779</v>
      </c>
      <c r="T268" s="5">
        <v>84</v>
      </c>
      <c r="U268" s="4">
        <v>6</v>
      </c>
      <c r="V268" s="5">
        <v>201</v>
      </c>
      <c r="W268" s="6">
        <v>43720</v>
      </c>
      <c r="X268" s="6"/>
      <c r="Y268" s="6"/>
      <c r="Z268" s="6"/>
      <c r="AA268" s="6"/>
      <c r="AB268" s="6"/>
      <c r="AC268" s="6"/>
      <c r="AD268" s="6"/>
    </row>
    <row r="269" spans="1:30">
      <c r="A269" s="1" t="s">
        <v>772</v>
      </c>
      <c r="B269" s="1" t="s">
        <v>773</v>
      </c>
      <c r="C269" s="1" t="s">
        <v>904</v>
      </c>
      <c r="D269" s="1" t="s">
        <v>437</v>
      </c>
      <c r="E269" s="1" t="str">
        <f t="shared" si="4"/>
        <v>W03</v>
      </c>
      <c r="F269" s="4">
        <v>23.44</v>
      </c>
      <c r="G269" s="4">
        <v>18.61</v>
      </c>
      <c r="H269" s="4">
        <v>18.61</v>
      </c>
      <c r="I269" s="4"/>
      <c r="J269" s="1" t="s">
        <v>775</v>
      </c>
      <c r="K269" s="1" t="s">
        <v>894</v>
      </c>
      <c r="L269" s="1" t="s">
        <v>787</v>
      </c>
      <c r="M269" s="1" t="s">
        <v>788</v>
      </c>
      <c r="O269" s="6">
        <v>44959</v>
      </c>
      <c r="P269" s="6">
        <v>44953</v>
      </c>
      <c r="Q269" s="6">
        <v>44400</v>
      </c>
      <c r="R269" s="1" t="s">
        <v>779</v>
      </c>
      <c r="T269" s="5">
        <v>402</v>
      </c>
      <c r="U269" s="4">
        <v>0</v>
      </c>
      <c r="V269" s="5">
        <v>11</v>
      </c>
      <c r="W269" s="6">
        <v>43803</v>
      </c>
      <c r="X269" s="6"/>
      <c r="Y269" s="6"/>
      <c r="Z269" s="6"/>
      <c r="AA269" s="6"/>
      <c r="AB269" s="6"/>
      <c r="AC269" s="6"/>
      <c r="AD269" s="6"/>
    </row>
    <row r="270" spans="1:30">
      <c r="A270" s="1" t="s">
        <v>772</v>
      </c>
      <c r="B270" s="1" t="s">
        <v>773</v>
      </c>
      <c r="C270" s="1" t="s">
        <v>904</v>
      </c>
      <c r="D270" s="1" t="s">
        <v>547</v>
      </c>
      <c r="E270" s="1" t="str">
        <f t="shared" si="4"/>
        <v>W03</v>
      </c>
      <c r="F270" s="4">
        <v>6.63</v>
      </c>
      <c r="G270" s="4">
        <v>5.2</v>
      </c>
      <c r="H270" s="4">
        <v>5.2</v>
      </c>
      <c r="I270" s="4"/>
      <c r="J270" s="1" t="s">
        <v>775</v>
      </c>
      <c r="K270" s="1" t="s">
        <v>885</v>
      </c>
      <c r="L270" s="1" t="s">
        <v>777</v>
      </c>
      <c r="M270" s="1" t="s">
        <v>778</v>
      </c>
      <c r="O270" s="6">
        <v>44692</v>
      </c>
      <c r="P270" s="6">
        <v>44691</v>
      </c>
      <c r="Q270" s="6">
        <v>44655</v>
      </c>
      <c r="R270" s="1" t="s">
        <v>779</v>
      </c>
      <c r="S270" s="1" t="s">
        <v>823</v>
      </c>
      <c r="T270" s="5">
        <v>457</v>
      </c>
      <c r="U270" s="4">
        <v>8</v>
      </c>
      <c r="V270" s="5">
        <v>273</v>
      </c>
      <c r="W270" s="6">
        <v>43388</v>
      </c>
      <c r="X270" s="6"/>
      <c r="Y270" s="6"/>
      <c r="Z270" s="6"/>
      <c r="AA270" s="6"/>
      <c r="AB270" s="6"/>
      <c r="AC270" s="6"/>
      <c r="AD270" s="6"/>
    </row>
    <row r="271" spans="1:30">
      <c r="A271" s="1" t="s">
        <v>772</v>
      </c>
      <c r="B271" s="1" t="s">
        <v>773</v>
      </c>
      <c r="C271" s="1" t="s">
        <v>904</v>
      </c>
      <c r="D271" s="1" t="s">
        <v>363</v>
      </c>
      <c r="E271" s="1" t="str">
        <f t="shared" si="4"/>
        <v>W03</v>
      </c>
      <c r="F271" s="4">
        <v>9.76</v>
      </c>
      <c r="G271" s="4">
        <v>7.66</v>
      </c>
      <c r="H271" s="4">
        <v>7.66</v>
      </c>
      <c r="I271" s="4"/>
      <c r="J271" s="1" t="s">
        <v>775</v>
      </c>
      <c r="K271" s="1" t="s">
        <v>808</v>
      </c>
      <c r="L271" s="1" t="s">
        <v>809</v>
      </c>
      <c r="M271" s="1" t="s">
        <v>788</v>
      </c>
      <c r="N271" s="1" t="s">
        <v>777</v>
      </c>
      <c r="O271" s="6">
        <v>44880</v>
      </c>
      <c r="P271" s="6">
        <v>44831</v>
      </c>
      <c r="Q271" s="6">
        <v>44296</v>
      </c>
      <c r="R271" s="1" t="s">
        <v>779</v>
      </c>
      <c r="T271" s="5">
        <v>402</v>
      </c>
      <c r="U271" s="4">
        <v>4</v>
      </c>
      <c r="V271" s="5">
        <v>133</v>
      </c>
      <c r="W271" s="6">
        <v>43100</v>
      </c>
      <c r="X271" s="6">
        <v>43100</v>
      </c>
      <c r="Y271" s="6"/>
      <c r="Z271" s="6"/>
      <c r="AA271" s="6"/>
      <c r="AB271" s="6"/>
      <c r="AC271" s="6"/>
      <c r="AD271" s="6"/>
    </row>
    <row r="272" spans="1:30">
      <c r="A272" s="1" t="s">
        <v>772</v>
      </c>
      <c r="B272" s="1" t="s">
        <v>773</v>
      </c>
      <c r="C272" s="1" t="s">
        <v>904</v>
      </c>
      <c r="D272" s="1" t="s">
        <v>461</v>
      </c>
      <c r="E272" s="1" t="str">
        <f t="shared" si="4"/>
        <v>W03</v>
      </c>
      <c r="F272" s="4">
        <v>15.46</v>
      </c>
      <c r="G272" s="4">
        <v>12.28</v>
      </c>
      <c r="H272" s="4">
        <v>12.28</v>
      </c>
      <c r="I272" s="4"/>
      <c r="J272" s="1" t="s">
        <v>775</v>
      </c>
      <c r="K272" s="1" t="s">
        <v>886</v>
      </c>
      <c r="L272" s="1" t="s">
        <v>777</v>
      </c>
      <c r="M272" s="1" t="s">
        <v>778</v>
      </c>
      <c r="N272" s="1" t="s">
        <v>777</v>
      </c>
      <c r="O272" s="6">
        <v>44497</v>
      </c>
      <c r="P272" s="6">
        <v>44489</v>
      </c>
      <c r="Q272" s="6">
        <v>44466</v>
      </c>
      <c r="R272" s="1" t="s">
        <v>779</v>
      </c>
      <c r="S272" s="1" t="s">
        <v>882</v>
      </c>
      <c r="T272" s="5">
        <v>517</v>
      </c>
      <c r="U272" s="4">
        <v>15</v>
      </c>
      <c r="V272" s="5">
        <v>475</v>
      </c>
      <c r="W272" s="6">
        <v>44025</v>
      </c>
      <c r="X272" s="6">
        <v>43581</v>
      </c>
      <c r="Y272" s="6"/>
      <c r="Z272" s="6"/>
      <c r="AA272" s="6">
        <v>44853</v>
      </c>
      <c r="AB272" s="6"/>
      <c r="AC272" s="6"/>
      <c r="AD272" s="6">
        <v>44959</v>
      </c>
    </row>
    <row r="273" spans="1:30">
      <c r="A273" s="1" t="s">
        <v>772</v>
      </c>
      <c r="B273" s="1" t="s">
        <v>773</v>
      </c>
      <c r="C273" s="1" t="s">
        <v>904</v>
      </c>
      <c r="D273" s="1" t="s">
        <v>426</v>
      </c>
      <c r="E273" s="1" t="str">
        <f t="shared" si="4"/>
        <v>W03</v>
      </c>
      <c r="F273" s="4">
        <v>12.6</v>
      </c>
      <c r="G273" s="4">
        <v>9.8800000000000008</v>
      </c>
      <c r="H273" s="4">
        <v>9.8800000000000008</v>
      </c>
      <c r="I273" s="4"/>
      <c r="J273" s="1" t="s">
        <v>775</v>
      </c>
      <c r="K273" s="1" t="s">
        <v>807</v>
      </c>
      <c r="L273" s="1" t="s">
        <v>787</v>
      </c>
      <c r="M273" s="1" t="s">
        <v>788</v>
      </c>
      <c r="N273" s="1" t="s">
        <v>787</v>
      </c>
      <c r="O273" s="6">
        <v>44897</v>
      </c>
      <c r="P273" s="6">
        <v>44875</v>
      </c>
      <c r="Q273" s="6">
        <v>44392</v>
      </c>
      <c r="R273" s="1" t="s">
        <v>779</v>
      </c>
      <c r="T273" s="5">
        <v>402</v>
      </c>
      <c r="U273" s="4">
        <v>2</v>
      </c>
      <c r="V273" s="5">
        <v>89</v>
      </c>
      <c r="W273" s="6">
        <v>43710</v>
      </c>
      <c r="X273" s="6">
        <v>42572</v>
      </c>
      <c r="Y273" s="6"/>
      <c r="Z273" s="6"/>
      <c r="AA273" s="6"/>
      <c r="AB273" s="6"/>
      <c r="AC273" s="6"/>
      <c r="AD273" s="6"/>
    </row>
    <row r="274" spans="1:30">
      <c r="A274" s="1" t="s">
        <v>772</v>
      </c>
      <c r="B274" s="1" t="s">
        <v>773</v>
      </c>
      <c r="C274" s="1" t="s">
        <v>904</v>
      </c>
      <c r="D274" s="1" t="s">
        <v>436</v>
      </c>
      <c r="E274" s="1" t="str">
        <f t="shared" si="4"/>
        <v>W03</v>
      </c>
      <c r="F274" s="4">
        <v>5</v>
      </c>
      <c r="G274" s="4">
        <v>3.92</v>
      </c>
      <c r="H274" s="4">
        <v>3.92</v>
      </c>
      <c r="I274" s="4"/>
      <c r="J274" s="1" t="s">
        <v>775</v>
      </c>
      <c r="K274" s="1" t="s">
        <v>807</v>
      </c>
      <c r="L274" s="1" t="s">
        <v>787</v>
      </c>
      <c r="M274" s="1" t="s">
        <v>788</v>
      </c>
      <c r="N274" s="1" t="s">
        <v>787</v>
      </c>
      <c r="O274" s="6">
        <v>44897</v>
      </c>
      <c r="P274" s="6">
        <v>44875</v>
      </c>
      <c r="Q274" s="6">
        <v>44392</v>
      </c>
      <c r="R274" s="1" t="s">
        <v>779</v>
      </c>
      <c r="T274" s="5">
        <v>402</v>
      </c>
      <c r="U274" s="4">
        <v>2</v>
      </c>
      <c r="V274" s="5">
        <v>89</v>
      </c>
      <c r="W274" s="6">
        <v>43710</v>
      </c>
      <c r="X274" s="6">
        <v>42572</v>
      </c>
      <c r="Y274" s="6"/>
      <c r="Z274" s="6"/>
      <c r="AA274" s="6"/>
      <c r="AB274" s="6"/>
      <c r="AC274" s="6"/>
      <c r="AD274" s="6"/>
    </row>
    <row r="275" spans="1:30">
      <c r="A275" s="1" t="s">
        <v>772</v>
      </c>
      <c r="B275" s="1" t="s">
        <v>773</v>
      </c>
      <c r="C275" s="1" t="s">
        <v>904</v>
      </c>
      <c r="D275" s="1" t="s">
        <v>56</v>
      </c>
      <c r="E275" s="1" t="str">
        <f t="shared" si="4"/>
        <v>W03</v>
      </c>
      <c r="F275" s="4">
        <v>7.98</v>
      </c>
      <c r="G275" s="4">
        <v>6.38</v>
      </c>
      <c r="H275" s="4">
        <v>6.38</v>
      </c>
      <c r="I275" s="4"/>
      <c r="J275" s="1" t="s">
        <v>775</v>
      </c>
      <c r="K275" s="1" t="s">
        <v>839</v>
      </c>
      <c r="L275" s="1" t="s">
        <v>777</v>
      </c>
      <c r="M275" s="1" t="s">
        <v>778</v>
      </c>
      <c r="O275" s="6">
        <v>44775</v>
      </c>
      <c r="P275" s="6">
        <v>44773</v>
      </c>
      <c r="Q275" s="6">
        <v>44727</v>
      </c>
      <c r="R275" s="1" t="s">
        <v>779</v>
      </c>
      <c r="S275" s="1" t="s">
        <v>780</v>
      </c>
      <c r="T275" s="5">
        <v>517</v>
      </c>
      <c r="U275" s="4">
        <v>6</v>
      </c>
      <c r="V275" s="5">
        <v>191</v>
      </c>
      <c r="W275" s="6">
        <v>45118</v>
      </c>
      <c r="X275" s="6"/>
      <c r="Y275" s="6"/>
      <c r="Z275" s="6"/>
      <c r="AA275" s="6"/>
      <c r="AB275" s="6"/>
      <c r="AC275" s="6"/>
      <c r="AD275" s="6"/>
    </row>
    <row r="276" spans="1:30">
      <c r="A276" s="1" t="s">
        <v>772</v>
      </c>
      <c r="B276" s="1" t="s">
        <v>773</v>
      </c>
      <c r="C276" s="1" t="s">
        <v>904</v>
      </c>
      <c r="D276" s="1" t="s">
        <v>299</v>
      </c>
      <c r="E276" s="1" t="str">
        <f t="shared" si="4"/>
        <v>W03</v>
      </c>
      <c r="F276" s="4">
        <v>4.4800000000000004</v>
      </c>
      <c r="G276" s="4">
        <v>3.62</v>
      </c>
      <c r="H276" s="4">
        <v>3.62</v>
      </c>
      <c r="I276" s="4"/>
      <c r="J276" s="1" t="s">
        <v>775</v>
      </c>
      <c r="K276" s="1" t="s">
        <v>898</v>
      </c>
      <c r="L276" s="1" t="s">
        <v>787</v>
      </c>
      <c r="M276" s="1" t="s">
        <v>788</v>
      </c>
      <c r="N276" s="1" t="s">
        <v>835</v>
      </c>
      <c r="O276" s="6">
        <v>44714</v>
      </c>
      <c r="P276" s="6">
        <v>44707</v>
      </c>
      <c r="Q276" s="6">
        <v>44142</v>
      </c>
      <c r="R276" s="1" t="s">
        <v>779</v>
      </c>
      <c r="T276" s="5">
        <v>402</v>
      </c>
      <c r="U276" s="4">
        <v>8</v>
      </c>
      <c r="V276" s="5">
        <v>257</v>
      </c>
      <c r="W276" s="6">
        <v>43545</v>
      </c>
      <c r="X276" s="6">
        <v>43932</v>
      </c>
      <c r="Y276" s="6"/>
      <c r="Z276" s="6"/>
      <c r="AA276" s="6">
        <v>44937</v>
      </c>
      <c r="AB276" s="6"/>
      <c r="AC276" s="6"/>
      <c r="AD276" s="6"/>
    </row>
    <row r="277" spans="1:30">
      <c r="A277" s="1" t="s">
        <v>772</v>
      </c>
      <c r="B277" s="1" t="s">
        <v>773</v>
      </c>
      <c r="C277" s="1" t="s">
        <v>904</v>
      </c>
      <c r="D277" s="1" t="s">
        <v>294</v>
      </c>
      <c r="E277" s="1" t="str">
        <f t="shared" si="4"/>
        <v>W03</v>
      </c>
      <c r="F277" s="4">
        <v>8.52</v>
      </c>
      <c r="G277" s="4">
        <v>6.93</v>
      </c>
      <c r="H277" s="4">
        <v>6.93</v>
      </c>
      <c r="I277" s="4"/>
      <c r="J277" s="1" t="s">
        <v>775</v>
      </c>
      <c r="K277" s="1" t="s">
        <v>898</v>
      </c>
      <c r="L277" s="1" t="s">
        <v>787</v>
      </c>
      <c r="M277" s="1" t="s">
        <v>788</v>
      </c>
      <c r="N277" s="1" t="s">
        <v>835</v>
      </c>
      <c r="O277" s="6">
        <v>44715</v>
      </c>
      <c r="P277" s="6">
        <v>44707</v>
      </c>
      <c r="Q277" s="6">
        <v>44139</v>
      </c>
      <c r="R277" s="1" t="s">
        <v>779</v>
      </c>
      <c r="T277" s="5">
        <v>402</v>
      </c>
      <c r="U277" s="4">
        <v>8</v>
      </c>
      <c r="V277" s="5">
        <v>257</v>
      </c>
      <c r="W277" s="6">
        <v>43545</v>
      </c>
      <c r="X277" s="6">
        <v>43932</v>
      </c>
      <c r="Y277" s="6"/>
      <c r="Z277" s="6"/>
      <c r="AA277" s="6">
        <v>44937</v>
      </c>
      <c r="AB277" s="6"/>
      <c r="AC277" s="6"/>
      <c r="AD277" s="6"/>
    </row>
    <row r="278" spans="1:30">
      <c r="A278" s="1" t="s">
        <v>772</v>
      </c>
      <c r="B278" s="1" t="s">
        <v>773</v>
      </c>
      <c r="C278" s="1" t="s">
        <v>904</v>
      </c>
      <c r="D278" s="1" t="s">
        <v>296</v>
      </c>
      <c r="E278" s="1" t="str">
        <f t="shared" si="4"/>
        <v>W03</v>
      </c>
      <c r="F278" s="4">
        <v>10.94</v>
      </c>
      <c r="G278" s="4">
        <v>8.8699999999999992</v>
      </c>
      <c r="H278" s="4">
        <v>8.8699999999999992</v>
      </c>
      <c r="I278" s="4"/>
      <c r="J278" s="1" t="s">
        <v>775</v>
      </c>
      <c r="K278" s="1" t="s">
        <v>825</v>
      </c>
      <c r="L278" s="1" t="s">
        <v>787</v>
      </c>
      <c r="M278" s="1" t="s">
        <v>788</v>
      </c>
      <c r="N278" s="1" t="s">
        <v>835</v>
      </c>
      <c r="O278" s="6">
        <v>44669</v>
      </c>
      <c r="P278" s="6">
        <v>44663</v>
      </c>
      <c r="Q278" s="6">
        <v>44137</v>
      </c>
      <c r="R278" s="1" t="s">
        <v>779</v>
      </c>
      <c r="T278" s="5">
        <v>402</v>
      </c>
      <c r="U278" s="4">
        <v>9</v>
      </c>
      <c r="V278" s="5">
        <v>301</v>
      </c>
      <c r="W278" s="6">
        <v>43545</v>
      </c>
      <c r="X278" s="6">
        <v>43932</v>
      </c>
      <c r="Y278" s="6"/>
      <c r="Z278" s="6"/>
      <c r="AA278" s="6">
        <v>44924</v>
      </c>
      <c r="AB278" s="6"/>
      <c r="AC278" s="6"/>
      <c r="AD278" s="6"/>
    </row>
    <row r="279" spans="1:30">
      <c r="A279" s="1" t="s">
        <v>772</v>
      </c>
      <c r="B279" s="1" t="s">
        <v>773</v>
      </c>
      <c r="C279" s="1" t="s">
        <v>904</v>
      </c>
      <c r="D279" s="1" t="s">
        <v>293</v>
      </c>
      <c r="E279" s="1" t="str">
        <f t="shared" si="4"/>
        <v>W03</v>
      </c>
      <c r="F279" s="4">
        <v>19.8</v>
      </c>
      <c r="G279" s="4">
        <v>15.96</v>
      </c>
      <c r="H279" s="4">
        <v>15.96</v>
      </c>
      <c r="I279" s="4"/>
      <c r="J279" s="1" t="s">
        <v>775</v>
      </c>
      <c r="K279" s="1" t="s">
        <v>825</v>
      </c>
      <c r="L279" s="1" t="s">
        <v>787</v>
      </c>
      <c r="M279" s="1" t="s">
        <v>788</v>
      </c>
      <c r="O279" s="6">
        <v>44669</v>
      </c>
      <c r="P279" s="6">
        <v>44665</v>
      </c>
      <c r="Q279" s="6">
        <v>44118</v>
      </c>
      <c r="R279" s="1" t="s">
        <v>779</v>
      </c>
      <c r="T279" s="5">
        <v>402</v>
      </c>
      <c r="U279" s="4">
        <v>9</v>
      </c>
      <c r="V279" s="5">
        <v>299</v>
      </c>
      <c r="W279" s="6">
        <v>43016</v>
      </c>
      <c r="X279" s="6"/>
      <c r="Y279" s="6"/>
      <c r="Z279" s="6"/>
      <c r="AA279" s="6">
        <v>44921</v>
      </c>
      <c r="AB279" s="6"/>
      <c r="AC279" s="6"/>
      <c r="AD279" s="6">
        <v>44656</v>
      </c>
    </row>
    <row r="280" spans="1:30">
      <c r="A280" s="1" t="s">
        <v>772</v>
      </c>
      <c r="B280" s="1" t="s">
        <v>773</v>
      </c>
      <c r="C280" s="1" t="s">
        <v>904</v>
      </c>
      <c r="D280" s="1" t="s">
        <v>473</v>
      </c>
      <c r="E280" s="1" t="str">
        <f t="shared" si="4"/>
        <v>W03</v>
      </c>
      <c r="F280" s="4">
        <v>13.15</v>
      </c>
      <c r="G280" s="4">
        <v>10.06</v>
      </c>
      <c r="H280" s="4">
        <v>10.06</v>
      </c>
      <c r="I280" s="4"/>
      <c r="J280" s="1" t="s">
        <v>775</v>
      </c>
      <c r="K280" s="1" t="s">
        <v>881</v>
      </c>
      <c r="L280" s="1" t="s">
        <v>777</v>
      </c>
      <c r="M280" s="1" t="s">
        <v>778</v>
      </c>
      <c r="N280" s="1" t="s">
        <v>787</v>
      </c>
      <c r="O280" s="6">
        <v>44531</v>
      </c>
      <c r="P280" s="6">
        <v>44523</v>
      </c>
      <c r="Q280" s="6">
        <v>44494</v>
      </c>
      <c r="R280" s="1" t="s">
        <v>779</v>
      </c>
      <c r="S280" s="1" t="s">
        <v>795</v>
      </c>
      <c r="T280" s="5">
        <v>577</v>
      </c>
      <c r="U280" s="4">
        <v>14</v>
      </c>
      <c r="V280" s="5">
        <v>441</v>
      </c>
      <c r="W280" s="6">
        <v>43293</v>
      </c>
      <c r="X280" s="6">
        <v>43079</v>
      </c>
      <c r="Y280" s="6"/>
      <c r="Z280" s="6"/>
      <c r="AA280" s="6">
        <v>44945</v>
      </c>
      <c r="AB280" s="6"/>
      <c r="AC280" s="6"/>
      <c r="AD280" s="6"/>
    </row>
    <row r="281" spans="1:30">
      <c r="A281" s="1" t="s">
        <v>772</v>
      </c>
      <c r="B281" s="1" t="s">
        <v>773</v>
      </c>
      <c r="C281" s="1" t="s">
        <v>904</v>
      </c>
      <c r="D281" s="1" t="s">
        <v>475</v>
      </c>
      <c r="E281" s="1" t="str">
        <f t="shared" si="4"/>
        <v>W03</v>
      </c>
      <c r="F281" s="4">
        <v>9.48</v>
      </c>
      <c r="G281" s="4">
        <v>7.25</v>
      </c>
      <c r="H281" s="4">
        <v>7.25</v>
      </c>
      <c r="I281" s="4"/>
      <c r="J281" s="1" t="s">
        <v>775</v>
      </c>
      <c r="K281" s="1" t="s">
        <v>881</v>
      </c>
      <c r="L281" s="1" t="s">
        <v>777</v>
      </c>
      <c r="M281" s="1" t="s">
        <v>778</v>
      </c>
      <c r="N281" s="1" t="s">
        <v>777</v>
      </c>
      <c r="O281" s="6">
        <v>44537</v>
      </c>
      <c r="P281" s="6">
        <v>44530</v>
      </c>
      <c r="Q281" s="6">
        <v>44516</v>
      </c>
      <c r="R281" s="1" t="s">
        <v>779</v>
      </c>
      <c r="S281" s="1" t="s">
        <v>795</v>
      </c>
      <c r="T281" s="5">
        <v>577</v>
      </c>
      <c r="U281" s="4">
        <v>14</v>
      </c>
      <c r="V281" s="5">
        <v>434</v>
      </c>
      <c r="W281" s="6">
        <v>43895</v>
      </c>
      <c r="X281" s="6">
        <v>42898</v>
      </c>
      <c r="Y281" s="6"/>
      <c r="Z281" s="6"/>
      <c r="AA281" s="6">
        <v>44943</v>
      </c>
      <c r="AB281" s="6"/>
      <c r="AC281" s="6"/>
      <c r="AD281" s="6"/>
    </row>
    <row r="282" spans="1:30">
      <c r="A282" s="1" t="s">
        <v>772</v>
      </c>
      <c r="B282" s="1" t="s">
        <v>773</v>
      </c>
      <c r="C282" s="1" t="s">
        <v>904</v>
      </c>
      <c r="D282" s="1" t="s">
        <v>365</v>
      </c>
      <c r="E282" s="1" t="str">
        <f t="shared" si="4"/>
        <v>W03</v>
      </c>
      <c r="F282" s="5">
        <v>17.2</v>
      </c>
      <c r="G282" s="4">
        <v>13.6</v>
      </c>
      <c r="H282" s="4">
        <v>13.6</v>
      </c>
      <c r="I282" s="4"/>
      <c r="J282" s="1" t="s">
        <v>775</v>
      </c>
      <c r="K282" s="1" t="s">
        <v>950</v>
      </c>
      <c r="L282" s="1" t="s">
        <v>787</v>
      </c>
      <c r="M282" s="1" t="s">
        <v>788</v>
      </c>
      <c r="N282" s="1" t="s">
        <v>787</v>
      </c>
      <c r="O282" s="6">
        <v>44928</v>
      </c>
      <c r="P282" s="6">
        <v>44905</v>
      </c>
      <c r="Q282" s="6">
        <v>44309</v>
      </c>
      <c r="R282" s="1" t="s">
        <v>779</v>
      </c>
      <c r="T282" s="5">
        <v>300</v>
      </c>
      <c r="U282" s="4">
        <v>1</v>
      </c>
      <c r="V282" s="5">
        <v>59</v>
      </c>
      <c r="W282" s="6">
        <v>43404</v>
      </c>
      <c r="X282" s="6">
        <v>43435</v>
      </c>
      <c r="Y282" s="6"/>
      <c r="Z282" s="6"/>
      <c r="AA282" s="6"/>
      <c r="AB282" s="6"/>
      <c r="AC282" s="6"/>
      <c r="AD282" s="6"/>
    </row>
    <row r="283" spans="1:30">
      <c r="A283" s="1" t="s">
        <v>772</v>
      </c>
      <c r="B283" s="1" t="s">
        <v>773</v>
      </c>
      <c r="C283" s="1" t="s">
        <v>904</v>
      </c>
      <c r="D283" s="1" t="s">
        <v>577</v>
      </c>
      <c r="E283" s="1" t="str">
        <f t="shared" si="4"/>
        <v>W03</v>
      </c>
      <c r="F283" s="4">
        <v>17.18</v>
      </c>
      <c r="G283" s="4">
        <v>13.63</v>
      </c>
      <c r="H283" s="4">
        <v>13.63</v>
      </c>
      <c r="I283" s="4"/>
      <c r="J283" s="1" t="s">
        <v>775</v>
      </c>
      <c r="K283" s="1" t="s">
        <v>839</v>
      </c>
      <c r="L283" s="1" t="s">
        <v>777</v>
      </c>
      <c r="M283" s="1" t="s">
        <v>778</v>
      </c>
      <c r="N283" s="1" t="s">
        <v>788</v>
      </c>
      <c r="O283" s="6">
        <v>44775</v>
      </c>
      <c r="P283" s="6">
        <v>44754</v>
      </c>
      <c r="Q283" s="6">
        <v>44718</v>
      </c>
      <c r="R283" s="1" t="s">
        <v>779</v>
      </c>
      <c r="S283" s="1" t="s">
        <v>795</v>
      </c>
      <c r="T283" s="5">
        <v>577</v>
      </c>
      <c r="U283" s="4">
        <v>6</v>
      </c>
      <c r="V283" s="5">
        <v>210</v>
      </c>
      <c r="W283" s="6">
        <v>43178</v>
      </c>
      <c r="X283" s="6">
        <v>43553</v>
      </c>
      <c r="Y283" s="6"/>
      <c r="Z283" s="6"/>
      <c r="AA283" s="6"/>
      <c r="AB283" s="6"/>
      <c r="AC283" s="6"/>
      <c r="AD283" s="6"/>
    </row>
    <row r="284" spans="1:30">
      <c r="A284" s="1" t="s">
        <v>772</v>
      </c>
      <c r="B284" s="1" t="s">
        <v>773</v>
      </c>
      <c r="C284" s="1" t="s">
        <v>904</v>
      </c>
      <c r="D284" s="1" t="s">
        <v>550</v>
      </c>
      <c r="E284" s="1" t="str">
        <f t="shared" si="4"/>
        <v>W03</v>
      </c>
      <c r="F284" s="4">
        <v>7.28</v>
      </c>
      <c r="G284" s="4">
        <v>5.83</v>
      </c>
      <c r="H284" s="4">
        <v>5.83</v>
      </c>
      <c r="I284" s="4"/>
      <c r="J284" s="1" t="s">
        <v>775</v>
      </c>
      <c r="K284" s="1" t="s">
        <v>885</v>
      </c>
      <c r="L284" s="1" t="s">
        <v>777</v>
      </c>
      <c r="M284" s="1" t="s">
        <v>778</v>
      </c>
      <c r="O284" s="6">
        <v>44698</v>
      </c>
      <c r="P284" s="6">
        <v>44692</v>
      </c>
      <c r="Q284" s="6">
        <v>44674</v>
      </c>
      <c r="R284" s="1" t="s">
        <v>779</v>
      </c>
      <c r="S284" s="1" t="s">
        <v>792</v>
      </c>
      <c r="T284" s="5">
        <v>577</v>
      </c>
      <c r="U284" s="4">
        <v>8</v>
      </c>
      <c r="V284" s="5">
        <v>272</v>
      </c>
      <c r="W284" s="6">
        <v>43388</v>
      </c>
      <c r="X284" s="6"/>
      <c r="Y284" s="6"/>
      <c r="Z284" s="6"/>
      <c r="AA284" s="6"/>
      <c r="AB284" s="6"/>
      <c r="AC284" s="6"/>
      <c r="AD284" s="6"/>
    </row>
    <row r="285" spans="1:30">
      <c r="A285" s="1" t="s">
        <v>772</v>
      </c>
      <c r="B285" s="1" t="s">
        <v>773</v>
      </c>
      <c r="C285" s="1" t="s">
        <v>904</v>
      </c>
      <c r="D285" s="1" t="s">
        <v>462</v>
      </c>
      <c r="E285" s="1" t="str">
        <f t="shared" si="4"/>
        <v>W03</v>
      </c>
      <c r="F285" s="4">
        <v>7.66</v>
      </c>
      <c r="G285" s="4">
        <v>6.13</v>
      </c>
      <c r="H285" s="4">
        <v>6.13</v>
      </c>
      <c r="I285" s="4"/>
      <c r="J285" s="1" t="s">
        <v>775</v>
      </c>
      <c r="K285" s="1" t="s">
        <v>886</v>
      </c>
      <c r="L285" s="1" t="s">
        <v>777</v>
      </c>
      <c r="M285" s="1" t="s">
        <v>778</v>
      </c>
      <c r="N285" s="1" t="s">
        <v>777</v>
      </c>
      <c r="O285" s="6">
        <v>44497</v>
      </c>
      <c r="P285" s="6">
        <v>44489</v>
      </c>
      <c r="Q285" s="6">
        <v>44477</v>
      </c>
      <c r="R285" s="1" t="s">
        <v>779</v>
      </c>
      <c r="S285" s="1" t="s">
        <v>795</v>
      </c>
      <c r="T285" s="5">
        <v>577</v>
      </c>
      <c r="U285" s="4">
        <v>15</v>
      </c>
      <c r="V285" s="5">
        <v>475</v>
      </c>
      <c r="W285" s="6">
        <v>44025</v>
      </c>
      <c r="X285" s="6">
        <v>43581</v>
      </c>
      <c r="Y285" s="6"/>
      <c r="Z285" s="6"/>
      <c r="AA285" s="6">
        <v>44916</v>
      </c>
      <c r="AB285" s="6"/>
      <c r="AC285" s="6"/>
      <c r="AD285" s="6"/>
    </row>
    <row r="286" spans="1:30">
      <c r="A286" s="1" t="s">
        <v>772</v>
      </c>
      <c r="B286" s="1" t="s">
        <v>773</v>
      </c>
      <c r="C286" s="1" t="s">
        <v>904</v>
      </c>
      <c r="D286" s="1" t="s">
        <v>542</v>
      </c>
      <c r="E286" s="1" t="str">
        <f t="shared" si="4"/>
        <v>W03</v>
      </c>
      <c r="F286" s="4">
        <v>6.33</v>
      </c>
      <c r="G286" s="4">
        <v>5.09</v>
      </c>
      <c r="H286" s="4">
        <v>5.09</v>
      </c>
      <c r="I286" s="4"/>
      <c r="J286" s="1" t="s">
        <v>775</v>
      </c>
      <c r="K286" s="1" t="s">
        <v>805</v>
      </c>
      <c r="L286" s="1" t="s">
        <v>777</v>
      </c>
      <c r="M286" s="1" t="s">
        <v>778</v>
      </c>
      <c r="N286" s="1" t="s">
        <v>787</v>
      </c>
      <c r="O286" s="6">
        <v>44680</v>
      </c>
      <c r="P286" s="6">
        <v>44669</v>
      </c>
      <c r="Q286" s="6">
        <v>44649</v>
      </c>
      <c r="R286" s="1" t="s">
        <v>779</v>
      </c>
      <c r="S286" s="1" t="s">
        <v>795</v>
      </c>
      <c r="T286" s="5">
        <v>577</v>
      </c>
      <c r="U286" s="4">
        <v>9</v>
      </c>
      <c r="V286" s="5">
        <v>295</v>
      </c>
      <c r="W286" s="6">
        <v>43293</v>
      </c>
      <c r="X286" s="6">
        <v>43079</v>
      </c>
      <c r="Y286" s="6"/>
      <c r="Z286" s="6"/>
      <c r="AA286" s="6"/>
      <c r="AB286" s="6"/>
      <c r="AC286" s="6"/>
      <c r="AD286" s="6"/>
    </row>
    <row r="287" spans="1:30">
      <c r="A287" s="1" t="s">
        <v>772</v>
      </c>
      <c r="B287" s="1" t="s">
        <v>917</v>
      </c>
      <c r="C287" s="1" t="s">
        <v>904</v>
      </c>
      <c r="D287" s="1" t="s">
        <v>963</v>
      </c>
      <c r="E287" s="1" t="str">
        <f t="shared" si="4"/>
        <v>W03</v>
      </c>
      <c r="F287" s="4">
        <v>11.02</v>
      </c>
      <c r="G287" s="4">
        <v>8.9700000000000006</v>
      </c>
      <c r="H287" s="4">
        <v>8.9700000000000006</v>
      </c>
      <c r="I287" s="4"/>
      <c r="J287" s="1" t="s">
        <v>775</v>
      </c>
      <c r="K287" s="1" t="s">
        <v>935</v>
      </c>
      <c r="L287" s="1" t="s">
        <v>925</v>
      </c>
      <c r="M287" s="1" t="s">
        <v>933</v>
      </c>
      <c r="N287" s="1" t="s">
        <v>787</v>
      </c>
      <c r="O287" s="6">
        <v>43774</v>
      </c>
      <c r="P287" s="6">
        <v>42709</v>
      </c>
      <c r="Q287" s="6">
        <v>42698</v>
      </c>
      <c r="R287" s="1" t="s">
        <v>927</v>
      </c>
      <c r="T287" s="5">
        <v>364</v>
      </c>
      <c r="U287" s="4">
        <v>74</v>
      </c>
      <c r="V287" s="5">
        <v>2255</v>
      </c>
      <c r="W287" s="6">
        <v>42699</v>
      </c>
      <c r="X287" s="6">
        <v>42695</v>
      </c>
      <c r="Y287" s="6"/>
      <c r="Z287" s="6"/>
      <c r="AA287" s="6"/>
      <c r="AB287" s="6"/>
      <c r="AC287" s="6"/>
      <c r="AD287" s="6">
        <v>43780</v>
      </c>
    </row>
    <row r="288" spans="1:30">
      <c r="A288" s="1" t="s">
        <v>772</v>
      </c>
      <c r="B288" s="1" t="s">
        <v>917</v>
      </c>
      <c r="C288" s="1" t="s">
        <v>904</v>
      </c>
      <c r="D288" s="1" t="s">
        <v>964</v>
      </c>
      <c r="E288" s="1" t="str">
        <f t="shared" si="4"/>
        <v>W03</v>
      </c>
      <c r="F288" s="4">
        <v>18.72</v>
      </c>
      <c r="G288" s="4">
        <v>15.07</v>
      </c>
      <c r="H288" s="4">
        <v>15.07</v>
      </c>
      <c r="I288" s="4"/>
      <c r="J288" s="1" t="s">
        <v>775</v>
      </c>
      <c r="K288" s="1" t="s">
        <v>965</v>
      </c>
      <c r="L288" s="1" t="s">
        <v>925</v>
      </c>
      <c r="M288" s="1" t="s">
        <v>933</v>
      </c>
      <c r="O288" s="6">
        <v>44140</v>
      </c>
      <c r="P288" s="6">
        <v>43080</v>
      </c>
      <c r="Q288" s="6">
        <v>43059</v>
      </c>
      <c r="R288" s="1" t="s">
        <v>927</v>
      </c>
      <c r="T288" s="5">
        <v>660</v>
      </c>
      <c r="U288" s="4">
        <v>61</v>
      </c>
      <c r="V288" s="5">
        <v>1884</v>
      </c>
      <c r="W288" s="6">
        <v>43470</v>
      </c>
      <c r="X288" s="6"/>
      <c r="Y288" s="6"/>
      <c r="Z288" s="6"/>
      <c r="AA288" s="6"/>
      <c r="AB288" s="6"/>
      <c r="AC288" s="6"/>
      <c r="AD288" s="6">
        <v>44141</v>
      </c>
    </row>
    <row r="289" spans="1:30">
      <c r="A289" s="1" t="s">
        <v>772</v>
      </c>
      <c r="B289" s="1" t="s">
        <v>773</v>
      </c>
      <c r="C289" s="1" t="s">
        <v>904</v>
      </c>
      <c r="D289" s="1" t="s">
        <v>966</v>
      </c>
      <c r="E289" s="1" t="str">
        <f t="shared" si="4"/>
        <v>W03</v>
      </c>
      <c r="F289" s="4">
        <v>9.4700000000000006</v>
      </c>
      <c r="G289" s="4">
        <v>7.44</v>
      </c>
      <c r="H289" s="4">
        <v>7.44</v>
      </c>
      <c r="I289" s="4"/>
      <c r="J289" s="1" t="s">
        <v>775</v>
      </c>
      <c r="K289" s="1" t="s">
        <v>967</v>
      </c>
      <c r="L289" s="1" t="s">
        <v>829</v>
      </c>
      <c r="M289" s="1" t="s">
        <v>913</v>
      </c>
      <c r="O289" s="6">
        <v>44870</v>
      </c>
      <c r="P289" s="6">
        <v>44849</v>
      </c>
      <c r="Q289" s="6">
        <v>44834</v>
      </c>
      <c r="R289" s="1" t="s">
        <v>830</v>
      </c>
      <c r="S289" s="1" t="s">
        <v>914</v>
      </c>
      <c r="T289" s="5">
        <v>330</v>
      </c>
      <c r="U289" s="4">
        <v>3</v>
      </c>
      <c r="V289" s="5">
        <v>115</v>
      </c>
      <c r="W289" s="6"/>
      <c r="X289" s="6"/>
      <c r="Y289" s="6"/>
      <c r="Z289" s="6"/>
      <c r="AA289" s="6"/>
      <c r="AB289" s="6"/>
      <c r="AC289" s="6"/>
      <c r="AD289" s="6"/>
    </row>
    <row r="290" spans="1:30">
      <c r="A290" s="1" t="s">
        <v>772</v>
      </c>
      <c r="B290" s="1" t="s">
        <v>917</v>
      </c>
      <c r="C290" s="1" t="s">
        <v>904</v>
      </c>
      <c r="D290" s="1" t="s">
        <v>968</v>
      </c>
      <c r="E290" s="1" t="str">
        <f t="shared" si="4"/>
        <v>W03</v>
      </c>
      <c r="F290" s="4">
        <v>16</v>
      </c>
      <c r="G290" s="4">
        <v>12.98</v>
      </c>
      <c r="H290" s="4">
        <v>12.98</v>
      </c>
      <c r="I290" s="4"/>
      <c r="J290" s="1" t="s">
        <v>775</v>
      </c>
      <c r="K290" s="1" t="s">
        <v>969</v>
      </c>
      <c r="L290" s="1" t="s">
        <v>925</v>
      </c>
      <c r="M290" s="1" t="s">
        <v>933</v>
      </c>
      <c r="N290" s="1" t="s">
        <v>787</v>
      </c>
      <c r="O290" s="6">
        <v>43745</v>
      </c>
      <c r="P290" s="6">
        <v>42668</v>
      </c>
      <c r="Q290" s="6">
        <v>42653</v>
      </c>
      <c r="R290" s="1" t="s">
        <v>927</v>
      </c>
      <c r="T290" s="5">
        <v>364</v>
      </c>
      <c r="U290" s="4">
        <v>75</v>
      </c>
      <c r="V290" s="5">
        <v>2296</v>
      </c>
      <c r="W290" s="6">
        <v>42664</v>
      </c>
      <c r="X290" s="6">
        <v>42695</v>
      </c>
      <c r="Y290" s="6"/>
      <c r="Z290" s="6"/>
      <c r="AA290" s="6"/>
      <c r="AB290" s="6"/>
      <c r="AC290" s="6"/>
      <c r="AD290" s="6">
        <v>43750</v>
      </c>
    </row>
    <row r="291" spans="1:30">
      <c r="A291" s="1" t="s">
        <v>772</v>
      </c>
      <c r="B291" s="1" t="s">
        <v>773</v>
      </c>
      <c r="C291" s="1" t="s">
        <v>904</v>
      </c>
      <c r="D291" s="1" t="s">
        <v>471</v>
      </c>
      <c r="E291" s="1" t="str">
        <f t="shared" si="4"/>
        <v>W03</v>
      </c>
      <c r="F291" s="4">
        <v>8.9700000000000006</v>
      </c>
      <c r="G291" s="4">
        <v>7.03</v>
      </c>
      <c r="H291" s="4">
        <v>7.03</v>
      </c>
      <c r="I291" s="4"/>
      <c r="J291" s="1" t="s">
        <v>775</v>
      </c>
      <c r="K291" s="1" t="s">
        <v>881</v>
      </c>
      <c r="L291" s="1" t="s">
        <v>777</v>
      </c>
      <c r="M291" s="1" t="s">
        <v>778</v>
      </c>
      <c r="N291" s="1" t="s">
        <v>788</v>
      </c>
      <c r="O291" s="6">
        <v>44531</v>
      </c>
      <c r="P291" s="6">
        <v>44523</v>
      </c>
      <c r="Q291" s="6">
        <v>44505</v>
      </c>
      <c r="R291" s="1" t="s">
        <v>779</v>
      </c>
      <c r="S291" s="1" t="s">
        <v>823</v>
      </c>
      <c r="T291" s="5">
        <v>457</v>
      </c>
      <c r="U291" s="4">
        <v>14</v>
      </c>
      <c r="V291" s="5">
        <v>441</v>
      </c>
      <c r="W291" s="6">
        <v>43954</v>
      </c>
      <c r="X291" s="6">
        <v>43415</v>
      </c>
      <c r="Y291" s="6"/>
      <c r="Z291" s="6"/>
      <c r="AA291" s="6">
        <v>44819</v>
      </c>
      <c r="AB291" s="6"/>
      <c r="AC291" s="6"/>
      <c r="AD291" s="6">
        <v>44906</v>
      </c>
    </row>
    <row r="292" spans="1:30">
      <c r="A292" s="1" t="s">
        <v>772</v>
      </c>
      <c r="B292" s="1" t="s">
        <v>773</v>
      </c>
      <c r="C292" s="1" t="s">
        <v>904</v>
      </c>
      <c r="D292" s="1" t="s">
        <v>458</v>
      </c>
      <c r="E292" s="1" t="str">
        <f t="shared" si="4"/>
        <v>W03</v>
      </c>
      <c r="F292" s="4">
        <v>7.61</v>
      </c>
      <c r="G292" s="4">
        <v>6.2</v>
      </c>
      <c r="H292" s="4">
        <v>6.2</v>
      </c>
      <c r="I292" s="4"/>
      <c r="J292" s="1" t="s">
        <v>775</v>
      </c>
      <c r="K292" s="1" t="s">
        <v>970</v>
      </c>
      <c r="L292" s="1" t="s">
        <v>787</v>
      </c>
      <c r="M292" s="1" t="s">
        <v>788</v>
      </c>
      <c r="N292" s="1" t="s">
        <v>788</v>
      </c>
      <c r="O292" s="6">
        <v>44958</v>
      </c>
      <c r="P292" s="6">
        <v>44938</v>
      </c>
      <c r="Q292" s="6">
        <v>44469</v>
      </c>
      <c r="R292" s="1" t="s">
        <v>779</v>
      </c>
      <c r="T292" s="5">
        <v>300</v>
      </c>
      <c r="U292" s="4">
        <v>0</v>
      </c>
      <c r="V292" s="5">
        <v>26</v>
      </c>
      <c r="W292" s="6">
        <v>43883</v>
      </c>
      <c r="X292" s="6">
        <v>43468</v>
      </c>
      <c r="Y292" s="6"/>
      <c r="Z292" s="6"/>
      <c r="AA292" s="6"/>
      <c r="AB292" s="6"/>
      <c r="AC292" s="6"/>
      <c r="AD292" s="6">
        <v>44950</v>
      </c>
    </row>
    <row r="293" spans="1:30">
      <c r="A293" s="1" t="s">
        <v>772</v>
      </c>
      <c r="B293" s="1" t="s">
        <v>917</v>
      </c>
      <c r="C293" s="1" t="s">
        <v>904</v>
      </c>
      <c r="D293" s="1" t="s">
        <v>971</v>
      </c>
      <c r="E293" s="1" t="str">
        <f t="shared" si="4"/>
        <v>W03</v>
      </c>
      <c r="F293" s="4">
        <v>6.6</v>
      </c>
      <c r="G293" s="4">
        <v>5.31</v>
      </c>
      <c r="H293" s="4">
        <v>5.31</v>
      </c>
      <c r="I293" s="4"/>
      <c r="J293" s="1" t="s">
        <v>775</v>
      </c>
      <c r="K293" s="1" t="s">
        <v>969</v>
      </c>
      <c r="L293" s="1" t="s">
        <v>925</v>
      </c>
      <c r="M293" s="1" t="s">
        <v>933</v>
      </c>
      <c r="N293" s="1" t="s">
        <v>787</v>
      </c>
      <c r="O293" s="6">
        <v>43745</v>
      </c>
      <c r="P293" s="6">
        <v>42668</v>
      </c>
      <c r="Q293" s="6">
        <v>42653</v>
      </c>
      <c r="R293" s="1" t="s">
        <v>927</v>
      </c>
      <c r="T293" s="5">
        <v>364</v>
      </c>
      <c r="U293" s="4">
        <v>75</v>
      </c>
      <c r="V293" s="5">
        <v>2296</v>
      </c>
      <c r="W293" s="6">
        <v>42664</v>
      </c>
      <c r="X293" s="6">
        <v>42695</v>
      </c>
      <c r="Y293" s="6"/>
      <c r="Z293" s="6"/>
      <c r="AA293" s="6"/>
      <c r="AB293" s="6"/>
      <c r="AC293" s="6"/>
      <c r="AD293" s="6">
        <v>43775</v>
      </c>
    </row>
    <row r="294" spans="1:30">
      <c r="A294" s="1" t="s">
        <v>772</v>
      </c>
      <c r="B294" s="1" t="s">
        <v>917</v>
      </c>
      <c r="C294" s="1" t="s">
        <v>904</v>
      </c>
      <c r="D294" s="1" t="s">
        <v>972</v>
      </c>
      <c r="E294" s="1" t="str">
        <f t="shared" si="4"/>
        <v>W03</v>
      </c>
      <c r="F294" s="4">
        <v>5.96</v>
      </c>
      <c r="G294" s="4">
        <v>4.8899999999999997</v>
      </c>
      <c r="H294" s="4">
        <v>4.8899999999999997</v>
      </c>
      <c r="I294" s="4"/>
      <c r="J294" s="1" t="s">
        <v>775</v>
      </c>
      <c r="K294" s="1" t="s">
        <v>969</v>
      </c>
      <c r="L294" s="1" t="s">
        <v>925</v>
      </c>
      <c r="M294" s="1" t="s">
        <v>933</v>
      </c>
      <c r="N294" s="1" t="s">
        <v>787</v>
      </c>
      <c r="O294" s="6">
        <v>43745</v>
      </c>
      <c r="P294" s="6">
        <v>42668</v>
      </c>
      <c r="Q294" s="6">
        <v>42651</v>
      </c>
      <c r="R294" s="1" t="s">
        <v>927</v>
      </c>
      <c r="T294" s="5">
        <v>364</v>
      </c>
      <c r="U294" s="4">
        <v>75</v>
      </c>
      <c r="V294" s="5">
        <v>2296</v>
      </c>
      <c r="W294" s="6">
        <v>42664</v>
      </c>
      <c r="X294" s="6">
        <v>42695</v>
      </c>
      <c r="Y294" s="6"/>
      <c r="Z294" s="6"/>
      <c r="AA294" s="6"/>
      <c r="AB294" s="6"/>
      <c r="AC294" s="6"/>
      <c r="AD294" s="6">
        <v>43752</v>
      </c>
    </row>
    <row r="295" spans="1:30">
      <c r="A295" s="1" t="s">
        <v>772</v>
      </c>
      <c r="B295" s="1" t="s">
        <v>773</v>
      </c>
      <c r="C295" s="1" t="s">
        <v>904</v>
      </c>
      <c r="D295" s="1" t="s">
        <v>535</v>
      </c>
      <c r="E295" s="1" t="str">
        <f t="shared" si="4"/>
        <v>W03</v>
      </c>
      <c r="F295" s="4">
        <v>14.15</v>
      </c>
      <c r="G295" s="4">
        <v>11.3</v>
      </c>
      <c r="H295" s="4">
        <v>11.3</v>
      </c>
      <c r="I295" s="4"/>
      <c r="J295" s="1" t="s">
        <v>775</v>
      </c>
      <c r="K295" s="1" t="s">
        <v>805</v>
      </c>
      <c r="L295" s="1" t="s">
        <v>777</v>
      </c>
      <c r="M295" s="1" t="s">
        <v>778</v>
      </c>
      <c r="N295" s="1" t="s">
        <v>788</v>
      </c>
      <c r="O295" s="6">
        <v>44669</v>
      </c>
      <c r="P295" s="6">
        <v>44659</v>
      </c>
      <c r="Q295" s="6">
        <v>44639</v>
      </c>
      <c r="R295" s="1" t="s">
        <v>779</v>
      </c>
      <c r="S295" s="1" t="s">
        <v>795</v>
      </c>
      <c r="T295" s="5">
        <v>577</v>
      </c>
      <c r="U295" s="4">
        <v>10</v>
      </c>
      <c r="V295" s="5">
        <v>305</v>
      </c>
      <c r="W295" s="6">
        <v>43858</v>
      </c>
      <c r="X295" s="6">
        <v>44234</v>
      </c>
      <c r="Y295" s="6"/>
      <c r="Z295" s="6"/>
      <c r="AA295" s="6"/>
      <c r="AB295" s="6"/>
      <c r="AC295" s="6"/>
      <c r="AD295" s="6"/>
    </row>
    <row r="296" spans="1:30">
      <c r="A296" s="1" t="s">
        <v>772</v>
      </c>
      <c r="B296" s="1" t="s">
        <v>773</v>
      </c>
      <c r="C296" s="1" t="s">
        <v>904</v>
      </c>
      <c r="D296" s="1" t="s">
        <v>564</v>
      </c>
      <c r="E296" s="1" t="str">
        <f t="shared" si="4"/>
        <v>W03</v>
      </c>
      <c r="F296" s="4">
        <v>9.07</v>
      </c>
      <c r="G296" s="4">
        <v>7.22</v>
      </c>
      <c r="H296" s="4">
        <v>7.22</v>
      </c>
      <c r="I296" s="4"/>
      <c r="J296" s="1" t="s">
        <v>775</v>
      </c>
      <c r="K296" s="1" t="s">
        <v>884</v>
      </c>
      <c r="L296" s="1" t="s">
        <v>777</v>
      </c>
      <c r="M296" s="1" t="s">
        <v>778</v>
      </c>
      <c r="N296" s="1" t="s">
        <v>787</v>
      </c>
      <c r="O296" s="6">
        <v>44733</v>
      </c>
      <c r="P296" s="6">
        <v>44727</v>
      </c>
      <c r="Q296" s="6">
        <v>44667</v>
      </c>
      <c r="R296" s="1" t="s">
        <v>779</v>
      </c>
      <c r="S296" s="1" t="s">
        <v>841</v>
      </c>
      <c r="T296" s="5">
        <v>577</v>
      </c>
      <c r="U296" s="4">
        <v>7</v>
      </c>
      <c r="V296" s="5">
        <v>237</v>
      </c>
      <c r="W296" s="6">
        <v>43373</v>
      </c>
      <c r="X296" s="6">
        <v>42702</v>
      </c>
      <c r="Y296" s="6"/>
      <c r="Z296" s="6"/>
      <c r="AA296" s="6"/>
      <c r="AB296" s="6"/>
      <c r="AC296" s="6"/>
      <c r="AD296" s="6"/>
    </row>
    <row r="297" spans="1:30">
      <c r="A297" s="1" t="s">
        <v>772</v>
      </c>
      <c r="B297" s="1" t="s">
        <v>773</v>
      </c>
      <c r="C297" s="1" t="s">
        <v>904</v>
      </c>
      <c r="D297" s="1" t="s">
        <v>570</v>
      </c>
      <c r="E297" s="1" t="str">
        <f t="shared" si="4"/>
        <v>W03</v>
      </c>
      <c r="F297" s="4">
        <v>13.55</v>
      </c>
      <c r="G297" s="4">
        <v>10.58</v>
      </c>
      <c r="H297" s="4">
        <v>10.58</v>
      </c>
      <c r="I297" s="4"/>
      <c r="J297" s="1" t="s">
        <v>775</v>
      </c>
      <c r="K297" s="1" t="s">
        <v>859</v>
      </c>
      <c r="L297" s="1" t="s">
        <v>777</v>
      </c>
      <c r="M297" s="1" t="s">
        <v>778</v>
      </c>
      <c r="N297" s="1" t="s">
        <v>778</v>
      </c>
      <c r="O297" s="6">
        <v>44746</v>
      </c>
      <c r="P297" s="6">
        <v>44737</v>
      </c>
      <c r="Q297" s="6">
        <v>44692</v>
      </c>
      <c r="R297" s="1" t="s">
        <v>779</v>
      </c>
      <c r="S297" s="1" t="s">
        <v>780</v>
      </c>
      <c r="T297" s="5">
        <v>517</v>
      </c>
      <c r="U297" s="4">
        <v>7</v>
      </c>
      <c r="V297" s="5">
        <v>227</v>
      </c>
      <c r="W297" s="6">
        <v>44728</v>
      </c>
      <c r="X297" s="6">
        <v>45246</v>
      </c>
      <c r="Y297" s="6"/>
      <c r="Z297" s="6"/>
      <c r="AA297" s="6"/>
      <c r="AB297" s="6"/>
      <c r="AC297" s="6"/>
      <c r="AD297" s="6"/>
    </row>
    <row r="298" spans="1:30">
      <c r="A298" s="1" t="s">
        <v>772</v>
      </c>
      <c r="B298" s="1" t="s">
        <v>773</v>
      </c>
      <c r="C298" s="1" t="s">
        <v>904</v>
      </c>
      <c r="D298" s="1" t="s">
        <v>484</v>
      </c>
      <c r="E298" s="1" t="str">
        <f t="shared" si="4"/>
        <v>W03</v>
      </c>
      <c r="F298" s="4">
        <v>13.27</v>
      </c>
      <c r="G298" s="4">
        <v>10.14</v>
      </c>
      <c r="H298" s="4">
        <v>10.14</v>
      </c>
      <c r="I298" s="4"/>
      <c r="J298" s="1" t="s">
        <v>775</v>
      </c>
      <c r="K298" s="1" t="s">
        <v>840</v>
      </c>
      <c r="L298" s="1" t="s">
        <v>777</v>
      </c>
      <c r="M298" s="1" t="s">
        <v>778</v>
      </c>
      <c r="N298" s="1" t="s">
        <v>787</v>
      </c>
      <c r="O298" s="6">
        <v>44565</v>
      </c>
      <c r="P298" s="6">
        <v>44553</v>
      </c>
      <c r="Q298" s="6">
        <v>44518</v>
      </c>
      <c r="R298" s="1" t="s">
        <v>779</v>
      </c>
      <c r="S298" s="1" t="s">
        <v>780</v>
      </c>
      <c r="T298" s="5">
        <v>517</v>
      </c>
      <c r="U298" s="4">
        <v>13</v>
      </c>
      <c r="V298" s="5">
        <v>411</v>
      </c>
      <c r="W298" s="6">
        <v>43535</v>
      </c>
      <c r="X298" s="6">
        <v>43566</v>
      </c>
      <c r="Y298" s="6"/>
      <c r="Z298" s="6"/>
      <c r="AA298" s="6">
        <v>44915</v>
      </c>
      <c r="AB298" s="6"/>
      <c r="AC298" s="6"/>
      <c r="AD298" s="6"/>
    </row>
    <row r="299" spans="1:30">
      <c r="A299" s="1" t="s">
        <v>772</v>
      </c>
      <c r="B299" s="1" t="s">
        <v>903</v>
      </c>
      <c r="C299" s="1" t="s">
        <v>904</v>
      </c>
      <c r="D299" s="1" t="s">
        <v>973</v>
      </c>
      <c r="E299" s="1" t="str">
        <f t="shared" si="4"/>
        <v>W03</v>
      </c>
      <c r="F299" s="4">
        <v>6.6</v>
      </c>
      <c r="G299" s="4">
        <v>6.16</v>
      </c>
      <c r="H299" s="4">
        <v>6.16</v>
      </c>
      <c r="I299" s="4"/>
      <c r="J299" s="1" t="s">
        <v>775</v>
      </c>
      <c r="K299" s="1" t="s">
        <v>974</v>
      </c>
      <c r="L299" s="1" t="s">
        <v>975</v>
      </c>
      <c r="M299" s="1" t="s">
        <v>829</v>
      </c>
      <c r="O299" s="6">
        <v>44939</v>
      </c>
      <c r="P299" s="6">
        <v>44939</v>
      </c>
      <c r="Q299" s="6"/>
      <c r="R299" s="1" t="s">
        <v>909</v>
      </c>
      <c r="T299" s="5">
        <v>0</v>
      </c>
      <c r="U299" s="4">
        <v>0</v>
      </c>
      <c r="V299" s="5">
        <v>25</v>
      </c>
      <c r="W299" s="6"/>
      <c r="X299" s="6"/>
      <c r="Y299" s="6"/>
      <c r="Z299" s="6"/>
      <c r="AA299" s="6"/>
      <c r="AB299" s="6"/>
      <c r="AC299" s="6"/>
      <c r="AD299" s="6"/>
    </row>
    <row r="300" spans="1:30">
      <c r="A300" s="1" t="s">
        <v>772</v>
      </c>
      <c r="B300" s="1" t="s">
        <v>903</v>
      </c>
      <c r="C300" s="1" t="s">
        <v>904</v>
      </c>
      <c r="D300" s="1" t="s">
        <v>976</v>
      </c>
      <c r="E300" s="1" t="str">
        <f t="shared" si="4"/>
        <v>W03</v>
      </c>
      <c r="F300" s="4">
        <v>2.19</v>
      </c>
      <c r="G300" s="4">
        <v>2.19</v>
      </c>
      <c r="H300" s="4">
        <v>2.19</v>
      </c>
      <c r="I300" s="4"/>
      <c r="J300" s="1" t="s">
        <v>775</v>
      </c>
      <c r="K300" s="1" t="s">
        <v>974</v>
      </c>
      <c r="L300" s="1" t="s">
        <v>975</v>
      </c>
      <c r="M300" s="1" t="s">
        <v>829</v>
      </c>
      <c r="O300" s="6">
        <v>44939</v>
      </c>
      <c r="P300" s="6">
        <v>44939</v>
      </c>
      <c r="Q300" s="6"/>
      <c r="R300" s="1" t="s">
        <v>909</v>
      </c>
      <c r="T300" s="5">
        <v>0</v>
      </c>
      <c r="U300" s="4">
        <v>0</v>
      </c>
      <c r="V300" s="5">
        <v>25</v>
      </c>
      <c r="W300" s="6"/>
      <c r="X300" s="6"/>
      <c r="Y300" s="6"/>
      <c r="Z300" s="6"/>
      <c r="AA300" s="6"/>
      <c r="AB300" s="6"/>
      <c r="AC300" s="6"/>
      <c r="AD300" s="6"/>
    </row>
    <row r="301" spans="1:30">
      <c r="A301" s="1" t="s">
        <v>772</v>
      </c>
      <c r="B301" s="1" t="s">
        <v>773</v>
      </c>
      <c r="C301" s="1" t="s">
        <v>904</v>
      </c>
      <c r="D301" s="1" t="s">
        <v>375</v>
      </c>
      <c r="E301" s="1" t="str">
        <f t="shared" si="4"/>
        <v>W03</v>
      </c>
      <c r="F301" s="4">
        <v>20.62</v>
      </c>
      <c r="G301" s="4">
        <v>16.440000000000001</v>
      </c>
      <c r="H301" s="4">
        <v>16.440000000000001</v>
      </c>
      <c r="I301" s="4"/>
      <c r="J301" s="1" t="s">
        <v>775</v>
      </c>
      <c r="K301" s="1" t="s">
        <v>808</v>
      </c>
      <c r="L301" s="1" t="s">
        <v>787</v>
      </c>
      <c r="M301" s="1" t="s">
        <v>788</v>
      </c>
      <c r="N301" s="1" t="s">
        <v>788</v>
      </c>
      <c r="O301" s="6">
        <v>44867</v>
      </c>
      <c r="P301" s="6">
        <v>44856</v>
      </c>
      <c r="Q301" s="6">
        <v>44307</v>
      </c>
      <c r="R301" s="1" t="s">
        <v>779</v>
      </c>
      <c r="T301" s="5">
        <v>402</v>
      </c>
      <c r="U301" s="4">
        <v>3</v>
      </c>
      <c r="V301" s="5">
        <v>108</v>
      </c>
      <c r="W301" s="6">
        <v>43858</v>
      </c>
      <c r="X301" s="6">
        <v>44234</v>
      </c>
      <c r="Y301" s="6"/>
      <c r="Z301" s="6"/>
      <c r="AA301" s="6"/>
      <c r="AB301" s="6"/>
      <c r="AC301" s="6"/>
      <c r="AD301" s="6"/>
    </row>
    <row r="302" spans="1:30">
      <c r="A302" s="1" t="s">
        <v>772</v>
      </c>
      <c r="B302" s="1" t="s">
        <v>773</v>
      </c>
      <c r="C302" s="1" t="s">
        <v>904</v>
      </c>
      <c r="D302" s="1" t="s">
        <v>434</v>
      </c>
      <c r="E302" s="1" t="str">
        <f t="shared" si="4"/>
        <v>W03</v>
      </c>
      <c r="F302" s="4">
        <v>13.98</v>
      </c>
      <c r="G302" s="4">
        <v>11.03</v>
      </c>
      <c r="H302" s="4">
        <v>11.03</v>
      </c>
      <c r="I302" s="4"/>
      <c r="J302" s="1" t="s">
        <v>775</v>
      </c>
      <c r="K302" s="1" t="s">
        <v>860</v>
      </c>
      <c r="L302" s="1" t="s">
        <v>777</v>
      </c>
      <c r="M302" s="1" t="s">
        <v>778</v>
      </c>
      <c r="O302" s="6">
        <v>44442</v>
      </c>
      <c r="P302" s="6">
        <v>44433</v>
      </c>
      <c r="Q302" s="6">
        <v>44412</v>
      </c>
      <c r="R302" s="1" t="s">
        <v>779</v>
      </c>
      <c r="S302" s="1" t="s">
        <v>795</v>
      </c>
      <c r="T302" s="5">
        <v>577</v>
      </c>
      <c r="U302" s="4">
        <v>17</v>
      </c>
      <c r="V302" s="5">
        <v>531</v>
      </c>
      <c r="W302" s="6">
        <v>43803</v>
      </c>
      <c r="X302" s="6"/>
      <c r="Y302" s="6"/>
      <c r="Z302" s="6"/>
      <c r="AA302" s="6">
        <v>44854</v>
      </c>
      <c r="AB302" s="6"/>
      <c r="AC302" s="6"/>
      <c r="AD302" s="6">
        <v>44915</v>
      </c>
    </row>
    <row r="303" spans="1:30">
      <c r="A303" s="1" t="s">
        <v>772</v>
      </c>
      <c r="B303" s="1" t="s">
        <v>773</v>
      </c>
      <c r="C303" s="1" t="s">
        <v>904</v>
      </c>
      <c r="D303" s="1" t="s">
        <v>335</v>
      </c>
      <c r="E303" s="1" t="str">
        <f t="shared" si="4"/>
        <v>W03</v>
      </c>
      <c r="F303" s="4">
        <v>6.66</v>
      </c>
      <c r="G303" s="4">
        <v>5.48</v>
      </c>
      <c r="H303" s="4">
        <v>5.48</v>
      </c>
      <c r="I303" s="4"/>
      <c r="J303" s="1" t="s">
        <v>775</v>
      </c>
      <c r="K303" s="1" t="s">
        <v>862</v>
      </c>
      <c r="L303" s="1" t="s">
        <v>787</v>
      </c>
      <c r="M303" s="1" t="s">
        <v>788</v>
      </c>
      <c r="O303" s="6">
        <v>44837</v>
      </c>
      <c r="P303" s="6">
        <v>44819</v>
      </c>
      <c r="Q303" s="6">
        <v>44235</v>
      </c>
      <c r="R303" s="1" t="s">
        <v>779</v>
      </c>
      <c r="T303" s="5">
        <v>300</v>
      </c>
      <c r="U303" s="4">
        <v>4</v>
      </c>
      <c r="V303" s="5">
        <v>145</v>
      </c>
      <c r="W303" s="6">
        <v>43016</v>
      </c>
      <c r="X303" s="6"/>
      <c r="Y303" s="6"/>
      <c r="Z303" s="6"/>
      <c r="AA303" s="6"/>
      <c r="AB303" s="6"/>
      <c r="AC303" s="6"/>
      <c r="AD303" s="6">
        <v>44879</v>
      </c>
    </row>
    <row r="304" spans="1:30">
      <c r="A304" s="1" t="s">
        <v>772</v>
      </c>
      <c r="B304" s="1" t="s">
        <v>773</v>
      </c>
      <c r="C304" s="1" t="s">
        <v>904</v>
      </c>
      <c r="D304" s="1" t="s">
        <v>138</v>
      </c>
      <c r="E304" s="1" t="str">
        <f t="shared" si="4"/>
        <v>W03</v>
      </c>
      <c r="F304" s="4">
        <v>6.65</v>
      </c>
      <c r="G304" s="4">
        <v>5.46</v>
      </c>
      <c r="H304" s="4">
        <v>5.46</v>
      </c>
      <c r="I304" s="4"/>
      <c r="J304" s="1" t="s">
        <v>775</v>
      </c>
      <c r="K304" s="1" t="s">
        <v>852</v>
      </c>
      <c r="L304" s="1" t="s">
        <v>835</v>
      </c>
      <c r="M304" s="1" t="s">
        <v>851</v>
      </c>
      <c r="O304" s="6">
        <v>44832</v>
      </c>
      <c r="P304" s="6">
        <v>44613</v>
      </c>
      <c r="Q304" s="6">
        <v>44373</v>
      </c>
      <c r="R304" s="1" t="s">
        <v>784</v>
      </c>
      <c r="S304" s="1" t="s">
        <v>815</v>
      </c>
      <c r="T304" s="5">
        <v>238</v>
      </c>
      <c r="U304" s="4">
        <v>11</v>
      </c>
      <c r="V304" s="5">
        <v>351</v>
      </c>
      <c r="W304" s="6">
        <v>44842</v>
      </c>
      <c r="X304" s="6"/>
      <c r="Y304" s="6"/>
      <c r="Z304" s="6"/>
      <c r="AA304" s="6"/>
      <c r="AB304" s="6"/>
      <c r="AC304" s="6"/>
      <c r="AD304" s="6">
        <v>44851</v>
      </c>
    </row>
    <row r="305" spans="1:30">
      <c r="A305" s="1" t="s">
        <v>772</v>
      </c>
      <c r="B305" s="1" t="s">
        <v>773</v>
      </c>
      <c r="C305" s="1" t="s">
        <v>904</v>
      </c>
      <c r="D305" s="1" t="s">
        <v>401</v>
      </c>
      <c r="E305" s="1" t="str">
        <f t="shared" si="4"/>
        <v>W03</v>
      </c>
      <c r="F305" s="4">
        <v>7.25</v>
      </c>
      <c r="G305" s="4">
        <v>5.7</v>
      </c>
      <c r="H305" s="4">
        <v>5.7</v>
      </c>
      <c r="I305" s="4"/>
      <c r="J305" s="1" t="s">
        <v>775</v>
      </c>
      <c r="K305" s="1" t="s">
        <v>808</v>
      </c>
      <c r="L305" s="1" t="s">
        <v>809</v>
      </c>
      <c r="M305" s="1" t="s">
        <v>788</v>
      </c>
      <c r="N305" s="1" t="s">
        <v>787</v>
      </c>
      <c r="O305" s="6">
        <v>44882</v>
      </c>
      <c r="P305" s="6">
        <v>44834</v>
      </c>
      <c r="Q305" s="6">
        <v>44359</v>
      </c>
      <c r="R305" s="1" t="s">
        <v>779</v>
      </c>
      <c r="T305" s="5">
        <v>402</v>
      </c>
      <c r="U305" s="4">
        <v>4</v>
      </c>
      <c r="V305" s="5">
        <v>130</v>
      </c>
      <c r="W305" s="6">
        <v>43710</v>
      </c>
      <c r="X305" s="6">
        <v>42572</v>
      </c>
      <c r="Y305" s="6"/>
      <c r="Z305" s="6"/>
      <c r="AA305" s="6"/>
      <c r="AB305" s="6"/>
      <c r="AC305" s="6"/>
      <c r="AD305" s="6"/>
    </row>
    <row r="306" spans="1:30">
      <c r="A306" s="1" t="s">
        <v>772</v>
      </c>
      <c r="B306" s="1" t="s">
        <v>773</v>
      </c>
      <c r="C306" s="1" t="s">
        <v>904</v>
      </c>
      <c r="D306" s="1" t="s">
        <v>355</v>
      </c>
      <c r="E306" s="1" t="str">
        <f t="shared" si="4"/>
        <v>W03</v>
      </c>
      <c r="F306" s="4">
        <v>10.52</v>
      </c>
      <c r="G306" s="4">
        <v>8.4499999999999993</v>
      </c>
      <c r="H306" s="4">
        <v>8.4499999999999993</v>
      </c>
      <c r="I306" s="4"/>
      <c r="J306" s="1" t="s">
        <v>775</v>
      </c>
      <c r="K306" s="1" t="s">
        <v>890</v>
      </c>
      <c r="L306" s="1" t="s">
        <v>787</v>
      </c>
      <c r="M306" s="1" t="s">
        <v>788</v>
      </c>
      <c r="O306" s="6">
        <v>44837</v>
      </c>
      <c r="P306" s="6">
        <v>44818</v>
      </c>
      <c r="Q306" s="6">
        <v>44280</v>
      </c>
      <c r="R306" s="1" t="s">
        <v>779</v>
      </c>
      <c r="T306" s="5">
        <v>402</v>
      </c>
      <c r="U306" s="4">
        <v>4</v>
      </c>
      <c r="V306" s="5">
        <v>146</v>
      </c>
      <c r="W306" s="6">
        <v>43016</v>
      </c>
      <c r="X306" s="6"/>
      <c r="Y306" s="6"/>
      <c r="Z306" s="6"/>
      <c r="AA306" s="6"/>
      <c r="AB306" s="6"/>
      <c r="AC306" s="6"/>
      <c r="AD306" s="6"/>
    </row>
    <row r="307" spans="1:30">
      <c r="A307" s="1" t="s">
        <v>772</v>
      </c>
      <c r="B307" s="1" t="s">
        <v>773</v>
      </c>
      <c r="C307" s="1" t="s">
        <v>904</v>
      </c>
      <c r="D307" s="1" t="s">
        <v>977</v>
      </c>
      <c r="E307" s="1" t="str">
        <f t="shared" si="4"/>
        <v>W03</v>
      </c>
      <c r="F307" s="4">
        <v>5.36</v>
      </c>
      <c r="G307" s="4">
        <v>4.46</v>
      </c>
      <c r="H307" s="4">
        <v>4.46</v>
      </c>
      <c r="I307" s="4"/>
      <c r="J307" s="1" t="s">
        <v>775</v>
      </c>
      <c r="K307" s="1" t="s">
        <v>857</v>
      </c>
      <c r="L307" s="1" t="s">
        <v>835</v>
      </c>
      <c r="M307" s="1" t="s">
        <v>851</v>
      </c>
      <c r="O307" s="6">
        <v>44861</v>
      </c>
      <c r="P307" s="6">
        <v>44621</v>
      </c>
      <c r="Q307" s="6">
        <v>44428</v>
      </c>
      <c r="R307" s="1" t="s">
        <v>784</v>
      </c>
      <c r="S307" s="1" t="s">
        <v>785</v>
      </c>
      <c r="T307" s="5">
        <v>238</v>
      </c>
      <c r="U307" s="4">
        <v>11</v>
      </c>
      <c r="V307" s="5">
        <v>343</v>
      </c>
      <c r="W307" s="6">
        <v>45190</v>
      </c>
      <c r="X307" s="6"/>
      <c r="Y307" s="6"/>
      <c r="Z307" s="6"/>
      <c r="AA307" s="6"/>
      <c r="AB307" s="6"/>
      <c r="AC307" s="6"/>
      <c r="AD307" s="6">
        <v>44886</v>
      </c>
    </row>
    <row r="308" spans="1:30">
      <c r="A308" s="1" t="s">
        <v>772</v>
      </c>
      <c r="B308" s="1" t="s">
        <v>773</v>
      </c>
      <c r="C308" s="1" t="s">
        <v>904</v>
      </c>
      <c r="D308" s="1" t="s">
        <v>978</v>
      </c>
      <c r="E308" s="1" t="str">
        <f t="shared" si="4"/>
        <v>W03</v>
      </c>
      <c r="F308" s="4">
        <v>8.67</v>
      </c>
      <c r="G308" s="4">
        <v>7.17</v>
      </c>
      <c r="H308" s="4">
        <v>7.17</v>
      </c>
      <c r="I308" s="4"/>
      <c r="J308" s="1" t="s">
        <v>775</v>
      </c>
      <c r="K308" s="1" t="s">
        <v>979</v>
      </c>
      <c r="L308" s="1" t="s">
        <v>782</v>
      </c>
      <c r="M308" s="1" t="s">
        <v>783</v>
      </c>
      <c r="O308" s="6">
        <v>44770</v>
      </c>
      <c r="P308" s="6">
        <v>44621</v>
      </c>
      <c r="Q308" s="6">
        <v>44165</v>
      </c>
      <c r="R308" s="1" t="s">
        <v>784</v>
      </c>
      <c r="S308" s="1" t="s">
        <v>785</v>
      </c>
      <c r="T308" s="5">
        <v>357</v>
      </c>
      <c r="U308" s="4">
        <v>11</v>
      </c>
      <c r="V308" s="5">
        <v>343</v>
      </c>
      <c r="W308" s="6">
        <v>45190</v>
      </c>
      <c r="X308" s="6"/>
      <c r="Y308" s="6"/>
      <c r="Z308" s="6"/>
      <c r="AA308" s="6"/>
      <c r="AB308" s="6"/>
      <c r="AC308" s="6"/>
      <c r="AD308" s="6">
        <v>44868</v>
      </c>
    </row>
    <row r="309" spans="1:30">
      <c r="A309" s="1" t="s">
        <v>772</v>
      </c>
      <c r="B309" s="1" t="s">
        <v>773</v>
      </c>
      <c r="C309" s="1" t="s">
        <v>904</v>
      </c>
      <c r="D309" s="1" t="s">
        <v>254</v>
      </c>
      <c r="E309" s="1" t="str">
        <f t="shared" si="4"/>
        <v>W03</v>
      </c>
      <c r="F309" s="4">
        <v>5.78</v>
      </c>
      <c r="G309" s="4">
        <v>4.67</v>
      </c>
      <c r="H309" s="4">
        <v>4.67</v>
      </c>
      <c r="I309" s="4"/>
      <c r="J309" s="1" t="s">
        <v>775</v>
      </c>
      <c r="K309" s="1" t="s">
        <v>901</v>
      </c>
      <c r="L309" s="1" t="s">
        <v>778</v>
      </c>
      <c r="M309" s="1" t="s">
        <v>777</v>
      </c>
      <c r="N309" s="1" t="s">
        <v>787</v>
      </c>
      <c r="O309" s="6">
        <v>44915</v>
      </c>
      <c r="P309" s="6">
        <v>44909</v>
      </c>
      <c r="Q309" s="6"/>
      <c r="R309" s="1" t="s">
        <v>779</v>
      </c>
      <c r="T309" s="5">
        <v>120</v>
      </c>
      <c r="U309" s="4">
        <v>1</v>
      </c>
      <c r="V309" s="5">
        <v>55</v>
      </c>
      <c r="W309" s="6">
        <v>43404</v>
      </c>
      <c r="X309" s="6">
        <v>43435</v>
      </c>
      <c r="Y309" s="6"/>
      <c r="Z309" s="6"/>
      <c r="AA309" s="6"/>
      <c r="AB309" s="6"/>
      <c r="AC309" s="6"/>
      <c r="AD309" s="6"/>
    </row>
    <row r="310" spans="1:30">
      <c r="A310" s="1" t="s">
        <v>772</v>
      </c>
      <c r="B310" s="1" t="s">
        <v>773</v>
      </c>
      <c r="C310" s="1" t="s">
        <v>904</v>
      </c>
      <c r="D310" s="1" t="s">
        <v>354</v>
      </c>
      <c r="E310" s="1" t="str">
        <f t="shared" si="4"/>
        <v>W03</v>
      </c>
      <c r="F310" s="4">
        <v>16.22</v>
      </c>
      <c r="G310" s="4">
        <v>12.94</v>
      </c>
      <c r="H310" s="4">
        <v>12.94</v>
      </c>
      <c r="I310" s="4"/>
      <c r="J310" s="1" t="s">
        <v>775</v>
      </c>
      <c r="K310" s="1" t="s">
        <v>890</v>
      </c>
      <c r="L310" s="1" t="s">
        <v>787</v>
      </c>
      <c r="M310" s="1" t="s">
        <v>788</v>
      </c>
      <c r="O310" s="6">
        <v>44837</v>
      </c>
      <c r="P310" s="6">
        <v>44834</v>
      </c>
      <c r="Q310" s="6">
        <v>44279</v>
      </c>
      <c r="R310" s="1" t="s">
        <v>779</v>
      </c>
      <c r="T310" s="5">
        <v>402</v>
      </c>
      <c r="U310" s="4">
        <v>4</v>
      </c>
      <c r="V310" s="5">
        <v>130</v>
      </c>
      <c r="W310" s="6">
        <v>43016</v>
      </c>
      <c r="X310" s="6"/>
      <c r="Y310" s="6"/>
      <c r="Z310" s="6"/>
      <c r="AA310" s="6"/>
      <c r="AB310" s="6"/>
      <c r="AC310" s="6"/>
      <c r="AD310" s="6">
        <v>44835</v>
      </c>
    </row>
    <row r="311" spans="1:30">
      <c r="A311" s="1" t="s">
        <v>772</v>
      </c>
      <c r="B311" s="1" t="s">
        <v>773</v>
      </c>
      <c r="C311" s="1" t="s">
        <v>904</v>
      </c>
      <c r="D311" s="1" t="s">
        <v>394</v>
      </c>
      <c r="E311" s="1" t="str">
        <f t="shared" si="4"/>
        <v>W03</v>
      </c>
      <c r="F311" s="4">
        <v>0.91</v>
      </c>
      <c r="G311" s="4">
        <v>0.72</v>
      </c>
      <c r="H311" s="4">
        <v>0.72</v>
      </c>
      <c r="I311" s="4"/>
      <c r="J311" s="1" t="s">
        <v>775</v>
      </c>
      <c r="K311" s="1" t="s">
        <v>808</v>
      </c>
      <c r="L311" s="1" t="s">
        <v>787</v>
      </c>
      <c r="M311" s="1" t="s">
        <v>788</v>
      </c>
      <c r="O311" s="6">
        <v>44866</v>
      </c>
      <c r="P311" s="6">
        <v>44845</v>
      </c>
      <c r="Q311" s="6">
        <v>44368</v>
      </c>
      <c r="R311" s="1" t="s">
        <v>779</v>
      </c>
      <c r="T311" s="5">
        <v>402</v>
      </c>
      <c r="U311" s="4">
        <v>3</v>
      </c>
      <c r="V311" s="5">
        <v>119</v>
      </c>
      <c r="W311" s="6"/>
      <c r="X311" s="6"/>
      <c r="Y311" s="6"/>
      <c r="Z311" s="6"/>
      <c r="AA311" s="6"/>
      <c r="AB311" s="6"/>
      <c r="AC311" s="6"/>
      <c r="AD311" s="6"/>
    </row>
    <row r="312" spans="1:30">
      <c r="A312" s="1" t="s">
        <v>772</v>
      </c>
      <c r="B312" s="1" t="s">
        <v>773</v>
      </c>
      <c r="C312" s="1" t="s">
        <v>904</v>
      </c>
      <c r="D312" s="1" t="s">
        <v>588</v>
      </c>
      <c r="E312" s="1" t="str">
        <f t="shared" si="4"/>
        <v>W03</v>
      </c>
      <c r="F312" s="5">
        <v>8.2200000000000006</v>
      </c>
      <c r="G312" s="4">
        <v>6.48</v>
      </c>
      <c r="H312" s="4">
        <v>6.48</v>
      </c>
      <c r="I312" s="4"/>
      <c r="J312" s="1" t="s">
        <v>775</v>
      </c>
      <c r="K312" s="1" t="s">
        <v>800</v>
      </c>
      <c r="L312" s="1" t="s">
        <v>777</v>
      </c>
      <c r="M312" s="1" t="s">
        <v>778</v>
      </c>
      <c r="O312" s="6">
        <v>44806</v>
      </c>
      <c r="P312" s="6">
        <v>44805</v>
      </c>
      <c r="Q312" s="6">
        <v>44798</v>
      </c>
      <c r="R312" s="1" t="s">
        <v>779</v>
      </c>
      <c r="S312" s="1" t="s">
        <v>795</v>
      </c>
      <c r="T312" s="5">
        <v>577</v>
      </c>
      <c r="U312" s="4">
        <v>5</v>
      </c>
      <c r="V312" s="5">
        <v>159</v>
      </c>
      <c r="W312" s="6">
        <v>44383</v>
      </c>
      <c r="X312" s="6"/>
      <c r="Y312" s="6"/>
      <c r="Z312" s="6"/>
      <c r="AA312" s="6"/>
      <c r="AB312" s="6"/>
      <c r="AC312" s="6"/>
      <c r="AD312" s="6"/>
    </row>
    <row r="313" spans="1:30">
      <c r="A313" s="1" t="s">
        <v>772</v>
      </c>
      <c r="B313" s="1" t="s">
        <v>773</v>
      </c>
      <c r="C313" s="1" t="s">
        <v>904</v>
      </c>
      <c r="D313" s="1" t="s">
        <v>980</v>
      </c>
      <c r="E313" s="1" t="str">
        <f t="shared" si="4"/>
        <v>W03</v>
      </c>
      <c r="F313" s="4">
        <v>8.75</v>
      </c>
      <c r="G313" s="4">
        <v>6.59</v>
      </c>
      <c r="H313" s="4">
        <v>6.59</v>
      </c>
      <c r="I313" s="4"/>
      <c r="J313" s="1" t="s">
        <v>775</v>
      </c>
      <c r="K313" s="1" t="s">
        <v>981</v>
      </c>
      <c r="L313" s="1" t="s">
        <v>782</v>
      </c>
      <c r="M313" s="1" t="s">
        <v>783</v>
      </c>
      <c r="O313" s="6">
        <v>44861</v>
      </c>
      <c r="P313" s="6">
        <v>44628</v>
      </c>
      <c r="Q313" s="6">
        <v>44176</v>
      </c>
      <c r="R313" s="1" t="s">
        <v>784</v>
      </c>
      <c r="S313" s="1" t="s">
        <v>785</v>
      </c>
      <c r="T313" s="5">
        <v>357</v>
      </c>
      <c r="U313" s="4">
        <v>11</v>
      </c>
      <c r="V313" s="5">
        <v>336</v>
      </c>
      <c r="W313" s="6">
        <v>45190</v>
      </c>
      <c r="X313" s="6"/>
      <c r="Y313" s="6"/>
      <c r="Z313" s="6"/>
      <c r="AA313" s="6"/>
      <c r="AB313" s="6"/>
      <c r="AC313" s="6"/>
      <c r="AD313" s="6">
        <v>44888</v>
      </c>
    </row>
    <row r="314" spans="1:30">
      <c r="A314" s="1" t="s">
        <v>772</v>
      </c>
      <c r="B314" s="1" t="s">
        <v>773</v>
      </c>
      <c r="C314" s="1" t="s">
        <v>904</v>
      </c>
      <c r="D314" s="1" t="s">
        <v>982</v>
      </c>
      <c r="E314" s="1" t="str">
        <f t="shared" si="4"/>
        <v>W03</v>
      </c>
      <c r="F314" s="4">
        <v>5.12</v>
      </c>
      <c r="G314" s="4">
        <v>4.18</v>
      </c>
      <c r="H314" s="4">
        <v>4.18</v>
      </c>
      <c r="I314" s="4"/>
      <c r="J314" s="1" t="s">
        <v>775</v>
      </c>
      <c r="K314" s="1" t="s">
        <v>857</v>
      </c>
      <c r="L314" s="1" t="s">
        <v>835</v>
      </c>
      <c r="M314" s="1" t="s">
        <v>851</v>
      </c>
      <c r="O314" s="6">
        <v>44861</v>
      </c>
      <c r="P314" s="6">
        <v>44628</v>
      </c>
      <c r="Q314" s="6">
        <v>44429</v>
      </c>
      <c r="R314" s="1" t="s">
        <v>784</v>
      </c>
      <c r="S314" s="1" t="s">
        <v>785</v>
      </c>
      <c r="T314" s="5">
        <v>238</v>
      </c>
      <c r="U314" s="4">
        <v>11</v>
      </c>
      <c r="V314" s="5">
        <v>336</v>
      </c>
      <c r="W314" s="6">
        <v>45215</v>
      </c>
      <c r="X314" s="6"/>
      <c r="Y314" s="6"/>
      <c r="Z314" s="6"/>
      <c r="AA314" s="6"/>
      <c r="AB314" s="6"/>
      <c r="AC314" s="6"/>
      <c r="AD314" s="6">
        <v>44866</v>
      </c>
    </row>
    <row r="315" spans="1:30">
      <c r="A315" s="1" t="s">
        <v>772</v>
      </c>
      <c r="B315" s="1" t="s">
        <v>903</v>
      </c>
      <c r="C315" s="1" t="s">
        <v>904</v>
      </c>
      <c r="D315" s="1" t="s">
        <v>983</v>
      </c>
      <c r="E315" s="1" t="str">
        <f t="shared" si="4"/>
        <v>W03</v>
      </c>
      <c r="F315" s="4">
        <v>1.96</v>
      </c>
      <c r="G315" s="4">
        <v>1.96</v>
      </c>
      <c r="H315" s="4">
        <v>1.96</v>
      </c>
      <c r="I315" s="4"/>
      <c r="J315" s="1" t="s">
        <v>775</v>
      </c>
      <c r="K315" s="1" t="s">
        <v>974</v>
      </c>
      <c r="L315" s="1" t="s">
        <v>975</v>
      </c>
      <c r="M315" s="1" t="s">
        <v>829</v>
      </c>
      <c r="O315" s="6">
        <v>44939</v>
      </c>
      <c r="P315" s="6">
        <v>44939</v>
      </c>
      <c r="Q315" s="6"/>
      <c r="R315" s="1" t="s">
        <v>909</v>
      </c>
      <c r="T315" s="5">
        <v>0</v>
      </c>
      <c r="U315" s="4">
        <v>0</v>
      </c>
      <c r="V315" s="5">
        <v>25</v>
      </c>
      <c r="W315" s="6"/>
      <c r="X315" s="6"/>
      <c r="Y315" s="6"/>
      <c r="Z315" s="6"/>
      <c r="AA315" s="6"/>
      <c r="AB315" s="6"/>
      <c r="AC315" s="6"/>
      <c r="AD315" s="6"/>
    </row>
    <row r="316" spans="1:30">
      <c r="A316" s="1" t="s">
        <v>772</v>
      </c>
      <c r="B316" s="1" t="s">
        <v>773</v>
      </c>
      <c r="C316" s="1" t="s">
        <v>904</v>
      </c>
      <c r="D316" s="1" t="s">
        <v>445</v>
      </c>
      <c r="E316" s="1" t="str">
        <f t="shared" si="4"/>
        <v>W03</v>
      </c>
      <c r="F316" s="4">
        <v>12.6</v>
      </c>
      <c r="G316" s="4">
        <v>9.9700000000000006</v>
      </c>
      <c r="H316" s="4">
        <v>9.9700000000000006</v>
      </c>
      <c r="I316" s="4"/>
      <c r="J316" s="1" t="s">
        <v>775</v>
      </c>
      <c r="K316" s="1" t="s">
        <v>984</v>
      </c>
      <c r="L316" s="1" t="s">
        <v>787</v>
      </c>
      <c r="M316" s="1" t="s">
        <v>788</v>
      </c>
      <c r="N316" s="1" t="s">
        <v>788</v>
      </c>
      <c r="O316" s="6">
        <v>44928</v>
      </c>
      <c r="P316" s="6">
        <v>44908</v>
      </c>
      <c r="Q316" s="6">
        <v>44432</v>
      </c>
      <c r="R316" s="1" t="s">
        <v>779</v>
      </c>
      <c r="T316" s="5">
        <v>402</v>
      </c>
      <c r="U316" s="4">
        <v>1</v>
      </c>
      <c r="V316" s="5">
        <v>56</v>
      </c>
      <c r="W316" s="6">
        <v>43747</v>
      </c>
      <c r="X316" s="6">
        <v>43665</v>
      </c>
      <c r="Y316" s="6"/>
      <c r="Z316" s="6"/>
      <c r="AA316" s="6"/>
      <c r="AB316" s="6"/>
      <c r="AC316" s="6"/>
      <c r="AD316" s="6"/>
    </row>
    <row r="317" spans="1:30">
      <c r="A317" s="1" t="s">
        <v>772</v>
      </c>
      <c r="B317" s="1" t="s">
        <v>773</v>
      </c>
      <c r="C317" s="1" t="s">
        <v>904</v>
      </c>
      <c r="D317" s="1" t="s">
        <v>451</v>
      </c>
      <c r="E317" s="1" t="str">
        <f t="shared" si="4"/>
        <v>W03</v>
      </c>
      <c r="F317" s="4">
        <v>14.58</v>
      </c>
      <c r="G317" s="4">
        <v>11.4</v>
      </c>
      <c r="H317" s="4">
        <v>11.4</v>
      </c>
      <c r="I317" s="4"/>
      <c r="J317" s="1" t="s">
        <v>775</v>
      </c>
      <c r="K317" s="1" t="s">
        <v>886</v>
      </c>
      <c r="L317" s="1" t="s">
        <v>777</v>
      </c>
      <c r="M317" s="1" t="s">
        <v>778</v>
      </c>
      <c r="N317" s="1" t="s">
        <v>788</v>
      </c>
      <c r="O317" s="6">
        <v>44484</v>
      </c>
      <c r="P317" s="6">
        <v>44476</v>
      </c>
      <c r="Q317" s="6">
        <v>44443</v>
      </c>
      <c r="R317" s="1" t="s">
        <v>779</v>
      </c>
      <c r="S317" s="1" t="s">
        <v>780</v>
      </c>
      <c r="T317" s="5">
        <v>517</v>
      </c>
      <c r="U317" s="4">
        <v>16</v>
      </c>
      <c r="V317" s="5">
        <v>488</v>
      </c>
      <c r="W317" s="6">
        <v>44841</v>
      </c>
      <c r="X317" s="6">
        <v>45087</v>
      </c>
      <c r="Y317" s="6"/>
      <c r="Z317" s="6"/>
      <c r="AA317" s="6">
        <v>44823</v>
      </c>
      <c r="AB317" s="6"/>
      <c r="AC317" s="6"/>
      <c r="AD317" s="6">
        <v>44904</v>
      </c>
    </row>
    <row r="318" spans="1:30">
      <c r="A318" s="1" t="s">
        <v>772</v>
      </c>
      <c r="B318" s="1" t="s">
        <v>773</v>
      </c>
      <c r="C318" s="1" t="s">
        <v>904</v>
      </c>
      <c r="D318" s="1" t="s">
        <v>125</v>
      </c>
      <c r="E318" s="1" t="str">
        <f t="shared" si="4"/>
        <v>W03</v>
      </c>
      <c r="F318" s="4">
        <v>7.68</v>
      </c>
      <c r="G318" s="4">
        <v>6.03</v>
      </c>
      <c r="H318" s="4">
        <v>6.03</v>
      </c>
      <c r="I318" s="4"/>
      <c r="J318" s="1" t="s">
        <v>775</v>
      </c>
      <c r="K318" s="1" t="s">
        <v>796</v>
      </c>
      <c r="L318" s="1" t="s">
        <v>787</v>
      </c>
      <c r="M318" s="1" t="s">
        <v>788</v>
      </c>
      <c r="N318" s="1" t="s">
        <v>787</v>
      </c>
      <c r="O318" s="6">
        <v>44743</v>
      </c>
      <c r="P318" s="6">
        <v>44737</v>
      </c>
      <c r="Q318" s="6">
        <v>44189</v>
      </c>
      <c r="R318" s="1" t="s">
        <v>779</v>
      </c>
      <c r="T318" s="5">
        <v>402</v>
      </c>
      <c r="U318" s="4">
        <v>7</v>
      </c>
      <c r="V318" s="5">
        <v>227</v>
      </c>
      <c r="W318" s="6">
        <v>43620</v>
      </c>
      <c r="X318" s="6">
        <v>42472</v>
      </c>
      <c r="Y318" s="6"/>
      <c r="Z318" s="6"/>
      <c r="AA318" s="6">
        <v>44956</v>
      </c>
      <c r="AB318" s="6"/>
      <c r="AC318" s="6"/>
      <c r="AD318" s="6">
        <v>44747</v>
      </c>
    </row>
    <row r="319" spans="1:30">
      <c r="A319" s="1" t="s">
        <v>772</v>
      </c>
      <c r="B319" s="1" t="s">
        <v>773</v>
      </c>
      <c r="C319" s="1" t="s">
        <v>904</v>
      </c>
      <c r="D319" s="1" t="s">
        <v>313</v>
      </c>
      <c r="E319" s="1" t="str">
        <f t="shared" si="4"/>
        <v>W03</v>
      </c>
      <c r="F319" s="4">
        <v>20.53</v>
      </c>
      <c r="G319" s="4">
        <v>17</v>
      </c>
      <c r="H319" s="4">
        <v>17</v>
      </c>
      <c r="I319" s="4"/>
      <c r="J319" s="1" t="s">
        <v>775</v>
      </c>
      <c r="K319" s="1" t="s">
        <v>796</v>
      </c>
      <c r="L319" s="1" t="s">
        <v>787</v>
      </c>
      <c r="M319" s="1" t="s">
        <v>788</v>
      </c>
      <c r="N319" s="1" t="s">
        <v>787</v>
      </c>
      <c r="O319" s="6">
        <v>44743</v>
      </c>
      <c r="P319" s="6">
        <v>44736</v>
      </c>
      <c r="Q319" s="6">
        <v>44173</v>
      </c>
      <c r="R319" s="1" t="s">
        <v>779</v>
      </c>
      <c r="T319" s="5">
        <v>402</v>
      </c>
      <c r="U319" s="4">
        <v>7</v>
      </c>
      <c r="V319" s="5">
        <v>228</v>
      </c>
      <c r="W319" s="6">
        <v>43620</v>
      </c>
      <c r="X319" s="6">
        <v>42472</v>
      </c>
      <c r="Y319" s="6"/>
      <c r="Z319" s="6"/>
      <c r="AA319" s="6">
        <v>44956</v>
      </c>
      <c r="AB319" s="6"/>
      <c r="AC319" s="6"/>
      <c r="AD319" s="6">
        <v>44749</v>
      </c>
    </row>
    <row r="320" spans="1:30">
      <c r="A320" s="1" t="s">
        <v>772</v>
      </c>
      <c r="B320" s="1" t="s">
        <v>773</v>
      </c>
      <c r="C320" s="1" t="s">
        <v>904</v>
      </c>
      <c r="D320" s="1" t="s">
        <v>985</v>
      </c>
      <c r="E320" s="1" t="str">
        <f t="shared" si="4"/>
        <v>W03</v>
      </c>
      <c r="F320" s="4">
        <v>0.71</v>
      </c>
      <c r="G320" s="4">
        <v>0.71</v>
      </c>
      <c r="H320" s="4">
        <v>0.71</v>
      </c>
      <c r="I320" s="4"/>
      <c r="J320" s="1" t="s">
        <v>775</v>
      </c>
      <c r="K320" s="1" t="s">
        <v>912</v>
      </c>
      <c r="L320" s="1" t="s">
        <v>829</v>
      </c>
      <c r="M320" s="1" t="s">
        <v>913</v>
      </c>
      <c r="O320" s="6">
        <v>44813</v>
      </c>
      <c r="P320" s="6">
        <v>44805</v>
      </c>
      <c r="Q320" s="6">
        <v>44774</v>
      </c>
      <c r="R320" s="1" t="s">
        <v>830</v>
      </c>
      <c r="S320" s="1" t="s">
        <v>914</v>
      </c>
      <c r="T320" s="5">
        <v>330</v>
      </c>
      <c r="U320" s="4">
        <v>5</v>
      </c>
      <c r="V320" s="5">
        <v>159</v>
      </c>
      <c r="W320" s="6">
        <v>44748</v>
      </c>
      <c r="X320" s="6"/>
      <c r="Y320" s="6"/>
      <c r="Z320" s="6"/>
      <c r="AA320" s="6"/>
      <c r="AB320" s="6"/>
      <c r="AC320" s="6"/>
      <c r="AD320" s="6"/>
    </row>
    <row r="321" spans="1:30">
      <c r="A321" s="1" t="s">
        <v>772</v>
      </c>
      <c r="B321" s="1" t="s">
        <v>773</v>
      </c>
      <c r="C321" s="1" t="s">
        <v>904</v>
      </c>
      <c r="D321" s="1" t="s">
        <v>566</v>
      </c>
      <c r="E321" s="1" t="str">
        <f t="shared" si="4"/>
        <v>W03</v>
      </c>
      <c r="F321" s="4">
        <v>12.26</v>
      </c>
      <c r="G321" s="4">
        <v>9.58</v>
      </c>
      <c r="H321" s="4">
        <v>9.58</v>
      </c>
      <c r="I321" s="4"/>
      <c r="J321" s="1" t="s">
        <v>775</v>
      </c>
      <c r="K321" s="1" t="s">
        <v>884</v>
      </c>
      <c r="L321" s="1" t="s">
        <v>777</v>
      </c>
      <c r="M321" s="1" t="s">
        <v>778</v>
      </c>
      <c r="N321" s="1" t="s">
        <v>787</v>
      </c>
      <c r="O321" s="6">
        <v>44733</v>
      </c>
      <c r="P321" s="6">
        <v>44727</v>
      </c>
      <c r="Q321" s="6">
        <v>44703</v>
      </c>
      <c r="R321" s="1" t="s">
        <v>779</v>
      </c>
      <c r="S321" s="1" t="s">
        <v>795</v>
      </c>
      <c r="T321" s="5">
        <v>577</v>
      </c>
      <c r="U321" s="4">
        <v>7</v>
      </c>
      <c r="V321" s="5">
        <v>237</v>
      </c>
      <c r="W321" s="6">
        <v>43373</v>
      </c>
      <c r="X321" s="6">
        <v>42702</v>
      </c>
      <c r="Y321" s="6"/>
      <c r="Z321" s="6"/>
      <c r="AA321" s="6"/>
      <c r="AB321" s="6"/>
      <c r="AC321" s="6"/>
      <c r="AD321" s="6"/>
    </row>
    <row r="322" spans="1:30">
      <c r="A322" s="1" t="s">
        <v>772</v>
      </c>
      <c r="B322" s="1" t="s">
        <v>773</v>
      </c>
      <c r="C322" s="1" t="s">
        <v>904</v>
      </c>
      <c r="D322" s="1" t="s">
        <v>277</v>
      </c>
      <c r="E322" s="1" t="str">
        <f t="shared" si="4"/>
        <v>W03</v>
      </c>
      <c r="F322" s="4">
        <v>9.9</v>
      </c>
      <c r="G322" s="4">
        <v>7.86</v>
      </c>
      <c r="H322" s="4">
        <v>7.86</v>
      </c>
      <c r="I322" s="4"/>
      <c r="J322" s="1" t="s">
        <v>775</v>
      </c>
      <c r="K322" s="1" t="s">
        <v>825</v>
      </c>
      <c r="L322" s="1" t="s">
        <v>787</v>
      </c>
      <c r="M322" s="1" t="s">
        <v>788</v>
      </c>
      <c r="N322" s="1" t="s">
        <v>787</v>
      </c>
      <c r="O322" s="6">
        <v>44653</v>
      </c>
      <c r="P322" s="6">
        <v>44630</v>
      </c>
      <c r="Q322" s="6">
        <v>44098</v>
      </c>
      <c r="R322" s="1" t="s">
        <v>779</v>
      </c>
      <c r="T322" s="5">
        <v>402</v>
      </c>
      <c r="U322" s="4">
        <v>10</v>
      </c>
      <c r="V322" s="5">
        <v>334</v>
      </c>
      <c r="W322" s="6">
        <v>43471</v>
      </c>
      <c r="X322" s="6">
        <v>43327</v>
      </c>
      <c r="Y322" s="6"/>
      <c r="Z322" s="6"/>
      <c r="AA322" s="6">
        <v>44909</v>
      </c>
      <c r="AB322" s="6"/>
      <c r="AC322" s="6"/>
      <c r="AD322" s="6"/>
    </row>
    <row r="323" spans="1:30">
      <c r="A323" s="1" t="s">
        <v>772</v>
      </c>
      <c r="B323" s="1" t="s">
        <v>773</v>
      </c>
      <c r="C323" s="1" t="s">
        <v>904</v>
      </c>
      <c r="D323" s="1" t="s">
        <v>134</v>
      </c>
      <c r="E323" s="1" t="str">
        <f t="shared" si="4"/>
        <v>W03</v>
      </c>
      <c r="F323" s="4">
        <v>5.15</v>
      </c>
      <c r="G323" s="4">
        <v>4.09</v>
      </c>
      <c r="H323" s="4">
        <v>4.09</v>
      </c>
      <c r="I323" s="4"/>
      <c r="J323" s="1" t="s">
        <v>775</v>
      </c>
      <c r="K323" s="1" t="s">
        <v>898</v>
      </c>
      <c r="L323" s="1" t="s">
        <v>787</v>
      </c>
      <c r="M323" s="1" t="s">
        <v>788</v>
      </c>
      <c r="N323" s="1" t="s">
        <v>778</v>
      </c>
      <c r="O323" s="6">
        <v>44739</v>
      </c>
      <c r="P323" s="6">
        <v>44727</v>
      </c>
      <c r="Q323" s="6">
        <v>44195</v>
      </c>
      <c r="R323" s="1" t="s">
        <v>779</v>
      </c>
      <c r="T323" s="5">
        <v>402</v>
      </c>
      <c r="U323" s="4">
        <v>7</v>
      </c>
      <c r="V323" s="5">
        <v>237</v>
      </c>
      <c r="W323" s="6">
        <v>44351</v>
      </c>
      <c r="X323" s="6">
        <v>44663</v>
      </c>
      <c r="Y323" s="6"/>
      <c r="Z323" s="6"/>
      <c r="AA323" s="6">
        <v>44935</v>
      </c>
      <c r="AB323" s="6"/>
      <c r="AC323" s="6"/>
      <c r="AD323" s="6"/>
    </row>
    <row r="324" spans="1:30">
      <c r="A324" s="1" t="s">
        <v>772</v>
      </c>
      <c r="B324" s="1" t="s">
        <v>773</v>
      </c>
      <c r="C324" s="1" t="s">
        <v>904</v>
      </c>
      <c r="D324" s="1" t="s">
        <v>126</v>
      </c>
      <c r="E324" s="1" t="str">
        <f t="shared" si="4"/>
        <v>W03</v>
      </c>
      <c r="F324" s="4">
        <v>8.08</v>
      </c>
      <c r="G324" s="4">
        <v>6.39</v>
      </c>
      <c r="H324" s="4">
        <v>6.04</v>
      </c>
      <c r="I324" s="4"/>
      <c r="J324" s="1" t="s">
        <v>775</v>
      </c>
      <c r="K324" s="1" t="s">
        <v>796</v>
      </c>
      <c r="L324" s="1" t="s">
        <v>787</v>
      </c>
      <c r="M324" s="1" t="s">
        <v>788</v>
      </c>
      <c r="N324" s="1" t="s">
        <v>787</v>
      </c>
      <c r="O324" s="6">
        <v>44744</v>
      </c>
      <c r="P324" s="6">
        <v>44739</v>
      </c>
      <c r="Q324" s="6">
        <v>44207</v>
      </c>
      <c r="R324" s="1" t="s">
        <v>779</v>
      </c>
      <c r="T324" s="5">
        <v>402</v>
      </c>
      <c r="U324" s="4">
        <v>7</v>
      </c>
      <c r="V324" s="5">
        <v>225</v>
      </c>
      <c r="W324" s="6">
        <v>43373</v>
      </c>
      <c r="X324" s="6">
        <v>42702</v>
      </c>
      <c r="Y324" s="6"/>
      <c r="Z324" s="6"/>
      <c r="AA324" s="6">
        <v>44935</v>
      </c>
      <c r="AB324" s="6"/>
      <c r="AC324" s="6"/>
      <c r="AD324" s="6">
        <v>44747</v>
      </c>
    </row>
    <row r="325" spans="1:30">
      <c r="A325" s="1" t="s">
        <v>772</v>
      </c>
      <c r="B325" s="1" t="s">
        <v>773</v>
      </c>
      <c r="C325" s="1" t="s">
        <v>904</v>
      </c>
      <c r="D325" s="1" t="s">
        <v>732</v>
      </c>
      <c r="E325" s="1" t="str">
        <f t="shared" ref="E325:E388" si="5">RIGHT(C325,3)</f>
        <v>W03</v>
      </c>
      <c r="F325" s="4">
        <v>2.15</v>
      </c>
      <c r="G325" s="4">
        <v>2.15</v>
      </c>
      <c r="H325" s="4">
        <v>2.15</v>
      </c>
      <c r="I325" s="4"/>
      <c r="J325" s="1" t="s">
        <v>775</v>
      </c>
      <c r="K325" s="1" t="s">
        <v>827</v>
      </c>
      <c r="L325" s="1" t="s">
        <v>828</v>
      </c>
      <c r="M325" s="1" t="s">
        <v>829</v>
      </c>
      <c r="O325" s="6">
        <v>44897</v>
      </c>
      <c r="P325" s="6">
        <v>44895</v>
      </c>
      <c r="Q325" s="6"/>
      <c r="R325" s="1" t="s">
        <v>830</v>
      </c>
      <c r="T325" s="5">
        <v>60</v>
      </c>
      <c r="U325" s="4">
        <v>2</v>
      </c>
      <c r="V325" s="5">
        <v>69</v>
      </c>
      <c r="W325" s="6"/>
      <c r="X325" s="6"/>
      <c r="Y325" s="6"/>
      <c r="Z325" s="6"/>
      <c r="AA325" s="6"/>
      <c r="AB325" s="6"/>
      <c r="AC325" s="6"/>
      <c r="AD325" s="6"/>
    </row>
    <row r="326" spans="1:30">
      <c r="A326" s="1" t="s">
        <v>772</v>
      </c>
      <c r="B326" s="1" t="s">
        <v>773</v>
      </c>
      <c r="C326" s="1" t="s">
        <v>904</v>
      </c>
      <c r="D326" s="1" t="s">
        <v>297</v>
      </c>
      <c r="E326" s="1" t="str">
        <f t="shared" si="5"/>
        <v>W03</v>
      </c>
      <c r="F326" s="4">
        <v>16.63</v>
      </c>
      <c r="G326" s="4">
        <v>13.27</v>
      </c>
      <c r="H326" s="4">
        <v>13.27</v>
      </c>
      <c r="I326" s="4"/>
      <c r="J326" s="1" t="s">
        <v>775</v>
      </c>
      <c r="K326" s="1" t="s">
        <v>796</v>
      </c>
      <c r="L326" s="1" t="s">
        <v>787</v>
      </c>
      <c r="M326" s="1" t="s">
        <v>788</v>
      </c>
      <c r="N326" s="1" t="s">
        <v>787</v>
      </c>
      <c r="O326" s="6">
        <v>44744</v>
      </c>
      <c r="P326" s="6">
        <v>44722</v>
      </c>
      <c r="Q326" s="6">
        <v>44128</v>
      </c>
      <c r="R326" s="1" t="s">
        <v>779</v>
      </c>
      <c r="T326" s="5">
        <v>402</v>
      </c>
      <c r="U326" s="4">
        <v>7</v>
      </c>
      <c r="V326" s="5">
        <v>242</v>
      </c>
      <c r="W326" s="6">
        <v>43373</v>
      </c>
      <c r="X326" s="6">
        <v>42702</v>
      </c>
      <c r="Y326" s="6"/>
      <c r="Z326" s="6"/>
      <c r="AA326" s="6"/>
      <c r="AB326" s="6"/>
      <c r="AC326" s="6"/>
      <c r="AD326" s="6">
        <v>44714</v>
      </c>
    </row>
    <row r="327" spans="1:30">
      <c r="A327" s="1" t="s">
        <v>772</v>
      </c>
      <c r="B327" s="1" t="s">
        <v>773</v>
      </c>
      <c r="C327" s="1" t="s">
        <v>904</v>
      </c>
      <c r="D327" s="1" t="s">
        <v>986</v>
      </c>
      <c r="E327" s="1" t="str">
        <f t="shared" si="5"/>
        <v>W03</v>
      </c>
      <c r="F327" s="4">
        <v>13.58</v>
      </c>
      <c r="G327" s="4">
        <v>11.11</v>
      </c>
      <c r="H327" s="4">
        <v>10.8</v>
      </c>
      <c r="I327" s="4"/>
      <c r="J327" s="1" t="s">
        <v>775</v>
      </c>
      <c r="K327" s="1" t="s">
        <v>987</v>
      </c>
      <c r="L327" s="1" t="s">
        <v>778</v>
      </c>
      <c r="M327" s="1" t="s">
        <v>777</v>
      </c>
      <c r="N327" s="1" t="s">
        <v>777</v>
      </c>
      <c r="O327" s="6">
        <v>44799</v>
      </c>
      <c r="P327" s="6">
        <v>44789</v>
      </c>
      <c r="Q327" s="6"/>
      <c r="R327" s="1" t="s">
        <v>779</v>
      </c>
      <c r="T327" s="5">
        <v>120</v>
      </c>
      <c r="U327" s="4">
        <v>5</v>
      </c>
      <c r="V327" s="5">
        <v>175</v>
      </c>
      <c r="W327" s="6">
        <v>43678</v>
      </c>
      <c r="X327" s="6">
        <v>43637</v>
      </c>
      <c r="Y327" s="6"/>
      <c r="Z327" s="6"/>
      <c r="AA327" s="6"/>
      <c r="AB327" s="6"/>
      <c r="AC327" s="6"/>
      <c r="AD327" s="6"/>
    </row>
    <row r="328" spans="1:30">
      <c r="A328" s="1" t="s">
        <v>772</v>
      </c>
      <c r="B328" s="1" t="s">
        <v>773</v>
      </c>
      <c r="C328" s="1" t="s">
        <v>904</v>
      </c>
      <c r="D328" s="1" t="s">
        <v>734</v>
      </c>
      <c r="E328" s="1" t="str">
        <f t="shared" si="5"/>
        <v>W03</v>
      </c>
      <c r="F328" s="5">
        <v>0.95</v>
      </c>
      <c r="G328" s="5">
        <v>0.95</v>
      </c>
      <c r="H328" s="4">
        <v>0.95</v>
      </c>
      <c r="I328" s="4"/>
      <c r="J328" s="1" t="s">
        <v>775</v>
      </c>
      <c r="K328" s="1" t="s">
        <v>827</v>
      </c>
      <c r="L328" s="1" t="s">
        <v>828</v>
      </c>
      <c r="M328" s="1" t="s">
        <v>829</v>
      </c>
      <c r="O328" s="6">
        <v>44897</v>
      </c>
      <c r="P328" s="6">
        <v>44895</v>
      </c>
      <c r="Q328" s="6"/>
      <c r="R328" s="1" t="s">
        <v>830</v>
      </c>
      <c r="T328" s="5">
        <v>60</v>
      </c>
      <c r="U328" s="4">
        <v>2</v>
      </c>
      <c r="V328" s="5">
        <v>69</v>
      </c>
      <c r="W328" s="6">
        <v>44473</v>
      </c>
      <c r="X328" s="6"/>
      <c r="Y328" s="6"/>
      <c r="Z328" s="6"/>
      <c r="AA328" s="6"/>
      <c r="AB328" s="6"/>
      <c r="AC328" s="6"/>
      <c r="AD328" s="6"/>
    </row>
    <row r="329" spans="1:30">
      <c r="A329" s="1" t="s">
        <v>772</v>
      </c>
      <c r="B329" s="1" t="s">
        <v>773</v>
      </c>
      <c r="C329" s="1" t="s">
        <v>904</v>
      </c>
      <c r="D329" s="1" t="s">
        <v>195</v>
      </c>
      <c r="E329" s="1" t="str">
        <f t="shared" si="5"/>
        <v>W03</v>
      </c>
      <c r="F329" s="4">
        <v>11.9</v>
      </c>
      <c r="G329" s="4">
        <v>9.6999999999999993</v>
      </c>
      <c r="H329" s="4">
        <v>9.0299999999999994</v>
      </c>
      <c r="I329" s="4"/>
      <c r="J329" s="1" t="s">
        <v>775</v>
      </c>
      <c r="K329" s="1" t="s">
        <v>988</v>
      </c>
      <c r="L329" s="1" t="s">
        <v>788</v>
      </c>
      <c r="M329" s="1" t="s">
        <v>812</v>
      </c>
      <c r="N329" s="1" t="s">
        <v>777</v>
      </c>
      <c r="O329" s="6">
        <v>44806</v>
      </c>
      <c r="P329" s="6">
        <v>44791</v>
      </c>
      <c r="Q329" s="6"/>
      <c r="R329" s="1" t="s">
        <v>779</v>
      </c>
      <c r="T329" s="5">
        <v>84</v>
      </c>
      <c r="U329" s="4">
        <v>5</v>
      </c>
      <c r="V329" s="5">
        <v>173</v>
      </c>
      <c r="W329" s="6">
        <v>44045</v>
      </c>
      <c r="X329" s="6">
        <v>43292</v>
      </c>
      <c r="Y329" s="6"/>
      <c r="Z329" s="6"/>
      <c r="AA329" s="6"/>
      <c r="AB329" s="6"/>
      <c r="AC329" s="6"/>
      <c r="AD329" s="6"/>
    </row>
    <row r="330" spans="1:30">
      <c r="A330" s="1" t="s">
        <v>772</v>
      </c>
      <c r="B330" s="1" t="s">
        <v>773</v>
      </c>
      <c r="C330" s="1" t="s">
        <v>904</v>
      </c>
      <c r="D330" s="1" t="s">
        <v>735</v>
      </c>
      <c r="E330" s="1" t="str">
        <f t="shared" si="5"/>
        <v>W03</v>
      </c>
      <c r="F330" s="4">
        <v>0.7</v>
      </c>
      <c r="G330" s="4">
        <v>0.7</v>
      </c>
      <c r="H330" s="4">
        <v>0.7</v>
      </c>
      <c r="I330" s="4"/>
      <c r="J330" s="1" t="s">
        <v>775</v>
      </c>
      <c r="K330" s="1" t="s">
        <v>945</v>
      </c>
      <c r="L330" s="1" t="s">
        <v>829</v>
      </c>
      <c r="M330" s="1" t="s">
        <v>913</v>
      </c>
      <c r="N330" s="1" t="s">
        <v>788</v>
      </c>
      <c r="O330" s="6">
        <v>44840</v>
      </c>
      <c r="P330" s="6">
        <v>44808</v>
      </c>
      <c r="Q330" s="6">
        <v>44805</v>
      </c>
      <c r="R330" s="1" t="s">
        <v>830</v>
      </c>
      <c r="S330" s="1" t="s">
        <v>914</v>
      </c>
      <c r="T330" s="5">
        <v>330</v>
      </c>
      <c r="U330" s="4">
        <v>5</v>
      </c>
      <c r="V330" s="5">
        <v>156</v>
      </c>
      <c r="W330" s="6">
        <v>43767</v>
      </c>
      <c r="X330" s="6">
        <v>43796</v>
      </c>
      <c r="Y330" s="6"/>
      <c r="Z330" s="6"/>
      <c r="AA330" s="6"/>
      <c r="AB330" s="6"/>
      <c r="AC330" s="6"/>
      <c r="AD330" s="6"/>
    </row>
    <row r="331" spans="1:30">
      <c r="A331" s="1" t="s">
        <v>772</v>
      </c>
      <c r="B331" s="1" t="s">
        <v>773</v>
      </c>
      <c r="C331" s="1" t="s">
        <v>989</v>
      </c>
      <c r="D331" s="1" t="s">
        <v>505</v>
      </c>
      <c r="E331" s="1" t="str">
        <f t="shared" si="5"/>
        <v>W05</v>
      </c>
      <c r="F331" s="4">
        <v>11.64</v>
      </c>
      <c r="G331" s="4">
        <v>9.16</v>
      </c>
      <c r="H331" s="4">
        <v>9.16</v>
      </c>
      <c r="I331" s="4"/>
      <c r="J331" s="1" t="s">
        <v>775</v>
      </c>
      <c r="K331" s="1" t="s">
        <v>822</v>
      </c>
      <c r="L331" s="1" t="s">
        <v>777</v>
      </c>
      <c r="M331" s="1" t="s">
        <v>778</v>
      </c>
      <c r="N331" s="1" t="s">
        <v>787</v>
      </c>
      <c r="O331" s="6">
        <v>44617</v>
      </c>
      <c r="P331" s="6">
        <v>44604</v>
      </c>
      <c r="Q331" s="6">
        <v>44581</v>
      </c>
      <c r="R331" s="1" t="s">
        <v>779</v>
      </c>
      <c r="S331" s="1" t="s">
        <v>823</v>
      </c>
      <c r="T331" s="5">
        <v>457</v>
      </c>
      <c r="U331" s="4">
        <v>11</v>
      </c>
      <c r="V331" s="5">
        <v>360</v>
      </c>
      <c r="W331" s="6">
        <v>43373</v>
      </c>
      <c r="X331" s="6">
        <v>42702</v>
      </c>
      <c r="Y331" s="6"/>
      <c r="Z331" s="6"/>
      <c r="AA331" s="6">
        <v>44917</v>
      </c>
      <c r="AB331" s="6"/>
      <c r="AC331" s="6"/>
      <c r="AD331" s="6"/>
    </row>
    <row r="332" spans="1:30">
      <c r="A332" s="1" t="s">
        <v>772</v>
      </c>
      <c r="B332" s="1" t="s">
        <v>773</v>
      </c>
      <c r="C332" s="1" t="s">
        <v>989</v>
      </c>
      <c r="D332" s="1" t="s">
        <v>990</v>
      </c>
      <c r="E332" s="1" t="str">
        <f t="shared" si="5"/>
        <v>W05</v>
      </c>
      <c r="F332" s="4">
        <v>0.09</v>
      </c>
      <c r="G332" s="4">
        <v>0.09</v>
      </c>
      <c r="H332" s="4">
        <v>0.09</v>
      </c>
      <c r="I332" s="4"/>
      <c r="J332" s="1" t="s">
        <v>775</v>
      </c>
      <c r="K332" s="1" t="s">
        <v>945</v>
      </c>
      <c r="L332" s="1" t="s">
        <v>829</v>
      </c>
      <c r="M332" s="1" t="s">
        <v>913</v>
      </c>
      <c r="O332" s="6">
        <v>44839</v>
      </c>
      <c r="P332" s="6">
        <v>44743</v>
      </c>
      <c r="Q332" s="6">
        <v>44713</v>
      </c>
      <c r="R332" s="1" t="s">
        <v>830</v>
      </c>
      <c r="S332" s="1" t="s">
        <v>914</v>
      </c>
      <c r="T332" s="5">
        <v>330</v>
      </c>
      <c r="U332" s="4">
        <v>7</v>
      </c>
      <c r="V332" s="5">
        <v>221</v>
      </c>
      <c r="W332" s="6">
        <v>43388</v>
      </c>
      <c r="X332" s="6"/>
      <c r="Y332" s="6"/>
      <c r="Z332" s="6"/>
      <c r="AA332" s="6"/>
      <c r="AB332" s="6"/>
      <c r="AC332" s="6"/>
      <c r="AD332" s="6"/>
    </row>
    <row r="333" spans="1:30">
      <c r="A333" s="1" t="s">
        <v>772</v>
      </c>
      <c r="B333" s="1" t="s">
        <v>773</v>
      </c>
      <c r="C333" s="1" t="s">
        <v>989</v>
      </c>
      <c r="D333" s="1" t="s">
        <v>371</v>
      </c>
      <c r="E333" s="1" t="str">
        <f t="shared" si="5"/>
        <v>W05</v>
      </c>
      <c r="F333" s="4">
        <v>8.92</v>
      </c>
      <c r="G333" s="4">
        <v>7.06</v>
      </c>
      <c r="H333" s="4">
        <v>7.06</v>
      </c>
      <c r="I333" s="4"/>
      <c r="J333" s="1" t="s">
        <v>775</v>
      </c>
      <c r="K333" s="1" t="s">
        <v>950</v>
      </c>
      <c r="L333" s="1" t="s">
        <v>787</v>
      </c>
      <c r="M333" s="1" t="s">
        <v>788</v>
      </c>
      <c r="N333" s="1" t="s">
        <v>787</v>
      </c>
      <c r="O333" s="6">
        <v>44928</v>
      </c>
      <c r="P333" s="6">
        <v>44905</v>
      </c>
      <c r="Q333" s="6">
        <v>44332</v>
      </c>
      <c r="R333" s="1" t="s">
        <v>779</v>
      </c>
      <c r="T333" s="5">
        <v>300</v>
      </c>
      <c r="U333" s="4">
        <v>1</v>
      </c>
      <c r="V333" s="5">
        <v>59</v>
      </c>
      <c r="W333" s="6">
        <v>43373</v>
      </c>
      <c r="X333" s="6">
        <v>42702</v>
      </c>
      <c r="Y333" s="6"/>
      <c r="Z333" s="6"/>
      <c r="AA333" s="6"/>
      <c r="AB333" s="6"/>
      <c r="AC333" s="6"/>
      <c r="AD333" s="6"/>
    </row>
    <row r="334" spans="1:30">
      <c r="A334" s="1" t="s">
        <v>772</v>
      </c>
      <c r="B334" s="1" t="s">
        <v>773</v>
      </c>
      <c r="C334" s="1" t="s">
        <v>989</v>
      </c>
      <c r="D334" s="1" t="s">
        <v>991</v>
      </c>
      <c r="E334" s="1" t="str">
        <f t="shared" si="5"/>
        <v>W05</v>
      </c>
      <c r="F334" s="4">
        <v>10.74</v>
      </c>
      <c r="G334" s="4">
        <v>9.0399999999999991</v>
      </c>
      <c r="H334" s="4">
        <v>9.0399999999999991</v>
      </c>
      <c r="I334" s="4"/>
      <c r="J334" s="1" t="s">
        <v>775</v>
      </c>
      <c r="K334" s="1" t="s">
        <v>992</v>
      </c>
      <c r="L334" s="1" t="s">
        <v>866</v>
      </c>
      <c r="M334" s="1" t="s">
        <v>867</v>
      </c>
      <c r="N334" s="1" t="s">
        <v>788</v>
      </c>
      <c r="O334" s="6">
        <v>44692</v>
      </c>
      <c r="P334" s="6">
        <v>44678</v>
      </c>
      <c r="Q334" s="6">
        <v>44658</v>
      </c>
      <c r="R334" s="1" t="s">
        <v>868</v>
      </c>
      <c r="T334" s="5">
        <v>240</v>
      </c>
      <c r="U334" s="4">
        <v>9</v>
      </c>
      <c r="V334" s="5">
        <v>286</v>
      </c>
      <c r="W334" s="6">
        <v>43128</v>
      </c>
      <c r="X334" s="6">
        <v>43503</v>
      </c>
      <c r="Y334" s="6"/>
      <c r="Z334" s="6"/>
      <c r="AA334" s="6"/>
      <c r="AB334" s="6"/>
      <c r="AC334" s="6"/>
      <c r="AD334" s="6">
        <v>44782</v>
      </c>
    </row>
    <row r="335" spans="1:30">
      <c r="A335" s="1" t="s">
        <v>772</v>
      </c>
      <c r="B335" s="1" t="s">
        <v>773</v>
      </c>
      <c r="C335" s="1" t="s">
        <v>989</v>
      </c>
      <c r="D335" s="1" t="s">
        <v>993</v>
      </c>
      <c r="E335" s="1" t="str">
        <f t="shared" si="5"/>
        <v>W05</v>
      </c>
      <c r="F335" s="4">
        <v>9.4700000000000006</v>
      </c>
      <c r="G335" s="4">
        <v>8.1199999999999992</v>
      </c>
      <c r="H335" s="4">
        <v>8.1199999999999992</v>
      </c>
      <c r="I335" s="4"/>
      <c r="J335" s="1" t="s">
        <v>775</v>
      </c>
      <c r="K335" s="1" t="s">
        <v>941</v>
      </c>
      <c r="L335" s="1" t="s">
        <v>866</v>
      </c>
      <c r="M335" s="1" t="s">
        <v>867</v>
      </c>
      <c r="N335" s="1" t="s">
        <v>777</v>
      </c>
      <c r="O335" s="6">
        <v>44746</v>
      </c>
      <c r="P335" s="6">
        <v>44729</v>
      </c>
      <c r="Q335" s="6">
        <v>44676</v>
      </c>
      <c r="R335" s="1" t="s">
        <v>868</v>
      </c>
      <c r="T335" s="5">
        <v>240</v>
      </c>
      <c r="U335" s="4">
        <v>7</v>
      </c>
      <c r="V335" s="5">
        <v>235</v>
      </c>
      <c r="W335" s="6">
        <v>43500</v>
      </c>
      <c r="X335" s="6">
        <v>43635</v>
      </c>
      <c r="Y335" s="6"/>
      <c r="Z335" s="6"/>
      <c r="AA335" s="6"/>
      <c r="AB335" s="6"/>
      <c r="AC335" s="6"/>
      <c r="AD335" s="6">
        <v>44802</v>
      </c>
    </row>
    <row r="336" spans="1:30">
      <c r="A336" s="1" t="s">
        <v>772</v>
      </c>
      <c r="B336" s="1" t="s">
        <v>773</v>
      </c>
      <c r="C336" s="1" t="s">
        <v>989</v>
      </c>
      <c r="D336" s="1" t="s">
        <v>391</v>
      </c>
      <c r="E336" s="1" t="str">
        <f t="shared" si="5"/>
        <v>W05</v>
      </c>
      <c r="F336" s="4">
        <v>16.940000000000001</v>
      </c>
      <c r="G336" s="4">
        <v>13.48</v>
      </c>
      <c r="H336" s="4">
        <v>13.48</v>
      </c>
      <c r="I336" s="4"/>
      <c r="J336" s="1" t="s">
        <v>775</v>
      </c>
      <c r="K336" s="1" t="s">
        <v>950</v>
      </c>
      <c r="L336" s="1" t="s">
        <v>787</v>
      </c>
      <c r="M336" s="1" t="s">
        <v>788</v>
      </c>
      <c r="N336" s="1" t="s">
        <v>787</v>
      </c>
      <c r="O336" s="6">
        <v>44928</v>
      </c>
      <c r="P336" s="6">
        <v>44904</v>
      </c>
      <c r="Q336" s="6">
        <v>44332</v>
      </c>
      <c r="R336" s="1" t="s">
        <v>779</v>
      </c>
      <c r="T336" s="5">
        <v>300</v>
      </c>
      <c r="U336" s="4">
        <v>1</v>
      </c>
      <c r="V336" s="5">
        <v>60</v>
      </c>
      <c r="W336" s="6">
        <v>43373</v>
      </c>
      <c r="X336" s="6">
        <v>42702</v>
      </c>
      <c r="Y336" s="6"/>
      <c r="Z336" s="6"/>
      <c r="AA336" s="6"/>
      <c r="AB336" s="6"/>
      <c r="AC336" s="6"/>
      <c r="AD336" s="6"/>
    </row>
    <row r="337" spans="1:30">
      <c r="A337" s="1" t="s">
        <v>772</v>
      </c>
      <c r="B337" s="1" t="s">
        <v>773</v>
      </c>
      <c r="C337" s="1" t="s">
        <v>989</v>
      </c>
      <c r="D337" s="1" t="s">
        <v>372</v>
      </c>
      <c r="E337" s="1" t="str">
        <f t="shared" si="5"/>
        <v>W05</v>
      </c>
      <c r="F337" s="4">
        <v>7.58</v>
      </c>
      <c r="G337" s="4">
        <v>6.05</v>
      </c>
      <c r="H337" s="4">
        <v>6.05</v>
      </c>
      <c r="I337" s="4"/>
      <c r="J337" s="1" t="s">
        <v>775</v>
      </c>
      <c r="K337" s="1" t="s">
        <v>950</v>
      </c>
      <c r="L337" s="1" t="s">
        <v>787</v>
      </c>
      <c r="M337" s="1" t="s">
        <v>788</v>
      </c>
      <c r="N337" s="1" t="s">
        <v>787</v>
      </c>
      <c r="O337" s="6">
        <v>44928</v>
      </c>
      <c r="P337" s="6">
        <v>44905</v>
      </c>
      <c r="Q337" s="6">
        <v>44312</v>
      </c>
      <c r="R337" s="1" t="s">
        <v>779</v>
      </c>
      <c r="T337" s="5">
        <v>300</v>
      </c>
      <c r="U337" s="4">
        <v>1</v>
      </c>
      <c r="V337" s="5">
        <v>59</v>
      </c>
      <c r="W337" s="6">
        <v>43373</v>
      </c>
      <c r="X337" s="6">
        <v>42702</v>
      </c>
      <c r="Y337" s="6"/>
      <c r="Z337" s="6"/>
      <c r="AA337" s="6"/>
      <c r="AB337" s="6"/>
      <c r="AC337" s="6"/>
      <c r="AD337" s="6"/>
    </row>
    <row r="338" spans="1:30">
      <c r="A338" s="1" t="s">
        <v>772</v>
      </c>
      <c r="B338" s="1" t="s">
        <v>773</v>
      </c>
      <c r="C338" s="1" t="s">
        <v>989</v>
      </c>
      <c r="D338" s="1" t="s">
        <v>362</v>
      </c>
      <c r="E338" s="1" t="str">
        <f t="shared" si="5"/>
        <v>W05</v>
      </c>
      <c r="F338" s="4">
        <v>7.3</v>
      </c>
      <c r="G338" s="4">
        <v>5.7</v>
      </c>
      <c r="H338" s="4">
        <v>5.7</v>
      </c>
      <c r="I338" s="4"/>
      <c r="J338" s="1" t="s">
        <v>775</v>
      </c>
      <c r="K338" s="1" t="s">
        <v>890</v>
      </c>
      <c r="L338" s="1" t="s">
        <v>787</v>
      </c>
      <c r="M338" s="1" t="s">
        <v>788</v>
      </c>
      <c r="N338" s="1" t="s">
        <v>777</v>
      </c>
      <c r="O338" s="6">
        <v>44837</v>
      </c>
      <c r="P338" s="6">
        <v>44820</v>
      </c>
      <c r="Q338" s="6">
        <v>44298</v>
      </c>
      <c r="R338" s="1" t="s">
        <v>779</v>
      </c>
      <c r="T338" s="5">
        <v>402</v>
      </c>
      <c r="U338" s="4">
        <v>4</v>
      </c>
      <c r="V338" s="5">
        <v>144</v>
      </c>
      <c r="W338" s="6">
        <v>43100</v>
      </c>
      <c r="X338" s="6">
        <v>43100</v>
      </c>
      <c r="Y338" s="6"/>
      <c r="Z338" s="6"/>
      <c r="AA338" s="6"/>
      <c r="AB338" s="6"/>
      <c r="AC338" s="6"/>
      <c r="AD338" s="6"/>
    </row>
    <row r="339" spans="1:30">
      <c r="A339" s="1" t="s">
        <v>772</v>
      </c>
      <c r="B339" s="1" t="s">
        <v>773</v>
      </c>
      <c r="C339" s="1" t="s">
        <v>989</v>
      </c>
      <c r="D339" s="1" t="s">
        <v>545</v>
      </c>
      <c r="E339" s="1" t="str">
        <f t="shared" si="5"/>
        <v>W05</v>
      </c>
      <c r="F339" s="4">
        <v>7.58</v>
      </c>
      <c r="G339" s="4">
        <v>5.92</v>
      </c>
      <c r="H339" s="4">
        <v>5.92</v>
      </c>
      <c r="I339" s="4"/>
      <c r="J339" s="1" t="s">
        <v>775</v>
      </c>
      <c r="K339" s="1" t="s">
        <v>805</v>
      </c>
      <c r="L339" s="1" t="s">
        <v>777</v>
      </c>
      <c r="M339" s="1" t="s">
        <v>778</v>
      </c>
      <c r="N339" s="1" t="s">
        <v>787</v>
      </c>
      <c r="O339" s="6">
        <v>44680</v>
      </c>
      <c r="P339" s="6">
        <v>44671</v>
      </c>
      <c r="Q339" s="6">
        <v>44648</v>
      </c>
      <c r="R339" s="1" t="s">
        <v>779</v>
      </c>
      <c r="S339" s="1" t="s">
        <v>823</v>
      </c>
      <c r="T339" s="5">
        <v>457</v>
      </c>
      <c r="U339" s="4">
        <v>9</v>
      </c>
      <c r="V339" s="5">
        <v>293</v>
      </c>
      <c r="W339" s="6">
        <v>43293</v>
      </c>
      <c r="X339" s="6">
        <v>43079</v>
      </c>
      <c r="Y339" s="6"/>
      <c r="Z339" s="6"/>
      <c r="AA339" s="6"/>
      <c r="AB339" s="6"/>
      <c r="AC339" s="6"/>
      <c r="AD339" s="6"/>
    </row>
    <row r="340" spans="1:30">
      <c r="A340" s="1" t="s">
        <v>772</v>
      </c>
      <c r="B340" s="1" t="s">
        <v>773</v>
      </c>
      <c r="C340" s="1" t="s">
        <v>989</v>
      </c>
      <c r="D340" s="1" t="s">
        <v>994</v>
      </c>
      <c r="E340" s="1" t="str">
        <f t="shared" si="5"/>
        <v>W05</v>
      </c>
      <c r="F340" s="4">
        <v>11.92</v>
      </c>
      <c r="G340" s="4">
        <v>10</v>
      </c>
      <c r="H340" s="4">
        <v>10</v>
      </c>
      <c r="I340" s="4"/>
      <c r="J340" s="1" t="s">
        <v>775</v>
      </c>
      <c r="K340" s="1" t="s">
        <v>995</v>
      </c>
      <c r="L340" s="1" t="s">
        <v>867</v>
      </c>
      <c r="M340" s="1" t="s">
        <v>996</v>
      </c>
      <c r="O340" s="6">
        <v>44931</v>
      </c>
      <c r="P340" s="6">
        <v>44931</v>
      </c>
      <c r="Q340" s="6"/>
      <c r="R340" s="1" t="s">
        <v>868</v>
      </c>
      <c r="T340" s="5">
        <v>30</v>
      </c>
      <c r="U340" s="4">
        <v>1</v>
      </c>
      <c r="V340" s="5">
        <v>33</v>
      </c>
      <c r="W340" s="6">
        <v>44473</v>
      </c>
      <c r="X340" s="6"/>
      <c r="Y340" s="6"/>
      <c r="Z340" s="6"/>
      <c r="AA340" s="6"/>
      <c r="AB340" s="6"/>
      <c r="AC340" s="6"/>
      <c r="AD340" s="6"/>
    </row>
    <row r="341" spans="1:30">
      <c r="A341" s="1" t="s">
        <v>772</v>
      </c>
      <c r="B341" s="1" t="s">
        <v>773</v>
      </c>
      <c r="C341" s="1" t="s">
        <v>989</v>
      </c>
      <c r="D341" s="1" t="s">
        <v>997</v>
      </c>
      <c r="E341" s="1" t="str">
        <f t="shared" si="5"/>
        <v>W05</v>
      </c>
      <c r="F341" s="4">
        <v>5.17</v>
      </c>
      <c r="G341" s="4">
        <v>4.3600000000000003</v>
      </c>
      <c r="H341" s="4">
        <v>4.3600000000000003</v>
      </c>
      <c r="I341" s="4"/>
      <c r="J341" s="1" t="s">
        <v>775</v>
      </c>
      <c r="K341" s="1" t="s">
        <v>949</v>
      </c>
      <c r="L341" s="1" t="s">
        <v>866</v>
      </c>
      <c r="M341" s="1" t="s">
        <v>867</v>
      </c>
      <c r="O341" s="6">
        <v>44951</v>
      </c>
      <c r="P341" s="6">
        <v>44924</v>
      </c>
      <c r="Q341" s="6">
        <v>44890</v>
      </c>
      <c r="R341" s="1" t="s">
        <v>868</v>
      </c>
      <c r="T341" s="5">
        <v>240</v>
      </c>
      <c r="U341" s="4">
        <v>1</v>
      </c>
      <c r="V341" s="5">
        <v>40</v>
      </c>
      <c r="W341" s="6"/>
      <c r="X341" s="6"/>
      <c r="Y341" s="6"/>
      <c r="Z341" s="6"/>
      <c r="AA341" s="6"/>
      <c r="AB341" s="6"/>
      <c r="AC341" s="6"/>
      <c r="AD341" s="6"/>
    </row>
    <row r="342" spans="1:30">
      <c r="A342" s="1" t="s">
        <v>772</v>
      </c>
      <c r="B342" s="1" t="s">
        <v>773</v>
      </c>
      <c r="C342" s="1" t="s">
        <v>989</v>
      </c>
      <c r="D342" s="1" t="s">
        <v>737</v>
      </c>
      <c r="E342" s="1" t="str">
        <f t="shared" si="5"/>
        <v>W05</v>
      </c>
      <c r="F342" s="5">
        <v>0.88</v>
      </c>
      <c r="G342" s="4">
        <v>0.88</v>
      </c>
      <c r="H342" s="4">
        <v>0.88</v>
      </c>
      <c r="I342" s="4"/>
      <c r="J342" s="1" t="s">
        <v>775</v>
      </c>
      <c r="K342" s="1" t="s">
        <v>900</v>
      </c>
      <c r="L342" s="1" t="s">
        <v>828</v>
      </c>
      <c r="M342" s="1" t="s">
        <v>829</v>
      </c>
      <c r="N342" s="1" t="s">
        <v>777</v>
      </c>
      <c r="O342" s="6">
        <v>44929</v>
      </c>
      <c r="P342" s="6">
        <v>44926</v>
      </c>
      <c r="Q342" s="6"/>
      <c r="R342" s="1" t="s">
        <v>830</v>
      </c>
      <c r="T342" s="5">
        <v>60</v>
      </c>
      <c r="U342" s="4">
        <v>1</v>
      </c>
      <c r="V342" s="5">
        <v>38</v>
      </c>
      <c r="W342" s="6">
        <v>44045</v>
      </c>
      <c r="X342" s="6">
        <v>43292</v>
      </c>
      <c r="Y342" s="6"/>
      <c r="Z342" s="6"/>
      <c r="AA342" s="6"/>
      <c r="AB342" s="6"/>
      <c r="AC342" s="6"/>
      <c r="AD342" s="6"/>
    </row>
    <row r="343" spans="1:30">
      <c r="A343" s="1" t="s">
        <v>772</v>
      </c>
      <c r="B343" s="1" t="s">
        <v>773</v>
      </c>
      <c r="C343" s="1" t="s">
        <v>989</v>
      </c>
      <c r="D343" s="1" t="s">
        <v>151</v>
      </c>
      <c r="E343" s="1" t="str">
        <f t="shared" si="5"/>
        <v>W05</v>
      </c>
      <c r="F343" s="4">
        <v>13.8</v>
      </c>
      <c r="G343" s="4">
        <v>10.9</v>
      </c>
      <c r="H343" s="4">
        <v>10.9</v>
      </c>
      <c r="I343" s="4"/>
      <c r="J343" s="1" t="s">
        <v>775</v>
      </c>
      <c r="K343" s="1" t="s">
        <v>825</v>
      </c>
      <c r="L343" s="1" t="s">
        <v>787</v>
      </c>
      <c r="M343" s="1" t="s">
        <v>788</v>
      </c>
      <c r="O343" s="6">
        <v>44653</v>
      </c>
      <c r="P343" s="6">
        <v>44643</v>
      </c>
      <c r="Q343" s="6">
        <v>44095</v>
      </c>
      <c r="R343" s="1" t="s">
        <v>779</v>
      </c>
      <c r="T343" s="5">
        <v>402</v>
      </c>
      <c r="U343" s="4">
        <v>10</v>
      </c>
      <c r="V343" s="5">
        <v>321</v>
      </c>
      <c r="W343" s="6">
        <v>44523</v>
      </c>
      <c r="X343" s="6"/>
      <c r="Y343" s="6"/>
      <c r="Z343" s="6"/>
      <c r="AA343" s="6">
        <v>44912</v>
      </c>
      <c r="AB343" s="6"/>
      <c r="AC343" s="6"/>
      <c r="AD343" s="6">
        <v>44649</v>
      </c>
    </row>
    <row r="344" spans="1:30">
      <c r="A344" s="1" t="s">
        <v>772</v>
      </c>
      <c r="B344" s="1" t="s">
        <v>773</v>
      </c>
      <c r="C344" s="1" t="s">
        <v>989</v>
      </c>
      <c r="D344" s="1" t="s">
        <v>396</v>
      </c>
      <c r="E344" s="1" t="str">
        <f t="shared" si="5"/>
        <v>W05</v>
      </c>
      <c r="F344" s="4">
        <v>10.35</v>
      </c>
      <c r="G344" s="4">
        <v>8.1300000000000008</v>
      </c>
      <c r="H344" s="4">
        <v>8.1300000000000008</v>
      </c>
      <c r="I344" s="4"/>
      <c r="J344" s="1" t="s">
        <v>775</v>
      </c>
      <c r="K344" s="1" t="s">
        <v>970</v>
      </c>
      <c r="L344" s="1" t="s">
        <v>787</v>
      </c>
      <c r="M344" s="1" t="s">
        <v>788</v>
      </c>
      <c r="O344" s="6">
        <v>44959</v>
      </c>
      <c r="P344" s="6">
        <v>44944</v>
      </c>
      <c r="Q344" s="6">
        <v>44356</v>
      </c>
      <c r="R344" s="1" t="s">
        <v>779</v>
      </c>
      <c r="T344" s="5">
        <v>300</v>
      </c>
      <c r="U344" s="4">
        <v>0</v>
      </c>
      <c r="V344" s="5">
        <v>20</v>
      </c>
      <c r="W344" s="6"/>
      <c r="X344" s="6"/>
      <c r="Y344" s="6"/>
      <c r="Z344" s="6"/>
      <c r="AA344" s="6"/>
      <c r="AB344" s="6"/>
      <c r="AC344" s="6"/>
      <c r="AD344" s="6"/>
    </row>
    <row r="345" spans="1:30">
      <c r="A345" s="1" t="s">
        <v>772</v>
      </c>
      <c r="B345" s="1" t="s">
        <v>773</v>
      </c>
      <c r="C345" s="1" t="s">
        <v>989</v>
      </c>
      <c r="D345" s="1" t="s">
        <v>399</v>
      </c>
      <c r="E345" s="1" t="str">
        <f t="shared" si="5"/>
        <v>W05</v>
      </c>
      <c r="F345" s="4">
        <v>9.56</v>
      </c>
      <c r="G345" s="4">
        <v>7.7</v>
      </c>
      <c r="H345" s="4">
        <v>7.7</v>
      </c>
      <c r="I345" s="4"/>
      <c r="J345" s="1" t="s">
        <v>775</v>
      </c>
      <c r="K345" s="1" t="s">
        <v>970</v>
      </c>
      <c r="L345" s="1" t="s">
        <v>787</v>
      </c>
      <c r="M345" s="1" t="s">
        <v>788</v>
      </c>
      <c r="O345" s="6">
        <v>44959</v>
      </c>
      <c r="P345" s="6">
        <v>44940</v>
      </c>
      <c r="Q345" s="6">
        <v>44356</v>
      </c>
      <c r="R345" s="1" t="s">
        <v>779</v>
      </c>
      <c r="T345" s="5">
        <v>300</v>
      </c>
      <c r="U345" s="4">
        <v>0</v>
      </c>
      <c r="V345" s="5">
        <v>24</v>
      </c>
      <c r="W345" s="6"/>
      <c r="X345" s="6"/>
      <c r="Y345" s="6"/>
      <c r="Z345" s="6"/>
      <c r="AA345" s="6"/>
      <c r="AB345" s="6"/>
      <c r="AC345" s="6"/>
      <c r="AD345" s="6"/>
    </row>
    <row r="346" spans="1:30">
      <c r="A346" s="1" t="s">
        <v>772</v>
      </c>
      <c r="B346" s="1" t="s">
        <v>773</v>
      </c>
      <c r="C346" s="1" t="s">
        <v>989</v>
      </c>
      <c r="D346" s="1" t="s">
        <v>62</v>
      </c>
      <c r="E346" s="1" t="str">
        <f t="shared" si="5"/>
        <v>W05</v>
      </c>
      <c r="F346" s="4">
        <v>14.64</v>
      </c>
      <c r="G346" s="4">
        <v>11.58</v>
      </c>
      <c r="H346" s="4">
        <v>11.58</v>
      </c>
      <c r="I346" s="4"/>
      <c r="J346" s="1" t="s">
        <v>775</v>
      </c>
      <c r="K346" s="1" t="s">
        <v>800</v>
      </c>
      <c r="L346" s="1" t="s">
        <v>777</v>
      </c>
      <c r="M346" s="1" t="s">
        <v>778</v>
      </c>
      <c r="O346" s="6">
        <v>44806</v>
      </c>
      <c r="P346" s="6">
        <v>44799</v>
      </c>
      <c r="Q346" s="6">
        <v>44722</v>
      </c>
      <c r="R346" s="1" t="s">
        <v>779</v>
      </c>
      <c r="S346" s="1" t="s">
        <v>780</v>
      </c>
      <c r="T346" s="5">
        <v>517</v>
      </c>
      <c r="U346" s="4">
        <v>5</v>
      </c>
      <c r="V346" s="5">
        <v>165</v>
      </c>
      <c r="W346" s="6">
        <v>45052</v>
      </c>
      <c r="X346" s="6"/>
      <c r="Y346" s="6"/>
      <c r="Z346" s="6"/>
      <c r="AA346" s="6"/>
      <c r="AB346" s="6"/>
      <c r="AC346" s="6"/>
      <c r="AD346" s="6"/>
    </row>
    <row r="347" spans="1:30">
      <c r="A347" s="1" t="s">
        <v>772</v>
      </c>
      <c r="B347" s="1" t="s">
        <v>773</v>
      </c>
      <c r="C347" s="1" t="s">
        <v>989</v>
      </c>
      <c r="D347" s="1" t="s">
        <v>212</v>
      </c>
      <c r="E347" s="1" t="str">
        <f t="shared" si="5"/>
        <v>W05</v>
      </c>
      <c r="F347" s="4">
        <v>10.48</v>
      </c>
      <c r="G347" s="4">
        <v>8.18</v>
      </c>
      <c r="H347" s="4">
        <v>8.18</v>
      </c>
      <c r="I347" s="4"/>
      <c r="J347" s="1" t="s">
        <v>775</v>
      </c>
      <c r="K347" s="1" t="s">
        <v>791</v>
      </c>
      <c r="L347" s="1" t="s">
        <v>777</v>
      </c>
      <c r="M347" s="1" t="s">
        <v>778</v>
      </c>
      <c r="N347" s="1" t="s">
        <v>787</v>
      </c>
      <c r="O347" s="6">
        <v>44928</v>
      </c>
      <c r="P347" s="6">
        <v>44920</v>
      </c>
      <c r="Q347" s="6">
        <v>44905</v>
      </c>
      <c r="R347" s="1" t="s">
        <v>779</v>
      </c>
      <c r="S347" s="1" t="s">
        <v>780</v>
      </c>
      <c r="T347" s="5">
        <v>517</v>
      </c>
      <c r="U347" s="4">
        <v>1</v>
      </c>
      <c r="V347" s="5">
        <v>44</v>
      </c>
      <c r="W347" s="6">
        <v>43373</v>
      </c>
      <c r="X347" s="6">
        <v>42702</v>
      </c>
      <c r="Y347" s="6"/>
      <c r="Z347" s="6"/>
      <c r="AA347" s="6"/>
      <c r="AB347" s="6"/>
      <c r="AC347" s="6"/>
      <c r="AD347" s="6"/>
    </row>
    <row r="348" spans="1:30">
      <c r="A348" s="1" t="s">
        <v>772</v>
      </c>
      <c r="B348" s="1" t="s">
        <v>773</v>
      </c>
      <c r="C348" s="1" t="s">
        <v>989</v>
      </c>
      <c r="D348" s="1" t="s">
        <v>393</v>
      </c>
      <c r="E348" s="1" t="str">
        <f t="shared" si="5"/>
        <v>W05</v>
      </c>
      <c r="F348" s="4">
        <v>7.62</v>
      </c>
      <c r="G348" s="4">
        <v>6.09</v>
      </c>
      <c r="H348" s="4">
        <v>6.09</v>
      </c>
      <c r="I348" s="4"/>
      <c r="J348" s="1" t="s">
        <v>775</v>
      </c>
      <c r="K348" s="1" t="s">
        <v>894</v>
      </c>
      <c r="L348" s="1" t="s">
        <v>787</v>
      </c>
      <c r="M348" s="1" t="s">
        <v>788</v>
      </c>
      <c r="O348" s="6">
        <v>44959</v>
      </c>
      <c r="P348" s="6">
        <v>44936</v>
      </c>
      <c r="Q348" s="6">
        <v>44340</v>
      </c>
      <c r="R348" s="1" t="s">
        <v>779</v>
      </c>
      <c r="T348" s="5">
        <v>402</v>
      </c>
      <c r="U348" s="4">
        <v>0</v>
      </c>
      <c r="V348" s="5">
        <v>28</v>
      </c>
      <c r="W348" s="6">
        <v>43322</v>
      </c>
      <c r="X348" s="6"/>
      <c r="Y348" s="6"/>
      <c r="Z348" s="6"/>
      <c r="AA348" s="6"/>
      <c r="AB348" s="6"/>
      <c r="AC348" s="6"/>
      <c r="AD348" s="6"/>
    </row>
    <row r="349" spans="1:30">
      <c r="A349" s="1" t="s">
        <v>772</v>
      </c>
      <c r="B349" s="1" t="s">
        <v>773</v>
      </c>
      <c r="C349" s="1" t="s">
        <v>989</v>
      </c>
      <c r="D349" s="1" t="s">
        <v>384</v>
      </c>
      <c r="E349" s="1" t="str">
        <f t="shared" si="5"/>
        <v>W05</v>
      </c>
      <c r="F349" s="4">
        <v>7.83</v>
      </c>
      <c r="G349" s="4">
        <v>6.21</v>
      </c>
      <c r="H349" s="4">
        <v>6.21</v>
      </c>
      <c r="I349" s="4"/>
      <c r="J349" s="1" t="s">
        <v>775</v>
      </c>
      <c r="K349" s="1" t="s">
        <v>894</v>
      </c>
      <c r="L349" s="1" t="s">
        <v>787</v>
      </c>
      <c r="M349" s="1" t="s">
        <v>788</v>
      </c>
      <c r="O349" s="6">
        <v>44959</v>
      </c>
      <c r="P349" s="6">
        <v>44936</v>
      </c>
      <c r="Q349" s="6">
        <v>44340</v>
      </c>
      <c r="R349" s="1" t="s">
        <v>779</v>
      </c>
      <c r="T349" s="5">
        <v>402</v>
      </c>
      <c r="U349" s="4">
        <v>0</v>
      </c>
      <c r="V349" s="5">
        <v>28</v>
      </c>
      <c r="W349" s="6">
        <v>43322</v>
      </c>
      <c r="X349" s="6"/>
      <c r="Y349" s="6"/>
      <c r="Z349" s="6"/>
      <c r="AA349" s="6"/>
      <c r="AB349" s="6"/>
      <c r="AC349" s="6"/>
      <c r="AD349" s="6"/>
    </row>
    <row r="350" spans="1:30">
      <c r="A350" s="1" t="s">
        <v>772</v>
      </c>
      <c r="B350" s="1" t="s">
        <v>773</v>
      </c>
      <c r="C350" s="1" t="s">
        <v>989</v>
      </c>
      <c r="D350" s="1" t="s">
        <v>385</v>
      </c>
      <c r="E350" s="1" t="str">
        <f t="shared" si="5"/>
        <v>W05</v>
      </c>
      <c r="F350" s="4">
        <v>10.49</v>
      </c>
      <c r="G350" s="4">
        <v>8.39</v>
      </c>
      <c r="H350" s="4">
        <v>8.39</v>
      </c>
      <c r="I350" s="4"/>
      <c r="J350" s="1" t="s">
        <v>775</v>
      </c>
      <c r="K350" s="1" t="s">
        <v>807</v>
      </c>
      <c r="L350" s="1" t="s">
        <v>787</v>
      </c>
      <c r="M350" s="1" t="s">
        <v>788</v>
      </c>
      <c r="N350" s="1" t="s">
        <v>787</v>
      </c>
      <c r="O350" s="6">
        <v>44897</v>
      </c>
      <c r="P350" s="6">
        <v>44895</v>
      </c>
      <c r="Q350" s="6">
        <v>44337</v>
      </c>
      <c r="R350" s="1" t="s">
        <v>779</v>
      </c>
      <c r="T350" s="5">
        <v>402</v>
      </c>
      <c r="U350" s="4">
        <v>2</v>
      </c>
      <c r="V350" s="5">
        <v>69</v>
      </c>
      <c r="W350" s="6">
        <v>43710</v>
      </c>
      <c r="X350" s="6">
        <v>42572</v>
      </c>
      <c r="Y350" s="6"/>
      <c r="Z350" s="6"/>
      <c r="AA350" s="6"/>
      <c r="AB350" s="6"/>
      <c r="AC350" s="6"/>
      <c r="AD350" s="6"/>
    </row>
    <row r="351" spans="1:30">
      <c r="A351" s="1" t="s">
        <v>772</v>
      </c>
      <c r="B351" s="1" t="s">
        <v>773</v>
      </c>
      <c r="C351" s="1" t="s">
        <v>989</v>
      </c>
      <c r="D351" s="1" t="s">
        <v>605</v>
      </c>
      <c r="E351" s="1" t="str">
        <f t="shared" si="5"/>
        <v>W05</v>
      </c>
      <c r="F351" s="4">
        <v>4.22</v>
      </c>
      <c r="G351" s="4">
        <v>3.32</v>
      </c>
      <c r="H351" s="4">
        <v>3.32</v>
      </c>
      <c r="I351" s="4"/>
      <c r="J351" s="1" t="s">
        <v>775</v>
      </c>
      <c r="K351" s="1" t="s">
        <v>797</v>
      </c>
      <c r="L351" s="1" t="s">
        <v>777</v>
      </c>
      <c r="M351" s="1" t="s">
        <v>778</v>
      </c>
      <c r="O351" s="6">
        <v>44865</v>
      </c>
      <c r="P351" s="6">
        <v>44845</v>
      </c>
      <c r="Q351" s="6">
        <v>44821</v>
      </c>
      <c r="R351" s="1" t="s">
        <v>779</v>
      </c>
      <c r="S351" s="1" t="s">
        <v>780</v>
      </c>
      <c r="T351" s="5">
        <v>517</v>
      </c>
      <c r="U351" s="4">
        <v>3</v>
      </c>
      <c r="V351" s="5">
        <v>119</v>
      </c>
      <c r="W351" s="6">
        <v>44473</v>
      </c>
      <c r="X351" s="6"/>
      <c r="Y351" s="6"/>
      <c r="Z351" s="6"/>
      <c r="AA351" s="6"/>
      <c r="AB351" s="6"/>
      <c r="AC351" s="6"/>
      <c r="AD351" s="6"/>
    </row>
    <row r="352" spans="1:30">
      <c r="A352" s="1" t="s">
        <v>772</v>
      </c>
      <c r="B352" s="1" t="s">
        <v>773</v>
      </c>
      <c r="C352" s="1" t="s">
        <v>989</v>
      </c>
      <c r="D352" s="1" t="s">
        <v>353</v>
      </c>
      <c r="E352" s="1" t="str">
        <f t="shared" si="5"/>
        <v>W05</v>
      </c>
      <c r="F352" s="4">
        <v>6.2</v>
      </c>
      <c r="G352" s="4">
        <v>4.9000000000000004</v>
      </c>
      <c r="H352" s="4">
        <v>4.9000000000000004</v>
      </c>
      <c r="I352" s="4"/>
      <c r="J352" s="1" t="s">
        <v>775</v>
      </c>
      <c r="K352" s="1" t="s">
        <v>786</v>
      </c>
      <c r="L352" s="1" t="s">
        <v>787</v>
      </c>
      <c r="M352" s="1" t="s">
        <v>788</v>
      </c>
      <c r="O352" s="6">
        <v>44834</v>
      </c>
      <c r="P352" s="6">
        <v>44821</v>
      </c>
      <c r="Q352" s="6">
        <v>44285</v>
      </c>
      <c r="R352" s="1" t="s">
        <v>779</v>
      </c>
      <c r="T352" s="5">
        <v>402</v>
      </c>
      <c r="U352" s="4">
        <v>4</v>
      </c>
      <c r="V352" s="5">
        <v>143</v>
      </c>
      <c r="W352" s="6">
        <v>43016</v>
      </c>
      <c r="X352" s="6"/>
      <c r="Y352" s="6"/>
      <c r="Z352" s="6"/>
      <c r="AA352" s="6"/>
      <c r="AB352" s="6"/>
      <c r="AC352" s="6"/>
      <c r="AD352" s="6"/>
    </row>
    <row r="353" spans="1:30">
      <c r="A353" s="1" t="s">
        <v>772</v>
      </c>
      <c r="B353" s="1" t="s">
        <v>773</v>
      </c>
      <c r="C353" s="1" t="s">
        <v>989</v>
      </c>
      <c r="D353" s="1" t="s">
        <v>415</v>
      </c>
      <c r="E353" s="1" t="str">
        <f t="shared" si="5"/>
        <v>W05</v>
      </c>
      <c r="F353" s="4">
        <v>1.77</v>
      </c>
      <c r="G353" s="4">
        <v>1.42</v>
      </c>
      <c r="H353" s="4">
        <v>1.42</v>
      </c>
      <c r="I353" s="4"/>
      <c r="J353" s="1" t="s">
        <v>775</v>
      </c>
      <c r="K353" s="1" t="s">
        <v>894</v>
      </c>
      <c r="L353" s="1" t="s">
        <v>809</v>
      </c>
      <c r="M353" s="1" t="s">
        <v>788</v>
      </c>
      <c r="N353" s="1" t="s">
        <v>787</v>
      </c>
      <c r="O353" s="6">
        <v>44959</v>
      </c>
      <c r="P353" s="6">
        <v>44895</v>
      </c>
      <c r="Q353" s="6">
        <v>44383</v>
      </c>
      <c r="R353" s="1" t="s">
        <v>779</v>
      </c>
      <c r="T353" s="5">
        <v>402</v>
      </c>
      <c r="U353" s="4">
        <v>2</v>
      </c>
      <c r="V353" s="5">
        <v>69</v>
      </c>
      <c r="W353" s="6">
        <v>43710</v>
      </c>
      <c r="X353" s="6">
        <v>42572</v>
      </c>
      <c r="Y353" s="6"/>
      <c r="Z353" s="6"/>
      <c r="AA353" s="6"/>
      <c r="AB353" s="6"/>
      <c r="AC353" s="6"/>
      <c r="AD353" s="6"/>
    </row>
    <row r="354" spans="1:30">
      <c r="A354" s="1" t="s">
        <v>772</v>
      </c>
      <c r="B354" s="1" t="s">
        <v>773</v>
      </c>
      <c r="C354" s="1" t="s">
        <v>989</v>
      </c>
      <c r="D354" s="1" t="s">
        <v>430</v>
      </c>
      <c r="E354" s="1" t="str">
        <f t="shared" si="5"/>
        <v>W05</v>
      </c>
      <c r="F354" s="4">
        <v>9.36</v>
      </c>
      <c r="G354" s="4">
        <v>7.46</v>
      </c>
      <c r="H354" s="4">
        <v>7.46</v>
      </c>
      <c r="I354" s="4"/>
      <c r="J354" s="1" t="s">
        <v>775</v>
      </c>
      <c r="K354" s="1" t="s">
        <v>894</v>
      </c>
      <c r="L354" s="1" t="s">
        <v>787</v>
      </c>
      <c r="M354" s="1" t="s">
        <v>788</v>
      </c>
      <c r="O354" s="6">
        <v>44959</v>
      </c>
      <c r="P354" s="6">
        <v>44939</v>
      </c>
      <c r="Q354" s="6">
        <v>44389</v>
      </c>
      <c r="R354" s="1" t="s">
        <v>779</v>
      </c>
      <c r="T354" s="5">
        <v>402</v>
      </c>
      <c r="U354" s="4">
        <v>0</v>
      </c>
      <c r="V354" s="5">
        <v>25</v>
      </c>
      <c r="W354" s="6">
        <v>43322</v>
      </c>
      <c r="X354" s="6"/>
      <c r="Y354" s="6"/>
      <c r="Z354" s="6"/>
      <c r="AA354" s="6"/>
      <c r="AB354" s="6"/>
      <c r="AC354" s="6"/>
      <c r="AD354" s="6"/>
    </row>
    <row r="355" spans="1:30">
      <c r="A355" s="1" t="s">
        <v>772</v>
      </c>
      <c r="B355" s="1" t="s">
        <v>773</v>
      </c>
      <c r="C355" s="1" t="s">
        <v>989</v>
      </c>
      <c r="D355" s="1" t="s">
        <v>555</v>
      </c>
      <c r="E355" s="1" t="str">
        <f t="shared" si="5"/>
        <v>W05</v>
      </c>
      <c r="F355" s="4">
        <v>65.28</v>
      </c>
      <c r="G355" s="4">
        <v>4.1399999999999997</v>
      </c>
      <c r="H355" s="4">
        <v>4.1399999999999997</v>
      </c>
      <c r="I355" s="4"/>
      <c r="J355" s="1" t="s">
        <v>775</v>
      </c>
      <c r="K355" s="1" t="s">
        <v>884</v>
      </c>
      <c r="L355" s="1" t="s">
        <v>777</v>
      </c>
      <c r="M355" s="1" t="s">
        <v>778</v>
      </c>
      <c r="N355" s="1" t="s">
        <v>787</v>
      </c>
      <c r="O355" s="6">
        <v>44715</v>
      </c>
      <c r="P355" s="6">
        <v>44712</v>
      </c>
      <c r="Q355" s="6">
        <v>44699</v>
      </c>
      <c r="R355" s="1" t="s">
        <v>779</v>
      </c>
      <c r="S355" s="1" t="s">
        <v>823</v>
      </c>
      <c r="T355" s="5">
        <v>457</v>
      </c>
      <c r="U355" s="4">
        <v>8</v>
      </c>
      <c r="V355" s="5">
        <v>252</v>
      </c>
      <c r="W355" s="6">
        <v>43535</v>
      </c>
      <c r="X355" s="6">
        <v>43566</v>
      </c>
      <c r="Y355" s="6"/>
      <c r="Z355" s="6"/>
      <c r="AA355" s="6"/>
      <c r="AB355" s="6"/>
      <c r="AC355" s="6"/>
      <c r="AD355" s="6"/>
    </row>
    <row r="356" spans="1:30">
      <c r="A356" s="1" t="s">
        <v>772</v>
      </c>
      <c r="B356" s="1" t="s">
        <v>917</v>
      </c>
      <c r="C356" s="1" t="s">
        <v>904</v>
      </c>
      <c r="D356" s="1" t="s">
        <v>998</v>
      </c>
      <c r="E356" s="1" t="str">
        <f t="shared" si="5"/>
        <v>W03</v>
      </c>
      <c r="F356" s="4">
        <v>17.600000000000001</v>
      </c>
      <c r="G356" s="4">
        <v>14.87</v>
      </c>
      <c r="H356" s="4">
        <v>14.87</v>
      </c>
      <c r="I356" s="4"/>
      <c r="J356" s="1" t="s">
        <v>775</v>
      </c>
      <c r="K356" s="1" t="s">
        <v>999</v>
      </c>
      <c r="L356" s="1" t="s">
        <v>925</v>
      </c>
      <c r="M356" s="1" t="s">
        <v>933</v>
      </c>
      <c r="N356" s="1" t="s">
        <v>787</v>
      </c>
      <c r="O356" s="6">
        <v>43715</v>
      </c>
      <c r="P356" s="6">
        <v>42668</v>
      </c>
      <c r="Q356" s="6">
        <v>42647</v>
      </c>
      <c r="R356" s="1" t="s">
        <v>927</v>
      </c>
      <c r="T356" s="5">
        <v>364</v>
      </c>
      <c r="U356" s="4">
        <v>75</v>
      </c>
      <c r="V356" s="5">
        <v>2296</v>
      </c>
      <c r="W356" s="6">
        <v>42664</v>
      </c>
      <c r="X356" s="6">
        <v>42695</v>
      </c>
      <c r="Y356" s="6"/>
      <c r="Z356" s="6"/>
      <c r="AA356" s="6"/>
      <c r="AB356" s="6"/>
      <c r="AC356" s="6"/>
      <c r="AD356" s="6">
        <v>43717</v>
      </c>
    </row>
    <row r="357" spans="1:30">
      <c r="A357" s="1" t="s">
        <v>772</v>
      </c>
      <c r="B357" s="1" t="s">
        <v>917</v>
      </c>
      <c r="C357" s="1" t="s">
        <v>904</v>
      </c>
      <c r="D357" s="1" t="s">
        <v>1000</v>
      </c>
      <c r="E357" s="1" t="str">
        <f t="shared" si="5"/>
        <v>W03</v>
      </c>
      <c r="F357" s="4">
        <v>11.1</v>
      </c>
      <c r="G357" s="4">
        <v>9.1300000000000008</v>
      </c>
      <c r="H357" s="4">
        <v>9.1300000000000008</v>
      </c>
      <c r="I357" s="4"/>
      <c r="J357" s="1" t="s">
        <v>775</v>
      </c>
      <c r="K357" s="1" t="s">
        <v>1001</v>
      </c>
      <c r="L357" s="1" t="s">
        <v>925</v>
      </c>
      <c r="M357" s="1" t="s">
        <v>933</v>
      </c>
      <c r="N357" s="1" t="s">
        <v>925</v>
      </c>
      <c r="O357" s="6">
        <v>43864</v>
      </c>
      <c r="P357" s="6">
        <v>42828</v>
      </c>
      <c r="Q357" s="6">
        <v>42793</v>
      </c>
      <c r="R357" s="1" t="s">
        <v>927</v>
      </c>
      <c r="T357" s="5">
        <v>660</v>
      </c>
      <c r="U357" s="4">
        <v>70</v>
      </c>
      <c r="V357" s="5">
        <v>2136</v>
      </c>
      <c r="W357" s="6">
        <v>42758</v>
      </c>
      <c r="X357" s="6">
        <v>42561</v>
      </c>
      <c r="Y357" s="6"/>
      <c r="Z357" s="6"/>
      <c r="AA357" s="6"/>
      <c r="AB357" s="6"/>
      <c r="AC357" s="6"/>
      <c r="AD357" s="6">
        <v>43871</v>
      </c>
    </row>
    <row r="358" spans="1:30">
      <c r="A358" s="1" t="s">
        <v>772</v>
      </c>
      <c r="B358" s="1" t="s">
        <v>773</v>
      </c>
      <c r="C358" s="1" t="s">
        <v>1002</v>
      </c>
      <c r="D358" s="1" t="s">
        <v>1003</v>
      </c>
      <c r="E358" s="1" t="str">
        <f t="shared" si="5"/>
        <v>W06</v>
      </c>
      <c r="F358" s="4">
        <v>0</v>
      </c>
      <c r="G358" s="4">
        <v>0</v>
      </c>
      <c r="H358" s="4">
        <v>0</v>
      </c>
      <c r="I358" s="4"/>
      <c r="J358" s="1" t="s">
        <v>775</v>
      </c>
      <c r="K358" s="1" t="s">
        <v>1004</v>
      </c>
      <c r="O358" s="6">
        <v>44559</v>
      </c>
      <c r="P358" s="6">
        <v>44531</v>
      </c>
      <c r="Q358" s="6"/>
      <c r="R358" s="1" t="s">
        <v>1005</v>
      </c>
      <c r="T358" s="5">
        <v>0</v>
      </c>
      <c r="U358" s="4">
        <v>14</v>
      </c>
      <c r="V358" s="5">
        <v>433</v>
      </c>
      <c r="W358" s="6"/>
      <c r="X358" s="6"/>
      <c r="Y358" s="6"/>
      <c r="Z358" s="6"/>
      <c r="AA358" s="6"/>
      <c r="AB358" s="6"/>
      <c r="AC358" s="6"/>
      <c r="AD358" s="6"/>
    </row>
    <row r="359" spans="1:30">
      <c r="A359" s="1" t="s">
        <v>772</v>
      </c>
      <c r="B359" s="1" t="s">
        <v>773</v>
      </c>
      <c r="C359" s="1" t="s">
        <v>989</v>
      </c>
      <c r="D359" s="1" t="s">
        <v>127</v>
      </c>
      <c r="E359" s="1" t="str">
        <f t="shared" si="5"/>
        <v>W05</v>
      </c>
      <c r="F359" s="4">
        <v>12.6</v>
      </c>
      <c r="G359" s="4">
        <v>9.9</v>
      </c>
      <c r="H359" s="4">
        <v>9.9</v>
      </c>
      <c r="I359" s="4"/>
      <c r="J359" s="1" t="s">
        <v>775</v>
      </c>
      <c r="K359" s="1" t="s">
        <v>898</v>
      </c>
      <c r="L359" s="1" t="s">
        <v>787</v>
      </c>
      <c r="M359" s="1" t="s">
        <v>788</v>
      </c>
      <c r="N359" s="1" t="s">
        <v>777</v>
      </c>
      <c r="O359" s="6">
        <v>44714</v>
      </c>
      <c r="P359" s="6">
        <v>44700</v>
      </c>
      <c r="Q359" s="6">
        <v>44167</v>
      </c>
      <c r="R359" s="1" t="s">
        <v>779</v>
      </c>
      <c r="T359" s="5">
        <v>402</v>
      </c>
      <c r="U359" s="4">
        <v>8</v>
      </c>
      <c r="V359" s="5">
        <v>264</v>
      </c>
      <c r="W359" s="6">
        <v>43678</v>
      </c>
      <c r="X359" s="6">
        <v>43637</v>
      </c>
      <c r="Y359" s="6"/>
      <c r="Z359" s="6"/>
      <c r="AA359" s="6">
        <v>44931</v>
      </c>
      <c r="AB359" s="6"/>
      <c r="AC359" s="6"/>
      <c r="AD359" s="6"/>
    </row>
    <row r="360" spans="1:30">
      <c r="A360" s="1" t="s">
        <v>772</v>
      </c>
      <c r="B360" s="1" t="s">
        <v>773</v>
      </c>
      <c r="C360" s="1" t="s">
        <v>989</v>
      </c>
      <c r="D360" s="1" t="s">
        <v>284</v>
      </c>
      <c r="E360" s="1" t="str">
        <f t="shared" si="5"/>
        <v>W05</v>
      </c>
      <c r="F360" s="4">
        <v>14.1</v>
      </c>
      <c r="G360" s="4">
        <v>11.25</v>
      </c>
      <c r="H360" s="4">
        <v>11.25</v>
      </c>
      <c r="I360" s="4"/>
      <c r="J360" s="1" t="s">
        <v>775</v>
      </c>
      <c r="K360" s="1" t="s">
        <v>790</v>
      </c>
      <c r="L360" s="1" t="s">
        <v>787</v>
      </c>
      <c r="M360" s="1" t="s">
        <v>788</v>
      </c>
      <c r="O360" s="6">
        <v>44594</v>
      </c>
      <c r="P360" s="6">
        <v>44592</v>
      </c>
      <c r="Q360" s="6">
        <v>44106</v>
      </c>
      <c r="R360" s="1" t="s">
        <v>779</v>
      </c>
      <c r="T360" s="5">
        <v>402</v>
      </c>
      <c r="U360" s="4">
        <v>12</v>
      </c>
      <c r="V360" s="5">
        <v>372</v>
      </c>
      <c r="W360" s="6">
        <v>43427</v>
      </c>
      <c r="X360" s="6"/>
      <c r="Y360" s="6"/>
      <c r="Z360" s="6"/>
      <c r="AA360" s="6">
        <v>44835</v>
      </c>
      <c r="AB360" s="6"/>
      <c r="AC360" s="6"/>
      <c r="AD360" s="6">
        <v>44609</v>
      </c>
    </row>
    <row r="361" spans="1:30">
      <c r="A361" s="1" t="s">
        <v>772</v>
      </c>
      <c r="B361" s="1" t="s">
        <v>773</v>
      </c>
      <c r="C361" s="1" t="s">
        <v>989</v>
      </c>
      <c r="D361" s="1" t="s">
        <v>160</v>
      </c>
      <c r="E361" s="1" t="str">
        <f t="shared" si="5"/>
        <v>W05</v>
      </c>
      <c r="F361" s="4">
        <v>12.71</v>
      </c>
      <c r="G361" s="4">
        <v>10.18</v>
      </c>
      <c r="H361" s="4">
        <v>10.18</v>
      </c>
      <c r="I361" s="4"/>
      <c r="J361" s="1" t="s">
        <v>775</v>
      </c>
      <c r="K361" s="1" t="s">
        <v>825</v>
      </c>
      <c r="L361" s="1" t="s">
        <v>787</v>
      </c>
      <c r="M361" s="1" t="s">
        <v>788</v>
      </c>
      <c r="O361" s="6">
        <v>44680</v>
      </c>
      <c r="P361" s="6">
        <v>44665</v>
      </c>
      <c r="Q361" s="6">
        <v>44112</v>
      </c>
      <c r="R361" s="1" t="s">
        <v>779</v>
      </c>
      <c r="T361" s="5">
        <v>402</v>
      </c>
      <c r="U361" s="4">
        <v>9</v>
      </c>
      <c r="V361" s="5">
        <v>299</v>
      </c>
      <c r="W361" s="6">
        <v>44523</v>
      </c>
      <c r="X361" s="6"/>
      <c r="Y361" s="6"/>
      <c r="Z361" s="6"/>
      <c r="AA361" s="6">
        <v>44915</v>
      </c>
      <c r="AB361" s="6"/>
      <c r="AC361" s="6"/>
      <c r="AD361" s="6"/>
    </row>
    <row r="362" spans="1:30">
      <c r="A362" s="1" t="s">
        <v>772</v>
      </c>
      <c r="B362" s="1" t="s">
        <v>773</v>
      </c>
      <c r="C362" s="1" t="s">
        <v>989</v>
      </c>
      <c r="D362" s="1" t="s">
        <v>63</v>
      </c>
      <c r="E362" s="1" t="str">
        <f t="shared" si="5"/>
        <v>W05</v>
      </c>
      <c r="F362" s="4">
        <v>12.8</v>
      </c>
      <c r="G362" s="4">
        <v>10.050000000000001</v>
      </c>
      <c r="H362" s="4">
        <v>10.050000000000001</v>
      </c>
      <c r="I362" s="4"/>
      <c r="J362" s="1" t="s">
        <v>775</v>
      </c>
      <c r="K362" s="1" t="s">
        <v>839</v>
      </c>
      <c r="L362" s="1" t="s">
        <v>777</v>
      </c>
      <c r="M362" s="1" t="s">
        <v>778</v>
      </c>
      <c r="N362" s="1" t="s">
        <v>787</v>
      </c>
      <c r="O362" s="6">
        <v>44798</v>
      </c>
      <c r="P362" s="6">
        <v>44785</v>
      </c>
      <c r="Q362" s="6">
        <v>44730</v>
      </c>
      <c r="R362" s="1" t="s">
        <v>779</v>
      </c>
      <c r="S362" s="1" t="s">
        <v>795</v>
      </c>
      <c r="T362" s="5">
        <v>577</v>
      </c>
      <c r="U362" s="4">
        <v>5</v>
      </c>
      <c r="V362" s="5">
        <v>179</v>
      </c>
      <c r="W362" s="6">
        <v>43293</v>
      </c>
      <c r="X362" s="6">
        <v>43079</v>
      </c>
      <c r="Y362" s="6"/>
      <c r="Z362" s="6"/>
      <c r="AA362" s="6"/>
      <c r="AB362" s="6"/>
      <c r="AC362" s="6"/>
      <c r="AD362" s="6"/>
    </row>
    <row r="363" spans="1:30">
      <c r="A363" s="1" t="s">
        <v>772</v>
      </c>
      <c r="B363" s="1" t="s">
        <v>773</v>
      </c>
      <c r="C363" s="1" t="s">
        <v>989</v>
      </c>
      <c r="D363" s="1" t="s">
        <v>395</v>
      </c>
      <c r="E363" s="1" t="str">
        <f t="shared" si="5"/>
        <v>W05</v>
      </c>
      <c r="F363" s="4">
        <v>8.1</v>
      </c>
      <c r="G363" s="4">
        <v>6.32</v>
      </c>
      <c r="H363" s="4">
        <v>6.32</v>
      </c>
      <c r="I363" s="4"/>
      <c r="J363" s="1" t="s">
        <v>775</v>
      </c>
      <c r="K363" s="1" t="s">
        <v>970</v>
      </c>
      <c r="L363" s="1" t="s">
        <v>787</v>
      </c>
      <c r="M363" s="1" t="s">
        <v>788</v>
      </c>
      <c r="O363" s="6">
        <v>44959</v>
      </c>
      <c r="P363" s="6">
        <v>44953</v>
      </c>
      <c r="Q363" s="6">
        <v>44366</v>
      </c>
      <c r="R363" s="1" t="s">
        <v>779</v>
      </c>
      <c r="T363" s="5">
        <v>300</v>
      </c>
      <c r="U363" s="4">
        <v>0</v>
      </c>
      <c r="V363" s="5">
        <v>11</v>
      </c>
      <c r="W363" s="6">
        <v>43322</v>
      </c>
      <c r="X363" s="6"/>
      <c r="Y363" s="6"/>
      <c r="Z363" s="6"/>
      <c r="AA363" s="6"/>
      <c r="AB363" s="6"/>
      <c r="AC363" s="6"/>
      <c r="AD363" s="6"/>
    </row>
    <row r="364" spans="1:30">
      <c r="A364" s="1" t="s">
        <v>772</v>
      </c>
      <c r="B364" s="1" t="s">
        <v>773</v>
      </c>
      <c r="C364" s="1" t="s">
        <v>989</v>
      </c>
      <c r="D364" s="1" t="s">
        <v>214</v>
      </c>
      <c r="E364" s="1" t="str">
        <f t="shared" si="5"/>
        <v>W05</v>
      </c>
      <c r="F364" s="4">
        <v>12.28</v>
      </c>
      <c r="G364" s="4">
        <v>9.7100000000000009</v>
      </c>
      <c r="H364" s="4">
        <v>9.7100000000000009</v>
      </c>
      <c r="I364" s="4"/>
      <c r="J364" s="1" t="s">
        <v>775</v>
      </c>
      <c r="K364" s="1" t="s">
        <v>951</v>
      </c>
      <c r="L364" s="1" t="s">
        <v>778</v>
      </c>
      <c r="M364" s="1" t="s">
        <v>777</v>
      </c>
      <c r="N364" s="1" t="s">
        <v>777</v>
      </c>
      <c r="O364" s="6">
        <v>44958</v>
      </c>
      <c r="P364" s="6">
        <v>44952</v>
      </c>
      <c r="Q364" s="6"/>
      <c r="R364" s="1" t="s">
        <v>779</v>
      </c>
      <c r="T364" s="5">
        <v>120</v>
      </c>
      <c r="U364" s="4">
        <v>0</v>
      </c>
      <c r="V364" s="5">
        <v>12</v>
      </c>
      <c r="W364" s="6">
        <v>43678</v>
      </c>
      <c r="X364" s="6">
        <v>43637</v>
      </c>
      <c r="Y364" s="6"/>
      <c r="Z364" s="6"/>
      <c r="AA364" s="6"/>
      <c r="AB364" s="6"/>
      <c r="AC364" s="6"/>
      <c r="AD364" s="6"/>
    </row>
    <row r="365" spans="1:30">
      <c r="A365" s="1" t="s">
        <v>772</v>
      </c>
      <c r="B365" s="1" t="s">
        <v>773</v>
      </c>
      <c r="C365" s="1" t="s">
        <v>989</v>
      </c>
      <c r="D365" s="1" t="s">
        <v>350</v>
      </c>
      <c r="E365" s="1" t="str">
        <f t="shared" si="5"/>
        <v>W05</v>
      </c>
      <c r="F365" s="4">
        <v>11.75</v>
      </c>
      <c r="G365" s="4">
        <v>9.25</v>
      </c>
      <c r="H365" s="4">
        <v>9.25</v>
      </c>
      <c r="I365" s="4"/>
      <c r="J365" s="1" t="s">
        <v>775</v>
      </c>
      <c r="K365" s="1" t="s">
        <v>862</v>
      </c>
      <c r="L365" s="1" t="s">
        <v>787</v>
      </c>
      <c r="M365" s="1" t="s">
        <v>788</v>
      </c>
      <c r="N365" s="1" t="s">
        <v>777</v>
      </c>
      <c r="O365" s="6">
        <v>44837</v>
      </c>
      <c r="P365" s="6">
        <v>44829</v>
      </c>
      <c r="Q365" s="6">
        <v>44274</v>
      </c>
      <c r="R365" s="1" t="s">
        <v>779</v>
      </c>
      <c r="T365" s="5">
        <v>300</v>
      </c>
      <c r="U365" s="4">
        <v>4</v>
      </c>
      <c r="V365" s="5">
        <v>135</v>
      </c>
      <c r="W365" s="6">
        <v>43100</v>
      </c>
      <c r="X365" s="6">
        <v>43100</v>
      </c>
      <c r="Y365" s="6"/>
      <c r="Z365" s="6"/>
      <c r="AA365" s="6"/>
      <c r="AB365" s="6"/>
      <c r="AC365" s="6"/>
      <c r="AD365" s="6">
        <v>44884</v>
      </c>
    </row>
    <row r="366" spans="1:30">
      <c r="A366" s="1" t="s">
        <v>772</v>
      </c>
      <c r="B366" s="1" t="s">
        <v>773</v>
      </c>
      <c r="C366" s="1" t="s">
        <v>989</v>
      </c>
      <c r="D366" s="1" t="s">
        <v>418</v>
      </c>
      <c r="E366" s="1" t="str">
        <f t="shared" si="5"/>
        <v>W05</v>
      </c>
      <c r="F366" s="4">
        <v>14.17</v>
      </c>
      <c r="G366" s="4">
        <v>11.07</v>
      </c>
      <c r="H366" s="4">
        <v>11.07</v>
      </c>
      <c r="I366" s="4"/>
      <c r="J366" s="1" t="s">
        <v>775</v>
      </c>
      <c r="K366" s="1" t="s">
        <v>833</v>
      </c>
      <c r="L366" s="1" t="s">
        <v>777</v>
      </c>
      <c r="M366" s="1" t="s">
        <v>778</v>
      </c>
      <c r="N366" s="1" t="s">
        <v>777</v>
      </c>
      <c r="O366" s="6">
        <v>44410</v>
      </c>
      <c r="P366" s="6">
        <v>44405</v>
      </c>
      <c r="Q366" s="6">
        <v>44378</v>
      </c>
      <c r="R366" s="1" t="s">
        <v>779</v>
      </c>
      <c r="S366" s="1" t="s">
        <v>795</v>
      </c>
      <c r="T366" s="5">
        <v>577</v>
      </c>
      <c r="U366" s="4">
        <v>18</v>
      </c>
      <c r="V366" s="5">
        <v>559</v>
      </c>
      <c r="W366" s="6">
        <v>43175</v>
      </c>
      <c r="X366" s="6">
        <v>43206</v>
      </c>
      <c r="Y366" s="6"/>
      <c r="Z366" s="6"/>
      <c r="AA366" s="6">
        <v>44826</v>
      </c>
      <c r="AB366" s="6"/>
      <c r="AC366" s="6"/>
      <c r="AD366" s="6">
        <v>44917</v>
      </c>
    </row>
    <row r="367" spans="1:30">
      <c r="A367" s="1" t="s">
        <v>772</v>
      </c>
      <c r="B367" s="1" t="s">
        <v>773</v>
      </c>
      <c r="C367" s="1" t="s">
        <v>989</v>
      </c>
      <c r="D367" s="1" t="s">
        <v>481</v>
      </c>
      <c r="E367" s="1" t="str">
        <f t="shared" si="5"/>
        <v>W05</v>
      </c>
      <c r="F367" s="4">
        <v>5.46</v>
      </c>
      <c r="G367" s="4">
        <v>4.25</v>
      </c>
      <c r="H367" s="4">
        <v>4.25</v>
      </c>
      <c r="I367" s="4"/>
      <c r="J367" s="1" t="s">
        <v>775</v>
      </c>
      <c r="K367" s="1" t="s">
        <v>881</v>
      </c>
      <c r="L367" s="1" t="s">
        <v>777</v>
      </c>
      <c r="M367" s="1" t="s">
        <v>778</v>
      </c>
      <c r="N367" s="1" t="s">
        <v>787</v>
      </c>
      <c r="O367" s="6">
        <v>44553</v>
      </c>
      <c r="P367" s="6">
        <v>44539</v>
      </c>
      <c r="Q367" s="6">
        <v>44524</v>
      </c>
      <c r="R367" s="1" t="s">
        <v>779</v>
      </c>
      <c r="S367" s="1" t="s">
        <v>823</v>
      </c>
      <c r="T367" s="5">
        <v>457</v>
      </c>
      <c r="U367" s="4">
        <v>13</v>
      </c>
      <c r="V367" s="5">
        <v>425</v>
      </c>
      <c r="W367" s="6">
        <v>43497</v>
      </c>
      <c r="X367" s="6">
        <v>42702</v>
      </c>
      <c r="Y367" s="6"/>
      <c r="Z367" s="6"/>
      <c r="AA367" s="6">
        <v>44859</v>
      </c>
      <c r="AB367" s="6"/>
      <c r="AC367" s="6"/>
      <c r="AD367" s="6">
        <v>44960</v>
      </c>
    </row>
    <row r="368" spans="1:30">
      <c r="A368" s="1" t="s">
        <v>772</v>
      </c>
      <c r="B368" s="1" t="s">
        <v>773</v>
      </c>
      <c r="C368" s="1" t="s">
        <v>989</v>
      </c>
      <c r="D368" s="1" t="s">
        <v>203</v>
      </c>
      <c r="E368" s="1" t="str">
        <f t="shared" si="5"/>
        <v>W05</v>
      </c>
      <c r="F368" s="4">
        <v>5.36</v>
      </c>
      <c r="G368" s="4">
        <v>4.22</v>
      </c>
      <c r="H368" s="4">
        <v>4.22</v>
      </c>
      <c r="I368" s="4"/>
      <c r="J368" s="1" t="s">
        <v>775</v>
      </c>
      <c r="K368" s="1" t="s">
        <v>791</v>
      </c>
      <c r="L368" s="1" t="s">
        <v>777</v>
      </c>
      <c r="M368" s="1" t="s">
        <v>778</v>
      </c>
      <c r="N368" s="1" t="s">
        <v>777</v>
      </c>
      <c r="O368" s="6">
        <v>44957</v>
      </c>
      <c r="P368" s="6">
        <v>44938</v>
      </c>
      <c r="Q368" s="6">
        <v>44922</v>
      </c>
      <c r="R368" s="1" t="s">
        <v>779</v>
      </c>
      <c r="S368" s="1" t="s">
        <v>823</v>
      </c>
      <c r="T368" s="5">
        <v>457</v>
      </c>
      <c r="U368" s="4">
        <v>0</v>
      </c>
      <c r="V368" s="5">
        <v>26</v>
      </c>
      <c r="W368" s="6">
        <v>43175</v>
      </c>
      <c r="X368" s="6">
        <v>43206</v>
      </c>
      <c r="Y368" s="6"/>
      <c r="Z368" s="6"/>
      <c r="AA368" s="6"/>
      <c r="AB368" s="6"/>
      <c r="AC368" s="6"/>
      <c r="AD368" s="6"/>
    </row>
    <row r="369" spans="1:30">
      <c r="A369" s="1" t="s">
        <v>772</v>
      </c>
      <c r="B369" s="1" t="s">
        <v>773</v>
      </c>
      <c r="C369" s="1" t="s">
        <v>989</v>
      </c>
      <c r="D369" s="1" t="s">
        <v>604</v>
      </c>
      <c r="E369" s="1" t="str">
        <f t="shared" si="5"/>
        <v>W05</v>
      </c>
      <c r="F369" s="4">
        <v>13.9</v>
      </c>
      <c r="G369" s="4">
        <v>10.93</v>
      </c>
      <c r="H369" s="4">
        <v>10.93</v>
      </c>
      <c r="I369" s="4"/>
      <c r="J369" s="1" t="s">
        <v>775</v>
      </c>
      <c r="K369" s="1" t="s">
        <v>797</v>
      </c>
      <c r="L369" s="1" t="s">
        <v>777</v>
      </c>
      <c r="M369" s="1" t="s">
        <v>778</v>
      </c>
      <c r="O369" s="6">
        <v>44851</v>
      </c>
      <c r="P369" s="6">
        <v>44841</v>
      </c>
      <c r="Q369" s="6">
        <v>44810</v>
      </c>
      <c r="R369" s="1" t="s">
        <v>779</v>
      </c>
      <c r="S369" s="1" t="s">
        <v>795</v>
      </c>
      <c r="T369" s="5">
        <v>577</v>
      </c>
      <c r="U369" s="4">
        <v>4</v>
      </c>
      <c r="V369" s="5">
        <v>123</v>
      </c>
      <c r="W369" s="6">
        <v>44473</v>
      </c>
      <c r="X369" s="6"/>
      <c r="Y369" s="6"/>
      <c r="Z369" s="6"/>
      <c r="AA369" s="6"/>
      <c r="AB369" s="6"/>
      <c r="AC369" s="6"/>
      <c r="AD369" s="6"/>
    </row>
    <row r="370" spans="1:30">
      <c r="A370" s="1" t="s">
        <v>772</v>
      </c>
      <c r="B370" s="1" t="s">
        <v>773</v>
      </c>
      <c r="C370" s="1" t="s">
        <v>989</v>
      </c>
      <c r="D370" s="1" t="s">
        <v>512</v>
      </c>
      <c r="E370" s="1" t="str">
        <f t="shared" si="5"/>
        <v>W05</v>
      </c>
      <c r="F370" s="4">
        <v>11.62</v>
      </c>
      <c r="G370" s="4">
        <v>9.16</v>
      </c>
      <c r="H370" s="4">
        <v>9.16</v>
      </c>
      <c r="I370" s="4"/>
      <c r="J370" s="1" t="s">
        <v>775</v>
      </c>
      <c r="K370" s="1" t="s">
        <v>824</v>
      </c>
      <c r="L370" s="1" t="s">
        <v>777</v>
      </c>
      <c r="M370" s="1" t="s">
        <v>778</v>
      </c>
      <c r="O370" s="6">
        <v>44635</v>
      </c>
      <c r="P370" s="6">
        <v>44620</v>
      </c>
      <c r="Q370" s="6">
        <v>44591</v>
      </c>
      <c r="R370" s="1" t="s">
        <v>779</v>
      </c>
      <c r="S370" s="1" t="s">
        <v>780</v>
      </c>
      <c r="T370" s="5">
        <v>517</v>
      </c>
      <c r="U370" s="4">
        <v>11</v>
      </c>
      <c r="V370" s="5">
        <v>344</v>
      </c>
      <c r="W370" s="6">
        <v>44985</v>
      </c>
      <c r="X370" s="6"/>
      <c r="Y370" s="6"/>
      <c r="Z370" s="6"/>
      <c r="AA370" s="6"/>
      <c r="AB370" s="6"/>
      <c r="AC370" s="6"/>
      <c r="AD370" s="6"/>
    </row>
    <row r="371" spans="1:30">
      <c r="A371" s="1" t="s">
        <v>772</v>
      </c>
      <c r="B371" s="1" t="s">
        <v>773</v>
      </c>
      <c r="C371" s="1" t="s">
        <v>989</v>
      </c>
      <c r="D371" s="1" t="s">
        <v>487</v>
      </c>
      <c r="E371" s="1" t="str">
        <f t="shared" si="5"/>
        <v>W05</v>
      </c>
      <c r="F371" s="4">
        <v>14.62</v>
      </c>
      <c r="G371" s="4">
        <v>11.27</v>
      </c>
      <c r="H371" s="4">
        <v>11.27</v>
      </c>
      <c r="I371" s="4"/>
      <c r="J371" s="1" t="s">
        <v>775</v>
      </c>
      <c r="K371" s="1" t="s">
        <v>840</v>
      </c>
      <c r="L371" s="1" t="s">
        <v>777</v>
      </c>
      <c r="M371" s="1" t="s">
        <v>778</v>
      </c>
      <c r="N371" s="1" t="s">
        <v>787</v>
      </c>
      <c r="O371" s="6">
        <v>44579</v>
      </c>
      <c r="P371" s="6">
        <v>44566</v>
      </c>
      <c r="Q371" s="6">
        <v>44542</v>
      </c>
      <c r="R371" s="1" t="s">
        <v>779</v>
      </c>
      <c r="S371" s="1" t="s">
        <v>823</v>
      </c>
      <c r="T371" s="5">
        <v>457</v>
      </c>
      <c r="U371" s="4">
        <v>13</v>
      </c>
      <c r="V371" s="5">
        <v>398</v>
      </c>
      <c r="W371" s="6">
        <v>43497</v>
      </c>
      <c r="X371" s="6">
        <v>42702</v>
      </c>
      <c r="Y371" s="6"/>
      <c r="Z371" s="6"/>
      <c r="AA371" s="6">
        <v>44880</v>
      </c>
      <c r="AB371" s="6"/>
      <c r="AC371" s="6"/>
      <c r="AD371" s="6">
        <v>44957</v>
      </c>
    </row>
    <row r="372" spans="1:30">
      <c r="A372" s="1" t="s">
        <v>772</v>
      </c>
      <c r="B372" s="1" t="s">
        <v>903</v>
      </c>
      <c r="C372" s="1" t="s">
        <v>989</v>
      </c>
      <c r="D372" s="1" t="s">
        <v>1006</v>
      </c>
      <c r="E372" s="1" t="str">
        <f t="shared" si="5"/>
        <v>W05</v>
      </c>
      <c r="F372" s="4">
        <v>1.23</v>
      </c>
      <c r="G372" s="4">
        <v>1.2</v>
      </c>
      <c r="H372" s="4">
        <v>1.2</v>
      </c>
      <c r="I372" s="4"/>
      <c r="J372" s="1" t="s">
        <v>775</v>
      </c>
      <c r="K372" s="1" t="s">
        <v>974</v>
      </c>
      <c r="L372" s="1" t="s">
        <v>975</v>
      </c>
      <c r="M372" s="1" t="s">
        <v>1007</v>
      </c>
      <c r="N372" s="1" t="s">
        <v>777</v>
      </c>
      <c r="O372" s="6">
        <v>44942</v>
      </c>
      <c r="P372" s="6">
        <v>44941</v>
      </c>
      <c r="Q372" s="6"/>
      <c r="R372" s="1" t="s">
        <v>909</v>
      </c>
      <c r="T372" s="5">
        <v>0</v>
      </c>
      <c r="U372" s="4">
        <v>0</v>
      </c>
      <c r="V372" s="5">
        <v>23</v>
      </c>
      <c r="W372" s="6">
        <v>49890</v>
      </c>
      <c r="X372" s="6">
        <v>50041</v>
      </c>
      <c r="Y372" s="6"/>
      <c r="Z372" s="6"/>
      <c r="AA372" s="6"/>
      <c r="AB372" s="6"/>
      <c r="AC372" s="6"/>
      <c r="AD372" s="6"/>
    </row>
    <row r="373" spans="1:30">
      <c r="A373" s="1" t="s">
        <v>772</v>
      </c>
      <c r="B373" s="1" t="s">
        <v>773</v>
      </c>
      <c r="C373" s="1" t="s">
        <v>989</v>
      </c>
      <c r="D373" s="1" t="s">
        <v>561</v>
      </c>
      <c r="E373" s="1" t="str">
        <f t="shared" si="5"/>
        <v>W05</v>
      </c>
      <c r="F373" s="4">
        <v>12.16</v>
      </c>
      <c r="G373" s="4">
        <v>9.5500000000000007</v>
      </c>
      <c r="H373" s="4">
        <v>9.5500000000000007</v>
      </c>
      <c r="I373" s="4"/>
      <c r="J373" s="1" t="s">
        <v>775</v>
      </c>
      <c r="K373" s="1" t="s">
        <v>884</v>
      </c>
      <c r="L373" s="1" t="s">
        <v>777</v>
      </c>
      <c r="M373" s="1" t="s">
        <v>778</v>
      </c>
      <c r="O373" s="6">
        <v>44715</v>
      </c>
      <c r="P373" s="6">
        <v>44712</v>
      </c>
      <c r="Q373" s="6">
        <v>44664</v>
      </c>
      <c r="R373" s="1" t="s">
        <v>779</v>
      </c>
      <c r="S373" s="1" t="s">
        <v>780</v>
      </c>
      <c r="T373" s="5">
        <v>517</v>
      </c>
      <c r="U373" s="4">
        <v>8</v>
      </c>
      <c r="V373" s="5">
        <v>252</v>
      </c>
      <c r="W373" s="6">
        <v>45057</v>
      </c>
      <c r="X373" s="6"/>
      <c r="Y373" s="6"/>
      <c r="Z373" s="6"/>
      <c r="AA373" s="6"/>
      <c r="AB373" s="6"/>
      <c r="AC373" s="6"/>
      <c r="AD373" s="6"/>
    </row>
    <row r="374" spans="1:30">
      <c r="A374" s="1" t="s">
        <v>772</v>
      </c>
      <c r="B374" s="1" t="s">
        <v>773</v>
      </c>
      <c r="C374" s="1" t="s">
        <v>989</v>
      </c>
      <c r="D374" s="1" t="s">
        <v>621</v>
      </c>
      <c r="E374" s="1" t="str">
        <f t="shared" si="5"/>
        <v>W05</v>
      </c>
      <c r="F374" s="4">
        <v>15.04</v>
      </c>
      <c r="G374" s="4">
        <v>11.6</v>
      </c>
      <c r="H374" s="4">
        <v>11.6</v>
      </c>
      <c r="I374" s="4"/>
      <c r="J374" s="1" t="s">
        <v>775</v>
      </c>
      <c r="K374" s="1" t="s">
        <v>794</v>
      </c>
      <c r="L374" s="1" t="s">
        <v>777</v>
      </c>
      <c r="M374" s="1" t="s">
        <v>778</v>
      </c>
      <c r="N374" s="1" t="s">
        <v>788</v>
      </c>
      <c r="O374" s="6">
        <v>44897</v>
      </c>
      <c r="P374" s="6">
        <v>44884</v>
      </c>
      <c r="Q374" s="6">
        <v>44858</v>
      </c>
      <c r="R374" s="1" t="s">
        <v>779</v>
      </c>
      <c r="S374" s="1" t="s">
        <v>795</v>
      </c>
      <c r="T374" s="5">
        <v>577</v>
      </c>
      <c r="U374" s="4">
        <v>2</v>
      </c>
      <c r="V374" s="5">
        <v>80</v>
      </c>
      <c r="W374" s="6">
        <v>43747</v>
      </c>
      <c r="X374" s="6">
        <v>43665</v>
      </c>
      <c r="Y374" s="6"/>
      <c r="Z374" s="6"/>
      <c r="AA374" s="6"/>
      <c r="AB374" s="6"/>
      <c r="AC374" s="6"/>
      <c r="AD374" s="6"/>
    </row>
    <row r="375" spans="1:30">
      <c r="A375" s="1" t="s">
        <v>772</v>
      </c>
      <c r="B375" s="1" t="s">
        <v>773</v>
      </c>
      <c r="C375" s="1" t="s">
        <v>989</v>
      </c>
      <c r="D375" s="1" t="s">
        <v>608</v>
      </c>
      <c r="E375" s="1" t="str">
        <f t="shared" si="5"/>
        <v>W05</v>
      </c>
      <c r="F375" s="4">
        <v>5.52</v>
      </c>
      <c r="G375" s="4">
        <v>4.38</v>
      </c>
      <c r="H375" s="4">
        <v>4.38</v>
      </c>
      <c r="I375" s="4"/>
      <c r="J375" s="1" t="s">
        <v>775</v>
      </c>
      <c r="K375" s="1" t="s">
        <v>797</v>
      </c>
      <c r="L375" s="1" t="s">
        <v>777</v>
      </c>
      <c r="M375" s="1" t="s">
        <v>778</v>
      </c>
      <c r="O375" s="6">
        <v>44865</v>
      </c>
      <c r="P375" s="6">
        <v>44849</v>
      </c>
      <c r="Q375" s="6">
        <v>44830</v>
      </c>
      <c r="R375" s="1" t="s">
        <v>779</v>
      </c>
      <c r="S375" s="1" t="s">
        <v>792</v>
      </c>
      <c r="T375" s="5">
        <v>577</v>
      </c>
      <c r="U375" s="4">
        <v>3</v>
      </c>
      <c r="V375" s="5">
        <v>115</v>
      </c>
      <c r="W375" s="6">
        <v>44473</v>
      </c>
      <c r="X375" s="6"/>
      <c r="Y375" s="6"/>
      <c r="Z375" s="6"/>
      <c r="AA375" s="6"/>
      <c r="AB375" s="6"/>
      <c r="AC375" s="6"/>
      <c r="AD375" s="6"/>
    </row>
    <row r="376" spans="1:30">
      <c r="A376" s="1" t="s">
        <v>772</v>
      </c>
      <c r="B376" s="1" t="s">
        <v>773</v>
      </c>
      <c r="C376" s="1" t="s">
        <v>989</v>
      </c>
      <c r="D376" s="1" t="s">
        <v>207</v>
      </c>
      <c r="E376" s="1" t="str">
        <f t="shared" si="5"/>
        <v>W05</v>
      </c>
      <c r="F376" s="4">
        <v>8.9</v>
      </c>
      <c r="G376" s="4">
        <v>7.11</v>
      </c>
      <c r="H376" s="4">
        <v>7.11</v>
      </c>
      <c r="I376" s="4"/>
      <c r="J376" s="1" t="s">
        <v>775</v>
      </c>
      <c r="K376" s="1" t="s">
        <v>901</v>
      </c>
      <c r="L376" s="1" t="s">
        <v>778</v>
      </c>
      <c r="M376" s="1" t="s">
        <v>777</v>
      </c>
      <c r="N376" s="1" t="s">
        <v>778</v>
      </c>
      <c r="O376" s="6">
        <v>44897</v>
      </c>
      <c r="P376" s="6">
        <v>44894</v>
      </c>
      <c r="Q376" s="6"/>
      <c r="R376" s="1" t="s">
        <v>779</v>
      </c>
      <c r="T376" s="5">
        <v>120</v>
      </c>
      <c r="U376" s="4">
        <v>2</v>
      </c>
      <c r="V376" s="5">
        <v>70</v>
      </c>
      <c r="W376" s="6">
        <v>43357</v>
      </c>
      <c r="X376" s="6">
        <v>43877</v>
      </c>
      <c r="Y376" s="6"/>
      <c r="Z376" s="6"/>
      <c r="AA376" s="6"/>
      <c r="AB376" s="6"/>
      <c r="AC376" s="6"/>
      <c r="AD376" s="6"/>
    </row>
    <row r="377" spans="1:30">
      <c r="A377" s="1" t="s">
        <v>772</v>
      </c>
      <c r="B377" s="1" t="s">
        <v>773</v>
      </c>
      <c r="C377" s="1" t="s">
        <v>989</v>
      </c>
      <c r="D377" s="1" t="s">
        <v>616</v>
      </c>
      <c r="E377" s="1" t="str">
        <f t="shared" si="5"/>
        <v>W05</v>
      </c>
      <c r="F377" s="4">
        <v>13.07</v>
      </c>
      <c r="G377" s="4">
        <v>10.14</v>
      </c>
      <c r="H377" s="4">
        <v>10.14</v>
      </c>
      <c r="I377" s="4"/>
      <c r="J377" s="1" t="s">
        <v>775</v>
      </c>
      <c r="K377" s="1" t="s">
        <v>831</v>
      </c>
      <c r="L377" s="1" t="s">
        <v>777</v>
      </c>
      <c r="M377" s="1" t="s">
        <v>778</v>
      </c>
      <c r="N377" s="1" t="s">
        <v>788</v>
      </c>
      <c r="O377" s="6">
        <v>44886</v>
      </c>
      <c r="P377" s="6">
        <v>44870</v>
      </c>
      <c r="Q377" s="6">
        <v>44848</v>
      </c>
      <c r="R377" s="1" t="s">
        <v>779</v>
      </c>
      <c r="S377" s="1" t="s">
        <v>792</v>
      </c>
      <c r="T377" s="5">
        <v>577</v>
      </c>
      <c r="U377" s="4">
        <v>3</v>
      </c>
      <c r="V377" s="5">
        <v>94</v>
      </c>
      <c r="W377" s="6">
        <v>43747</v>
      </c>
      <c r="X377" s="6">
        <v>43665</v>
      </c>
      <c r="Y377" s="6"/>
      <c r="Z377" s="6"/>
      <c r="AA377" s="6"/>
      <c r="AB377" s="6"/>
      <c r="AC377" s="6"/>
      <c r="AD377" s="6"/>
    </row>
    <row r="378" spans="1:30">
      <c r="A378" s="1" t="s">
        <v>772</v>
      </c>
      <c r="B378" s="1" t="s">
        <v>773</v>
      </c>
      <c r="C378" s="1" t="s">
        <v>989</v>
      </c>
      <c r="D378" s="1" t="s">
        <v>20</v>
      </c>
      <c r="E378" s="1" t="str">
        <f t="shared" si="5"/>
        <v>W05</v>
      </c>
      <c r="F378" s="4">
        <v>5.58</v>
      </c>
      <c r="G378" s="4">
        <v>4.57</v>
      </c>
      <c r="H378" s="4">
        <v>4.57</v>
      </c>
      <c r="I378" s="4"/>
      <c r="J378" s="1" t="s">
        <v>775</v>
      </c>
      <c r="K378" s="1" t="s">
        <v>839</v>
      </c>
      <c r="L378" s="1" t="s">
        <v>777</v>
      </c>
      <c r="M378" s="1" t="s">
        <v>778</v>
      </c>
      <c r="N378" s="1" t="s">
        <v>787</v>
      </c>
      <c r="O378" s="6">
        <v>44798</v>
      </c>
      <c r="P378" s="6">
        <v>44787</v>
      </c>
      <c r="Q378" s="6">
        <v>44767</v>
      </c>
      <c r="R378" s="1" t="s">
        <v>779</v>
      </c>
      <c r="S378" s="1" t="s">
        <v>795</v>
      </c>
      <c r="T378" s="5">
        <v>577</v>
      </c>
      <c r="U378" s="4">
        <v>5</v>
      </c>
      <c r="V378" s="5">
        <v>177</v>
      </c>
      <c r="W378" s="6">
        <v>43293</v>
      </c>
      <c r="X378" s="6">
        <v>43079</v>
      </c>
      <c r="Y378" s="6"/>
      <c r="Z378" s="6"/>
      <c r="AA378" s="6"/>
      <c r="AB378" s="6"/>
      <c r="AC378" s="6"/>
      <c r="AD378" s="6"/>
    </row>
    <row r="379" spans="1:30">
      <c r="A379" s="1" t="s">
        <v>772</v>
      </c>
      <c r="B379" s="1" t="s">
        <v>773</v>
      </c>
      <c r="C379" s="1" t="s">
        <v>989</v>
      </c>
      <c r="D379" s="1" t="s">
        <v>413</v>
      </c>
      <c r="E379" s="1" t="str">
        <f t="shared" si="5"/>
        <v>W05</v>
      </c>
      <c r="F379" s="4">
        <v>14.3</v>
      </c>
      <c r="G379" s="4">
        <v>11.32</v>
      </c>
      <c r="H379" s="4">
        <v>11.32</v>
      </c>
      <c r="I379" s="4"/>
      <c r="J379" s="1" t="s">
        <v>775</v>
      </c>
      <c r="K379" s="1" t="s">
        <v>899</v>
      </c>
      <c r="L379" s="1" t="s">
        <v>777</v>
      </c>
      <c r="M379" s="1" t="s">
        <v>778</v>
      </c>
      <c r="N379" s="1" t="s">
        <v>787</v>
      </c>
      <c r="O379" s="6">
        <v>44406</v>
      </c>
      <c r="P379" s="6">
        <v>44394</v>
      </c>
      <c r="Q379" s="6">
        <v>44371</v>
      </c>
      <c r="R379" s="1" t="s">
        <v>779</v>
      </c>
      <c r="S379" s="1" t="s">
        <v>795</v>
      </c>
      <c r="T379" s="5">
        <v>577</v>
      </c>
      <c r="U379" s="4">
        <v>18</v>
      </c>
      <c r="V379" s="5">
        <v>570</v>
      </c>
      <c r="W379" s="6">
        <v>43680</v>
      </c>
      <c r="X379" s="6">
        <v>42472</v>
      </c>
      <c r="Y379" s="6"/>
      <c r="Z379" s="6"/>
      <c r="AA379" s="6">
        <v>44831</v>
      </c>
      <c r="AB379" s="6"/>
      <c r="AC379" s="6"/>
      <c r="AD379" s="6">
        <v>44956</v>
      </c>
    </row>
    <row r="380" spans="1:30">
      <c r="A380" s="1" t="s">
        <v>772</v>
      </c>
      <c r="B380" s="1" t="s">
        <v>773</v>
      </c>
      <c r="C380" s="1" t="s">
        <v>989</v>
      </c>
      <c r="D380" s="1" t="s">
        <v>274</v>
      </c>
      <c r="E380" s="1" t="str">
        <f t="shared" si="5"/>
        <v>W05</v>
      </c>
      <c r="F380" s="4">
        <v>17.809999999999999</v>
      </c>
      <c r="G380" s="4">
        <v>14.25</v>
      </c>
      <c r="H380" s="4">
        <v>14.25</v>
      </c>
      <c r="I380" s="4"/>
      <c r="J380" s="1" t="s">
        <v>775</v>
      </c>
      <c r="K380" s="1" t="s">
        <v>897</v>
      </c>
      <c r="L380" s="1" t="s">
        <v>787</v>
      </c>
      <c r="M380" s="1" t="s">
        <v>788</v>
      </c>
      <c r="N380" s="1" t="s">
        <v>788</v>
      </c>
      <c r="O380" s="6">
        <v>44564</v>
      </c>
      <c r="P380" s="6">
        <v>44550</v>
      </c>
      <c r="Q380" s="6">
        <v>44083</v>
      </c>
      <c r="R380" s="1" t="s">
        <v>779</v>
      </c>
      <c r="T380" s="5">
        <v>402</v>
      </c>
      <c r="U380" s="4">
        <v>13</v>
      </c>
      <c r="V380" s="5">
        <v>414</v>
      </c>
      <c r="W380" s="6">
        <v>43747</v>
      </c>
      <c r="X380" s="6">
        <v>43665</v>
      </c>
      <c r="Y380" s="6"/>
      <c r="Z380" s="6"/>
      <c r="AA380" s="6">
        <v>44824</v>
      </c>
      <c r="AB380" s="6"/>
      <c r="AC380" s="6"/>
      <c r="AD380" s="6"/>
    </row>
    <row r="381" spans="1:30">
      <c r="A381" s="1" t="s">
        <v>772</v>
      </c>
      <c r="B381" s="1" t="s">
        <v>773</v>
      </c>
      <c r="C381" s="1" t="s">
        <v>989</v>
      </c>
      <c r="D381" s="1" t="s">
        <v>250</v>
      </c>
      <c r="E381" s="1" t="str">
        <f t="shared" si="5"/>
        <v>W05</v>
      </c>
      <c r="F381" s="4">
        <v>11.58</v>
      </c>
      <c r="G381" s="4">
        <v>9.2799999999999994</v>
      </c>
      <c r="H381" s="4">
        <v>9.2799999999999994</v>
      </c>
      <c r="I381" s="4"/>
      <c r="J381" s="1" t="s">
        <v>775</v>
      </c>
      <c r="K381" s="1" t="s">
        <v>869</v>
      </c>
      <c r="L381" s="1" t="s">
        <v>787</v>
      </c>
      <c r="M381" s="1" t="s">
        <v>788</v>
      </c>
      <c r="N381" s="1" t="s">
        <v>788</v>
      </c>
      <c r="O381" s="6">
        <v>44622</v>
      </c>
      <c r="P381" s="6">
        <v>44620</v>
      </c>
      <c r="Q381" s="6">
        <v>44065</v>
      </c>
      <c r="R381" s="1" t="s">
        <v>779</v>
      </c>
      <c r="T381" s="5">
        <v>402</v>
      </c>
      <c r="U381" s="4">
        <v>11</v>
      </c>
      <c r="V381" s="5">
        <v>344</v>
      </c>
      <c r="W381" s="6">
        <v>43178</v>
      </c>
      <c r="X381" s="6">
        <v>43553</v>
      </c>
      <c r="Y381" s="6"/>
      <c r="Z381" s="6"/>
      <c r="AA381" s="6">
        <v>44915</v>
      </c>
      <c r="AB381" s="6"/>
      <c r="AC381" s="6"/>
      <c r="AD381" s="6">
        <v>44624</v>
      </c>
    </row>
    <row r="382" spans="1:30">
      <c r="A382" s="1" t="s">
        <v>772</v>
      </c>
      <c r="B382" s="1" t="s">
        <v>773</v>
      </c>
      <c r="C382" s="1" t="s">
        <v>989</v>
      </c>
      <c r="D382" s="1" t="s">
        <v>266</v>
      </c>
      <c r="E382" s="1" t="str">
        <f t="shared" si="5"/>
        <v>W05</v>
      </c>
      <c r="F382" s="4">
        <v>16.329999999999998</v>
      </c>
      <c r="G382" s="4">
        <v>13.02</v>
      </c>
      <c r="H382" s="4">
        <v>13.02</v>
      </c>
      <c r="I382" s="4"/>
      <c r="J382" s="1" t="s">
        <v>775</v>
      </c>
      <c r="K382" s="1" t="s">
        <v>825</v>
      </c>
      <c r="L382" s="1" t="s">
        <v>787</v>
      </c>
      <c r="M382" s="1" t="s">
        <v>788</v>
      </c>
      <c r="N382" s="1" t="s">
        <v>788</v>
      </c>
      <c r="O382" s="6">
        <v>44653</v>
      </c>
      <c r="P382" s="6">
        <v>44637</v>
      </c>
      <c r="Q382" s="6">
        <v>44069</v>
      </c>
      <c r="R382" s="1" t="s">
        <v>779</v>
      </c>
      <c r="T382" s="5">
        <v>402</v>
      </c>
      <c r="U382" s="4">
        <v>10</v>
      </c>
      <c r="V382" s="5">
        <v>327</v>
      </c>
      <c r="W382" s="6">
        <v>43432</v>
      </c>
      <c r="X382" s="6">
        <v>43807</v>
      </c>
      <c r="Y382" s="6"/>
      <c r="Z382" s="6"/>
      <c r="AA382" s="6">
        <v>44915</v>
      </c>
      <c r="AB382" s="6"/>
      <c r="AC382" s="6"/>
      <c r="AD382" s="6"/>
    </row>
    <row r="383" spans="1:30">
      <c r="A383" s="1" t="s">
        <v>772</v>
      </c>
      <c r="B383" s="1" t="s">
        <v>773</v>
      </c>
      <c r="C383" s="1" t="s">
        <v>989</v>
      </c>
      <c r="D383" s="1" t="s">
        <v>67</v>
      </c>
      <c r="E383" s="1" t="str">
        <f t="shared" si="5"/>
        <v>W05</v>
      </c>
      <c r="F383" s="4">
        <v>11.87</v>
      </c>
      <c r="G383" s="4">
        <v>9.3699999999999992</v>
      </c>
      <c r="H383" s="4">
        <v>9.3699999999999992</v>
      </c>
      <c r="I383" s="4"/>
      <c r="J383" s="1" t="s">
        <v>775</v>
      </c>
      <c r="K383" s="1" t="s">
        <v>800</v>
      </c>
      <c r="L383" s="1" t="s">
        <v>777</v>
      </c>
      <c r="M383" s="1" t="s">
        <v>778</v>
      </c>
      <c r="O383" s="6">
        <v>44806</v>
      </c>
      <c r="P383" s="6">
        <v>44790</v>
      </c>
      <c r="Q383" s="6">
        <v>44771</v>
      </c>
      <c r="R383" s="1" t="s">
        <v>779</v>
      </c>
      <c r="S383" s="1" t="s">
        <v>795</v>
      </c>
      <c r="T383" s="5">
        <v>577</v>
      </c>
      <c r="U383" s="4">
        <v>5</v>
      </c>
      <c r="V383" s="5">
        <v>174</v>
      </c>
      <c r="W383" s="6">
        <v>45266</v>
      </c>
      <c r="X383" s="6"/>
      <c r="Y383" s="6"/>
      <c r="Z383" s="6"/>
      <c r="AA383" s="6"/>
      <c r="AB383" s="6"/>
      <c r="AC383" s="6"/>
      <c r="AD383" s="6"/>
    </row>
    <row r="384" spans="1:30">
      <c r="A384" s="1" t="s">
        <v>772</v>
      </c>
      <c r="B384" s="1" t="s">
        <v>773</v>
      </c>
      <c r="C384" s="1" t="s">
        <v>989</v>
      </c>
      <c r="D384" s="1" t="s">
        <v>477</v>
      </c>
      <c r="E384" s="1" t="str">
        <f t="shared" si="5"/>
        <v>W05</v>
      </c>
      <c r="F384" s="4">
        <v>7.92</v>
      </c>
      <c r="G384" s="4">
        <v>6.05</v>
      </c>
      <c r="H384" s="4">
        <v>6.05</v>
      </c>
      <c r="I384" s="4"/>
      <c r="J384" s="1" t="s">
        <v>775</v>
      </c>
      <c r="K384" s="1" t="s">
        <v>881</v>
      </c>
      <c r="L384" s="1" t="s">
        <v>777</v>
      </c>
      <c r="M384" s="1" t="s">
        <v>778</v>
      </c>
      <c r="N384" s="1" t="s">
        <v>777</v>
      </c>
      <c r="O384" s="6">
        <v>44537</v>
      </c>
      <c r="P384" s="6">
        <v>44530</v>
      </c>
      <c r="Q384" s="6">
        <v>44508</v>
      </c>
      <c r="R384" s="1" t="s">
        <v>779</v>
      </c>
      <c r="S384" s="1" t="s">
        <v>823</v>
      </c>
      <c r="T384" s="5">
        <v>457</v>
      </c>
      <c r="U384" s="4">
        <v>14</v>
      </c>
      <c r="V384" s="5">
        <v>434</v>
      </c>
      <c r="W384" s="6">
        <v>43895</v>
      </c>
      <c r="X384" s="6">
        <v>42898</v>
      </c>
      <c r="Y384" s="6"/>
      <c r="Z384" s="6"/>
      <c r="AA384" s="6">
        <v>44859</v>
      </c>
      <c r="AB384" s="6"/>
      <c r="AC384" s="6"/>
      <c r="AD384" s="6">
        <v>44887</v>
      </c>
    </row>
    <row r="385" spans="1:30">
      <c r="A385" s="1" t="s">
        <v>772</v>
      </c>
      <c r="B385" s="1" t="s">
        <v>773</v>
      </c>
      <c r="C385" s="1" t="s">
        <v>989</v>
      </c>
      <c r="D385" s="1" t="s">
        <v>406</v>
      </c>
      <c r="E385" s="1" t="str">
        <f t="shared" si="5"/>
        <v>W05</v>
      </c>
      <c r="F385" s="4">
        <v>13.28</v>
      </c>
      <c r="G385" s="5">
        <v>10.52</v>
      </c>
      <c r="H385" s="5">
        <v>10.52</v>
      </c>
      <c r="I385" s="5"/>
      <c r="J385" s="1" t="s">
        <v>775</v>
      </c>
      <c r="K385" s="1" t="s">
        <v>894</v>
      </c>
      <c r="L385" s="1" t="s">
        <v>787</v>
      </c>
      <c r="M385" s="1" t="s">
        <v>788</v>
      </c>
      <c r="O385" s="6">
        <v>44959</v>
      </c>
      <c r="P385" s="6">
        <v>44951</v>
      </c>
      <c r="Q385" s="6">
        <v>44359</v>
      </c>
      <c r="R385" s="1" t="s">
        <v>779</v>
      </c>
      <c r="T385" s="5">
        <v>402</v>
      </c>
      <c r="U385" s="4">
        <v>0</v>
      </c>
      <c r="V385" s="5">
        <v>13</v>
      </c>
      <c r="W385" s="6">
        <v>43322</v>
      </c>
      <c r="X385" s="6"/>
      <c r="Y385" s="6"/>
      <c r="Z385" s="6"/>
      <c r="AA385" s="6"/>
      <c r="AB385" s="6"/>
      <c r="AC385" s="6"/>
      <c r="AD385" s="6"/>
    </row>
    <row r="386" spans="1:30">
      <c r="A386" s="1" t="s">
        <v>772</v>
      </c>
      <c r="B386" s="1" t="s">
        <v>773</v>
      </c>
      <c r="C386" s="1" t="s">
        <v>989</v>
      </c>
      <c r="D386" s="1" t="s">
        <v>359</v>
      </c>
      <c r="E386" s="1" t="str">
        <f t="shared" si="5"/>
        <v>W05</v>
      </c>
      <c r="F386" s="4">
        <v>12.64</v>
      </c>
      <c r="G386" s="4">
        <v>10</v>
      </c>
      <c r="H386" s="4">
        <v>10</v>
      </c>
      <c r="I386" s="4"/>
      <c r="J386" s="1" t="s">
        <v>775</v>
      </c>
      <c r="K386" s="1" t="s">
        <v>807</v>
      </c>
      <c r="L386" s="1" t="s">
        <v>809</v>
      </c>
      <c r="M386" s="1" t="s">
        <v>788</v>
      </c>
      <c r="N386" s="1" t="s">
        <v>777</v>
      </c>
      <c r="O386" s="6">
        <v>44916</v>
      </c>
      <c r="P386" s="6">
        <v>44845</v>
      </c>
      <c r="Q386" s="6">
        <v>44295</v>
      </c>
      <c r="R386" s="1" t="s">
        <v>779</v>
      </c>
      <c r="T386" s="5">
        <v>402</v>
      </c>
      <c r="U386" s="4">
        <v>3</v>
      </c>
      <c r="V386" s="5">
        <v>119</v>
      </c>
      <c r="W386" s="6">
        <v>43072</v>
      </c>
      <c r="X386" s="6">
        <v>43138</v>
      </c>
      <c r="Y386" s="6"/>
      <c r="Z386" s="6"/>
      <c r="AA386" s="6"/>
      <c r="AB386" s="6"/>
      <c r="AC386" s="6"/>
      <c r="AD386" s="6"/>
    </row>
    <row r="387" spans="1:30">
      <c r="A387" s="1" t="s">
        <v>772</v>
      </c>
      <c r="B387" s="1" t="s">
        <v>773</v>
      </c>
      <c r="C387" s="1" t="s">
        <v>989</v>
      </c>
      <c r="D387" s="1" t="s">
        <v>66</v>
      </c>
      <c r="E387" s="1" t="str">
        <f t="shared" si="5"/>
        <v>W05</v>
      </c>
      <c r="F387" s="4">
        <v>8.1999999999999993</v>
      </c>
      <c r="G387" s="4">
        <v>6.42</v>
      </c>
      <c r="H387" s="4">
        <v>6.42</v>
      </c>
      <c r="I387" s="4"/>
      <c r="J387" s="1" t="s">
        <v>775</v>
      </c>
      <c r="K387" s="1" t="s">
        <v>839</v>
      </c>
      <c r="L387" s="1" t="s">
        <v>777</v>
      </c>
      <c r="M387" s="1" t="s">
        <v>778</v>
      </c>
      <c r="N387" s="1" t="s">
        <v>788</v>
      </c>
      <c r="O387" s="6">
        <v>44778</v>
      </c>
      <c r="P387" s="6">
        <v>44773</v>
      </c>
      <c r="Q387" s="6">
        <v>44748</v>
      </c>
      <c r="R387" s="1" t="s">
        <v>779</v>
      </c>
      <c r="S387" s="1" t="s">
        <v>795</v>
      </c>
      <c r="T387" s="5">
        <v>577</v>
      </c>
      <c r="U387" s="4">
        <v>6</v>
      </c>
      <c r="V387" s="5">
        <v>191</v>
      </c>
      <c r="W387" s="6">
        <v>43178</v>
      </c>
      <c r="X387" s="6">
        <v>43553</v>
      </c>
      <c r="Y387" s="6"/>
      <c r="Z387" s="6"/>
      <c r="AA387" s="6"/>
      <c r="AB387" s="6"/>
      <c r="AC387" s="6"/>
      <c r="AD387" s="6"/>
    </row>
    <row r="388" spans="1:30">
      <c r="A388" s="1" t="s">
        <v>772</v>
      </c>
      <c r="B388" s="1" t="s">
        <v>773</v>
      </c>
      <c r="C388" s="1" t="s">
        <v>989</v>
      </c>
      <c r="D388" s="1" t="s">
        <v>559</v>
      </c>
      <c r="E388" s="1" t="str">
        <f t="shared" si="5"/>
        <v>W05</v>
      </c>
      <c r="F388" s="4">
        <v>8.2200000000000006</v>
      </c>
      <c r="G388" s="4">
        <v>6.42</v>
      </c>
      <c r="H388" s="4">
        <v>6.42</v>
      </c>
      <c r="I388" s="4"/>
      <c r="J388" s="1" t="s">
        <v>775</v>
      </c>
      <c r="K388" s="1" t="s">
        <v>884</v>
      </c>
      <c r="L388" s="1" t="s">
        <v>777</v>
      </c>
      <c r="M388" s="1" t="s">
        <v>778</v>
      </c>
      <c r="O388" s="6">
        <v>44715</v>
      </c>
      <c r="P388" s="6">
        <v>44712</v>
      </c>
      <c r="Q388" s="6">
        <v>44673</v>
      </c>
      <c r="R388" s="1" t="s">
        <v>779</v>
      </c>
      <c r="S388" s="1" t="s">
        <v>823</v>
      </c>
      <c r="T388" s="5">
        <v>457</v>
      </c>
      <c r="U388" s="4">
        <v>8</v>
      </c>
      <c r="V388" s="5">
        <v>252</v>
      </c>
      <c r="W388" s="6">
        <v>44996</v>
      </c>
      <c r="X388" s="6"/>
      <c r="Y388" s="6"/>
      <c r="Z388" s="6"/>
      <c r="AA388" s="6"/>
      <c r="AB388" s="6"/>
      <c r="AC388" s="6"/>
      <c r="AD388" s="6"/>
    </row>
    <row r="389" spans="1:30">
      <c r="A389" s="1" t="s">
        <v>772</v>
      </c>
      <c r="B389" s="1" t="s">
        <v>773</v>
      </c>
      <c r="C389" s="1" t="s">
        <v>989</v>
      </c>
      <c r="D389" s="1" t="s">
        <v>409</v>
      </c>
      <c r="E389" s="1" t="str">
        <f t="shared" ref="E389:E452" si="6">RIGHT(C389,3)</f>
        <v>W05</v>
      </c>
      <c r="F389" s="4">
        <v>11.21</v>
      </c>
      <c r="G389" s="4">
        <v>8.83</v>
      </c>
      <c r="H389" s="4">
        <v>8.83</v>
      </c>
      <c r="I389" s="4"/>
      <c r="J389" s="1" t="s">
        <v>775</v>
      </c>
      <c r="K389" s="1" t="s">
        <v>807</v>
      </c>
      <c r="L389" s="1" t="s">
        <v>787</v>
      </c>
      <c r="M389" s="1" t="s">
        <v>788</v>
      </c>
      <c r="N389" s="1" t="s">
        <v>787</v>
      </c>
      <c r="O389" s="6">
        <v>44897</v>
      </c>
      <c r="P389" s="6">
        <v>44874</v>
      </c>
      <c r="Q389" s="6">
        <v>44363</v>
      </c>
      <c r="R389" s="1" t="s">
        <v>779</v>
      </c>
      <c r="T389" s="5">
        <v>402</v>
      </c>
      <c r="U389" s="4">
        <v>2</v>
      </c>
      <c r="V389" s="5">
        <v>90</v>
      </c>
      <c r="W389" s="6">
        <v>43710</v>
      </c>
      <c r="X389" s="6">
        <v>42572</v>
      </c>
      <c r="Y389" s="6"/>
      <c r="Z389" s="6"/>
      <c r="AA389" s="6"/>
      <c r="AB389" s="6"/>
      <c r="AC389" s="6"/>
      <c r="AD389" s="6">
        <v>44896</v>
      </c>
    </row>
    <row r="390" spans="1:30">
      <c r="A390" s="1" t="s">
        <v>772</v>
      </c>
      <c r="B390" s="1" t="s">
        <v>773</v>
      </c>
      <c r="C390" s="1" t="s">
        <v>989</v>
      </c>
      <c r="D390" s="1" t="s">
        <v>379</v>
      </c>
      <c r="E390" s="1" t="str">
        <f t="shared" si="6"/>
        <v>W05</v>
      </c>
      <c r="F390" s="4">
        <v>8.15</v>
      </c>
      <c r="G390" s="4">
        <v>6.56</v>
      </c>
      <c r="H390" s="4">
        <v>6.56</v>
      </c>
      <c r="I390" s="4"/>
      <c r="J390" s="1" t="s">
        <v>775</v>
      </c>
      <c r="K390" s="1" t="s">
        <v>894</v>
      </c>
      <c r="L390" s="1" t="s">
        <v>787</v>
      </c>
      <c r="M390" s="1" t="s">
        <v>788</v>
      </c>
      <c r="O390" s="6">
        <v>44959</v>
      </c>
      <c r="P390" s="6">
        <v>44937</v>
      </c>
      <c r="Q390" s="6">
        <v>44345</v>
      </c>
      <c r="R390" s="1" t="s">
        <v>779</v>
      </c>
      <c r="T390" s="5">
        <v>402</v>
      </c>
      <c r="U390" s="4">
        <v>0</v>
      </c>
      <c r="V390" s="5">
        <v>27</v>
      </c>
      <c r="W390" s="6">
        <v>43322</v>
      </c>
      <c r="X390" s="6"/>
      <c r="Y390" s="6"/>
      <c r="Z390" s="6"/>
      <c r="AA390" s="6"/>
      <c r="AB390" s="6"/>
      <c r="AC390" s="6"/>
      <c r="AD390" s="6"/>
    </row>
    <row r="391" spans="1:30">
      <c r="A391" s="1" t="s">
        <v>772</v>
      </c>
      <c r="B391" s="1" t="s">
        <v>773</v>
      </c>
      <c r="C391" s="1" t="s">
        <v>989</v>
      </c>
      <c r="D391" s="1" t="s">
        <v>420</v>
      </c>
      <c r="E391" s="1" t="str">
        <f t="shared" si="6"/>
        <v>W05</v>
      </c>
      <c r="F391" s="4">
        <v>16.34</v>
      </c>
      <c r="G391" s="4">
        <v>12.82</v>
      </c>
      <c r="H391" s="4">
        <v>12.82</v>
      </c>
      <c r="I391" s="4"/>
      <c r="J391" s="1" t="s">
        <v>775</v>
      </c>
      <c r="K391" s="1" t="s">
        <v>833</v>
      </c>
      <c r="L391" s="1" t="s">
        <v>777</v>
      </c>
      <c r="M391" s="1" t="s">
        <v>778</v>
      </c>
      <c r="N391" s="1" t="s">
        <v>777</v>
      </c>
      <c r="O391" s="6">
        <v>44418</v>
      </c>
      <c r="P391" s="6">
        <v>44408</v>
      </c>
      <c r="Q391" s="6">
        <v>44383</v>
      </c>
      <c r="R391" s="1" t="s">
        <v>779</v>
      </c>
      <c r="S391" s="1" t="s">
        <v>795</v>
      </c>
      <c r="T391" s="5">
        <v>577</v>
      </c>
      <c r="U391" s="4">
        <v>18</v>
      </c>
      <c r="V391" s="5">
        <v>556</v>
      </c>
      <c r="W391" s="6">
        <v>43678</v>
      </c>
      <c r="X391" s="6">
        <v>43637</v>
      </c>
      <c r="Y391" s="6"/>
      <c r="Z391" s="6"/>
      <c r="AA391" s="6">
        <v>44832</v>
      </c>
      <c r="AB391" s="6"/>
      <c r="AC391" s="6"/>
      <c r="AD391" s="6">
        <v>44908</v>
      </c>
    </row>
    <row r="392" spans="1:30">
      <c r="A392" s="1" t="s">
        <v>772</v>
      </c>
      <c r="B392" s="1" t="s">
        <v>773</v>
      </c>
      <c r="C392" s="1" t="s">
        <v>989</v>
      </c>
      <c r="D392" s="1" t="s">
        <v>442</v>
      </c>
      <c r="E392" s="1" t="str">
        <f t="shared" si="6"/>
        <v>W05</v>
      </c>
      <c r="F392" s="4">
        <v>9.3000000000000007</v>
      </c>
      <c r="G392" s="4">
        <v>7.48</v>
      </c>
      <c r="H392" s="4">
        <v>7.48</v>
      </c>
      <c r="I392" s="4"/>
      <c r="J392" s="1" t="s">
        <v>775</v>
      </c>
      <c r="K392" s="1" t="s">
        <v>860</v>
      </c>
      <c r="L392" s="1" t="s">
        <v>777</v>
      </c>
      <c r="M392" s="1" t="s">
        <v>778</v>
      </c>
      <c r="N392" s="1" t="s">
        <v>777</v>
      </c>
      <c r="O392" s="6">
        <v>44455</v>
      </c>
      <c r="P392" s="6">
        <v>44450</v>
      </c>
      <c r="Q392" s="6">
        <v>44384</v>
      </c>
      <c r="R392" s="1" t="s">
        <v>779</v>
      </c>
      <c r="S392" s="1" t="s">
        <v>792</v>
      </c>
      <c r="T392" s="5">
        <v>577</v>
      </c>
      <c r="U392" s="4">
        <v>16</v>
      </c>
      <c r="V392" s="5">
        <v>514</v>
      </c>
      <c r="W392" s="6">
        <v>43895</v>
      </c>
      <c r="X392" s="6">
        <v>42898</v>
      </c>
      <c r="Y392" s="6"/>
      <c r="Z392" s="6"/>
      <c r="AA392" s="6">
        <v>44860</v>
      </c>
      <c r="AB392" s="6"/>
      <c r="AC392" s="6"/>
      <c r="AD392" s="6">
        <v>44963</v>
      </c>
    </row>
    <row r="393" spans="1:30">
      <c r="A393" s="1" t="s">
        <v>772</v>
      </c>
      <c r="B393" s="1" t="s">
        <v>773</v>
      </c>
      <c r="C393" s="1" t="s">
        <v>989</v>
      </c>
      <c r="D393" s="1" t="s">
        <v>431</v>
      </c>
      <c r="E393" s="1" t="str">
        <f t="shared" si="6"/>
        <v>W05</v>
      </c>
      <c r="F393" s="5">
        <v>5.2</v>
      </c>
      <c r="G393" s="4">
        <v>4.17</v>
      </c>
      <c r="H393" s="4">
        <v>4.17</v>
      </c>
      <c r="I393" s="4"/>
      <c r="J393" s="1" t="s">
        <v>775</v>
      </c>
      <c r="K393" s="1" t="s">
        <v>833</v>
      </c>
      <c r="L393" s="1" t="s">
        <v>777</v>
      </c>
      <c r="M393" s="1" t="s">
        <v>778</v>
      </c>
      <c r="N393" s="1" t="s">
        <v>787</v>
      </c>
      <c r="O393" s="6">
        <v>44433</v>
      </c>
      <c r="P393" s="6">
        <v>44422</v>
      </c>
      <c r="Q393" s="6">
        <v>44384</v>
      </c>
      <c r="R393" s="1" t="s">
        <v>779</v>
      </c>
      <c r="S393" s="1" t="s">
        <v>792</v>
      </c>
      <c r="T393" s="5">
        <v>577</v>
      </c>
      <c r="U393" s="4">
        <v>17</v>
      </c>
      <c r="V393" s="5">
        <v>542</v>
      </c>
      <c r="W393" s="6">
        <v>43293</v>
      </c>
      <c r="X393" s="6">
        <v>43079</v>
      </c>
      <c r="Y393" s="6"/>
      <c r="Z393" s="6"/>
      <c r="AA393" s="6">
        <v>44832</v>
      </c>
      <c r="AB393" s="6"/>
      <c r="AC393" s="6"/>
      <c r="AD393" s="6">
        <v>44899</v>
      </c>
    </row>
    <row r="394" spans="1:30">
      <c r="A394" s="1" t="s">
        <v>772</v>
      </c>
      <c r="B394" s="1" t="s">
        <v>773</v>
      </c>
      <c r="C394" s="1" t="s">
        <v>989</v>
      </c>
      <c r="D394" s="1" t="s">
        <v>428</v>
      </c>
      <c r="E394" s="1" t="str">
        <f t="shared" si="6"/>
        <v>W05</v>
      </c>
      <c r="F394" s="4">
        <v>10.88</v>
      </c>
      <c r="G394" s="4">
        <v>8.6999999999999993</v>
      </c>
      <c r="H394" s="4">
        <v>8.6999999999999993</v>
      </c>
      <c r="I394" s="4"/>
      <c r="J394" s="1" t="s">
        <v>775</v>
      </c>
      <c r="K394" s="1" t="s">
        <v>833</v>
      </c>
      <c r="L394" s="1" t="s">
        <v>777</v>
      </c>
      <c r="M394" s="1" t="s">
        <v>778</v>
      </c>
      <c r="N394" s="1" t="s">
        <v>777</v>
      </c>
      <c r="O394" s="6">
        <v>44424</v>
      </c>
      <c r="P394" s="6">
        <v>44416</v>
      </c>
      <c r="Q394" s="6">
        <v>44384</v>
      </c>
      <c r="R394" s="1" t="s">
        <v>779</v>
      </c>
      <c r="S394" s="1" t="s">
        <v>792</v>
      </c>
      <c r="T394" s="5">
        <v>577</v>
      </c>
      <c r="U394" s="4">
        <v>18</v>
      </c>
      <c r="V394" s="5">
        <v>548</v>
      </c>
      <c r="W394" s="6">
        <v>43100</v>
      </c>
      <c r="X394" s="6">
        <v>43100</v>
      </c>
      <c r="Y394" s="6"/>
      <c r="Z394" s="6"/>
      <c r="AA394" s="6">
        <v>44835</v>
      </c>
      <c r="AB394" s="6"/>
      <c r="AC394" s="6"/>
      <c r="AD394" s="6">
        <v>44899</v>
      </c>
    </row>
    <row r="395" spans="1:30">
      <c r="A395" s="1" t="s">
        <v>772</v>
      </c>
      <c r="B395" s="1" t="s">
        <v>773</v>
      </c>
      <c r="C395" s="1" t="s">
        <v>989</v>
      </c>
      <c r="D395" s="1" t="s">
        <v>422</v>
      </c>
      <c r="E395" s="1" t="str">
        <f t="shared" si="6"/>
        <v>W05</v>
      </c>
      <c r="F395" s="4">
        <v>7.86</v>
      </c>
      <c r="G395" s="4">
        <v>6.15</v>
      </c>
      <c r="H395" s="4">
        <v>6.15</v>
      </c>
      <c r="I395" s="4"/>
      <c r="J395" s="1" t="s">
        <v>775</v>
      </c>
      <c r="K395" s="1" t="s">
        <v>807</v>
      </c>
      <c r="L395" s="1" t="s">
        <v>787</v>
      </c>
      <c r="M395" s="1" t="s">
        <v>788</v>
      </c>
      <c r="N395" s="1" t="s">
        <v>787</v>
      </c>
      <c r="O395" s="6">
        <v>44897</v>
      </c>
      <c r="P395" s="6">
        <v>44895</v>
      </c>
      <c r="Q395" s="6">
        <v>44384</v>
      </c>
      <c r="R395" s="1" t="s">
        <v>779</v>
      </c>
      <c r="T395" s="5">
        <v>402</v>
      </c>
      <c r="U395" s="4">
        <v>2</v>
      </c>
      <c r="V395" s="5">
        <v>69</v>
      </c>
      <c r="W395" s="6">
        <v>43710</v>
      </c>
      <c r="X395" s="6">
        <v>42572</v>
      </c>
      <c r="Y395" s="6"/>
      <c r="Z395" s="6"/>
      <c r="AA395" s="6"/>
      <c r="AB395" s="6"/>
      <c r="AC395" s="6"/>
      <c r="AD395" s="6">
        <v>44896</v>
      </c>
    </row>
    <row r="396" spans="1:30">
      <c r="A396" s="1" t="s">
        <v>772</v>
      </c>
      <c r="B396" s="1" t="s">
        <v>773</v>
      </c>
      <c r="C396" s="1" t="s">
        <v>989</v>
      </c>
      <c r="D396" s="1" t="s">
        <v>468</v>
      </c>
      <c r="E396" s="1" t="str">
        <f t="shared" si="6"/>
        <v>W05</v>
      </c>
      <c r="F396" s="4">
        <v>9.0500000000000007</v>
      </c>
      <c r="G396" s="4">
        <v>7.1</v>
      </c>
      <c r="H396" s="4">
        <v>7.1</v>
      </c>
      <c r="I396" s="4"/>
      <c r="J396" s="1" t="s">
        <v>775</v>
      </c>
      <c r="K396" s="1" t="s">
        <v>881</v>
      </c>
      <c r="L396" s="1" t="s">
        <v>777</v>
      </c>
      <c r="M396" s="1" t="s">
        <v>778</v>
      </c>
      <c r="N396" s="1" t="s">
        <v>787</v>
      </c>
      <c r="O396" s="6">
        <v>44540</v>
      </c>
      <c r="P396" s="6">
        <v>44521</v>
      </c>
      <c r="Q396" s="6">
        <v>44487</v>
      </c>
      <c r="R396" s="1" t="s">
        <v>779</v>
      </c>
      <c r="S396" s="1" t="s">
        <v>780</v>
      </c>
      <c r="T396" s="5">
        <v>517</v>
      </c>
      <c r="U396" s="4">
        <v>14</v>
      </c>
      <c r="V396" s="5">
        <v>443</v>
      </c>
      <c r="W396" s="6">
        <v>43293</v>
      </c>
      <c r="X396" s="6">
        <v>43079</v>
      </c>
      <c r="Y396" s="6"/>
      <c r="Z396" s="6"/>
      <c r="AA396" s="6">
        <v>44860</v>
      </c>
      <c r="AB396" s="6"/>
      <c r="AC396" s="6"/>
      <c r="AD396" s="6"/>
    </row>
    <row r="397" spans="1:30">
      <c r="A397" s="1" t="s">
        <v>772</v>
      </c>
      <c r="B397" s="1" t="s">
        <v>773</v>
      </c>
      <c r="C397" s="1" t="s">
        <v>989</v>
      </c>
      <c r="D397" s="1" t="s">
        <v>455</v>
      </c>
      <c r="E397" s="1" t="str">
        <f t="shared" si="6"/>
        <v>W05</v>
      </c>
      <c r="F397" s="4">
        <v>8.93</v>
      </c>
      <c r="G397" s="4">
        <v>7.05</v>
      </c>
      <c r="H397" s="4">
        <v>7.05</v>
      </c>
      <c r="I397" s="4"/>
      <c r="J397" s="1" t="s">
        <v>775</v>
      </c>
      <c r="K397" s="1" t="s">
        <v>894</v>
      </c>
      <c r="L397" s="1" t="s">
        <v>787</v>
      </c>
      <c r="M397" s="1" t="s">
        <v>788</v>
      </c>
      <c r="O397" s="6">
        <v>44959</v>
      </c>
      <c r="P397" s="6">
        <v>44941</v>
      </c>
      <c r="Q397" s="6">
        <v>44463</v>
      </c>
      <c r="R397" s="1" t="s">
        <v>779</v>
      </c>
      <c r="T397" s="5">
        <v>402</v>
      </c>
      <c r="U397" s="4">
        <v>0</v>
      </c>
      <c r="V397" s="5">
        <v>23</v>
      </c>
      <c r="W397" s="6">
        <v>43322</v>
      </c>
      <c r="X397" s="6"/>
      <c r="Y397" s="6"/>
      <c r="Z397" s="6"/>
      <c r="AA397" s="6"/>
      <c r="AB397" s="6"/>
      <c r="AC397" s="6"/>
      <c r="AD397" s="6"/>
    </row>
    <row r="398" spans="1:30">
      <c r="A398" s="1" t="s">
        <v>772</v>
      </c>
      <c r="B398" s="1" t="s">
        <v>773</v>
      </c>
      <c r="C398" s="1" t="s">
        <v>989</v>
      </c>
      <c r="D398" s="1" t="s">
        <v>447</v>
      </c>
      <c r="E398" s="1" t="str">
        <f t="shared" si="6"/>
        <v>W05</v>
      </c>
      <c r="F398" s="4">
        <v>8.26</v>
      </c>
      <c r="G398" s="4">
        <v>6.5</v>
      </c>
      <c r="H398" s="4">
        <v>6.5</v>
      </c>
      <c r="I398" s="4"/>
      <c r="J398" s="1" t="s">
        <v>775</v>
      </c>
      <c r="K398" s="1" t="s">
        <v>894</v>
      </c>
      <c r="L398" s="1" t="s">
        <v>787</v>
      </c>
      <c r="M398" s="1" t="s">
        <v>788</v>
      </c>
      <c r="O398" s="6">
        <v>44959</v>
      </c>
      <c r="P398" s="6">
        <v>44941</v>
      </c>
      <c r="Q398" s="6">
        <v>44449</v>
      </c>
      <c r="R398" s="1" t="s">
        <v>779</v>
      </c>
      <c r="T398" s="5">
        <v>402</v>
      </c>
      <c r="U398" s="4">
        <v>0</v>
      </c>
      <c r="V398" s="5">
        <v>23</v>
      </c>
      <c r="W398" s="6">
        <v>43322</v>
      </c>
      <c r="X398" s="6"/>
      <c r="Y398" s="6"/>
      <c r="Z398" s="6"/>
      <c r="AA398" s="6"/>
      <c r="AB398" s="6"/>
      <c r="AC398" s="6"/>
      <c r="AD398" s="6"/>
    </row>
    <row r="399" spans="1:30">
      <c r="A399" s="1" t="s">
        <v>772</v>
      </c>
      <c r="B399" s="1" t="s">
        <v>773</v>
      </c>
      <c r="C399" s="1" t="s">
        <v>989</v>
      </c>
      <c r="D399" s="1" t="s">
        <v>454</v>
      </c>
      <c r="E399" s="1" t="str">
        <f t="shared" si="6"/>
        <v>W05</v>
      </c>
      <c r="F399" s="4">
        <v>8.4600000000000009</v>
      </c>
      <c r="G399" s="4">
        <v>6.63</v>
      </c>
      <c r="H399" s="4">
        <v>6.63</v>
      </c>
      <c r="I399" s="4"/>
      <c r="J399" s="1" t="s">
        <v>775</v>
      </c>
      <c r="K399" s="1" t="s">
        <v>886</v>
      </c>
      <c r="L399" s="1" t="s">
        <v>777</v>
      </c>
      <c r="M399" s="1" t="s">
        <v>778</v>
      </c>
      <c r="N399" s="1" t="s">
        <v>787</v>
      </c>
      <c r="O399" s="6">
        <v>44490</v>
      </c>
      <c r="P399" s="6">
        <v>44484</v>
      </c>
      <c r="Q399" s="6">
        <v>44467</v>
      </c>
      <c r="R399" s="1" t="s">
        <v>779</v>
      </c>
      <c r="S399" s="1" t="s">
        <v>795</v>
      </c>
      <c r="T399" s="5">
        <v>577</v>
      </c>
      <c r="U399" s="4">
        <v>15</v>
      </c>
      <c r="V399" s="5">
        <v>480</v>
      </c>
      <c r="W399" s="6">
        <v>43293</v>
      </c>
      <c r="X399" s="6">
        <v>43079</v>
      </c>
      <c r="Y399" s="6"/>
      <c r="Z399" s="6"/>
      <c r="AA399" s="6">
        <v>44886</v>
      </c>
      <c r="AB399" s="6"/>
      <c r="AC399" s="6"/>
      <c r="AD399" s="6">
        <v>44951</v>
      </c>
    </row>
    <row r="400" spans="1:30">
      <c r="A400" s="1" t="s">
        <v>772</v>
      </c>
      <c r="B400" s="1" t="s">
        <v>773</v>
      </c>
      <c r="C400" s="1" t="s">
        <v>989</v>
      </c>
      <c r="D400" s="1" t="s">
        <v>23</v>
      </c>
      <c r="E400" s="1" t="str">
        <f t="shared" si="6"/>
        <v>W05</v>
      </c>
      <c r="F400" s="4">
        <v>7.83</v>
      </c>
      <c r="G400" s="4">
        <v>6.15</v>
      </c>
      <c r="H400" s="4">
        <v>6.15</v>
      </c>
      <c r="I400" s="4"/>
      <c r="J400" s="1" t="s">
        <v>775</v>
      </c>
      <c r="K400" s="1" t="s">
        <v>839</v>
      </c>
      <c r="L400" s="1" t="s">
        <v>777</v>
      </c>
      <c r="M400" s="1" t="s">
        <v>778</v>
      </c>
      <c r="N400" s="1" t="s">
        <v>787</v>
      </c>
      <c r="O400" s="6">
        <v>44798</v>
      </c>
      <c r="P400" s="6">
        <v>44783</v>
      </c>
      <c r="Q400" s="6">
        <v>44777</v>
      </c>
      <c r="R400" s="1" t="s">
        <v>779</v>
      </c>
      <c r="S400" s="1" t="s">
        <v>792</v>
      </c>
      <c r="T400" s="5">
        <v>577</v>
      </c>
      <c r="U400" s="4">
        <v>5</v>
      </c>
      <c r="V400" s="5">
        <v>181</v>
      </c>
      <c r="W400" s="6">
        <v>43293</v>
      </c>
      <c r="X400" s="6">
        <v>43079</v>
      </c>
      <c r="Y400" s="6"/>
      <c r="Z400" s="6"/>
      <c r="AA400" s="6"/>
      <c r="AB400" s="6"/>
      <c r="AC400" s="6"/>
      <c r="AD400" s="6"/>
    </row>
    <row r="401" spans="1:30">
      <c r="A401" s="1" t="s">
        <v>772</v>
      </c>
      <c r="B401" s="1" t="s">
        <v>773</v>
      </c>
      <c r="C401" s="1" t="s">
        <v>989</v>
      </c>
      <c r="D401" s="1" t="s">
        <v>417</v>
      </c>
      <c r="E401" s="1" t="str">
        <f t="shared" si="6"/>
        <v>W05</v>
      </c>
      <c r="F401" s="4">
        <v>13.32</v>
      </c>
      <c r="G401" s="4">
        <v>10.64</v>
      </c>
      <c r="H401" s="4">
        <v>10.64</v>
      </c>
      <c r="I401" s="4"/>
      <c r="J401" s="1" t="s">
        <v>775</v>
      </c>
      <c r="K401" s="1" t="s">
        <v>807</v>
      </c>
      <c r="L401" s="1" t="s">
        <v>787</v>
      </c>
      <c r="M401" s="1" t="s">
        <v>788</v>
      </c>
      <c r="N401" s="1" t="s">
        <v>787</v>
      </c>
      <c r="O401" s="6">
        <v>44897</v>
      </c>
      <c r="P401" s="6">
        <v>44890</v>
      </c>
      <c r="Q401" s="6">
        <v>44383</v>
      </c>
      <c r="R401" s="1" t="s">
        <v>779</v>
      </c>
      <c r="T401" s="5">
        <v>402</v>
      </c>
      <c r="U401" s="4">
        <v>2</v>
      </c>
      <c r="V401" s="5">
        <v>74</v>
      </c>
      <c r="W401" s="6">
        <v>43710</v>
      </c>
      <c r="X401" s="6">
        <v>42572</v>
      </c>
      <c r="Y401" s="6"/>
      <c r="Z401" s="6"/>
      <c r="AA401" s="6"/>
      <c r="AB401" s="6"/>
      <c r="AC401" s="6"/>
      <c r="AD401" s="6">
        <v>44900</v>
      </c>
    </row>
    <row r="402" spans="1:30">
      <c r="A402" s="1" t="s">
        <v>772</v>
      </c>
      <c r="B402" s="1" t="s">
        <v>773</v>
      </c>
      <c r="C402" s="1" t="s">
        <v>1002</v>
      </c>
      <c r="D402" s="1" t="s">
        <v>345</v>
      </c>
      <c r="E402" s="1" t="str">
        <f t="shared" si="6"/>
        <v>W06</v>
      </c>
      <c r="F402" s="4">
        <v>9.9</v>
      </c>
      <c r="G402" s="4">
        <v>7.75</v>
      </c>
      <c r="H402" s="4">
        <v>7.75</v>
      </c>
      <c r="I402" s="4"/>
      <c r="J402" s="1" t="s">
        <v>775</v>
      </c>
      <c r="K402" s="1" t="s">
        <v>862</v>
      </c>
      <c r="L402" s="1" t="s">
        <v>787</v>
      </c>
      <c r="M402" s="1" t="s">
        <v>788</v>
      </c>
      <c r="N402" s="1" t="s">
        <v>777</v>
      </c>
      <c r="O402" s="6">
        <v>44837</v>
      </c>
      <c r="P402" s="6">
        <v>44822</v>
      </c>
      <c r="Q402" s="6">
        <v>44256</v>
      </c>
      <c r="R402" s="1" t="s">
        <v>779</v>
      </c>
      <c r="T402" s="5">
        <v>300</v>
      </c>
      <c r="U402" s="4">
        <v>4</v>
      </c>
      <c r="V402" s="5">
        <v>142</v>
      </c>
      <c r="W402" s="6">
        <v>43678</v>
      </c>
      <c r="X402" s="6">
        <v>43637</v>
      </c>
      <c r="Y402" s="6"/>
      <c r="Z402" s="6"/>
      <c r="AA402" s="6"/>
      <c r="AB402" s="6"/>
      <c r="AC402" s="6"/>
      <c r="AD402" s="6">
        <v>44884</v>
      </c>
    </row>
    <row r="403" spans="1:30">
      <c r="A403" s="1" t="s">
        <v>772</v>
      </c>
      <c r="B403" s="1" t="s">
        <v>773</v>
      </c>
      <c r="C403" s="1" t="s">
        <v>1002</v>
      </c>
      <c r="D403" s="1" t="s">
        <v>26</v>
      </c>
      <c r="E403" s="1" t="str">
        <f t="shared" si="6"/>
        <v>W06</v>
      </c>
      <c r="F403" s="4">
        <v>12.4</v>
      </c>
      <c r="G403" s="4">
        <v>9.58</v>
      </c>
      <c r="H403" s="4">
        <v>9.58</v>
      </c>
      <c r="I403" s="4"/>
      <c r="J403" s="1" t="s">
        <v>775</v>
      </c>
      <c r="K403" s="1" t="s">
        <v>839</v>
      </c>
      <c r="L403" s="1" t="s">
        <v>777</v>
      </c>
      <c r="M403" s="1" t="s">
        <v>778</v>
      </c>
      <c r="N403" s="1" t="s">
        <v>787</v>
      </c>
      <c r="O403" s="6">
        <v>44798</v>
      </c>
      <c r="P403" s="6">
        <v>44786</v>
      </c>
      <c r="Q403" s="6">
        <v>44761</v>
      </c>
      <c r="R403" s="1" t="s">
        <v>779</v>
      </c>
      <c r="S403" s="1" t="s">
        <v>795</v>
      </c>
      <c r="T403" s="5">
        <v>577</v>
      </c>
      <c r="U403" s="4">
        <v>5</v>
      </c>
      <c r="V403" s="5">
        <v>178</v>
      </c>
      <c r="W403" s="6">
        <v>43293</v>
      </c>
      <c r="X403" s="6">
        <v>43079</v>
      </c>
      <c r="Y403" s="6"/>
      <c r="Z403" s="6"/>
      <c r="AA403" s="6"/>
      <c r="AB403" s="6"/>
      <c r="AC403" s="6"/>
      <c r="AD403" s="6"/>
    </row>
    <row r="404" spans="1:30">
      <c r="A404" s="1" t="s">
        <v>772</v>
      </c>
      <c r="B404" s="1" t="s">
        <v>773</v>
      </c>
      <c r="C404" s="1" t="s">
        <v>1002</v>
      </c>
      <c r="D404" s="1" t="s">
        <v>554</v>
      </c>
      <c r="E404" s="1" t="str">
        <f t="shared" si="6"/>
        <v>W06</v>
      </c>
      <c r="F404" s="4">
        <v>7.25</v>
      </c>
      <c r="G404" s="4">
        <v>5.62</v>
      </c>
      <c r="H404" s="4">
        <v>5.62</v>
      </c>
      <c r="I404" s="4"/>
      <c r="J404" s="1" t="s">
        <v>775</v>
      </c>
      <c r="K404" s="1" t="s">
        <v>884</v>
      </c>
      <c r="L404" s="1" t="s">
        <v>777</v>
      </c>
      <c r="M404" s="1" t="s">
        <v>778</v>
      </c>
      <c r="N404" s="1" t="s">
        <v>787</v>
      </c>
      <c r="O404" s="6">
        <v>44715</v>
      </c>
      <c r="P404" s="6">
        <v>44705</v>
      </c>
      <c r="Q404" s="6">
        <v>44655</v>
      </c>
      <c r="R404" s="1" t="s">
        <v>779</v>
      </c>
      <c r="S404" s="1" t="s">
        <v>780</v>
      </c>
      <c r="T404" s="5">
        <v>517</v>
      </c>
      <c r="U404" s="4">
        <v>8</v>
      </c>
      <c r="V404" s="5">
        <v>259</v>
      </c>
      <c r="W404" s="6">
        <v>43535</v>
      </c>
      <c r="X404" s="6">
        <v>43566</v>
      </c>
      <c r="Y404" s="6"/>
      <c r="Z404" s="6"/>
      <c r="AA404" s="6"/>
      <c r="AB404" s="6"/>
      <c r="AC404" s="6"/>
      <c r="AD404" s="6"/>
    </row>
    <row r="405" spans="1:30">
      <c r="A405" s="1" t="s">
        <v>772</v>
      </c>
      <c r="B405" s="1" t="s">
        <v>773</v>
      </c>
      <c r="C405" s="1" t="s">
        <v>989</v>
      </c>
      <c r="D405" s="1" t="s">
        <v>339</v>
      </c>
      <c r="E405" s="1" t="str">
        <f t="shared" si="6"/>
        <v>W05</v>
      </c>
      <c r="F405" s="4">
        <v>9.68</v>
      </c>
      <c r="G405" s="4">
        <v>7.68</v>
      </c>
      <c r="H405" s="4">
        <v>7.68</v>
      </c>
      <c r="I405" s="4"/>
      <c r="J405" s="1" t="s">
        <v>775</v>
      </c>
      <c r="K405" s="1" t="s">
        <v>808</v>
      </c>
      <c r="L405" s="1" t="s">
        <v>809</v>
      </c>
      <c r="M405" s="1" t="s">
        <v>788</v>
      </c>
      <c r="N405" s="1" t="s">
        <v>787</v>
      </c>
      <c r="O405" s="6">
        <v>44882</v>
      </c>
      <c r="P405" s="6">
        <v>44821</v>
      </c>
      <c r="Q405" s="6">
        <v>44252</v>
      </c>
      <c r="R405" s="1" t="s">
        <v>779</v>
      </c>
      <c r="T405" s="5">
        <v>402</v>
      </c>
      <c r="U405" s="4">
        <v>4</v>
      </c>
      <c r="V405" s="5">
        <v>143</v>
      </c>
      <c r="W405" s="6">
        <v>43710</v>
      </c>
      <c r="X405" s="6">
        <v>42572</v>
      </c>
      <c r="Y405" s="6"/>
      <c r="Z405" s="6"/>
      <c r="AA405" s="6"/>
      <c r="AB405" s="6"/>
      <c r="AC405" s="6"/>
      <c r="AD405" s="6"/>
    </row>
    <row r="406" spans="1:30">
      <c r="A406" s="1" t="s">
        <v>772</v>
      </c>
      <c r="B406" s="1" t="s">
        <v>773</v>
      </c>
      <c r="C406" s="1" t="s">
        <v>1002</v>
      </c>
      <c r="D406" s="1" t="s">
        <v>556</v>
      </c>
      <c r="E406" s="1" t="str">
        <f t="shared" si="6"/>
        <v>W06</v>
      </c>
      <c r="F406" s="4">
        <v>10.81</v>
      </c>
      <c r="G406" s="4">
        <v>8.42</v>
      </c>
      <c r="H406" s="4">
        <v>8.42</v>
      </c>
      <c r="I406" s="4"/>
      <c r="J406" s="1" t="s">
        <v>775</v>
      </c>
      <c r="K406" s="1" t="s">
        <v>884</v>
      </c>
      <c r="L406" s="1" t="s">
        <v>777</v>
      </c>
      <c r="M406" s="1" t="s">
        <v>778</v>
      </c>
      <c r="O406" s="6">
        <v>44715</v>
      </c>
      <c r="P406" s="6">
        <v>44712</v>
      </c>
      <c r="Q406" s="6">
        <v>44659</v>
      </c>
      <c r="R406" s="1" t="s">
        <v>779</v>
      </c>
      <c r="S406" s="1" t="s">
        <v>882</v>
      </c>
      <c r="T406" s="5">
        <v>517</v>
      </c>
      <c r="U406" s="4">
        <v>8</v>
      </c>
      <c r="V406" s="5">
        <v>252</v>
      </c>
      <c r="W406" s="6">
        <v>45013</v>
      </c>
      <c r="X406" s="6"/>
      <c r="Y406" s="6"/>
      <c r="Z406" s="6"/>
      <c r="AA406" s="6"/>
      <c r="AB406" s="6"/>
      <c r="AC406" s="6"/>
      <c r="AD406" s="6"/>
    </row>
    <row r="407" spans="1:30">
      <c r="A407" s="1" t="s">
        <v>772</v>
      </c>
      <c r="B407" s="1" t="s">
        <v>773</v>
      </c>
      <c r="C407" s="1" t="s">
        <v>989</v>
      </c>
      <c r="D407" s="1" t="s">
        <v>163</v>
      </c>
      <c r="E407" s="1" t="str">
        <f t="shared" si="6"/>
        <v>W05</v>
      </c>
      <c r="F407" s="4">
        <v>11.92</v>
      </c>
      <c r="G407" s="4">
        <v>9.31</v>
      </c>
      <c r="H407" s="4">
        <v>9.31</v>
      </c>
      <c r="I407" s="4"/>
      <c r="J407" s="1" t="s">
        <v>775</v>
      </c>
      <c r="K407" s="1" t="s">
        <v>791</v>
      </c>
      <c r="L407" s="1" t="s">
        <v>777</v>
      </c>
      <c r="M407" s="1" t="s">
        <v>778</v>
      </c>
      <c r="N407" s="1" t="s">
        <v>777</v>
      </c>
      <c r="O407" s="6">
        <v>44957</v>
      </c>
      <c r="P407" s="6">
        <v>44936</v>
      </c>
      <c r="Q407" s="6">
        <v>44916</v>
      </c>
      <c r="R407" s="1" t="s">
        <v>779</v>
      </c>
      <c r="S407" s="1" t="s">
        <v>795</v>
      </c>
      <c r="T407" s="5">
        <v>577</v>
      </c>
      <c r="U407" s="4">
        <v>0</v>
      </c>
      <c r="V407" s="5">
        <v>28</v>
      </c>
      <c r="W407" s="6">
        <v>43175</v>
      </c>
      <c r="X407" s="6">
        <v>43206</v>
      </c>
      <c r="Y407" s="6"/>
      <c r="Z407" s="6"/>
      <c r="AA407" s="6"/>
      <c r="AB407" s="6"/>
      <c r="AC407" s="6"/>
      <c r="AD407" s="6"/>
    </row>
    <row r="408" spans="1:30">
      <c r="A408" s="1" t="s">
        <v>772</v>
      </c>
      <c r="B408" s="1" t="s">
        <v>773</v>
      </c>
      <c r="C408" s="1" t="s">
        <v>989</v>
      </c>
      <c r="D408" s="1" t="s">
        <v>1008</v>
      </c>
      <c r="E408" s="1" t="str">
        <f t="shared" si="6"/>
        <v>W05</v>
      </c>
      <c r="F408" s="4">
        <v>4.82</v>
      </c>
      <c r="G408" s="4">
        <v>4.1500000000000004</v>
      </c>
      <c r="H408" s="4">
        <v>4.1500000000000004</v>
      </c>
      <c r="I408" s="4"/>
      <c r="J408" s="1" t="s">
        <v>775</v>
      </c>
      <c r="K408" s="1" t="s">
        <v>1009</v>
      </c>
      <c r="L408" s="1" t="s">
        <v>829</v>
      </c>
      <c r="M408" s="1" t="s">
        <v>913</v>
      </c>
      <c r="N408" s="1" t="s">
        <v>787</v>
      </c>
      <c r="O408" s="6">
        <v>44718</v>
      </c>
      <c r="P408" s="6">
        <v>44713</v>
      </c>
      <c r="Q408" s="6">
        <v>44706</v>
      </c>
      <c r="R408" s="1" t="s">
        <v>830</v>
      </c>
      <c r="S408" s="1" t="s">
        <v>914</v>
      </c>
      <c r="T408" s="5">
        <v>330</v>
      </c>
      <c r="U408" s="4">
        <v>8</v>
      </c>
      <c r="V408" s="5">
        <v>251</v>
      </c>
      <c r="W408" s="6">
        <v>43293</v>
      </c>
      <c r="X408" s="6">
        <v>43079</v>
      </c>
      <c r="Y408" s="6"/>
      <c r="Z408" s="6"/>
      <c r="AA408" s="6"/>
      <c r="AB408" s="6"/>
      <c r="AC408" s="6"/>
      <c r="AD408" s="6">
        <v>44957</v>
      </c>
    </row>
    <row r="409" spans="1:30">
      <c r="A409" s="1" t="s">
        <v>772</v>
      </c>
      <c r="B409" s="1" t="s">
        <v>773</v>
      </c>
      <c r="C409" s="1" t="s">
        <v>1002</v>
      </c>
      <c r="D409" s="1" t="s">
        <v>540</v>
      </c>
      <c r="E409" s="1" t="str">
        <f t="shared" si="6"/>
        <v>W06</v>
      </c>
      <c r="F409" s="4">
        <v>12.56</v>
      </c>
      <c r="G409" s="4">
        <v>9.9499999999999993</v>
      </c>
      <c r="H409" s="4">
        <v>9.9499999999999993</v>
      </c>
      <c r="I409" s="4"/>
      <c r="J409" s="1" t="s">
        <v>775</v>
      </c>
      <c r="K409" s="1" t="s">
        <v>805</v>
      </c>
      <c r="L409" s="1" t="s">
        <v>777</v>
      </c>
      <c r="M409" s="1" t="s">
        <v>778</v>
      </c>
      <c r="N409" s="1" t="s">
        <v>787</v>
      </c>
      <c r="O409" s="6">
        <v>44680</v>
      </c>
      <c r="P409" s="6">
        <v>44667</v>
      </c>
      <c r="Q409" s="6">
        <v>44641</v>
      </c>
      <c r="R409" s="1" t="s">
        <v>779</v>
      </c>
      <c r="S409" s="1" t="s">
        <v>795</v>
      </c>
      <c r="T409" s="5">
        <v>577</v>
      </c>
      <c r="U409" s="4">
        <v>9</v>
      </c>
      <c r="V409" s="5">
        <v>297</v>
      </c>
      <c r="W409" s="6">
        <v>43293</v>
      </c>
      <c r="X409" s="6">
        <v>43079</v>
      </c>
      <c r="Y409" s="6"/>
      <c r="Z409" s="6"/>
      <c r="AA409" s="6"/>
      <c r="AB409" s="6"/>
      <c r="AC409" s="6"/>
      <c r="AD409" s="6"/>
    </row>
    <row r="410" spans="1:30">
      <c r="A410" s="1" t="s">
        <v>772</v>
      </c>
      <c r="B410" s="1" t="s">
        <v>773</v>
      </c>
      <c r="C410" s="1" t="s">
        <v>1002</v>
      </c>
      <c r="D410" s="1" t="s">
        <v>491</v>
      </c>
      <c r="E410" s="1" t="str">
        <f t="shared" si="6"/>
        <v>W06</v>
      </c>
      <c r="F410" s="4">
        <v>7.13</v>
      </c>
      <c r="G410" s="4">
        <v>5.73</v>
      </c>
      <c r="H410" s="4">
        <v>5.73</v>
      </c>
      <c r="I410" s="4"/>
      <c r="J410" s="1" t="s">
        <v>775</v>
      </c>
      <c r="K410" s="1" t="s">
        <v>840</v>
      </c>
      <c r="L410" s="1" t="s">
        <v>777</v>
      </c>
      <c r="M410" s="1" t="s">
        <v>778</v>
      </c>
      <c r="N410" s="1" t="s">
        <v>787</v>
      </c>
      <c r="O410" s="6">
        <v>44589</v>
      </c>
      <c r="P410" s="6">
        <v>44575</v>
      </c>
      <c r="Q410" s="6">
        <v>44560</v>
      </c>
      <c r="R410" s="1" t="s">
        <v>779</v>
      </c>
      <c r="S410" s="1" t="s">
        <v>823</v>
      </c>
      <c r="T410" s="5">
        <v>457</v>
      </c>
      <c r="U410" s="4">
        <v>12</v>
      </c>
      <c r="V410" s="5">
        <v>389</v>
      </c>
      <c r="W410" s="6">
        <v>43373</v>
      </c>
      <c r="X410" s="6">
        <v>42702</v>
      </c>
      <c r="Y410" s="6"/>
      <c r="Z410" s="6"/>
      <c r="AA410" s="6">
        <v>44925</v>
      </c>
      <c r="AB410" s="6"/>
      <c r="AC410" s="6"/>
      <c r="AD410" s="6"/>
    </row>
    <row r="411" spans="1:30">
      <c r="A411" s="1" t="s">
        <v>772</v>
      </c>
      <c r="B411" s="1" t="s">
        <v>773</v>
      </c>
      <c r="C411" s="1" t="s">
        <v>1002</v>
      </c>
      <c r="D411" s="1" t="s">
        <v>497</v>
      </c>
      <c r="E411" s="1" t="str">
        <f t="shared" si="6"/>
        <v>W06</v>
      </c>
      <c r="F411" s="4">
        <v>13</v>
      </c>
      <c r="G411" s="4">
        <v>9.98</v>
      </c>
      <c r="H411" s="4">
        <v>9.98</v>
      </c>
      <c r="I411" s="4"/>
      <c r="J411" s="1" t="s">
        <v>775</v>
      </c>
      <c r="K411" s="1" t="s">
        <v>840</v>
      </c>
      <c r="L411" s="1" t="s">
        <v>777</v>
      </c>
      <c r="M411" s="1" t="s">
        <v>778</v>
      </c>
      <c r="O411" s="6">
        <v>44589</v>
      </c>
      <c r="P411" s="6">
        <v>44582</v>
      </c>
      <c r="Q411" s="6">
        <v>44557</v>
      </c>
      <c r="R411" s="1" t="s">
        <v>779</v>
      </c>
      <c r="S411" s="1" t="s">
        <v>780</v>
      </c>
      <c r="T411" s="5">
        <v>517</v>
      </c>
      <c r="U411" s="4">
        <v>12</v>
      </c>
      <c r="V411" s="5">
        <v>382</v>
      </c>
      <c r="W411" s="6">
        <v>44098</v>
      </c>
      <c r="X411" s="6"/>
      <c r="Y411" s="6"/>
      <c r="Z411" s="6"/>
      <c r="AA411" s="6">
        <v>44938</v>
      </c>
      <c r="AB411" s="6"/>
      <c r="AC411" s="6"/>
      <c r="AD411" s="6"/>
    </row>
    <row r="412" spans="1:30">
      <c r="A412" s="1" t="s">
        <v>772</v>
      </c>
      <c r="B412" s="1" t="s">
        <v>773</v>
      </c>
      <c r="C412" s="1" t="s">
        <v>1002</v>
      </c>
      <c r="D412" s="1" t="s">
        <v>624</v>
      </c>
      <c r="E412" s="1" t="str">
        <f t="shared" si="6"/>
        <v>W06</v>
      </c>
      <c r="F412" s="4">
        <v>7.86</v>
      </c>
      <c r="G412" s="4">
        <v>6.17</v>
      </c>
      <c r="H412" s="4">
        <v>6.17</v>
      </c>
      <c r="I412" s="4"/>
      <c r="J412" s="1" t="s">
        <v>775</v>
      </c>
      <c r="K412" s="1" t="s">
        <v>794</v>
      </c>
      <c r="L412" s="1" t="s">
        <v>777</v>
      </c>
      <c r="M412" s="1" t="s">
        <v>778</v>
      </c>
      <c r="N412" s="1" t="s">
        <v>788</v>
      </c>
      <c r="O412" s="6">
        <v>44897</v>
      </c>
      <c r="P412" s="6">
        <v>44895</v>
      </c>
      <c r="Q412" s="6">
        <v>44882</v>
      </c>
      <c r="R412" s="1" t="s">
        <v>779</v>
      </c>
      <c r="S412" s="1" t="s">
        <v>792</v>
      </c>
      <c r="T412" s="5">
        <v>577</v>
      </c>
      <c r="U412" s="4">
        <v>2</v>
      </c>
      <c r="V412" s="5">
        <v>69</v>
      </c>
      <c r="W412" s="6">
        <v>43747</v>
      </c>
      <c r="X412" s="6">
        <v>43665</v>
      </c>
      <c r="Y412" s="6"/>
      <c r="Z412" s="6"/>
      <c r="AA412" s="6"/>
      <c r="AB412" s="6"/>
      <c r="AC412" s="6"/>
      <c r="AD412" s="6"/>
    </row>
    <row r="413" spans="1:30">
      <c r="A413" s="1" t="s">
        <v>772</v>
      </c>
      <c r="B413" s="1" t="s">
        <v>773</v>
      </c>
      <c r="C413" s="1" t="s">
        <v>1002</v>
      </c>
      <c r="D413" s="1" t="s">
        <v>280</v>
      </c>
      <c r="E413" s="1" t="str">
        <f t="shared" si="6"/>
        <v>W06</v>
      </c>
      <c r="F413" s="4">
        <v>10.95</v>
      </c>
      <c r="G413" s="4">
        <v>8.7799999999999994</v>
      </c>
      <c r="H413" s="4">
        <v>8.7799999999999994</v>
      </c>
      <c r="I413" s="4"/>
      <c r="J413" s="1" t="s">
        <v>775</v>
      </c>
      <c r="K413" s="1" t="s">
        <v>825</v>
      </c>
      <c r="L413" s="1" t="s">
        <v>787</v>
      </c>
      <c r="M413" s="1" t="s">
        <v>788</v>
      </c>
      <c r="N413" s="1" t="s">
        <v>788</v>
      </c>
      <c r="O413" s="6">
        <v>44653</v>
      </c>
      <c r="P413" s="6">
        <v>44651</v>
      </c>
      <c r="Q413" s="6">
        <v>44098</v>
      </c>
      <c r="R413" s="1" t="s">
        <v>779</v>
      </c>
      <c r="T413" s="5">
        <v>402</v>
      </c>
      <c r="U413" s="4">
        <v>10</v>
      </c>
      <c r="V413" s="5">
        <v>313</v>
      </c>
      <c r="W413" s="6">
        <v>43432</v>
      </c>
      <c r="X413" s="6">
        <v>43807</v>
      </c>
      <c r="Y413" s="6"/>
      <c r="Z413" s="6"/>
      <c r="AA413" s="6">
        <v>44917</v>
      </c>
      <c r="AB413" s="6"/>
      <c r="AC413" s="6"/>
      <c r="AD413" s="6">
        <v>44652</v>
      </c>
    </row>
    <row r="414" spans="1:30">
      <c r="A414" s="1" t="s">
        <v>772</v>
      </c>
      <c r="B414" s="1" t="s">
        <v>773</v>
      </c>
      <c r="C414" s="1" t="s">
        <v>1002</v>
      </c>
      <c r="D414" s="1" t="s">
        <v>304</v>
      </c>
      <c r="E414" s="1" t="str">
        <f t="shared" si="6"/>
        <v>W06</v>
      </c>
      <c r="F414" s="4">
        <v>8.1300000000000008</v>
      </c>
      <c r="G414" s="4">
        <v>6.53</v>
      </c>
      <c r="H414" s="4">
        <v>6.53</v>
      </c>
      <c r="I414" s="4"/>
      <c r="J414" s="1" t="s">
        <v>775</v>
      </c>
      <c r="K414" s="1" t="s">
        <v>898</v>
      </c>
      <c r="L414" s="1" t="s">
        <v>787</v>
      </c>
      <c r="M414" s="1" t="s">
        <v>788</v>
      </c>
      <c r="N414" s="1" t="s">
        <v>835</v>
      </c>
      <c r="O414" s="6">
        <v>44715</v>
      </c>
      <c r="P414" s="6">
        <v>44702</v>
      </c>
      <c r="Q414" s="6">
        <v>44148</v>
      </c>
      <c r="R414" s="1" t="s">
        <v>779</v>
      </c>
      <c r="T414" s="5">
        <v>402</v>
      </c>
      <c r="U414" s="4">
        <v>8</v>
      </c>
      <c r="V414" s="5">
        <v>262</v>
      </c>
      <c r="W414" s="6">
        <v>43545</v>
      </c>
      <c r="X414" s="6">
        <v>43932</v>
      </c>
      <c r="Y414" s="6"/>
      <c r="Z414" s="6"/>
      <c r="AA414" s="6">
        <v>44945</v>
      </c>
      <c r="AB414" s="6"/>
      <c r="AC414" s="6"/>
      <c r="AD414" s="6">
        <v>44713</v>
      </c>
    </row>
    <row r="415" spans="1:30">
      <c r="A415" s="1" t="s">
        <v>772</v>
      </c>
      <c r="B415" s="1" t="s">
        <v>773</v>
      </c>
      <c r="C415" s="1" t="s">
        <v>1002</v>
      </c>
      <c r="D415" s="1" t="s">
        <v>303</v>
      </c>
      <c r="E415" s="1" t="str">
        <f t="shared" si="6"/>
        <v>W06</v>
      </c>
      <c r="F415" s="4">
        <v>6.08</v>
      </c>
      <c r="G415" s="4">
        <v>4.91</v>
      </c>
      <c r="H415" s="4">
        <v>4.91</v>
      </c>
      <c r="I415" s="4"/>
      <c r="J415" s="1" t="s">
        <v>775</v>
      </c>
      <c r="K415" s="1" t="s">
        <v>825</v>
      </c>
      <c r="L415" s="1" t="s">
        <v>787</v>
      </c>
      <c r="M415" s="1" t="s">
        <v>788</v>
      </c>
      <c r="O415" s="6">
        <v>44680</v>
      </c>
      <c r="P415" s="6">
        <v>44680</v>
      </c>
      <c r="Q415" s="6">
        <v>44142</v>
      </c>
      <c r="R415" s="1" t="s">
        <v>779</v>
      </c>
      <c r="T415" s="5">
        <v>402</v>
      </c>
      <c r="U415" s="4">
        <v>9</v>
      </c>
      <c r="V415" s="5">
        <v>284</v>
      </c>
      <c r="W415" s="6">
        <v>44098</v>
      </c>
      <c r="X415" s="6"/>
      <c r="Y415" s="6"/>
      <c r="Z415" s="6"/>
      <c r="AA415" s="6">
        <v>44946</v>
      </c>
      <c r="AB415" s="6"/>
      <c r="AC415" s="6"/>
      <c r="AD415" s="6">
        <v>44692</v>
      </c>
    </row>
    <row r="416" spans="1:30">
      <c r="A416" s="1" t="s">
        <v>772</v>
      </c>
      <c r="B416" s="1" t="s">
        <v>773</v>
      </c>
      <c r="C416" s="1" t="s">
        <v>1002</v>
      </c>
      <c r="D416" s="1" t="s">
        <v>488</v>
      </c>
      <c r="E416" s="1" t="str">
        <f t="shared" si="6"/>
        <v>W06</v>
      </c>
      <c r="F416" s="4">
        <v>14.32</v>
      </c>
      <c r="G416" s="4">
        <v>11.04</v>
      </c>
      <c r="H416" s="4">
        <v>11.04</v>
      </c>
      <c r="I416" s="4"/>
      <c r="J416" s="1" t="s">
        <v>775</v>
      </c>
      <c r="K416" s="1" t="s">
        <v>840</v>
      </c>
      <c r="L416" s="1" t="s">
        <v>777</v>
      </c>
      <c r="M416" s="1" t="s">
        <v>778</v>
      </c>
      <c r="O416" s="6">
        <v>44579</v>
      </c>
      <c r="P416" s="6">
        <v>44570</v>
      </c>
      <c r="Q416" s="6">
        <v>44529</v>
      </c>
      <c r="R416" s="1" t="s">
        <v>779</v>
      </c>
      <c r="S416" s="1" t="s">
        <v>795</v>
      </c>
      <c r="T416" s="5">
        <v>577</v>
      </c>
      <c r="U416" s="4">
        <v>12</v>
      </c>
      <c r="V416" s="5">
        <v>394</v>
      </c>
      <c r="W416" s="6">
        <v>43863</v>
      </c>
      <c r="X416" s="6"/>
      <c r="Y416" s="6"/>
      <c r="Z416" s="6"/>
      <c r="AA416" s="6"/>
      <c r="AB416" s="6"/>
      <c r="AC416" s="6"/>
      <c r="AD416" s="6"/>
    </row>
    <row r="417" spans="1:30">
      <c r="A417" s="1" t="s">
        <v>772</v>
      </c>
      <c r="B417" s="1" t="s">
        <v>773</v>
      </c>
      <c r="C417" s="1" t="s">
        <v>1002</v>
      </c>
      <c r="D417" s="1" t="s">
        <v>478</v>
      </c>
      <c r="E417" s="1" t="str">
        <f t="shared" si="6"/>
        <v>W06</v>
      </c>
      <c r="F417" s="4">
        <v>8.8000000000000007</v>
      </c>
      <c r="G417" s="4">
        <v>6.8</v>
      </c>
      <c r="H417" s="4">
        <v>6.8</v>
      </c>
      <c r="I417" s="4"/>
      <c r="J417" s="1" t="s">
        <v>775</v>
      </c>
      <c r="K417" s="1" t="s">
        <v>881</v>
      </c>
      <c r="L417" s="1" t="s">
        <v>777</v>
      </c>
      <c r="M417" s="1" t="s">
        <v>778</v>
      </c>
      <c r="N417" s="1" t="s">
        <v>787</v>
      </c>
      <c r="O417" s="6">
        <v>44537</v>
      </c>
      <c r="P417" s="6">
        <v>44530</v>
      </c>
      <c r="Q417" s="6">
        <v>44517</v>
      </c>
      <c r="R417" s="1" t="s">
        <v>779</v>
      </c>
      <c r="S417" s="1" t="s">
        <v>795</v>
      </c>
      <c r="T417" s="5">
        <v>577</v>
      </c>
      <c r="U417" s="4">
        <v>14</v>
      </c>
      <c r="V417" s="5">
        <v>434</v>
      </c>
      <c r="W417" s="6">
        <v>43535</v>
      </c>
      <c r="X417" s="6">
        <v>43566</v>
      </c>
      <c r="Y417" s="6"/>
      <c r="Z417" s="6"/>
      <c r="AA417" s="6"/>
      <c r="AB417" s="6"/>
      <c r="AC417" s="6"/>
      <c r="AD417" s="6"/>
    </row>
    <row r="418" spans="1:30">
      <c r="A418" s="1" t="s">
        <v>772</v>
      </c>
      <c r="B418" s="1" t="s">
        <v>773</v>
      </c>
      <c r="C418" s="1" t="s">
        <v>1002</v>
      </c>
      <c r="D418" s="1" t="s">
        <v>273</v>
      </c>
      <c r="E418" s="1" t="str">
        <f t="shared" si="6"/>
        <v>W06</v>
      </c>
      <c r="F418" s="4">
        <v>6.2</v>
      </c>
      <c r="G418" s="4">
        <v>4.9000000000000004</v>
      </c>
      <c r="H418" s="4">
        <v>4.9000000000000004</v>
      </c>
      <c r="I418" s="4"/>
      <c r="J418" s="1" t="s">
        <v>775</v>
      </c>
      <c r="K418" s="1" t="s">
        <v>825</v>
      </c>
      <c r="L418" s="1" t="s">
        <v>787</v>
      </c>
      <c r="M418" s="1" t="s">
        <v>788</v>
      </c>
      <c r="N418" s="1" t="s">
        <v>787</v>
      </c>
      <c r="O418" s="6">
        <v>44653</v>
      </c>
      <c r="P418" s="6">
        <v>44640</v>
      </c>
      <c r="Q418" s="6">
        <v>44103</v>
      </c>
      <c r="R418" s="1" t="s">
        <v>779</v>
      </c>
      <c r="T418" s="5">
        <v>402</v>
      </c>
      <c r="U418" s="4">
        <v>10</v>
      </c>
      <c r="V418" s="5">
        <v>324</v>
      </c>
      <c r="W418" s="6">
        <v>43471</v>
      </c>
      <c r="X418" s="6">
        <v>43327</v>
      </c>
      <c r="Y418" s="6"/>
      <c r="Z418" s="6"/>
      <c r="AA418" s="6">
        <v>44882</v>
      </c>
      <c r="AB418" s="6"/>
      <c r="AC418" s="6"/>
      <c r="AD418" s="6">
        <v>44657</v>
      </c>
    </row>
    <row r="419" spans="1:30">
      <c r="A419" s="1" t="s">
        <v>772</v>
      </c>
      <c r="B419" s="1" t="s">
        <v>773</v>
      </c>
      <c r="C419" s="1" t="s">
        <v>1002</v>
      </c>
      <c r="D419" s="1" t="s">
        <v>281</v>
      </c>
      <c r="E419" s="1" t="str">
        <f t="shared" si="6"/>
        <v>W06</v>
      </c>
      <c r="F419" s="4">
        <v>10.52</v>
      </c>
      <c r="G419" s="5">
        <v>8.3000000000000007</v>
      </c>
      <c r="H419" s="5">
        <v>8.3000000000000007</v>
      </c>
      <c r="I419" s="5"/>
      <c r="J419" s="1" t="s">
        <v>775</v>
      </c>
      <c r="K419" s="1" t="s">
        <v>825</v>
      </c>
      <c r="L419" s="1" t="s">
        <v>787</v>
      </c>
      <c r="M419" s="1" t="s">
        <v>788</v>
      </c>
      <c r="O419" s="6">
        <v>44653</v>
      </c>
      <c r="P419" s="6">
        <v>44651</v>
      </c>
      <c r="Q419" s="6">
        <v>44105</v>
      </c>
      <c r="R419" s="1" t="s">
        <v>779</v>
      </c>
      <c r="T419" s="5">
        <v>402</v>
      </c>
      <c r="U419" s="4">
        <v>10</v>
      </c>
      <c r="V419" s="5">
        <v>313</v>
      </c>
      <c r="W419" s="6">
        <v>44523</v>
      </c>
      <c r="X419" s="6"/>
      <c r="Y419" s="6"/>
      <c r="Z419" s="6"/>
      <c r="AA419" s="6">
        <v>44880</v>
      </c>
      <c r="AB419" s="6"/>
      <c r="AC419" s="6"/>
      <c r="AD419" s="6">
        <v>44657</v>
      </c>
    </row>
    <row r="420" spans="1:30">
      <c r="A420" s="1" t="s">
        <v>772</v>
      </c>
      <c r="B420" s="1" t="s">
        <v>773</v>
      </c>
      <c r="C420" s="1" t="s">
        <v>1002</v>
      </c>
      <c r="D420" s="1" t="s">
        <v>153</v>
      </c>
      <c r="E420" s="1" t="str">
        <f t="shared" si="6"/>
        <v>W06</v>
      </c>
      <c r="F420" s="4">
        <v>4.95</v>
      </c>
      <c r="G420" s="4">
        <v>3.93</v>
      </c>
      <c r="H420" s="4">
        <v>3.93</v>
      </c>
      <c r="I420" s="4"/>
      <c r="J420" s="1" t="s">
        <v>775</v>
      </c>
      <c r="K420" s="1" t="s">
        <v>898</v>
      </c>
      <c r="L420" s="1" t="s">
        <v>787</v>
      </c>
      <c r="M420" s="1" t="s">
        <v>788</v>
      </c>
      <c r="N420" s="1" t="s">
        <v>835</v>
      </c>
      <c r="O420" s="6">
        <v>44715</v>
      </c>
      <c r="P420" s="6">
        <v>44700</v>
      </c>
      <c r="Q420" s="6">
        <v>44149</v>
      </c>
      <c r="R420" s="1" t="s">
        <v>779</v>
      </c>
      <c r="T420" s="5">
        <v>402</v>
      </c>
      <c r="U420" s="4">
        <v>8</v>
      </c>
      <c r="V420" s="5">
        <v>264</v>
      </c>
      <c r="W420" s="6">
        <v>43545</v>
      </c>
      <c r="X420" s="6">
        <v>43932</v>
      </c>
      <c r="Y420" s="6"/>
      <c r="Z420" s="6"/>
      <c r="AA420" s="6">
        <v>44917</v>
      </c>
      <c r="AB420" s="6"/>
      <c r="AC420" s="6"/>
      <c r="AD420" s="6"/>
    </row>
    <row r="421" spans="1:30">
      <c r="A421" s="1" t="s">
        <v>772</v>
      </c>
      <c r="B421" s="1" t="s">
        <v>773</v>
      </c>
      <c r="C421" s="1" t="s">
        <v>1002</v>
      </c>
      <c r="D421" s="1" t="s">
        <v>156</v>
      </c>
      <c r="E421" s="1" t="str">
        <f t="shared" si="6"/>
        <v>W06</v>
      </c>
      <c r="F421" s="4">
        <v>7.86</v>
      </c>
      <c r="G421" s="4">
        <v>6.35</v>
      </c>
      <c r="H421" s="4">
        <v>6.35</v>
      </c>
      <c r="I421" s="4"/>
      <c r="J421" s="1" t="s">
        <v>775</v>
      </c>
      <c r="K421" s="1" t="s">
        <v>796</v>
      </c>
      <c r="L421" s="1" t="s">
        <v>787</v>
      </c>
      <c r="M421" s="1" t="s">
        <v>788</v>
      </c>
      <c r="N421" s="1" t="s">
        <v>787</v>
      </c>
      <c r="O421" s="6">
        <v>44744</v>
      </c>
      <c r="P421" s="6">
        <v>44722</v>
      </c>
      <c r="Q421" s="6">
        <v>44151</v>
      </c>
      <c r="R421" s="1" t="s">
        <v>779</v>
      </c>
      <c r="T421" s="5">
        <v>402</v>
      </c>
      <c r="U421" s="4">
        <v>7</v>
      </c>
      <c r="V421" s="5">
        <v>242</v>
      </c>
      <c r="W421" s="6">
        <v>43373</v>
      </c>
      <c r="X421" s="6">
        <v>42702</v>
      </c>
      <c r="Y421" s="6"/>
      <c r="Z421" s="6"/>
      <c r="AA421" s="6"/>
      <c r="AB421" s="6"/>
      <c r="AC421" s="6"/>
      <c r="AD421" s="6">
        <v>44714</v>
      </c>
    </row>
    <row r="422" spans="1:30">
      <c r="A422" s="1" t="s">
        <v>772</v>
      </c>
      <c r="B422" s="1" t="s">
        <v>773</v>
      </c>
      <c r="C422" s="1" t="s">
        <v>1002</v>
      </c>
      <c r="D422" s="1" t="s">
        <v>287</v>
      </c>
      <c r="E422" s="1" t="str">
        <f t="shared" si="6"/>
        <v>W06</v>
      </c>
      <c r="F422" s="4">
        <v>12.98</v>
      </c>
      <c r="G422" s="4">
        <v>12.98</v>
      </c>
      <c r="H422" s="4">
        <v>12.98</v>
      </c>
      <c r="I422" s="4"/>
      <c r="J422" s="1" t="s">
        <v>775</v>
      </c>
      <c r="K422" s="1" t="s">
        <v>825</v>
      </c>
      <c r="L422" s="1" t="s">
        <v>787</v>
      </c>
      <c r="M422" s="1" t="s">
        <v>788</v>
      </c>
      <c r="O422" s="6">
        <v>44653</v>
      </c>
      <c r="P422" s="6">
        <v>44643</v>
      </c>
      <c r="Q422" s="6">
        <v>44098</v>
      </c>
      <c r="R422" s="1" t="s">
        <v>779</v>
      </c>
      <c r="T422" s="5">
        <v>402</v>
      </c>
      <c r="U422" s="4">
        <v>10</v>
      </c>
      <c r="V422" s="5">
        <v>321</v>
      </c>
      <c r="W422" s="6">
        <v>44523</v>
      </c>
      <c r="X422" s="6"/>
      <c r="Y422" s="6"/>
      <c r="Z422" s="6"/>
      <c r="AA422" s="6">
        <v>44882</v>
      </c>
      <c r="AB422" s="6"/>
      <c r="AC422" s="6"/>
      <c r="AD422" s="6">
        <v>44653</v>
      </c>
    </row>
    <row r="423" spans="1:30">
      <c r="A423" s="1" t="s">
        <v>772</v>
      </c>
      <c r="B423" s="1" t="s">
        <v>773</v>
      </c>
      <c r="C423" s="1" t="s">
        <v>1002</v>
      </c>
      <c r="D423" s="1" t="s">
        <v>411</v>
      </c>
      <c r="E423" s="1" t="str">
        <f t="shared" si="6"/>
        <v>W06</v>
      </c>
      <c r="F423" s="4">
        <v>12</v>
      </c>
      <c r="G423" s="4">
        <v>9.51</v>
      </c>
      <c r="H423" s="4">
        <v>9.51</v>
      </c>
      <c r="I423" s="4"/>
      <c r="J423" s="1" t="s">
        <v>775</v>
      </c>
      <c r="K423" s="1" t="s">
        <v>808</v>
      </c>
      <c r="L423" s="1" t="s">
        <v>787</v>
      </c>
      <c r="M423" s="1" t="s">
        <v>788</v>
      </c>
      <c r="N423" s="1" t="s">
        <v>777</v>
      </c>
      <c r="O423" s="6">
        <v>44867</v>
      </c>
      <c r="P423" s="6">
        <v>44865</v>
      </c>
      <c r="Q423" s="6">
        <v>44366</v>
      </c>
      <c r="R423" s="1" t="s">
        <v>779</v>
      </c>
      <c r="T423" s="5">
        <v>402</v>
      </c>
      <c r="U423" s="4">
        <v>3</v>
      </c>
      <c r="V423" s="5">
        <v>99</v>
      </c>
      <c r="W423" s="6">
        <v>43072</v>
      </c>
      <c r="X423" s="6">
        <v>43138</v>
      </c>
      <c r="Y423" s="6"/>
      <c r="Z423" s="6"/>
      <c r="AA423" s="6"/>
      <c r="AB423" s="6"/>
      <c r="AC423" s="6"/>
      <c r="AD423" s="6">
        <v>44869</v>
      </c>
    </row>
    <row r="424" spans="1:30">
      <c r="A424" s="1" t="s">
        <v>772</v>
      </c>
      <c r="B424" s="1" t="s">
        <v>773</v>
      </c>
      <c r="C424" s="1" t="s">
        <v>1002</v>
      </c>
      <c r="D424" s="1" t="s">
        <v>136</v>
      </c>
      <c r="E424" s="1" t="str">
        <f t="shared" si="6"/>
        <v>W06</v>
      </c>
      <c r="F424" s="4">
        <v>13.02</v>
      </c>
      <c r="G424" s="4">
        <v>10.52</v>
      </c>
      <c r="H424" s="4">
        <v>10.52</v>
      </c>
      <c r="I424" s="4"/>
      <c r="J424" s="1" t="s">
        <v>775</v>
      </c>
      <c r="K424" s="1" t="s">
        <v>793</v>
      </c>
      <c r="L424" s="1" t="s">
        <v>787</v>
      </c>
      <c r="M424" s="1" t="s">
        <v>788</v>
      </c>
      <c r="N424" s="1" t="s">
        <v>778</v>
      </c>
      <c r="O424" s="6">
        <v>44774</v>
      </c>
      <c r="P424" s="6">
        <v>44759</v>
      </c>
      <c r="Q424" s="6">
        <v>44176</v>
      </c>
      <c r="R424" s="1" t="s">
        <v>779</v>
      </c>
      <c r="T424" s="5">
        <v>402</v>
      </c>
      <c r="U424" s="4">
        <v>6</v>
      </c>
      <c r="V424" s="5">
        <v>205</v>
      </c>
      <c r="W424" s="6">
        <v>44351</v>
      </c>
      <c r="X424" s="6">
        <v>44663</v>
      </c>
      <c r="Y424" s="6"/>
      <c r="Z424" s="6"/>
      <c r="AA424" s="6"/>
      <c r="AB424" s="6"/>
      <c r="AC424" s="6"/>
      <c r="AD424" s="6"/>
    </row>
    <row r="425" spans="1:30">
      <c r="A425" s="1" t="s">
        <v>772</v>
      </c>
      <c r="B425" s="1" t="s">
        <v>773</v>
      </c>
      <c r="C425" s="1" t="s">
        <v>1002</v>
      </c>
      <c r="D425" s="1" t="s">
        <v>278</v>
      </c>
      <c r="E425" s="1" t="str">
        <f t="shared" si="6"/>
        <v>W06</v>
      </c>
      <c r="F425" s="4">
        <v>8.58</v>
      </c>
      <c r="G425" s="4">
        <v>6.78</v>
      </c>
      <c r="H425" s="4">
        <v>6.78</v>
      </c>
      <c r="I425" s="4"/>
      <c r="J425" s="1" t="s">
        <v>775</v>
      </c>
      <c r="K425" s="1" t="s">
        <v>825</v>
      </c>
      <c r="L425" s="1" t="s">
        <v>787</v>
      </c>
      <c r="M425" s="1" t="s">
        <v>788</v>
      </c>
      <c r="O425" s="6">
        <v>44653</v>
      </c>
      <c r="P425" s="6">
        <v>44651</v>
      </c>
      <c r="Q425" s="6">
        <v>44101</v>
      </c>
      <c r="R425" s="1" t="s">
        <v>779</v>
      </c>
      <c r="T425" s="5">
        <v>402</v>
      </c>
      <c r="U425" s="4">
        <v>10</v>
      </c>
      <c r="V425" s="5">
        <v>313</v>
      </c>
      <c r="W425" s="6">
        <v>44523</v>
      </c>
      <c r="X425" s="6"/>
      <c r="Y425" s="6"/>
      <c r="Z425" s="6"/>
      <c r="AA425" s="6">
        <v>44920</v>
      </c>
      <c r="AB425" s="6"/>
      <c r="AC425" s="6"/>
      <c r="AD425" s="6">
        <v>44661</v>
      </c>
    </row>
    <row r="426" spans="1:30">
      <c r="A426" s="1" t="s">
        <v>772</v>
      </c>
      <c r="B426" s="1" t="s">
        <v>773</v>
      </c>
      <c r="C426" s="1" t="s">
        <v>1002</v>
      </c>
      <c r="D426" s="1" t="s">
        <v>620</v>
      </c>
      <c r="E426" s="1" t="str">
        <f t="shared" si="6"/>
        <v>W06</v>
      </c>
      <c r="F426" s="4">
        <v>7.15</v>
      </c>
      <c r="G426" s="4">
        <v>5.59</v>
      </c>
      <c r="H426" s="4">
        <v>5.59</v>
      </c>
      <c r="I426" s="4"/>
      <c r="J426" s="1" t="s">
        <v>775</v>
      </c>
      <c r="K426" s="1" t="s">
        <v>831</v>
      </c>
      <c r="L426" s="1" t="s">
        <v>777</v>
      </c>
      <c r="M426" s="1" t="s">
        <v>778</v>
      </c>
      <c r="N426" s="1" t="s">
        <v>788</v>
      </c>
      <c r="O426" s="6">
        <v>44886</v>
      </c>
      <c r="P426" s="6">
        <v>44881</v>
      </c>
      <c r="Q426" s="6">
        <v>44858</v>
      </c>
      <c r="R426" s="1" t="s">
        <v>779</v>
      </c>
      <c r="S426" s="1" t="s">
        <v>792</v>
      </c>
      <c r="T426" s="5">
        <v>577</v>
      </c>
      <c r="U426" s="4">
        <v>2</v>
      </c>
      <c r="V426" s="5">
        <v>83</v>
      </c>
      <c r="W426" s="6">
        <v>43747</v>
      </c>
      <c r="X426" s="6">
        <v>43665</v>
      </c>
      <c r="Y426" s="6"/>
      <c r="Z426" s="6"/>
      <c r="AA426" s="6"/>
      <c r="AB426" s="6"/>
      <c r="AC426" s="6"/>
      <c r="AD426" s="6"/>
    </row>
    <row r="427" spans="1:30">
      <c r="A427" s="1" t="s">
        <v>772</v>
      </c>
      <c r="B427" s="1" t="s">
        <v>773</v>
      </c>
      <c r="C427" s="1" t="s">
        <v>1002</v>
      </c>
      <c r="D427" s="1" t="s">
        <v>623</v>
      </c>
      <c r="E427" s="1" t="str">
        <f t="shared" si="6"/>
        <v>W06</v>
      </c>
      <c r="F427" s="4">
        <v>5.16</v>
      </c>
      <c r="G427" s="4">
        <v>4.07</v>
      </c>
      <c r="H427" s="4">
        <v>4.07</v>
      </c>
      <c r="I427" s="4"/>
      <c r="J427" s="1" t="s">
        <v>775</v>
      </c>
      <c r="K427" s="1" t="s">
        <v>794</v>
      </c>
      <c r="L427" s="1" t="s">
        <v>777</v>
      </c>
      <c r="M427" s="1" t="s">
        <v>778</v>
      </c>
      <c r="N427" s="1" t="s">
        <v>788</v>
      </c>
      <c r="O427" s="6">
        <v>44897</v>
      </c>
      <c r="P427" s="6">
        <v>44894</v>
      </c>
      <c r="Q427" s="6">
        <v>44862</v>
      </c>
      <c r="R427" s="1" t="s">
        <v>779</v>
      </c>
      <c r="S427" s="1" t="s">
        <v>792</v>
      </c>
      <c r="T427" s="5">
        <v>577</v>
      </c>
      <c r="U427" s="4">
        <v>2</v>
      </c>
      <c r="V427" s="5">
        <v>70</v>
      </c>
      <c r="W427" s="6">
        <v>43747</v>
      </c>
      <c r="X427" s="6">
        <v>43665</v>
      </c>
      <c r="Y427" s="6"/>
      <c r="Z427" s="6"/>
      <c r="AA427" s="6"/>
      <c r="AB427" s="6"/>
      <c r="AC427" s="6"/>
      <c r="AD427" s="6"/>
    </row>
    <row r="428" spans="1:30">
      <c r="A428" s="1" t="s">
        <v>772</v>
      </c>
      <c r="B428" s="1" t="s">
        <v>773</v>
      </c>
      <c r="C428" s="1" t="s">
        <v>1010</v>
      </c>
      <c r="D428" s="1" t="s">
        <v>575</v>
      </c>
      <c r="E428" s="1" t="str">
        <f t="shared" si="6"/>
        <v>W07</v>
      </c>
      <c r="F428" s="4">
        <v>8.15</v>
      </c>
      <c r="G428" s="4">
        <v>6.42</v>
      </c>
      <c r="H428" s="4">
        <v>6.42</v>
      </c>
      <c r="I428" s="4"/>
      <c r="J428" s="1" t="s">
        <v>775</v>
      </c>
      <c r="K428" s="1" t="s">
        <v>839</v>
      </c>
      <c r="L428" s="1" t="s">
        <v>777</v>
      </c>
      <c r="M428" s="1" t="s">
        <v>778</v>
      </c>
      <c r="N428" s="1" t="s">
        <v>788</v>
      </c>
      <c r="O428" s="6">
        <v>44775</v>
      </c>
      <c r="P428" s="6">
        <v>44749</v>
      </c>
      <c r="Q428" s="6">
        <v>44694</v>
      </c>
      <c r="R428" s="1" t="s">
        <v>779</v>
      </c>
      <c r="S428" s="1" t="s">
        <v>841</v>
      </c>
      <c r="T428" s="5">
        <v>577</v>
      </c>
      <c r="U428" s="4">
        <v>7</v>
      </c>
      <c r="V428" s="5">
        <v>215</v>
      </c>
      <c r="W428" s="6">
        <v>43178</v>
      </c>
      <c r="X428" s="6">
        <v>43553</v>
      </c>
      <c r="Y428" s="6"/>
      <c r="Z428" s="6"/>
      <c r="AA428" s="6"/>
      <c r="AB428" s="6"/>
      <c r="AC428" s="6"/>
      <c r="AD428" s="6"/>
    </row>
    <row r="429" spans="1:30">
      <c r="A429" s="1" t="s">
        <v>772</v>
      </c>
      <c r="B429" s="1" t="s">
        <v>773</v>
      </c>
      <c r="C429" s="1" t="s">
        <v>1010</v>
      </c>
      <c r="D429" s="1" t="s">
        <v>568</v>
      </c>
      <c r="E429" s="1" t="str">
        <f t="shared" si="6"/>
        <v>W07</v>
      </c>
      <c r="F429" s="4">
        <v>14.78</v>
      </c>
      <c r="G429" s="4">
        <v>11.75</v>
      </c>
      <c r="H429" s="4">
        <v>11.75</v>
      </c>
      <c r="I429" s="4"/>
      <c r="J429" s="1" t="s">
        <v>775</v>
      </c>
      <c r="K429" s="1" t="s">
        <v>859</v>
      </c>
      <c r="L429" s="1" t="s">
        <v>777</v>
      </c>
      <c r="M429" s="1" t="s">
        <v>778</v>
      </c>
      <c r="N429" s="1" t="s">
        <v>778</v>
      </c>
      <c r="O429" s="6">
        <v>44746</v>
      </c>
      <c r="P429" s="6">
        <v>44737</v>
      </c>
      <c r="Q429" s="6">
        <v>44695</v>
      </c>
      <c r="R429" s="1" t="s">
        <v>779</v>
      </c>
      <c r="S429" s="1" t="s">
        <v>795</v>
      </c>
      <c r="T429" s="5">
        <v>577</v>
      </c>
      <c r="U429" s="4">
        <v>7</v>
      </c>
      <c r="V429" s="5">
        <v>227</v>
      </c>
      <c r="W429" s="6">
        <v>44728</v>
      </c>
      <c r="X429" s="6">
        <v>45246</v>
      </c>
      <c r="Y429" s="6"/>
      <c r="Z429" s="6"/>
      <c r="AA429" s="6"/>
      <c r="AB429" s="6"/>
      <c r="AC429" s="6"/>
      <c r="AD429" s="6"/>
    </row>
    <row r="430" spans="1:30">
      <c r="A430" s="1" t="s">
        <v>772</v>
      </c>
      <c r="B430" s="1" t="s">
        <v>773</v>
      </c>
      <c r="C430" s="1" t="s">
        <v>1010</v>
      </c>
      <c r="D430" s="1" t="s">
        <v>546</v>
      </c>
      <c r="E430" s="1" t="str">
        <f t="shared" si="6"/>
        <v>W07</v>
      </c>
      <c r="F430" s="4">
        <v>4.22</v>
      </c>
      <c r="G430" s="4">
        <v>3.31</v>
      </c>
      <c r="H430" s="4">
        <v>3.31</v>
      </c>
      <c r="I430" s="4"/>
      <c r="J430" s="1" t="s">
        <v>775</v>
      </c>
      <c r="K430" s="1" t="s">
        <v>805</v>
      </c>
      <c r="L430" s="1" t="s">
        <v>777</v>
      </c>
      <c r="M430" s="1" t="s">
        <v>778</v>
      </c>
      <c r="N430" s="1" t="s">
        <v>787</v>
      </c>
      <c r="O430" s="6">
        <v>44680</v>
      </c>
      <c r="P430" s="6">
        <v>44678</v>
      </c>
      <c r="Q430" s="6">
        <v>44664</v>
      </c>
      <c r="R430" s="1" t="s">
        <v>779</v>
      </c>
      <c r="S430" s="1" t="s">
        <v>823</v>
      </c>
      <c r="T430" s="5">
        <v>457</v>
      </c>
      <c r="U430" s="4">
        <v>9</v>
      </c>
      <c r="V430" s="5">
        <v>286</v>
      </c>
      <c r="W430" s="6">
        <v>43293</v>
      </c>
      <c r="X430" s="6">
        <v>43079</v>
      </c>
      <c r="Y430" s="6"/>
      <c r="Z430" s="6"/>
      <c r="AA430" s="6"/>
      <c r="AB430" s="6"/>
      <c r="AC430" s="6"/>
      <c r="AD430" s="6"/>
    </row>
    <row r="431" spans="1:30">
      <c r="A431" s="1" t="s">
        <v>772</v>
      </c>
      <c r="B431" s="1" t="s">
        <v>773</v>
      </c>
      <c r="C431" s="1" t="s">
        <v>1010</v>
      </c>
      <c r="D431" s="1" t="s">
        <v>476</v>
      </c>
      <c r="E431" s="1" t="str">
        <f t="shared" si="6"/>
        <v>W07</v>
      </c>
      <c r="F431" s="4">
        <v>6.6</v>
      </c>
      <c r="G431" s="4">
        <v>5.26</v>
      </c>
      <c r="H431" s="4">
        <v>5.26</v>
      </c>
      <c r="I431" s="4"/>
      <c r="J431" s="1" t="s">
        <v>775</v>
      </c>
      <c r="K431" s="1" t="s">
        <v>881</v>
      </c>
      <c r="L431" s="1" t="s">
        <v>777</v>
      </c>
      <c r="M431" s="1" t="s">
        <v>778</v>
      </c>
      <c r="N431" s="1" t="s">
        <v>777</v>
      </c>
      <c r="O431" s="6">
        <v>44537</v>
      </c>
      <c r="P431" s="6">
        <v>44530</v>
      </c>
      <c r="Q431" s="6">
        <v>44487</v>
      </c>
      <c r="R431" s="1" t="s">
        <v>779</v>
      </c>
      <c r="S431" s="1" t="s">
        <v>841</v>
      </c>
      <c r="T431" s="5">
        <v>577</v>
      </c>
      <c r="U431" s="4">
        <v>14</v>
      </c>
      <c r="V431" s="5">
        <v>434</v>
      </c>
      <c r="W431" s="6">
        <v>43895</v>
      </c>
      <c r="X431" s="6">
        <v>42898</v>
      </c>
      <c r="Y431" s="6"/>
      <c r="Z431" s="6"/>
      <c r="AA431" s="6">
        <v>44952</v>
      </c>
      <c r="AB431" s="6"/>
      <c r="AC431" s="6"/>
      <c r="AD431" s="6"/>
    </row>
    <row r="432" spans="1:30">
      <c r="A432" s="1" t="s">
        <v>772</v>
      </c>
      <c r="B432" s="1" t="s">
        <v>773</v>
      </c>
      <c r="C432" s="1" t="s">
        <v>1010</v>
      </c>
      <c r="D432" s="1" t="s">
        <v>258</v>
      </c>
      <c r="E432" s="1" t="str">
        <f t="shared" si="6"/>
        <v>W07</v>
      </c>
      <c r="F432" s="4">
        <v>18.600000000000001</v>
      </c>
      <c r="G432" s="4">
        <v>14.8</v>
      </c>
      <c r="H432" s="4">
        <v>14.8</v>
      </c>
      <c r="I432" s="4"/>
      <c r="J432" s="1" t="s">
        <v>775</v>
      </c>
      <c r="K432" s="1" t="s">
        <v>889</v>
      </c>
      <c r="L432" s="1" t="s">
        <v>778</v>
      </c>
      <c r="M432" s="1" t="s">
        <v>777</v>
      </c>
      <c r="N432" s="1" t="s">
        <v>787</v>
      </c>
      <c r="O432" s="6">
        <v>44957</v>
      </c>
      <c r="P432" s="6">
        <v>44943</v>
      </c>
      <c r="Q432" s="6"/>
      <c r="R432" s="1" t="s">
        <v>779</v>
      </c>
      <c r="T432" s="5">
        <v>120</v>
      </c>
      <c r="U432" s="4">
        <v>0</v>
      </c>
      <c r="V432" s="5">
        <v>21</v>
      </c>
      <c r="W432" s="6">
        <v>43471</v>
      </c>
      <c r="X432" s="6">
        <v>43327</v>
      </c>
      <c r="Y432" s="6"/>
      <c r="Z432" s="6"/>
      <c r="AA432" s="6"/>
      <c r="AB432" s="6"/>
      <c r="AC432" s="6"/>
      <c r="AD432" s="6"/>
    </row>
    <row r="433" spans="1:30">
      <c r="A433" s="1" t="s">
        <v>772</v>
      </c>
      <c r="B433" s="1" t="s">
        <v>773</v>
      </c>
      <c r="C433" s="1" t="s">
        <v>1010</v>
      </c>
      <c r="D433" s="1" t="s">
        <v>202</v>
      </c>
      <c r="E433" s="1" t="str">
        <f t="shared" si="6"/>
        <v>W07</v>
      </c>
      <c r="F433" s="4">
        <v>7.45</v>
      </c>
      <c r="G433" s="4">
        <v>5.87</v>
      </c>
      <c r="H433" s="4">
        <v>5.87</v>
      </c>
      <c r="I433" s="4"/>
      <c r="J433" s="1" t="s">
        <v>775</v>
      </c>
      <c r="K433" s="1" t="s">
        <v>794</v>
      </c>
      <c r="L433" s="1" t="s">
        <v>777</v>
      </c>
      <c r="M433" s="1" t="s">
        <v>778</v>
      </c>
      <c r="O433" s="6">
        <v>44916</v>
      </c>
      <c r="P433" s="6">
        <v>44909</v>
      </c>
      <c r="Q433" s="6">
        <v>44877</v>
      </c>
      <c r="R433" s="1" t="s">
        <v>779</v>
      </c>
      <c r="S433" s="1" t="s">
        <v>823</v>
      </c>
      <c r="T433" s="5">
        <v>457</v>
      </c>
      <c r="U433" s="4">
        <v>1</v>
      </c>
      <c r="V433" s="5">
        <v>55</v>
      </c>
      <c r="W433" s="6">
        <v>43803</v>
      </c>
      <c r="X433" s="6"/>
      <c r="Y433" s="6"/>
      <c r="Z433" s="6"/>
      <c r="AA433" s="6"/>
      <c r="AB433" s="6"/>
      <c r="AC433" s="6"/>
      <c r="AD433" s="6"/>
    </row>
    <row r="434" spans="1:30">
      <c r="A434" s="1" t="s">
        <v>772</v>
      </c>
      <c r="B434" s="1" t="s">
        <v>773</v>
      </c>
      <c r="C434" s="1" t="s">
        <v>1010</v>
      </c>
      <c r="D434" s="1" t="s">
        <v>260</v>
      </c>
      <c r="E434" s="1" t="str">
        <f t="shared" si="6"/>
        <v>W07</v>
      </c>
      <c r="F434" s="4">
        <v>12.52</v>
      </c>
      <c r="G434" s="4">
        <v>10.07</v>
      </c>
      <c r="H434" s="4">
        <v>10.07</v>
      </c>
      <c r="I434" s="4"/>
      <c r="J434" s="1" t="s">
        <v>775</v>
      </c>
      <c r="K434" s="1" t="s">
        <v>889</v>
      </c>
      <c r="L434" s="1" t="s">
        <v>809</v>
      </c>
      <c r="M434" s="1" t="s">
        <v>777</v>
      </c>
      <c r="O434" s="6">
        <v>44956</v>
      </c>
      <c r="P434" s="6">
        <v>44951</v>
      </c>
      <c r="Q434" s="6"/>
      <c r="R434" s="1" t="s">
        <v>779</v>
      </c>
      <c r="T434" s="5">
        <v>120</v>
      </c>
      <c r="U434" s="4">
        <v>0</v>
      </c>
      <c r="V434" s="5">
        <v>13</v>
      </c>
      <c r="W434" s="6">
        <v>44523</v>
      </c>
      <c r="X434" s="6"/>
      <c r="Y434" s="6"/>
      <c r="Z434" s="6"/>
      <c r="AA434" s="6"/>
      <c r="AB434" s="6"/>
      <c r="AC434" s="6"/>
      <c r="AD434" s="6"/>
    </row>
    <row r="435" spans="1:30">
      <c r="A435" s="1" t="s">
        <v>772</v>
      </c>
      <c r="B435" s="1" t="s">
        <v>773</v>
      </c>
      <c r="C435" s="1" t="s">
        <v>1010</v>
      </c>
      <c r="D435" s="1" t="s">
        <v>743</v>
      </c>
      <c r="E435" s="1" t="str">
        <f t="shared" si="6"/>
        <v>W07</v>
      </c>
      <c r="F435" s="4">
        <v>1.36</v>
      </c>
      <c r="G435" s="4">
        <v>1.36</v>
      </c>
      <c r="H435" s="4">
        <v>1.36</v>
      </c>
      <c r="I435" s="4"/>
      <c r="J435" s="1" t="s">
        <v>775</v>
      </c>
      <c r="K435" s="1" t="s">
        <v>1011</v>
      </c>
      <c r="L435" s="1" t="s">
        <v>829</v>
      </c>
      <c r="M435" s="1" t="s">
        <v>913</v>
      </c>
      <c r="N435" s="1" t="s">
        <v>777</v>
      </c>
      <c r="O435" s="6">
        <v>44930</v>
      </c>
      <c r="P435" s="6">
        <v>44927</v>
      </c>
      <c r="Q435" s="6">
        <v>44910</v>
      </c>
      <c r="R435" s="1" t="s">
        <v>830</v>
      </c>
      <c r="S435" s="1" t="s">
        <v>914</v>
      </c>
      <c r="T435" s="5">
        <v>330</v>
      </c>
      <c r="U435" s="4">
        <v>1</v>
      </c>
      <c r="V435" s="5">
        <v>37</v>
      </c>
      <c r="W435" s="6">
        <v>44045</v>
      </c>
      <c r="X435" s="6">
        <v>43292</v>
      </c>
      <c r="Y435" s="6"/>
      <c r="Z435" s="6"/>
      <c r="AA435" s="6"/>
      <c r="AB435" s="6"/>
      <c r="AC435" s="6"/>
      <c r="AD435" s="6"/>
    </row>
    <row r="436" spans="1:30">
      <c r="A436" s="1" t="s">
        <v>772</v>
      </c>
      <c r="B436" s="1" t="s">
        <v>773</v>
      </c>
      <c r="C436" s="1" t="s">
        <v>1010</v>
      </c>
      <c r="D436" s="1" t="s">
        <v>248</v>
      </c>
      <c r="E436" s="1" t="str">
        <f t="shared" si="6"/>
        <v>W07</v>
      </c>
      <c r="F436" s="4">
        <v>10.98</v>
      </c>
      <c r="G436" s="4">
        <v>8.57</v>
      </c>
      <c r="H436" s="4">
        <v>8.57</v>
      </c>
      <c r="I436" s="4"/>
      <c r="J436" s="1" t="s">
        <v>775</v>
      </c>
      <c r="K436" s="1" t="s">
        <v>798</v>
      </c>
      <c r="L436" s="1" t="s">
        <v>778</v>
      </c>
      <c r="M436" s="1" t="s">
        <v>777</v>
      </c>
      <c r="N436" s="1" t="s">
        <v>777</v>
      </c>
      <c r="O436" s="6">
        <v>44867</v>
      </c>
      <c r="P436" s="6">
        <v>44860</v>
      </c>
      <c r="Q436" s="6"/>
      <c r="R436" s="1" t="s">
        <v>779</v>
      </c>
      <c r="T436" s="5">
        <v>120</v>
      </c>
      <c r="U436" s="4">
        <v>3</v>
      </c>
      <c r="V436" s="5">
        <v>104</v>
      </c>
      <c r="W436" s="6">
        <v>43175</v>
      </c>
      <c r="X436" s="6">
        <v>43206</v>
      </c>
      <c r="Y436" s="6"/>
      <c r="Z436" s="6"/>
      <c r="AA436" s="6"/>
      <c r="AB436" s="6"/>
      <c r="AC436" s="6"/>
      <c r="AD436" s="6"/>
    </row>
    <row r="437" spans="1:30">
      <c r="A437" s="1" t="s">
        <v>772</v>
      </c>
      <c r="B437" s="1" t="s">
        <v>773</v>
      </c>
      <c r="C437" s="1" t="s">
        <v>1010</v>
      </c>
      <c r="D437" s="1" t="s">
        <v>257</v>
      </c>
      <c r="E437" s="1" t="str">
        <f t="shared" si="6"/>
        <v>W07</v>
      </c>
      <c r="F437" s="4">
        <v>11.78</v>
      </c>
      <c r="G437" s="4">
        <v>9.31</v>
      </c>
      <c r="H437" s="4">
        <v>9.31</v>
      </c>
      <c r="I437" s="4"/>
      <c r="J437" s="1" t="s">
        <v>775</v>
      </c>
      <c r="K437" s="1" t="s">
        <v>889</v>
      </c>
      <c r="L437" s="1" t="s">
        <v>778</v>
      </c>
      <c r="M437" s="1" t="s">
        <v>777</v>
      </c>
      <c r="N437" s="1" t="s">
        <v>777</v>
      </c>
      <c r="O437" s="6">
        <v>44957</v>
      </c>
      <c r="P437" s="6">
        <v>44951</v>
      </c>
      <c r="Q437" s="6"/>
      <c r="R437" s="1" t="s">
        <v>779</v>
      </c>
      <c r="T437" s="5">
        <v>120</v>
      </c>
      <c r="U437" s="4">
        <v>0</v>
      </c>
      <c r="V437" s="5">
        <v>13</v>
      </c>
      <c r="W437" s="6">
        <v>44925</v>
      </c>
      <c r="X437" s="6">
        <v>44956</v>
      </c>
      <c r="Y437" s="6"/>
      <c r="Z437" s="6"/>
      <c r="AA437" s="6"/>
      <c r="AB437" s="6"/>
      <c r="AC437" s="6"/>
      <c r="AD437" s="6"/>
    </row>
    <row r="438" spans="1:30">
      <c r="A438" s="1" t="s">
        <v>772</v>
      </c>
      <c r="B438" s="1" t="s">
        <v>773</v>
      </c>
      <c r="C438" s="1" t="s">
        <v>1010</v>
      </c>
      <c r="D438" s="1" t="s">
        <v>292</v>
      </c>
      <c r="E438" s="1" t="str">
        <f t="shared" si="6"/>
        <v>W07</v>
      </c>
      <c r="F438" s="5">
        <v>17.239999999999998</v>
      </c>
      <c r="G438" s="4">
        <v>13.7</v>
      </c>
      <c r="H438" s="4">
        <v>13.7</v>
      </c>
      <c r="I438" s="4"/>
      <c r="J438" s="1" t="s">
        <v>775</v>
      </c>
      <c r="K438" s="1" t="s">
        <v>796</v>
      </c>
      <c r="L438" s="1" t="s">
        <v>787</v>
      </c>
      <c r="M438" s="1" t="s">
        <v>788</v>
      </c>
      <c r="O438" s="6">
        <v>44746</v>
      </c>
      <c r="P438" s="6">
        <v>44721</v>
      </c>
      <c r="Q438" s="6">
        <v>44135</v>
      </c>
      <c r="R438" s="1" t="s">
        <v>779</v>
      </c>
      <c r="T438" s="5">
        <v>402</v>
      </c>
      <c r="U438" s="4">
        <v>7</v>
      </c>
      <c r="V438" s="5">
        <v>243</v>
      </c>
      <c r="W438" s="6">
        <v>43016</v>
      </c>
      <c r="X438" s="6"/>
      <c r="Y438" s="6"/>
      <c r="Z438" s="6"/>
      <c r="AA438" s="6">
        <v>44949</v>
      </c>
      <c r="AB438" s="6"/>
      <c r="AC438" s="6"/>
      <c r="AD438" s="6">
        <v>44713</v>
      </c>
    </row>
    <row r="439" spans="1:30">
      <c r="A439" s="1" t="s">
        <v>772</v>
      </c>
      <c r="B439" s="1" t="s">
        <v>773</v>
      </c>
      <c r="C439" s="1" t="s">
        <v>1010</v>
      </c>
      <c r="D439" s="1" t="s">
        <v>1012</v>
      </c>
      <c r="E439" s="1" t="str">
        <f t="shared" si="6"/>
        <v>W07</v>
      </c>
      <c r="F439" s="4">
        <v>2.7</v>
      </c>
      <c r="G439" s="4">
        <v>2.2799999999999998</v>
      </c>
      <c r="H439" s="4">
        <v>2.2799999999999998</v>
      </c>
      <c r="I439" s="4"/>
      <c r="J439" s="1" t="s">
        <v>775</v>
      </c>
      <c r="K439" s="1" t="s">
        <v>855</v>
      </c>
      <c r="L439" s="1" t="s">
        <v>828</v>
      </c>
      <c r="M439" s="1" t="s">
        <v>829</v>
      </c>
      <c r="N439" s="1" t="s">
        <v>787</v>
      </c>
      <c r="O439" s="6">
        <v>44958</v>
      </c>
      <c r="P439" s="6">
        <v>44951</v>
      </c>
      <c r="Q439" s="6"/>
      <c r="R439" s="1" t="s">
        <v>830</v>
      </c>
      <c r="T439" s="5">
        <v>60</v>
      </c>
      <c r="U439" s="4">
        <v>0</v>
      </c>
      <c r="V439" s="5">
        <v>13</v>
      </c>
      <c r="W439" s="6">
        <v>43293</v>
      </c>
      <c r="X439" s="6">
        <v>43079</v>
      </c>
      <c r="Y439" s="6"/>
      <c r="Z439" s="6"/>
      <c r="AA439" s="6"/>
      <c r="AB439" s="6"/>
      <c r="AC439" s="6"/>
      <c r="AD439" s="6"/>
    </row>
    <row r="440" spans="1:30">
      <c r="A440" s="1" t="s">
        <v>772</v>
      </c>
      <c r="B440" s="1" t="s">
        <v>773</v>
      </c>
      <c r="C440" s="1" t="s">
        <v>1010</v>
      </c>
      <c r="D440" s="1" t="s">
        <v>166</v>
      </c>
      <c r="E440" s="1" t="str">
        <f t="shared" si="6"/>
        <v>W07</v>
      </c>
      <c r="F440" s="4">
        <v>6.38</v>
      </c>
      <c r="G440" s="4">
        <v>5.05</v>
      </c>
      <c r="H440" s="4">
        <v>5.05</v>
      </c>
      <c r="I440" s="4"/>
      <c r="J440" s="1" t="s">
        <v>775</v>
      </c>
      <c r="K440" s="1" t="s">
        <v>794</v>
      </c>
      <c r="L440" s="1" t="s">
        <v>777</v>
      </c>
      <c r="M440" s="1" t="s">
        <v>778</v>
      </c>
      <c r="N440" s="1" t="s">
        <v>788</v>
      </c>
      <c r="O440" s="6">
        <v>44897</v>
      </c>
      <c r="P440" s="6">
        <v>44890</v>
      </c>
      <c r="Q440" s="6">
        <v>44858</v>
      </c>
      <c r="R440" s="1" t="s">
        <v>779</v>
      </c>
      <c r="S440" s="1" t="s">
        <v>780</v>
      </c>
      <c r="T440" s="5">
        <v>517</v>
      </c>
      <c r="U440" s="4">
        <v>2</v>
      </c>
      <c r="V440" s="5">
        <v>74</v>
      </c>
      <c r="W440" s="6">
        <v>43747</v>
      </c>
      <c r="X440" s="6">
        <v>43665</v>
      </c>
      <c r="Y440" s="6"/>
      <c r="Z440" s="6"/>
      <c r="AA440" s="6"/>
      <c r="AB440" s="6"/>
      <c r="AC440" s="6"/>
      <c r="AD440" s="6"/>
    </row>
    <row r="441" spans="1:30">
      <c r="A441" s="1" t="s">
        <v>772</v>
      </c>
      <c r="B441" s="1" t="s">
        <v>773</v>
      </c>
      <c r="C441" s="1" t="s">
        <v>989</v>
      </c>
      <c r="D441" s="1" t="s">
        <v>1013</v>
      </c>
      <c r="E441" s="1" t="str">
        <f t="shared" si="6"/>
        <v>W05</v>
      </c>
      <c r="F441" s="4">
        <v>8.14</v>
      </c>
      <c r="G441" s="4">
        <v>6.99</v>
      </c>
      <c r="H441" s="4">
        <v>6.99</v>
      </c>
      <c r="I441" s="4"/>
      <c r="J441" s="1" t="s">
        <v>775</v>
      </c>
      <c r="K441" s="1" t="s">
        <v>1014</v>
      </c>
      <c r="L441" s="1" t="s">
        <v>1015</v>
      </c>
      <c r="M441" s="1" t="s">
        <v>1016</v>
      </c>
      <c r="O441" s="6">
        <v>42480</v>
      </c>
      <c r="P441" s="6">
        <v>42476</v>
      </c>
      <c r="Q441" s="6"/>
      <c r="R441" s="1" t="s">
        <v>1017</v>
      </c>
      <c r="T441" s="5">
        <v>0</v>
      </c>
      <c r="U441" s="4">
        <v>81</v>
      </c>
      <c r="V441" s="5">
        <v>2488</v>
      </c>
      <c r="W441" s="6">
        <v>42041</v>
      </c>
      <c r="X441" s="6"/>
      <c r="Y441" s="6"/>
      <c r="Z441" s="6"/>
      <c r="AA441" s="6"/>
      <c r="AB441" s="6"/>
      <c r="AC441" s="6"/>
      <c r="AD441" s="6"/>
    </row>
    <row r="442" spans="1:30">
      <c r="A442" s="1" t="s">
        <v>772</v>
      </c>
      <c r="B442" s="1" t="s">
        <v>773</v>
      </c>
      <c r="C442" s="1" t="s">
        <v>989</v>
      </c>
      <c r="D442" s="1" t="s">
        <v>1018</v>
      </c>
      <c r="E442" s="1" t="str">
        <f t="shared" si="6"/>
        <v>W05</v>
      </c>
      <c r="F442" s="4">
        <v>0.25</v>
      </c>
      <c r="G442" s="4">
        <v>0.25</v>
      </c>
      <c r="H442" s="4">
        <v>0.25</v>
      </c>
      <c r="I442" s="4"/>
      <c r="J442" s="1" t="s">
        <v>775</v>
      </c>
      <c r="K442" s="1" t="s">
        <v>1019</v>
      </c>
      <c r="O442" s="6">
        <v>42535</v>
      </c>
      <c r="P442" s="6">
        <v>42522</v>
      </c>
      <c r="Q442" s="6">
        <v>42522</v>
      </c>
      <c r="R442" s="1" t="s">
        <v>1017</v>
      </c>
      <c r="T442" s="5">
        <v>0</v>
      </c>
      <c r="U442" s="4">
        <v>80</v>
      </c>
      <c r="V442" s="5">
        <v>2442</v>
      </c>
      <c r="W442" s="6"/>
      <c r="X442" s="6"/>
      <c r="Y442" s="6"/>
      <c r="Z442" s="6"/>
      <c r="AA442" s="6"/>
      <c r="AB442" s="6"/>
      <c r="AC442" s="6"/>
      <c r="AD442" s="6"/>
    </row>
    <row r="443" spans="1:30">
      <c r="A443" s="1" t="s">
        <v>772</v>
      </c>
      <c r="B443" s="1" t="s">
        <v>773</v>
      </c>
      <c r="C443" s="1" t="s">
        <v>989</v>
      </c>
      <c r="D443" s="1" t="s">
        <v>1020</v>
      </c>
      <c r="E443" s="1" t="str">
        <f t="shared" si="6"/>
        <v>W05</v>
      </c>
      <c r="F443" s="4">
        <v>0.09</v>
      </c>
      <c r="G443" s="4">
        <v>0.08</v>
      </c>
      <c r="H443" s="4">
        <v>0.08</v>
      </c>
      <c r="I443" s="4"/>
      <c r="J443" s="1" t="s">
        <v>775</v>
      </c>
      <c r="K443" s="1" t="s">
        <v>1014</v>
      </c>
      <c r="L443" s="1" t="s">
        <v>1015</v>
      </c>
      <c r="M443" s="1" t="s">
        <v>1016</v>
      </c>
      <c r="O443" s="6">
        <v>42472</v>
      </c>
      <c r="P443" s="6">
        <v>42472</v>
      </c>
      <c r="Q443" s="6"/>
      <c r="R443" s="1" t="s">
        <v>1017</v>
      </c>
      <c r="T443" s="5">
        <v>0</v>
      </c>
      <c r="U443" s="4">
        <v>81</v>
      </c>
      <c r="V443" s="5">
        <v>2492</v>
      </c>
      <c r="W443" s="6">
        <v>42041</v>
      </c>
      <c r="X443" s="6"/>
      <c r="Y443" s="6"/>
      <c r="Z443" s="6"/>
      <c r="AA443" s="6"/>
      <c r="AB443" s="6"/>
      <c r="AC443" s="6"/>
      <c r="AD443" s="6">
        <v>43153</v>
      </c>
    </row>
    <row r="444" spans="1:30">
      <c r="A444" s="1" t="s">
        <v>772</v>
      </c>
      <c r="B444" s="1" t="s">
        <v>773</v>
      </c>
      <c r="C444" s="1" t="s">
        <v>989</v>
      </c>
      <c r="D444" s="1" t="s">
        <v>1021</v>
      </c>
      <c r="E444" s="1" t="str">
        <f t="shared" si="6"/>
        <v>W05</v>
      </c>
      <c r="F444" s="4">
        <v>0.09</v>
      </c>
      <c r="G444" s="4">
        <v>0.08</v>
      </c>
      <c r="H444" s="4">
        <v>0.08</v>
      </c>
      <c r="I444" s="4"/>
      <c r="J444" s="1" t="s">
        <v>775</v>
      </c>
      <c r="K444" s="1" t="s">
        <v>1022</v>
      </c>
      <c r="L444" s="1" t="s">
        <v>1023</v>
      </c>
      <c r="M444" s="1" t="s">
        <v>1016</v>
      </c>
      <c r="O444" s="6">
        <v>42707</v>
      </c>
      <c r="P444" s="6">
        <v>42705</v>
      </c>
      <c r="Q444" s="6">
        <v>42705</v>
      </c>
      <c r="R444" s="1" t="s">
        <v>1017</v>
      </c>
      <c r="T444" s="5">
        <v>0</v>
      </c>
      <c r="U444" s="4">
        <v>74</v>
      </c>
      <c r="V444" s="5">
        <v>2259</v>
      </c>
      <c r="W444" s="6"/>
      <c r="X444" s="6"/>
      <c r="Y444" s="6"/>
      <c r="Z444" s="6"/>
      <c r="AA444" s="6"/>
      <c r="AB444" s="6"/>
      <c r="AC444" s="6"/>
      <c r="AD444" s="6">
        <v>43128</v>
      </c>
    </row>
    <row r="445" spans="1:30">
      <c r="A445" s="1" t="s">
        <v>772</v>
      </c>
      <c r="B445" s="1" t="s">
        <v>773</v>
      </c>
      <c r="C445" s="1" t="s">
        <v>989</v>
      </c>
      <c r="D445" s="1" t="s">
        <v>1024</v>
      </c>
      <c r="E445" s="1" t="str">
        <f t="shared" si="6"/>
        <v>W05</v>
      </c>
      <c r="F445" s="4">
        <v>0.1</v>
      </c>
      <c r="G445" s="4">
        <v>0.09</v>
      </c>
      <c r="H445" s="4">
        <v>0.09</v>
      </c>
      <c r="I445" s="4"/>
      <c r="J445" s="1" t="s">
        <v>775</v>
      </c>
      <c r="K445" s="1" t="s">
        <v>1022</v>
      </c>
      <c r="L445" s="1" t="s">
        <v>1023</v>
      </c>
      <c r="M445" s="1" t="s">
        <v>1016</v>
      </c>
      <c r="O445" s="6">
        <v>42707</v>
      </c>
      <c r="P445" s="6">
        <v>42705</v>
      </c>
      <c r="Q445" s="6">
        <v>42705</v>
      </c>
      <c r="R445" s="1" t="s">
        <v>1017</v>
      </c>
      <c r="T445" s="5">
        <v>0</v>
      </c>
      <c r="U445" s="4">
        <v>74</v>
      </c>
      <c r="V445" s="5">
        <v>2259</v>
      </c>
      <c r="W445" s="6"/>
      <c r="X445" s="6"/>
      <c r="Y445" s="6"/>
      <c r="Z445" s="6"/>
      <c r="AA445" s="6"/>
      <c r="AB445" s="6"/>
      <c r="AC445" s="6"/>
      <c r="AD445" s="6">
        <v>43137</v>
      </c>
    </row>
    <row r="446" spans="1:30">
      <c r="A446" s="1" t="s">
        <v>772</v>
      </c>
      <c r="B446" s="1" t="s">
        <v>773</v>
      </c>
      <c r="C446" s="1" t="s">
        <v>989</v>
      </c>
      <c r="D446" s="1" t="s">
        <v>1025</v>
      </c>
      <c r="E446" s="1" t="str">
        <f t="shared" si="6"/>
        <v>W05</v>
      </c>
      <c r="F446" s="4">
        <v>0.1</v>
      </c>
      <c r="G446" s="4">
        <v>0.09</v>
      </c>
      <c r="H446" s="4">
        <v>0.09</v>
      </c>
      <c r="I446" s="4"/>
      <c r="J446" s="1" t="s">
        <v>775</v>
      </c>
      <c r="K446" s="1" t="s">
        <v>1022</v>
      </c>
      <c r="L446" s="1" t="s">
        <v>1023</v>
      </c>
      <c r="M446" s="1" t="s">
        <v>1016</v>
      </c>
      <c r="O446" s="6">
        <v>42707</v>
      </c>
      <c r="P446" s="6">
        <v>42705</v>
      </c>
      <c r="Q446" s="6">
        <v>42705</v>
      </c>
      <c r="R446" s="1" t="s">
        <v>1017</v>
      </c>
      <c r="T446" s="5">
        <v>0</v>
      </c>
      <c r="U446" s="4">
        <v>74</v>
      </c>
      <c r="V446" s="5">
        <v>2259</v>
      </c>
      <c r="W446" s="6"/>
      <c r="X446" s="6"/>
      <c r="Y446" s="6"/>
      <c r="Z446" s="6"/>
      <c r="AA446" s="6"/>
      <c r="AB446" s="6"/>
      <c r="AC446" s="6"/>
      <c r="AD446" s="6">
        <v>43128</v>
      </c>
    </row>
    <row r="447" spans="1:30">
      <c r="A447" s="1" t="s">
        <v>772</v>
      </c>
      <c r="B447" s="1" t="s">
        <v>773</v>
      </c>
      <c r="C447" s="1" t="s">
        <v>989</v>
      </c>
      <c r="D447" s="1" t="s">
        <v>1026</v>
      </c>
      <c r="E447" s="1" t="str">
        <f t="shared" si="6"/>
        <v>W05</v>
      </c>
      <c r="F447" s="4">
        <v>0.18</v>
      </c>
      <c r="G447" s="4">
        <v>0.17</v>
      </c>
      <c r="H447" s="4">
        <v>0.17</v>
      </c>
      <c r="I447" s="4"/>
      <c r="J447" s="1" t="s">
        <v>775</v>
      </c>
      <c r="K447" s="1" t="s">
        <v>1027</v>
      </c>
      <c r="L447" s="1" t="s">
        <v>1015</v>
      </c>
      <c r="M447" s="1" t="s">
        <v>1016</v>
      </c>
      <c r="O447" s="6">
        <v>42521</v>
      </c>
      <c r="P447" s="6">
        <v>42521</v>
      </c>
      <c r="Q447" s="6"/>
      <c r="R447" s="1" t="s">
        <v>1017</v>
      </c>
      <c r="T447" s="5">
        <v>0</v>
      </c>
      <c r="U447" s="4">
        <v>80</v>
      </c>
      <c r="V447" s="5">
        <v>2443</v>
      </c>
      <c r="W447" s="6"/>
      <c r="X447" s="6"/>
      <c r="Y447" s="6"/>
      <c r="Z447" s="6"/>
      <c r="AA447" s="6"/>
      <c r="AB447" s="6"/>
      <c r="AC447" s="6"/>
      <c r="AD447" s="6"/>
    </row>
    <row r="448" spans="1:30">
      <c r="A448" s="1" t="s">
        <v>772</v>
      </c>
      <c r="B448" s="1" t="s">
        <v>773</v>
      </c>
      <c r="C448" s="1" t="s">
        <v>989</v>
      </c>
      <c r="D448" s="1" t="s">
        <v>1028</v>
      </c>
      <c r="E448" s="1" t="str">
        <f t="shared" si="6"/>
        <v>W05</v>
      </c>
      <c r="F448" s="4">
        <v>0.09</v>
      </c>
      <c r="G448" s="4">
        <v>0.08</v>
      </c>
      <c r="H448" s="4">
        <v>0.08</v>
      </c>
      <c r="I448" s="4"/>
      <c r="J448" s="1" t="s">
        <v>775</v>
      </c>
      <c r="K448" s="1" t="s">
        <v>1022</v>
      </c>
      <c r="L448" s="1" t="s">
        <v>1023</v>
      </c>
      <c r="M448" s="1" t="s">
        <v>1016</v>
      </c>
      <c r="O448" s="6">
        <v>42707</v>
      </c>
      <c r="P448" s="6">
        <v>42705</v>
      </c>
      <c r="Q448" s="6">
        <v>42705</v>
      </c>
      <c r="R448" s="1" t="s">
        <v>1017</v>
      </c>
      <c r="T448" s="5">
        <v>0</v>
      </c>
      <c r="U448" s="4">
        <v>74</v>
      </c>
      <c r="V448" s="5">
        <v>2259</v>
      </c>
      <c r="W448" s="6"/>
      <c r="X448" s="6"/>
      <c r="Y448" s="6"/>
      <c r="Z448" s="6"/>
      <c r="AA448" s="6"/>
      <c r="AB448" s="6"/>
      <c r="AC448" s="6"/>
      <c r="AD448" s="6"/>
    </row>
    <row r="449" spans="1:30">
      <c r="A449" s="1" t="s">
        <v>772</v>
      </c>
      <c r="B449" s="1" t="s">
        <v>773</v>
      </c>
      <c r="C449" s="1" t="s">
        <v>989</v>
      </c>
      <c r="D449" s="1" t="s">
        <v>1029</v>
      </c>
      <c r="E449" s="1" t="str">
        <f t="shared" si="6"/>
        <v>W05</v>
      </c>
      <c r="F449" s="4">
        <v>0.1</v>
      </c>
      <c r="G449" s="4">
        <v>0.09</v>
      </c>
      <c r="H449" s="4">
        <v>0.09</v>
      </c>
      <c r="I449" s="4"/>
      <c r="J449" s="1" t="s">
        <v>775</v>
      </c>
      <c r="K449" s="1" t="s">
        <v>1022</v>
      </c>
      <c r="L449" s="1" t="s">
        <v>1023</v>
      </c>
      <c r="M449" s="1" t="s">
        <v>1016</v>
      </c>
      <c r="O449" s="6">
        <v>42707</v>
      </c>
      <c r="P449" s="6">
        <v>42705</v>
      </c>
      <c r="Q449" s="6">
        <v>42705</v>
      </c>
      <c r="R449" s="1" t="s">
        <v>1017</v>
      </c>
      <c r="T449" s="5">
        <v>0</v>
      </c>
      <c r="U449" s="4">
        <v>74</v>
      </c>
      <c r="V449" s="5">
        <v>2259</v>
      </c>
      <c r="W449" s="6"/>
      <c r="X449" s="6"/>
      <c r="Y449" s="6"/>
      <c r="Z449" s="6"/>
      <c r="AA449" s="6"/>
      <c r="AB449" s="6"/>
      <c r="AC449" s="6"/>
      <c r="AD449" s="6">
        <v>43136</v>
      </c>
    </row>
    <row r="450" spans="1:30">
      <c r="A450" s="1" t="s">
        <v>772</v>
      </c>
      <c r="B450" s="1" t="s">
        <v>773</v>
      </c>
      <c r="C450" s="1" t="s">
        <v>989</v>
      </c>
      <c r="D450" s="1" t="s">
        <v>1030</v>
      </c>
      <c r="E450" s="1" t="str">
        <f t="shared" si="6"/>
        <v>W05</v>
      </c>
      <c r="F450" s="4">
        <v>0.1</v>
      </c>
      <c r="G450" s="4">
        <v>0.09</v>
      </c>
      <c r="H450" s="4">
        <v>0.09</v>
      </c>
      <c r="I450" s="4"/>
      <c r="J450" s="1" t="s">
        <v>775</v>
      </c>
      <c r="K450" s="1" t="s">
        <v>1022</v>
      </c>
      <c r="L450" s="1" t="s">
        <v>1023</v>
      </c>
      <c r="M450" s="1" t="s">
        <v>1016</v>
      </c>
      <c r="O450" s="6">
        <v>42707</v>
      </c>
      <c r="P450" s="6">
        <v>42705</v>
      </c>
      <c r="Q450" s="6">
        <v>42705</v>
      </c>
      <c r="R450" s="1" t="s">
        <v>1017</v>
      </c>
      <c r="T450" s="5">
        <v>0</v>
      </c>
      <c r="U450" s="4">
        <v>74</v>
      </c>
      <c r="V450" s="5">
        <v>2259</v>
      </c>
      <c r="W450" s="6"/>
      <c r="X450" s="6"/>
      <c r="Y450" s="6"/>
      <c r="Z450" s="6"/>
      <c r="AA450" s="6"/>
      <c r="AB450" s="6"/>
      <c r="AC450" s="6"/>
      <c r="AD450" s="6">
        <v>43128</v>
      </c>
    </row>
    <row r="451" spans="1:30">
      <c r="A451" s="1" t="s">
        <v>772</v>
      </c>
      <c r="B451" s="1" t="s">
        <v>773</v>
      </c>
      <c r="C451" s="1" t="s">
        <v>989</v>
      </c>
      <c r="D451" s="1" t="s">
        <v>1031</v>
      </c>
      <c r="E451" s="1" t="str">
        <f t="shared" si="6"/>
        <v>W05</v>
      </c>
      <c r="F451" s="4">
        <v>0.09</v>
      </c>
      <c r="G451" s="4">
        <v>0.09</v>
      </c>
      <c r="H451" s="4">
        <v>0.09</v>
      </c>
      <c r="I451" s="4"/>
      <c r="J451" s="1" t="s">
        <v>775</v>
      </c>
      <c r="K451" s="1" t="s">
        <v>1027</v>
      </c>
      <c r="L451" s="1" t="s">
        <v>1015</v>
      </c>
      <c r="M451" s="1" t="s">
        <v>1016</v>
      </c>
      <c r="O451" s="6">
        <v>42521</v>
      </c>
      <c r="P451" s="6">
        <v>42521</v>
      </c>
      <c r="Q451" s="6"/>
      <c r="R451" s="1" t="s">
        <v>1017</v>
      </c>
      <c r="T451" s="5">
        <v>0</v>
      </c>
      <c r="U451" s="4">
        <v>80</v>
      </c>
      <c r="V451" s="5">
        <v>2443</v>
      </c>
      <c r="W451" s="6"/>
      <c r="X451" s="6"/>
      <c r="Y451" s="6"/>
      <c r="Z451" s="6"/>
      <c r="AA451" s="6"/>
      <c r="AB451" s="6"/>
      <c r="AC451" s="6"/>
      <c r="AD451" s="6">
        <v>43314</v>
      </c>
    </row>
    <row r="452" spans="1:30">
      <c r="A452" s="1" t="s">
        <v>772</v>
      </c>
      <c r="B452" s="1" t="s">
        <v>773</v>
      </c>
      <c r="C452" s="1" t="s">
        <v>989</v>
      </c>
      <c r="D452" s="1" t="s">
        <v>1032</v>
      </c>
      <c r="E452" s="1" t="str">
        <f t="shared" si="6"/>
        <v>W05</v>
      </c>
      <c r="F452" s="4">
        <v>0.09</v>
      </c>
      <c r="G452" s="4">
        <v>0.09</v>
      </c>
      <c r="H452" s="4">
        <v>0.09</v>
      </c>
      <c r="I452" s="4"/>
      <c r="J452" s="1" t="s">
        <v>775</v>
      </c>
      <c r="K452" s="1" t="s">
        <v>1022</v>
      </c>
      <c r="L452" s="1" t="s">
        <v>1023</v>
      </c>
      <c r="M452" s="1" t="s">
        <v>1016</v>
      </c>
      <c r="O452" s="6">
        <v>42707</v>
      </c>
      <c r="P452" s="6">
        <v>42705</v>
      </c>
      <c r="Q452" s="6">
        <v>42705</v>
      </c>
      <c r="R452" s="1" t="s">
        <v>1017</v>
      </c>
      <c r="T452" s="5">
        <v>0</v>
      </c>
      <c r="U452" s="4">
        <v>74</v>
      </c>
      <c r="V452" s="5">
        <v>2259</v>
      </c>
      <c r="W452" s="6"/>
      <c r="X452" s="6"/>
      <c r="Y452" s="6"/>
      <c r="Z452" s="6"/>
      <c r="AA452" s="6"/>
      <c r="AB452" s="6"/>
      <c r="AC452" s="6"/>
      <c r="AD452" s="6"/>
    </row>
    <row r="453" spans="1:30">
      <c r="A453" s="1" t="s">
        <v>772</v>
      </c>
      <c r="B453" s="1" t="s">
        <v>773</v>
      </c>
      <c r="C453" s="1" t="s">
        <v>989</v>
      </c>
      <c r="D453" s="1" t="s">
        <v>1033</v>
      </c>
      <c r="E453" s="1" t="str">
        <f t="shared" ref="E453:E516" si="7">RIGHT(C453,3)</f>
        <v>W05</v>
      </c>
      <c r="F453" s="4">
        <v>0.09</v>
      </c>
      <c r="G453" s="4">
        <v>0.08</v>
      </c>
      <c r="H453" s="4">
        <v>0.08</v>
      </c>
      <c r="I453" s="4"/>
      <c r="J453" s="1" t="s">
        <v>775</v>
      </c>
      <c r="K453" s="1" t="s">
        <v>1022</v>
      </c>
      <c r="L453" s="1" t="s">
        <v>1023</v>
      </c>
      <c r="M453" s="1" t="s">
        <v>1016</v>
      </c>
      <c r="O453" s="6">
        <v>42707</v>
      </c>
      <c r="P453" s="6">
        <v>42705</v>
      </c>
      <c r="Q453" s="6">
        <v>42705</v>
      </c>
      <c r="R453" s="1" t="s">
        <v>1017</v>
      </c>
      <c r="T453" s="5">
        <v>0</v>
      </c>
      <c r="U453" s="4">
        <v>74</v>
      </c>
      <c r="V453" s="5">
        <v>2259</v>
      </c>
      <c r="W453" s="6"/>
      <c r="X453" s="6"/>
      <c r="Y453" s="6"/>
      <c r="Z453" s="6"/>
      <c r="AA453" s="6"/>
      <c r="AB453" s="6"/>
      <c r="AC453" s="6"/>
      <c r="AD453" s="6">
        <v>43136</v>
      </c>
    </row>
    <row r="454" spans="1:30">
      <c r="A454" s="1" t="s">
        <v>772</v>
      </c>
      <c r="B454" s="1" t="s">
        <v>773</v>
      </c>
      <c r="C454" s="1" t="s">
        <v>989</v>
      </c>
      <c r="D454" s="1" t="s">
        <v>1034</v>
      </c>
      <c r="E454" s="1" t="str">
        <f t="shared" si="7"/>
        <v>W05</v>
      </c>
      <c r="F454" s="4">
        <v>0.09</v>
      </c>
      <c r="G454" s="4">
        <v>0.08</v>
      </c>
      <c r="H454" s="4">
        <v>0.08</v>
      </c>
      <c r="I454" s="4"/>
      <c r="J454" s="1" t="s">
        <v>775</v>
      </c>
      <c r="K454" s="1" t="s">
        <v>1022</v>
      </c>
      <c r="L454" s="1" t="s">
        <v>1023</v>
      </c>
      <c r="M454" s="1" t="s">
        <v>1016</v>
      </c>
      <c r="O454" s="6">
        <v>42707</v>
      </c>
      <c r="P454" s="6">
        <v>42705</v>
      </c>
      <c r="Q454" s="6">
        <v>42705</v>
      </c>
      <c r="R454" s="1" t="s">
        <v>1017</v>
      </c>
      <c r="T454" s="5">
        <v>0</v>
      </c>
      <c r="U454" s="4">
        <v>74</v>
      </c>
      <c r="V454" s="5">
        <v>2259</v>
      </c>
      <c r="W454" s="6"/>
      <c r="X454" s="6"/>
      <c r="Y454" s="6"/>
      <c r="Z454" s="6"/>
      <c r="AA454" s="6"/>
      <c r="AB454" s="6"/>
      <c r="AC454" s="6"/>
      <c r="AD454" s="6">
        <v>43128</v>
      </c>
    </row>
    <row r="455" spans="1:30">
      <c r="A455" s="1" t="s">
        <v>772</v>
      </c>
      <c r="B455" s="1" t="s">
        <v>773</v>
      </c>
      <c r="C455" s="1" t="s">
        <v>989</v>
      </c>
      <c r="D455" s="1" t="s">
        <v>1035</v>
      </c>
      <c r="E455" s="1" t="str">
        <f t="shared" si="7"/>
        <v>W05</v>
      </c>
      <c r="F455" s="4">
        <v>0.11</v>
      </c>
      <c r="G455" s="4">
        <v>0.11</v>
      </c>
      <c r="H455" s="4">
        <v>0.11</v>
      </c>
      <c r="I455" s="4"/>
      <c r="J455" s="1" t="s">
        <v>775</v>
      </c>
      <c r="K455" s="1" t="s">
        <v>1036</v>
      </c>
      <c r="M455" s="1" t="s">
        <v>1016</v>
      </c>
      <c r="O455" s="6">
        <v>42405</v>
      </c>
      <c r="P455" s="6">
        <v>42405</v>
      </c>
      <c r="Q455" s="6"/>
      <c r="R455" s="1" t="s">
        <v>1017</v>
      </c>
      <c r="T455" s="5">
        <v>0</v>
      </c>
      <c r="U455" s="4">
        <v>84</v>
      </c>
      <c r="V455" s="5">
        <v>2559</v>
      </c>
      <c r="W455" s="6"/>
      <c r="X455" s="6"/>
      <c r="Y455" s="6"/>
      <c r="Z455" s="6"/>
      <c r="AA455" s="6"/>
      <c r="AB455" s="6"/>
      <c r="AC455" s="6"/>
      <c r="AD455" s="6">
        <v>43128</v>
      </c>
    </row>
    <row r="456" spans="1:30">
      <c r="A456" s="1" t="s">
        <v>772</v>
      </c>
      <c r="B456" s="1" t="s">
        <v>773</v>
      </c>
      <c r="C456" s="1" t="s">
        <v>989</v>
      </c>
      <c r="D456" s="1" t="s">
        <v>1037</v>
      </c>
      <c r="E456" s="1" t="str">
        <f t="shared" si="7"/>
        <v>W05</v>
      </c>
      <c r="F456" s="4">
        <v>0.11</v>
      </c>
      <c r="G456" s="4">
        <v>0.11</v>
      </c>
      <c r="H456" s="4">
        <v>0.11</v>
      </c>
      <c r="I456" s="4"/>
      <c r="J456" s="1" t="s">
        <v>775</v>
      </c>
      <c r="K456" s="1" t="s">
        <v>1022</v>
      </c>
      <c r="L456" s="1" t="s">
        <v>1023</v>
      </c>
      <c r="M456" s="1" t="s">
        <v>1016</v>
      </c>
      <c r="O456" s="6">
        <v>42707</v>
      </c>
      <c r="P456" s="6">
        <v>42705</v>
      </c>
      <c r="Q456" s="6">
        <v>42705</v>
      </c>
      <c r="R456" s="1" t="s">
        <v>1017</v>
      </c>
      <c r="T456" s="5">
        <v>0</v>
      </c>
      <c r="U456" s="4">
        <v>74</v>
      </c>
      <c r="V456" s="5">
        <v>2259</v>
      </c>
      <c r="W456" s="6"/>
      <c r="X456" s="6"/>
      <c r="Y456" s="6"/>
      <c r="Z456" s="6"/>
      <c r="AA456" s="6"/>
      <c r="AB456" s="6"/>
      <c r="AC456" s="6"/>
      <c r="AD456" s="6">
        <v>43156</v>
      </c>
    </row>
    <row r="457" spans="1:30">
      <c r="A457" s="1" t="s">
        <v>772</v>
      </c>
      <c r="B457" s="1" t="s">
        <v>773</v>
      </c>
      <c r="C457" s="1" t="s">
        <v>989</v>
      </c>
      <c r="D457" s="1" t="s">
        <v>1038</v>
      </c>
      <c r="E457" s="1" t="str">
        <f t="shared" si="7"/>
        <v>W05</v>
      </c>
      <c r="F457" s="4">
        <v>0.11</v>
      </c>
      <c r="G457" s="4">
        <v>0.11</v>
      </c>
      <c r="H457" s="4">
        <v>0.11</v>
      </c>
      <c r="I457" s="4"/>
      <c r="J457" s="1" t="s">
        <v>775</v>
      </c>
      <c r="K457" s="1" t="s">
        <v>1036</v>
      </c>
      <c r="M457" s="1" t="s">
        <v>1016</v>
      </c>
      <c r="O457" s="6">
        <v>42405</v>
      </c>
      <c r="P457" s="6">
        <v>42405</v>
      </c>
      <c r="Q457" s="6"/>
      <c r="R457" s="1" t="s">
        <v>1017</v>
      </c>
      <c r="T457" s="5">
        <v>0</v>
      </c>
      <c r="U457" s="4">
        <v>84</v>
      </c>
      <c r="V457" s="5">
        <v>2559</v>
      </c>
      <c r="W457" s="6"/>
      <c r="X457" s="6"/>
      <c r="Y457" s="6"/>
      <c r="Z457" s="6"/>
      <c r="AA457" s="6"/>
      <c r="AB457" s="6"/>
      <c r="AC457" s="6"/>
      <c r="AD457" s="6">
        <v>43128</v>
      </c>
    </row>
    <row r="458" spans="1:30">
      <c r="A458" s="1" t="s">
        <v>772</v>
      </c>
      <c r="B458" s="1" t="s">
        <v>773</v>
      </c>
      <c r="C458" s="1" t="s">
        <v>989</v>
      </c>
      <c r="D458" s="1" t="s">
        <v>1039</v>
      </c>
      <c r="E458" s="1" t="str">
        <f t="shared" si="7"/>
        <v>W05</v>
      </c>
      <c r="F458" s="4">
        <v>0.11</v>
      </c>
      <c r="G458" s="4">
        <v>0.11</v>
      </c>
      <c r="H458" s="4">
        <v>0.11</v>
      </c>
      <c r="I458" s="4"/>
      <c r="J458" s="1" t="s">
        <v>775</v>
      </c>
      <c r="K458" s="1" t="s">
        <v>1022</v>
      </c>
      <c r="L458" s="1" t="s">
        <v>1023</v>
      </c>
      <c r="M458" s="1" t="s">
        <v>1016</v>
      </c>
      <c r="O458" s="6">
        <v>42707</v>
      </c>
      <c r="P458" s="6">
        <v>42705</v>
      </c>
      <c r="Q458" s="6">
        <v>42705</v>
      </c>
      <c r="R458" s="1" t="s">
        <v>1017</v>
      </c>
      <c r="T458" s="5">
        <v>0</v>
      </c>
      <c r="U458" s="4">
        <v>74</v>
      </c>
      <c r="V458" s="5">
        <v>2259</v>
      </c>
      <c r="W458" s="6"/>
      <c r="X458" s="6"/>
      <c r="Y458" s="6"/>
      <c r="Z458" s="6"/>
      <c r="AA458" s="6"/>
      <c r="AB458" s="6"/>
      <c r="AC458" s="6"/>
      <c r="AD458" s="6">
        <v>43156</v>
      </c>
    </row>
    <row r="459" spans="1:30">
      <c r="A459" s="1" t="s">
        <v>772</v>
      </c>
      <c r="B459" s="1" t="s">
        <v>773</v>
      </c>
      <c r="C459" s="1" t="s">
        <v>989</v>
      </c>
      <c r="D459" s="1" t="s">
        <v>1040</v>
      </c>
      <c r="E459" s="1" t="str">
        <f t="shared" si="7"/>
        <v>W05</v>
      </c>
      <c r="F459" s="4">
        <v>0.22</v>
      </c>
      <c r="G459" s="4">
        <v>0.22</v>
      </c>
      <c r="H459" s="4">
        <v>0.22</v>
      </c>
      <c r="I459" s="4"/>
      <c r="J459" s="1" t="s">
        <v>775</v>
      </c>
      <c r="K459" s="1" t="s">
        <v>1036</v>
      </c>
      <c r="M459" s="1" t="s">
        <v>1016</v>
      </c>
      <c r="O459" s="6">
        <v>42405</v>
      </c>
      <c r="P459" s="6">
        <v>42405</v>
      </c>
      <c r="Q459" s="6"/>
      <c r="R459" s="1" t="s">
        <v>1017</v>
      </c>
      <c r="T459" s="5">
        <v>0</v>
      </c>
      <c r="U459" s="4">
        <v>84</v>
      </c>
      <c r="V459" s="5">
        <v>2559</v>
      </c>
      <c r="W459" s="6"/>
      <c r="X459" s="6"/>
      <c r="Y459" s="6"/>
      <c r="Z459" s="6"/>
      <c r="AA459" s="6"/>
      <c r="AB459" s="6"/>
      <c r="AC459" s="6"/>
      <c r="AD459" s="6"/>
    </row>
    <row r="460" spans="1:30">
      <c r="A460" s="1" t="s">
        <v>772</v>
      </c>
      <c r="B460" s="1" t="s">
        <v>773</v>
      </c>
      <c r="C460" s="1" t="s">
        <v>989</v>
      </c>
      <c r="D460" s="1" t="s">
        <v>1041</v>
      </c>
      <c r="E460" s="1" t="str">
        <f t="shared" si="7"/>
        <v>W05</v>
      </c>
      <c r="F460" s="4">
        <v>0.22</v>
      </c>
      <c r="G460" s="4">
        <v>0.22</v>
      </c>
      <c r="H460" s="4">
        <v>0.22</v>
      </c>
      <c r="I460" s="4"/>
      <c r="J460" s="1" t="s">
        <v>775</v>
      </c>
      <c r="K460" s="1" t="s">
        <v>1022</v>
      </c>
      <c r="L460" s="1" t="s">
        <v>1023</v>
      </c>
      <c r="M460" s="1" t="s">
        <v>1016</v>
      </c>
      <c r="O460" s="6">
        <v>42707</v>
      </c>
      <c r="P460" s="6">
        <v>42705</v>
      </c>
      <c r="Q460" s="6">
        <v>42705</v>
      </c>
      <c r="R460" s="1" t="s">
        <v>1017</v>
      </c>
      <c r="T460" s="5">
        <v>0</v>
      </c>
      <c r="U460" s="4">
        <v>74</v>
      </c>
      <c r="V460" s="5">
        <v>2259</v>
      </c>
      <c r="W460" s="6"/>
      <c r="X460" s="6"/>
      <c r="Y460" s="6"/>
      <c r="Z460" s="6"/>
      <c r="AA460" s="6"/>
      <c r="AB460" s="6"/>
      <c r="AC460" s="6"/>
      <c r="AD460" s="6"/>
    </row>
    <row r="461" spans="1:30">
      <c r="A461" s="1" t="s">
        <v>772</v>
      </c>
      <c r="B461" s="1" t="s">
        <v>773</v>
      </c>
      <c r="C461" s="1" t="s">
        <v>989</v>
      </c>
      <c r="D461" s="1" t="s">
        <v>1042</v>
      </c>
      <c r="E461" s="1" t="str">
        <f t="shared" si="7"/>
        <v>W05</v>
      </c>
      <c r="F461" s="4">
        <v>0.17</v>
      </c>
      <c r="G461" s="4">
        <v>0.16</v>
      </c>
      <c r="H461" s="4">
        <v>0.16</v>
      </c>
      <c r="I461" s="4"/>
      <c r="J461" s="1" t="s">
        <v>775</v>
      </c>
      <c r="K461" s="1" t="s">
        <v>1027</v>
      </c>
      <c r="M461" s="1" t="s">
        <v>1016</v>
      </c>
      <c r="O461" s="6">
        <v>42500</v>
      </c>
      <c r="P461" s="6">
        <v>42500</v>
      </c>
      <c r="Q461" s="6"/>
      <c r="R461" s="1" t="s">
        <v>1017</v>
      </c>
      <c r="T461" s="5">
        <v>0</v>
      </c>
      <c r="U461" s="4">
        <v>81</v>
      </c>
      <c r="V461" s="5">
        <v>2464</v>
      </c>
      <c r="W461" s="6"/>
      <c r="X461" s="6"/>
      <c r="Y461" s="6"/>
      <c r="Z461" s="6"/>
      <c r="AA461" s="6"/>
      <c r="AB461" s="6"/>
      <c r="AC461" s="6"/>
      <c r="AD461" s="6">
        <v>43228</v>
      </c>
    </row>
    <row r="462" spans="1:30">
      <c r="A462" s="1" t="s">
        <v>772</v>
      </c>
      <c r="B462" s="1" t="s">
        <v>773</v>
      </c>
      <c r="C462" s="1" t="s">
        <v>989</v>
      </c>
      <c r="D462" s="1" t="s">
        <v>1043</v>
      </c>
      <c r="E462" s="1" t="str">
        <f t="shared" si="7"/>
        <v>W05</v>
      </c>
      <c r="F462" s="4">
        <v>0.17</v>
      </c>
      <c r="G462" s="4">
        <v>0.16</v>
      </c>
      <c r="H462" s="4">
        <v>0.16</v>
      </c>
      <c r="I462" s="4"/>
      <c r="J462" s="1" t="s">
        <v>775</v>
      </c>
      <c r="K462" s="1" t="s">
        <v>1019</v>
      </c>
      <c r="O462" s="6">
        <v>42535</v>
      </c>
      <c r="P462" s="6">
        <v>42522</v>
      </c>
      <c r="Q462" s="6">
        <v>42522</v>
      </c>
      <c r="R462" s="1" t="s">
        <v>1017</v>
      </c>
      <c r="T462" s="5">
        <v>0</v>
      </c>
      <c r="U462" s="4">
        <v>80</v>
      </c>
      <c r="V462" s="5">
        <v>2442</v>
      </c>
      <c r="W462" s="6"/>
      <c r="X462" s="6"/>
      <c r="Y462" s="6"/>
      <c r="Z462" s="6"/>
      <c r="AA462" s="6"/>
      <c r="AB462" s="6"/>
      <c r="AC462" s="6"/>
      <c r="AD462" s="6">
        <v>43128</v>
      </c>
    </row>
    <row r="463" spans="1:30">
      <c r="A463" s="1" t="s">
        <v>772</v>
      </c>
      <c r="B463" s="1" t="s">
        <v>773</v>
      </c>
      <c r="C463" s="1" t="s">
        <v>989</v>
      </c>
      <c r="D463" s="1" t="s">
        <v>1044</v>
      </c>
      <c r="E463" s="1" t="str">
        <f t="shared" si="7"/>
        <v>W05</v>
      </c>
      <c r="F463" s="4">
        <v>0.22</v>
      </c>
      <c r="G463" s="4">
        <v>0.22</v>
      </c>
      <c r="H463" s="4">
        <v>0.22</v>
      </c>
      <c r="I463" s="4"/>
      <c r="J463" s="1" t="s">
        <v>775</v>
      </c>
      <c r="K463" s="1" t="s">
        <v>1027</v>
      </c>
      <c r="M463" s="1" t="s">
        <v>1016</v>
      </c>
      <c r="O463" s="6">
        <v>42500</v>
      </c>
      <c r="P463" s="6">
        <v>42500</v>
      </c>
      <c r="Q463" s="6"/>
      <c r="R463" s="1" t="s">
        <v>1017</v>
      </c>
      <c r="T463" s="5">
        <v>0</v>
      </c>
      <c r="U463" s="4">
        <v>81</v>
      </c>
      <c r="V463" s="5">
        <v>2464</v>
      </c>
      <c r="W463" s="6"/>
      <c r="X463" s="6"/>
      <c r="Y463" s="6"/>
      <c r="Z463" s="6"/>
      <c r="AA463" s="6"/>
      <c r="AB463" s="6"/>
      <c r="AC463" s="6"/>
      <c r="AD463" s="6">
        <v>43137</v>
      </c>
    </row>
    <row r="464" spans="1:30">
      <c r="A464" s="1" t="s">
        <v>772</v>
      </c>
      <c r="B464" s="1" t="s">
        <v>773</v>
      </c>
      <c r="C464" s="1" t="s">
        <v>989</v>
      </c>
      <c r="D464" s="1" t="s">
        <v>1045</v>
      </c>
      <c r="E464" s="1" t="str">
        <f t="shared" si="7"/>
        <v>W05</v>
      </c>
      <c r="F464" s="4">
        <v>0.22</v>
      </c>
      <c r="G464" s="4">
        <v>0.22</v>
      </c>
      <c r="H464" s="4">
        <v>0.22</v>
      </c>
      <c r="I464" s="4"/>
      <c r="J464" s="1" t="s">
        <v>775</v>
      </c>
      <c r="K464" s="1" t="s">
        <v>1019</v>
      </c>
      <c r="O464" s="6">
        <v>42535</v>
      </c>
      <c r="P464" s="6">
        <v>42522</v>
      </c>
      <c r="Q464" s="6">
        <v>42522</v>
      </c>
      <c r="R464" s="1" t="s">
        <v>1017</v>
      </c>
      <c r="T464" s="5">
        <v>0</v>
      </c>
      <c r="U464" s="4">
        <v>80</v>
      </c>
      <c r="V464" s="5">
        <v>2442</v>
      </c>
      <c r="W464" s="6"/>
      <c r="X464" s="6"/>
      <c r="Y464" s="6"/>
      <c r="Z464" s="6"/>
      <c r="AA464" s="6"/>
      <c r="AB464" s="6"/>
      <c r="AC464" s="6"/>
      <c r="AD464" s="6">
        <v>43128</v>
      </c>
    </row>
    <row r="465" spans="1:30">
      <c r="A465" s="1" t="s">
        <v>772</v>
      </c>
      <c r="B465" s="1" t="s">
        <v>773</v>
      </c>
      <c r="C465" s="1" t="s">
        <v>989</v>
      </c>
      <c r="D465" s="1" t="s">
        <v>1046</v>
      </c>
      <c r="E465" s="1" t="str">
        <f t="shared" si="7"/>
        <v>W05</v>
      </c>
      <c r="F465" s="4">
        <v>0.21</v>
      </c>
      <c r="G465" s="4">
        <v>0.21</v>
      </c>
      <c r="H465" s="4">
        <v>0.21</v>
      </c>
      <c r="I465" s="4"/>
      <c r="J465" s="1" t="s">
        <v>775</v>
      </c>
      <c r="K465" s="1" t="s">
        <v>1027</v>
      </c>
      <c r="M465" s="1" t="s">
        <v>1016</v>
      </c>
      <c r="O465" s="6">
        <v>42500</v>
      </c>
      <c r="P465" s="6">
        <v>42500</v>
      </c>
      <c r="Q465" s="6"/>
      <c r="R465" s="1" t="s">
        <v>1017</v>
      </c>
      <c r="T465" s="5">
        <v>0</v>
      </c>
      <c r="U465" s="4">
        <v>81</v>
      </c>
      <c r="V465" s="5">
        <v>2464</v>
      </c>
      <c r="W465" s="6"/>
      <c r="X465" s="6"/>
      <c r="Y465" s="6"/>
      <c r="Z465" s="6"/>
      <c r="AA465" s="6"/>
      <c r="AB465" s="6"/>
      <c r="AC465" s="6"/>
      <c r="AD465" s="6">
        <v>43132</v>
      </c>
    </row>
    <row r="466" spans="1:30">
      <c r="A466" s="1" t="s">
        <v>772</v>
      </c>
      <c r="B466" s="1" t="s">
        <v>773</v>
      </c>
      <c r="C466" s="1" t="s">
        <v>989</v>
      </c>
      <c r="D466" s="1" t="s">
        <v>1047</v>
      </c>
      <c r="E466" s="1" t="str">
        <f t="shared" si="7"/>
        <v>W05</v>
      </c>
      <c r="F466" s="4">
        <v>0.21</v>
      </c>
      <c r="G466" s="4">
        <v>0.21</v>
      </c>
      <c r="H466" s="4">
        <v>0.21</v>
      </c>
      <c r="I466" s="4"/>
      <c r="J466" s="1" t="s">
        <v>775</v>
      </c>
      <c r="K466" s="1" t="s">
        <v>1019</v>
      </c>
      <c r="O466" s="6">
        <v>42535</v>
      </c>
      <c r="P466" s="6">
        <v>42522</v>
      </c>
      <c r="Q466" s="6">
        <v>42522</v>
      </c>
      <c r="R466" s="1" t="s">
        <v>1017</v>
      </c>
      <c r="T466" s="5">
        <v>0</v>
      </c>
      <c r="U466" s="4">
        <v>80</v>
      </c>
      <c r="V466" s="5">
        <v>2442</v>
      </c>
      <c r="W466" s="6"/>
      <c r="X466" s="6"/>
      <c r="Y466" s="6"/>
      <c r="Z466" s="6"/>
      <c r="AA466" s="6"/>
      <c r="AB466" s="6"/>
      <c r="AC466" s="6"/>
      <c r="AD466" s="6">
        <v>43158</v>
      </c>
    </row>
    <row r="467" spans="1:30">
      <c r="A467" s="1" t="s">
        <v>772</v>
      </c>
      <c r="B467" s="1" t="s">
        <v>773</v>
      </c>
      <c r="C467" s="1" t="s">
        <v>989</v>
      </c>
      <c r="D467" s="1" t="s">
        <v>1048</v>
      </c>
      <c r="E467" s="1" t="str">
        <f t="shared" si="7"/>
        <v>W05</v>
      </c>
      <c r="F467" s="4">
        <v>0.23</v>
      </c>
      <c r="G467" s="4">
        <v>0.23</v>
      </c>
      <c r="H467" s="4">
        <v>0.23</v>
      </c>
      <c r="I467" s="4"/>
      <c r="J467" s="1" t="s">
        <v>775</v>
      </c>
      <c r="K467" s="1" t="s">
        <v>1027</v>
      </c>
      <c r="M467" s="1" t="s">
        <v>1016</v>
      </c>
      <c r="O467" s="6">
        <v>42500</v>
      </c>
      <c r="P467" s="6">
        <v>42500</v>
      </c>
      <c r="Q467" s="6"/>
      <c r="R467" s="1" t="s">
        <v>1017</v>
      </c>
      <c r="T467" s="5">
        <v>0</v>
      </c>
      <c r="U467" s="4">
        <v>81</v>
      </c>
      <c r="V467" s="5">
        <v>2464</v>
      </c>
      <c r="W467" s="6"/>
      <c r="X467" s="6"/>
      <c r="Y467" s="6"/>
      <c r="Z467" s="6"/>
      <c r="AA467" s="6"/>
      <c r="AB467" s="6"/>
      <c r="AC467" s="6"/>
      <c r="AD467" s="6">
        <v>43132</v>
      </c>
    </row>
    <row r="468" spans="1:30">
      <c r="A468" s="1" t="s">
        <v>772</v>
      </c>
      <c r="B468" s="1" t="s">
        <v>773</v>
      </c>
      <c r="C468" s="1" t="s">
        <v>989</v>
      </c>
      <c r="D468" s="1" t="s">
        <v>1049</v>
      </c>
      <c r="E468" s="1" t="str">
        <f t="shared" si="7"/>
        <v>W05</v>
      </c>
      <c r="F468" s="4">
        <v>0.23</v>
      </c>
      <c r="G468" s="4">
        <v>0.23</v>
      </c>
      <c r="H468" s="4">
        <v>0.23</v>
      </c>
      <c r="I468" s="4"/>
      <c r="J468" s="1" t="s">
        <v>775</v>
      </c>
      <c r="K468" s="1" t="s">
        <v>1019</v>
      </c>
      <c r="O468" s="6">
        <v>42535</v>
      </c>
      <c r="P468" s="6">
        <v>42522</v>
      </c>
      <c r="Q468" s="6">
        <v>42522</v>
      </c>
      <c r="R468" s="1" t="s">
        <v>1017</v>
      </c>
      <c r="T468" s="5">
        <v>0</v>
      </c>
      <c r="U468" s="4">
        <v>80</v>
      </c>
      <c r="V468" s="5">
        <v>2442</v>
      </c>
      <c r="W468" s="6"/>
      <c r="X468" s="6"/>
      <c r="Y468" s="6"/>
      <c r="Z468" s="6"/>
      <c r="AA468" s="6"/>
      <c r="AB468" s="6"/>
      <c r="AC468" s="6"/>
      <c r="AD468" s="6">
        <v>43128</v>
      </c>
    </row>
    <row r="469" spans="1:30">
      <c r="A469" s="1" t="s">
        <v>772</v>
      </c>
      <c r="B469" s="1" t="s">
        <v>773</v>
      </c>
      <c r="C469" s="1" t="s">
        <v>989</v>
      </c>
      <c r="D469" s="1" t="s">
        <v>1050</v>
      </c>
      <c r="E469" s="1" t="str">
        <f t="shared" si="7"/>
        <v>W05</v>
      </c>
      <c r="F469" s="4">
        <v>7.0000000000000007E-2</v>
      </c>
      <c r="G469" s="4">
        <v>7.0000000000000007E-2</v>
      </c>
      <c r="H469" s="4">
        <v>7.0000000000000007E-2</v>
      </c>
      <c r="I469" s="4"/>
      <c r="J469" s="1" t="s">
        <v>775</v>
      </c>
      <c r="K469" s="1" t="s">
        <v>1027</v>
      </c>
      <c r="M469" s="1" t="s">
        <v>1016</v>
      </c>
      <c r="O469" s="6">
        <v>42500</v>
      </c>
      <c r="P469" s="6">
        <v>42500</v>
      </c>
      <c r="Q469" s="6"/>
      <c r="R469" s="1" t="s">
        <v>1017</v>
      </c>
      <c r="T469" s="5">
        <v>0</v>
      </c>
      <c r="U469" s="4">
        <v>81</v>
      </c>
      <c r="V469" s="5">
        <v>2464</v>
      </c>
      <c r="W469" s="6"/>
      <c r="X469" s="6"/>
      <c r="Y469" s="6"/>
      <c r="Z469" s="6"/>
      <c r="AA469" s="6"/>
      <c r="AB469" s="6"/>
      <c r="AC469" s="6"/>
      <c r="AD469" s="6">
        <v>43138</v>
      </c>
    </row>
    <row r="470" spans="1:30">
      <c r="A470" s="1" t="s">
        <v>772</v>
      </c>
      <c r="B470" s="1" t="s">
        <v>773</v>
      </c>
      <c r="C470" s="1" t="s">
        <v>989</v>
      </c>
      <c r="D470" s="1" t="s">
        <v>1051</v>
      </c>
      <c r="E470" s="1" t="str">
        <f t="shared" si="7"/>
        <v>W05</v>
      </c>
      <c r="F470" s="4">
        <v>7.0000000000000007E-2</v>
      </c>
      <c r="G470" s="5">
        <v>7.0000000000000007E-2</v>
      </c>
      <c r="H470" s="5">
        <v>7.0000000000000007E-2</v>
      </c>
      <c r="I470" s="5"/>
      <c r="J470" s="1" t="s">
        <v>775</v>
      </c>
      <c r="K470" s="1" t="s">
        <v>1019</v>
      </c>
      <c r="O470" s="6">
        <v>42535</v>
      </c>
      <c r="P470" s="6">
        <v>42522</v>
      </c>
      <c r="Q470" s="6">
        <v>42522</v>
      </c>
      <c r="R470" s="1" t="s">
        <v>1017</v>
      </c>
      <c r="T470" s="5">
        <v>0</v>
      </c>
      <c r="U470" s="4">
        <v>80</v>
      </c>
      <c r="V470" s="5">
        <v>2442</v>
      </c>
      <c r="W470" s="6"/>
      <c r="X470" s="6"/>
      <c r="Y470" s="6"/>
      <c r="Z470" s="6"/>
      <c r="AA470" s="6"/>
      <c r="AB470" s="6"/>
      <c r="AC470" s="6"/>
      <c r="AD470" s="6">
        <v>43245</v>
      </c>
    </row>
    <row r="471" spans="1:30">
      <c r="A471" s="1" t="s">
        <v>772</v>
      </c>
      <c r="B471" s="1" t="s">
        <v>773</v>
      </c>
      <c r="C471" s="1" t="s">
        <v>989</v>
      </c>
      <c r="D471" s="1" t="s">
        <v>1052</v>
      </c>
      <c r="E471" s="1" t="str">
        <f t="shared" si="7"/>
        <v>W05</v>
      </c>
      <c r="F471" s="4">
        <v>7.0000000000000007E-2</v>
      </c>
      <c r="G471" s="4">
        <v>7.0000000000000007E-2</v>
      </c>
      <c r="H471" s="4">
        <v>7.0000000000000007E-2</v>
      </c>
      <c r="I471" s="4"/>
      <c r="J471" s="1" t="s">
        <v>775</v>
      </c>
      <c r="K471" s="1" t="s">
        <v>1053</v>
      </c>
      <c r="M471" s="1" t="s">
        <v>1016</v>
      </c>
      <c r="O471" s="6">
        <v>42793</v>
      </c>
      <c r="P471" s="6">
        <v>42767</v>
      </c>
      <c r="Q471" s="6">
        <v>42767</v>
      </c>
      <c r="R471" s="1" t="s">
        <v>1017</v>
      </c>
      <c r="T471" s="5">
        <v>0</v>
      </c>
      <c r="U471" s="4">
        <v>72</v>
      </c>
      <c r="V471" s="5">
        <v>2197</v>
      </c>
      <c r="W471" s="6"/>
      <c r="X471" s="6"/>
      <c r="Y471" s="6"/>
      <c r="Z471" s="6"/>
      <c r="AA471" s="6"/>
      <c r="AB471" s="6"/>
      <c r="AC471" s="6"/>
      <c r="AD471" s="6">
        <v>43133</v>
      </c>
    </row>
    <row r="472" spans="1:30">
      <c r="A472" s="1" t="s">
        <v>772</v>
      </c>
      <c r="B472" s="1" t="s">
        <v>773</v>
      </c>
      <c r="C472" s="1" t="s">
        <v>989</v>
      </c>
      <c r="D472" s="1" t="s">
        <v>1054</v>
      </c>
      <c r="E472" s="1" t="str">
        <f t="shared" si="7"/>
        <v>W05</v>
      </c>
      <c r="F472" s="4">
        <v>7.0000000000000007E-2</v>
      </c>
      <c r="G472" s="4">
        <v>7.0000000000000007E-2</v>
      </c>
      <c r="H472" s="4">
        <v>7.0000000000000007E-2</v>
      </c>
      <c r="I472" s="4"/>
      <c r="J472" s="1" t="s">
        <v>775</v>
      </c>
      <c r="K472" s="1" t="s">
        <v>1053</v>
      </c>
      <c r="M472" s="1" t="s">
        <v>1016</v>
      </c>
      <c r="O472" s="6">
        <v>42793</v>
      </c>
      <c r="P472" s="6">
        <v>42767</v>
      </c>
      <c r="Q472" s="6">
        <v>42767</v>
      </c>
      <c r="R472" s="1" t="s">
        <v>1017</v>
      </c>
      <c r="T472" s="5">
        <v>0</v>
      </c>
      <c r="U472" s="4">
        <v>72</v>
      </c>
      <c r="V472" s="5">
        <v>2197</v>
      </c>
      <c r="W472" s="6"/>
      <c r="X472" s="6"/>
      <c r="Y472" s="6"/>
      <c r="Z472" s="6"/>
      <c r="AA472" s="6"/>
      <c r="AB472" s="6"/>
      <c r="AC472" s="6"/>
      <c r="AD472" s="6"/>
    </row>
    <row r="473" spans="1:30">
      <c r="A473" s="1" t="s">
        <v>772</v>
      </c>
      <c r="B473" s="1" t="s">
        <v>773</v>
      </c>
      <c r="C473" s="1" t="s">
        <v>989</v>
      </c>
      <c r="D473" s="1" t="s">
        <v>1055</v>
      </c>
      <c r="E473" s="1" t="str">
        <f t="shared" si="7"/>
        <v>W05</v>
      </c>
      <c r="F473" s="4">
        <v>0.13</v>
      </c>
      <c r="G473" s="4">
        <v>0.13</v>
      </c>
      <c r="H473" s="4">
        <v>0.13</v>
      </c>
      <c r="I473" s="4"/>
      <c r="J473" s="1" t="s">
        <v>775</v>
      </c>
      <c r="K473" s="1" t="s">
        <v>1056</v>
      </c>
      <c r="L473" s="1" t="s">
        <v>1015</v>
      </c>
      <c r="M473" s="1" t="s">
        <v>1016</v>
      </c>
      <c r="O473" s="6">
        <v>42977</v>
      </c>
      <c r="P473" s="6">
        <v>42977</v>
      </c>
      <c r="Q473" s="6"/>
      <c r="R473" s="1" t="s">
        <v>1017</v>
      </c>
      <c r="T473" s="5">
        <v>0</v>
      </c>
      <c r="U473" s="4">
        <v>65</v>
      </c>
      <c r="V473" s="5">
        <v>1987</v>
      </c>
      <c r="W473" s="6"/>
      <c r="X473" s="6"/>
      <c r="Y473" s="6"/>
      <c r="Z473" s="6"/>
      <c r="AA473" s="6"/>
      <c r="AB473" s="6"/>
      <c r="AC473" s="6"/>
      <c r="AD473" s="6">
        <v>43128</v>
      </c>
    </row>
    <row r="474" spans="1:30">
      <c r="A474" s="1" t="s">
        <v>772</v>
      </c>
      <c r="B474" s="1" t="s">
        <v>773</v>
      </c>
      <c r="C474" s="1" t="s">
        <v>989</v>
      </c>
      <c r="D474" s="1" t="s">
        <v>1057</v>
      </c>
      <c r="E474" s="1" t="str">
        <f t="shared" si="7"/>
        <v>W05</v>
      </c>
      <c r="F474" s="5">
        <v>0.13</v>
      </c>
      <c r="G474" s="4">
        <v>0.13</v>
      </c>
      <c r="H474" s="4">
        <v>0.13</v>
      </c>
      <c r="I474" s="4"/>
      <c r="J474" s="1" t="s">
        <v>775</v>
      </c>
      <c r="K474" s="1" t="s">
        <v>1058</v>
      </c>
      <c r="O474" s="6">
        <v>42936</v>
      </c>
      <c r="P474" s="6">
        <v>42917</v>
      </c>
      <c r="Q474" s="6">
        <v>42917</v>
      </c>
      <c r="R474" s="1" t="s">
        <v>1017</v>
      </c>
      <c r="T474" s="5">
        <v>0</v>
      </c>
      <c r="U474" s="4">
        <v>67</v>
      </c>
      <c r="V474" s="5">
        <v>2047</v>
      </c>
      <c r="W474" s="6"/>
      <c r="X474" s="6"/>
      <c r="Y474" s="6"/>
      <c r="Z474" s="6"/>
      <c r="AA474" s="6"/>
      <c r="AB474" s="6"/>
      <c r="AC474" s="6"/>
      <c r="AD474" s="6">
        <v>43145</v>
      </c>
    </row>
    <row r="475" spans="1:30">
      <c r="A475" s="1" t="s">
        <v>772</v>
      </c>
      <c r="B475" s="1" t="s">
        <v>773</v>
      </c>
      <c r="C475" s="1" t="s">
        <v>989</v>
      </c>
      <c r="D475" s="1" t="s">
        <v>1059</v>
      </c>
      <c r="E475" s="1" t="str">
        <f t="shared" si="7"/>
        <v>W05</v>
      </c>
      <c r="F475" s="4">
        <v>0.13</v>
      </c>
      <c r="G475" s="4">
        <v>0.13</v>
      </c>
      <c r="H475" s="4">
        <v>0.13</v>
      </c>
      <c r="I475" s="4"/>
      <c r="J475" s="1" t="s">
        <v>775</v>
      </c>
      <c r="K475" s="1" t="s">
        <v>1056</v>
      </c>
      <c r="L475" s="1" t="s">
        <v>1015</v>
      </c>
      <c r="M475" s="1" t="s">
        <v>1016</v>
      </c>
      <c r="O475" s="6">
        <v>42977</v>
      </c>
      <c r="P475" s="6">
        <v>42977</v>
      </c>
      <c r="Q475" s="6"/>
      <c r="R475" s="1" t="s">
        <v>1017</v>
      </c>
      <c r="T475" s="5">
        <v>0</v>
      </c>
      <c r="U475" s="4">
        <v>65</v>
      </c>
      <c r="V475" s="5">
        <v>1987</v>
      </c>
      <c r="W475" s="6"/>
      <c r="X475" s="6"/>
      <c r="Y475" s="6"/>
      <c r="Z475" s="6"/>
      <c r="AA475" s="6"/>
      <c r="AB475" s="6"/>
      <c r="AC475" s="6"/>
      <c r="AD475" s="6">
        <v>43128</v>
      </c>
    </row>
    <row r="476" spans="1:30">
      <c r="A476" s="1" t="s">
        <v>772</v>
      </c>
      <c r="B476" s="1" t="s">
        <v>773</v>
      </c>
      <c r="C476" s="1" t="s">
        <v>989</v>
      </c>
      <c r="D476" s="1" t="s">
        <v>1060</v>
      </c>
      <c r="E476" s="1" t="str">
        <f t="shared" si="7"/>
        <v>W05</v>
      </c>
      <c r="F476" s="4">
        <v>0.13</v>
      </c>
      <c r="G476" s="4">
        <v>0.13</v>
      </c>
      <c r="H476" s="4">
        <v>0.13</v>
      </c>
      <c r="I476" s="4"/>
      <c r="J476" s="1" t="s">
        <v>775</v>
      </c>
      <c r="K476" s="1" t="s">
        <v>1058</v>
      </c>
      <c r="O476" s="6">
        <v>42936</v>
      </c>
      <c r="P476" s="6">
        <v>42917</v>
      </c>
      <c r="Q476" s="6">
        <v>42917</v>
      </c>
      <c r="R476" s="1" t="s">
        <v>1017</v>
      </c>
      <c r="T476" s="5">
        <v>0</v>
      </c>
      <c r="U476" s="4">
        <v>67</v>
      </c>
      <c r="V476" s="5">
        <v>2047</v>
      </c>
      <c r="W476" s="6"/>
      <c r="X476" s="6"/>
      <c r="Y476" s="6"/>
      <c r="Z476" s="6"/>
      <c r="AA476" s="6"/>
      <c r="AB476" s="6"/>
      <c r="AC476" s="6"/>
      <c r="AD476" s="6">
        <v>43153</v>
      </c>
    </row>
    <row r="477" spans="1:30">
      <c r="A477" s="1" t="s">
        <v>772</v>
      </c>
      <c r="B477" s="1" t="s">
        <v>773</v>
      </c>
      <c r="C477" s="1" t="s">
        <v>989</v>
      </c>
      <c r="D477" s="1" t="s">
        <v>1061</v>
      </c>
      <c r="E477" s="1" t="str">
        <f t="shared" si="7"/>
        <v>W05</v>
      </c>
      <c r="F477" s="4">
        <v>0.13</v>
      </c>
      <c r="G477" s="4">
        <v>0.13</v>
      </c>
      <c r="H477" s="4">
        <v>0.13</v>
      </c>
      <c r="I477" s="4"/>
      <c r="J477" s="1" t="s">
        <v>775</v>
      </c>
      <c r="K477" s="1" t="s">
        <v>1056</v>
      </c>
      <c r="L477" s="1" t="s">
        <v>1015</v>
      </c>
      <c r="M477" s="1" t="s">
        <v>1016</v>
      </c>
      <c r="O477" s="6">
        <v>42977</v>
      </c>
      <c r="P477" s="6">
        <v>42977</v>
      </c>
      <c r="Q477" s="6"/>
      <c r="R477" s="1" t="s">
        <v>1017</v>
      </c>
      <c r="T477" s="5">
        <v>0</v>
      </c>
      <c r="U477" s="4">
        <v>65</v>
      </c>
      <c r="V477" s="5">
        <v>1987</v>
      </c>
      <c r="W477" s="6"/>
      <c r="X477" s="6"/>
      <c r="Y477" s="6"/>
      <c r="Z477" s="6"/>
      <c r="AA477" s="6"/>
      <c r="AB477" s="6"/>
      <c r="AC477" s="6"/>
      <c r="AD477" s="6">
        <v>43147</v>
      </c>
    </row>
    <row r="478" spans="1:30">
      <c r="A478" s="1" t="s">
        <v>772</v>
      </c>
      <c r="B478" s="1" t="s">
        <v>773</v>
      </c>
      <c r="C478" s="1" t="s">
        <v>989</v>
      </c>
      <c r="D478" s="1" t="s">
        <v>1062</v>
      </c>
      <c r="E478" s="1" t="str">
        <f t="shared" si="7"/>
        <v>W05</v>
      </c>
      <c r="F478" s="4">
        <v>0.13</v>
      </c>
      <c r="G478" s="4">
        <v>0.13</v>
      </c>
      <c r="H478" s="4">
        <v>0.13</v>
      </c>
      <c r="I478" s="4"/>
      <c r="J478" s="1" t="s">
        <v>775</v>
      </c>
      <c r="K478" s="1" t="s">
        <v>1058</v>
      </c>
      <c r="O478" s="6">
        <v>42936</v>
      </c>
      <c r="P478" s="6">
        <v>42917</v>
      </c>
      <c r="Q478" s="6">
        <v>42917</v>
      </c>
      <c r="R478" s="1" t="s">
        <v>1017</v>
      </c>
      <c r="T478" s="5">
        <v>0</v>
      </c>
      <c r="U478" s="4">
        <v>67</v>
      </c>
      <c r="V478" s="5">
        <v>2047</v>
      </c>
      <c r="W478" s="6"/>
      <c r="X478" s="6"/>
      <c r="Y478" s="6"/>
      <c r="Z478" s="6"/>
      <c r="AA478" s="6"/>
      <c r="AB478" s="6"/>
      <c r="AC478" s="6"/>
      <c r="AD478" s="6">
        <v>43166</v>
      </c>
    </row>
    <row r="479" spans="1:30">
      <c r="A479" s="1" t="s">
        <v>772</v>
      </c>
      <c r="B479" s="1" t="s">
        <v>773</v>
      </c>
      <c r="C479" s="1" t="s">
        <v>989</v>
      </c>
      <c r="D479" s="1" t="s">
        <v>1063</v>
      </c>
      <c r="E479" s="1" t="str">
        <f t="shared" si="7"/>
        <v>W05</v>
      </c>
      <c r="F479" s="4">
        <v>0.13</v>
      </c>
      <c r="G479" s="4">
        <v>0.13</v>
      </c>
      <c r="H479" s="4">
        <v>0.13</v>
      </c>
      <c r="I479" s="4"/>
      <c r="J479" s="1" t="s">
        <v>775</v>
      </c>
      <c r="K479" s="1" t="s">
        <v>1056</v>
      </c>
      <c r="L479" s="1" t="s">
        <v>1015</v>
      </c>
      <c r="M479" s="1" t="s">
        <v>1016</v>
      </c>
      <c r="O479" s="6">
        <v>42977</v>
      </c>
      <c r="P479" s="6">
        <v>42977</v>
      </c>
      <c r="Q479" s="6"/>
      <c r="R479" s="1" t="s">
        <v>1017</v>
      </c>
      <c r="T479" s="5">
        <v>0</v>
      </c>
      <c r="U479" s="4">
        <v>65</v>
      </c>
      <c r="V479" s="5">
        <v>1987</v>
      </c>
      <c r="W479" s="6"/>
      <c r="X479" s="6"/>
      <c r="Y479" s="6"/>
      <c r="Z479" s="6"/>
      <c r="AA479" s="6"/>
      <c r="AB479" s="6"/>
      <c r="AC479" s="6"/>
      <c r="AD479" s="6">
        <v>43165</v>
      </c>
    </row>
    <row r="480" spans="1:30">
      <c r="A480" s="1" t="s">
        <v>772</v>
      </c>
      <c r="B480" s="1" t="s">
        <v>773</v>
      </c>
      <c r="C480" s="1" t="s">
        <v>989</v>
      </c>
      <c r="D480" s="1" t="s">
        <v>1064</v>
      </c>
      <c r="E480" s="1" t="str">
        <f t="shared" si="7"/>
        <v>W05</v>
      </c>
      <c r="F480" s="4">
        <v>0.13</v>
      </c>
      <c r="G480" s="4">
        <v>0.13</v>
      </c>
      <c r="H480" s="4">
        <v>0.13</v>
      </c>
      <c r="I480" s="4"/>
      <c r="J480" s="1" t="s">
        <v>775</v>
      </c>
      <c r="K480" s="1" t="s">
        <v>1058</v>
      </c>
      <c r="O480" s="6">
        <v>42936</v>
      </c>
      <c r="P480" s="6">
        <v>42917</v>
      </c>
      <c r="Q480" s="6">
        <v>42917</v>
      </c>
      <c r="R480" s="1" t="s">
        <v>1017</v>
      </c>
      <c r="T480" s="5">
        <v>0</v>
      </c>
      <c r="U480" s="4">
        <v>67</v>
      </c>
      <c r="V480" s="5">
        <v>2047</v>
      </c>
      <c r="W480" s="6"/>
      <c r="X480" s="6"/>
      <c r="Y480" s="6"/>
      <c r="Z480" s="6"/>
      <c r="AA480" s="6"/>
      <c r="AB480" s="6"/>
      <c r="AC480" s="6"/>
      <c r="AD480" s="6">
        <v>43225</v>
      </c>
    </row>
    <row r="481" spans="1:30">
      <c r="A481" s="1" t="s">
        <v>772</v>
      </c>
      <c r="B481" s="1" t="s">
        <v>773</v>
      </c>
      <c r="C481" s="1" t="s">
        <v>989</v>
      </c>
      <c r="D481" s="1" t="s">
        <v>1065</v>
      </c>
      <c r="E481" s="1" t="str">
        <f t="shared" si="7"/>
        <v>W05</v>
      </c>
      <c r="F481" s="4">
        <v>0.13</v>
      </c>
      <c r="G481" s="4">
        <v>0.13</v>
      </c>
      <c r="H481" s="4">
        <v>0.13</v>
      </c>
      <c r="I481" s="4"/>
      <c r="J481" s="1" t="s">
        <v>775</v>
      </c>
      <c r="K481" s="1" t="s">
        <v>1056</v>
      </c>
      <c r="L481" s="1" t="s">
        <v>1015</v>
      </c>
      <c r="M481" s="1" t="s">
        <v>1016</v>
      </c>
      <c r="O481" s="6">
        <v>42977</v>
      </c>
      <c r="P481" s="6">
        <v>42977</v>
      </c>
      <c r="Q481" s="6"/>
      <c r="R481" s="1" t="s">
        <v>1017</v>
      </c>
      <c r="T481" s="5">
        <v>0</v>
      </c>
      <c r="U481" s="4">
        <v>65</v>
      </c>
      <c r="V481" s="5">
        <v>1987</v>
      </c>
      <c r="W481" s="6"/>
      <c r="X481" s="6"/>
      <c r="Y481" s="6"/>
      <c r="Z481" s="6"/>
      <c r="AA481" s="6"/>
      <c r="AB481" s="6"/>
      <c r="AC481" s="6"/>
      <c r="AD481" s="6">
        <v>43184</v>
      </c>
    </row>
    <row r="482" spans="1:30">
      <c r="A482" s="1" t="s">
        <v>772</v>
      </c>
      <c r="B482" s="1" t="s">
        <v>773</v>
      </c>
      <c r="C482" s="1" t="s">
        <v>989</v>
      </c>
      <c r="D482" s="1" t="s">
        <v>1066</v>
      </c>
      <c r="E482" s="1" t="str">
        <f t="shared" si="7"/>
        <v>W05</v>
      </c>
      <c r="F482" s="5">
        <v>0.13</v>
      </c>
      <c r="G482" s="4">
        <v>0.13</v>
      </c>
      <c r="H482" s="4">
        <v>0.13</v>
      </c>
      <c r="I482" s="4"/>
      <c r="J482" s="1" t="s">
        <v>775</v>
      </c>
      <c r="K482" s="1" t="s">
        <v>1058</v>
      </c>
      <c r="O482" s="6">
        <v>42936</v>
      </c>
      <c r="P482" s="6">
        <v>42917</v>
      </c>
      <c r="Q482" s="6">
        <v>42917</v>
      </c>
      <c r="R482" s="1" t="s">
        <v>1017</v>
      </c>
      <c r="T482" s="5">
        <v>0</v>
      </c>
      <c r="U482" s="4">
        <v>67</v>
      </c>
      <c r="V482" s="5">
        <v>2047</v>
      </c>
      <c r="W482" s="6"/>
      <c r="X482" s="6"/>
      <c r="Y482" s="6"/>
      <c r="Z482" s="6"/>
      <c r="AA482" s="6"/>
      <c r="AB482" s="6"/>
      <c r="AC482" s="6"/>
      <c r="AD482" s="6">
        <v>43215</v>
      </c>
    </row>
    <row r="483" spans="1:30">
      <c r="A483" s="1" t="s">
        <v>772</v>
      </c>
      <c r="B483" s="1" t="s">
        <v>773</v>
      </c>
      <c r="C483" s="1" t="s">
        <v>989</v>
      </c>
      <c r="D483" s="1" t="s">
        <v>1067</v>
      </c>
      <c r="E483" s="1" t="str">
        <f t="shared" si="7"/>
        <v>W05</v>
      </c>
      <c r="F483" s="4">
        <v>8.67</v>
      </c>
      <c r="G483" s="4">
        <v>7.45</v>
      </c>
      <c r="H483" s="4">
        <v>7.45</v>
      </c>
      <c r="I483" s="4"/>
      <c r="J483" s="1" t="s">
        <v>775</v>
      </c>
      <c r="K483" s="1" t="s">
        <v>855</v>
      </c>
      <c r="L483" s="1" t="s">
        <v>828</v>
      </c>
      <c r="M483" s="1" t="s">
        <v>777</v>
      </c>
      <c r="O483" s="6">
        <v>44958</v>
      </c>
      <c r="P483" s="6">
        <v>44951</v>
      </c>
      <c r="Q483" s="6"/>
      <c r="R483" s="1" t="s">
        <v>830</v>
      </c>
      <c r="T483" s="5">
        <v>60</v>
      </c>
      <c r="U483" s="4">
        <v>0</v>
      </c>
      <c r="V483" s="5">
        <v>13</v>
      </c>
      <c r="W483" s="6">
        <v>43388</v>
      </c>
      <c r="X483" s="6"/>
      <c r="Y483" s="6"/>
      <c r="Z483" s="6"/>
      <c r="AA483" s="6"/>
      <c r="AB483" s="6"/>
      <c r="AC483" s="6"/>
      <c r="AD483" s="6"/>
    </row>
    <row r="484" spans="1:30">
      <c r="A484" s="1" t="s">
        <v>772</v>
      </c>
      <c r="B484" s="1" t="s">
        <v>773</v>
      </c>
      <c r="C484" s="1" t="s">
        <v>989</v>
      </c>
      <c r="D484" s="1" t="s">
        <v>1068</v>
      </c>
      <c r="E484" s="1" t="str">
        <f t="shared" si="7"/>
        <v>W05</v>
      </c>
      <c r="F484" s="4">
        <v>3.53</v>
      </c>
      <c r="G484" s="4">
        <v>2.89</v>
      </c>
      <c r="H484" s="4">
        <v>2.89</v>
      </c>
      <c r="I484" s="4"/>
      <c r="J484" s="1" t="s">
        <v>775</v>
      </c>
      <c r="K484" s="1" t="s">
        <v>1069</v>
      </c>
      <c r="L484" s="1" t="s">
        <v>1070</v>
      </c>
      <c r="M484" s="1" t="s">
        <v>920</v>
      </c>
      <c r="O484" s="6">
        <v>44728</v>
      </c>
      <c r="P484" s="6">
        <v>44718</v>
      </c>
      <c r="Q484" s="6"/>
      <c r="R484" s="1" t="s">
        <v>921</v>
      </c>
      <c r="T484" s="5">
        <v>64</v>
      </c>
      <c r="U484" s="4">
        <v>8</v>
      </c>
      <c r="V484" s="5">
        <v>246</v>
      </c>
      <c r="W484" s="6"/>
      <c r="X484" s="6"/>
      <c r="Y484" s="6"/>
      <c r="Z484" s="6"/>
      <c r="AA484" s="6"/>
      <c r="AB484" s="6"/>
      <c r="AC484" s="6"/>
      <c r="AD484" s="6"/>
    </row>
    <row r="485" spans="1:30">
      <c r="A485" s="1" t="s">
        <v>772</v>
      </c>
      <c r="B485" s="1" t="s">
        <v>903</v>
      </c>
      <c r="C485" s="1" t="s">
        <v>989</v>
      </c>
      <c r="D485" s="1" t="s">
        <v>1071</v>
      </c>
      <c r="E485" s="1" t="str">
        <f t="shared" si="7"/>
        <v>W05</v>
      </c>
      <c r="F485" s="4">
        <v>4.4000000000000004</v>
      </c>
      <c r="G485" s="4">
        <v>3.9</v>
      </c>
      <c r="H485" s="4">
        <v>3.9</v>
      </c>
      <c r="I485" s="4"/>
      <c r="J485" s="1" t="s">
        <v>775</v>
      </c>
      <c r="K485" s="1" t="s">
        <v>974</v>
      </c>
      <c r="L485" s="1" t="s">
        <v>975</v>
      </c>
      <c r="M485" s="1" t="s">
        <v>1007</v>
      </c>
      <c r="N485" s="1" t="s">
        <v>777</v>
      </c>
      <c r="O485" s="6">
        <v>44942</v>
      </c>
      <c r="P485" s="6">
        <v>44941</v>
      </c>
      <c r="Q485" s="6"/>
      <c r="R485" s="1" t="s">
        <v>909</v>
      </c>
      <c r="T485" s="5">
        <v>0</v>
      </c>
      <c r="U485" s="4">
        <v>0</v>
      </c>
      <c r="V485" s="5">
        <v>23</v>
      </c>
      <c r="W485" s="6">
        <v>49890</v>
      </c>
      <c r="X485" s="6">
        <v>50041</v>
      </c>
      <c r="Y485" s="6"/>
      <c r="Z485" s="6"/>
      <c r="AA485" s="6"/>
      <c r="AB485" s="6"/>
      <c r="AC485" s="6"/>
      <c r="AD485" s="6"/>
    </row>
    <row r="486" spans="1:30">
      <c r="A486" s="1" t="s">
        <v>772</v>
      </c>
      <c r="B486" s="1" t="s">
        <v>773</v>
      </c>
      <c r="C486" s="1" t="s">
        <v>1002</v>
      </c>
      <c r="D486" s="1" t="s">
        <v>262</v>
      </c>
      <c r="E486" s="1" t="str">
        <f t="shared" si="7"/>
        <v>W06</v>
      </c>
      <c r="F486" s="4">
        <v>20.84</v>
      </c>
      <c r="G486" s="4">
        <v>17.03</v>
      </c>
      <c r="H486" s="4">
        <v>17.03</v>
      </c>
      <c r="I486" s="4"/>
      <c r="J486" s="1" t="s">
        <v>775</v>
      </c>
      <c r="K486" s="1" t="s">
        <v>951</v>
      </c>
      <c r="L486" s="1" t="s">
        <v>809</v>
      </c>
      <c r="M486" s="1" t="s">
        <v>777</v>
      </c>
      <c r="N486" s="1" t="s">
        <v>788</v>
      </c>
      <c r="O486" s="6">
        <v>44960</v>
      </c>
      <c r="P486" s="6">
        <v>44957</v>
      </c>
      <c r="Q486" s="6"/>
      <c r="R486" s="1" t="s">
        <v>779</v>
      </c>
      <c r="T486" s="5">
        <v>120</v>
      </c>
      <c r="U486" s="4">
        <v>0</v>
      </c>
      <c r="V486" s="5">
        <v>7</v>
      </c>
      <c r="W486" s="6">
        <v>43432</v>
      </c>
      <c r="X486" s="6">
        <v>43807</v>
      </c>
      <c r="Y486" s="6"/>
      <c r="Z486" s="6"/>
      <c r="AA486" s="6"/>
      <c r="AB486" s="6"/>
      <c r="AC486" s="6"/>
      <c r="AD486" s="6"/>
    </row>
    <row r="487" spans="1:30">
      <c r="A487" s="1" t="s">
        <v>772</v>
      </c>
      <c r="B487" s="1" t="s">
        <v>773</v>
      </c>
      <c r="C487" s="1" t="s">
        <v>1002</v>
      </c>
      <c r="D487" s="1" t="s">
        <v>629</v>
      </c>
      <c r="E487" s="1" t="str">
        <f t="shared" si="7"/>
        <v>W06</v>
      </c>
      <c r="F487" s="4">
        <v>11.66</v>
      </c>
      <c r="G487" s="4">
        <v>9.1</v>
      </c>
      <c r="H487" s="4">
        <v>9.1</v>
      </c>
      <c r="I487" s="4"/>
      <c r="J487" s="1" t="s">
        <v>775</v>
      </c>
      <c r="K487" s="1" t="s">
        <v>794</v>
      </c>
      <c r="L487" s="1" t="s">
        <v>777</v>
      </c>
      <c r="M487" s="1" t="s">
        <v>778</v>
      </c>
      <c r="O487" s="6">
        <v>44916</v>
      </c>
      <c r="P487" s="6">
        <v>44907</v>
      </c>
      <c r="Q487" s="6">
        <v>44872</v>
      </c>
      <c r="R487" s="1" t="s">
        <v>779</v>
      </c>
      <c r="S487" s="1" t="s">
        <v>780</v>
      </c>
      <c r="T487" s="5">
        <v>517</v>
      </c>
      <c r="U487" s="4">
        <v>1</v>
      </c>
      <c r="V487" s="5">
        <v>57</v>
      </c>
      <c r="W487" s="6">
        <v>43803</v>
      </c>
      <c r="X487" s="6"/>
      <c r="Y487" s="6"/>
      <c r="Z487" s="6"/>
      <c r="AA487" s="6"/>
      <c r="AB487" s="6"/>
      <c r="AC487" s="6"/>
      <c r="AD487" s="6"/>
    </row>
    <row r="488" spans="1:30">
      <c r="A488" s="1" t="s">
        <v>772</v>
      </c>
      <c r="B488" s="1" t="s">
        <v>773</v>
      </c>
      <c r="C488" s="1" t="s">
        <v>989</v>
      </c>
      <c r="D488" s="1" t="s">
        <v>366</v>
      </c>
      <c r="E488" s="1" t="str">
        <f t="shared" si="7"/>
        <v>W05</v>
      </c>
      <c r="F488" s="4">
        <v>7.38</v>
      </c>
      <c r="G488" s="4">
        <v>5.88</v>
      </c>
      <c r="H488" s="4">
        <v>5.88</v>
      </c>
      <c r="I488" s="4"/>
      <c r="J488" s="1" t="s">
        <v>775</v>
      </c>
      <c r="K488" s="1" t="s">
        <v>807</v>
      </c>
      <c r="L488" s="1" t="s">
        <v>787</v>
      </c>
      <c r="M488" s="1" t="s">
        <v>788</v>
      </c>
      <c r="N488" s="1" t="s">
        <v>787</v>
      </c>
      <c r="O488" s="6">
        <v>44897</v>
      </c>
      <c r="P488" s="6">
        <v>44874</v>
      </c>
      <c r="Q488" s="6">
        <v>44299</v>
      </c>
      <c r="R488" s="1" t="s">
        <v>779</v>
      </c>
      <c r="T488" s="5">
        <v>402</v>
      </c>
      <c r="U488" s="4">
        <v>2</v>
      </c>
      <c r="V488" s="5">
        <v>90</v>
      </c>
      <c r="W488" s="6">
        <v>43710</v>
      </c>
      <c r="X488" s="6">
        <v>42572</v>
      </c>
      <c r="Y488" s="6"/>
      <c r="Z488" s="6"/>
      <c r="AA488" s="6"/>
      <c r="AB488" s="6"/>
      <c r="AC488" s="6"/>
      <c r="AD488" s="6">
        <v>44898</v>
      </c>
    </row>
    <row r="489" spans="1:30">
      <c r="A489" s="1" t="s">
        <v>772</v>
      </c>
      <c r="B489" s="1" t="s">
        <v>773</v>
      </c>
      <c r="C489" s="1" t="s">
        <v>989</v>
      </c>
      <c r="D489" s="1" t="s">
        <v>446</v>
      </c>
      <c r="E489" s="1" t="str">
        <f t="shared" si="7"/>
        <v>W05</v>
      </c>
      <c r="F489" s="4">
        <v>12.2</v>
      </c>
      <c r="G489" s="4">
        <v>9.58</v>
      </c>
      <c r="H489" s="4">
        <v>9.58</v>
      </c>
      <c r="I489" s="4"/>
      <c r="J489" s="1" t="s">
        <v>775</v>
      </c>
      <c r="K489" s="1" t="s">
        <v>886</v>
      </c>
      <c r="L489" s="1" t="s">
        <v>777</v>
      </c>
      <c r="M489" s="1" t="s">
        <v>778</v>
      </c>
      <c r="N489" s="1" t="s">
        <v>787</v>
      </c>
      <c r="O489" s="6">
        <v>44492</v>
      </c>
      <c r="P489" s="6">
        <v>44470</v>
      </c>
      <c r="Q489" s="6">
        <v>44449</v>
      </c>
      <c r="R489" s="1" t="s">
        <v>779</v>
      </c>
      <c r="S489" s="1" t="s">
        <v>795</v>
      </c>
      <c r="T489" s="5">
        <v>577</v>
      </c>
      <c r="U489" s="4">
        <v>16</v>
      </c>
      <c r="V489" s="5">
        <v>494</v>
      </c>
      <c r="W489" s="6">
        <v>43816</v>
      </c>
      <c r="X489" s="6">
        <v>42572</v>
      </c>
      <c r="Y489" s="6"/>
      <c r="Z489" s="6"/>
      <c r="AA489" s="6">
        <v>44881</v>
      </c>
      <c r="AB489" s="6"/>
      <c r="AC489" s="6"/>
      <c r="AD489" s="6"/>
    </row>
    <row r="490" spans="1:30">
      <c r="A490" s="1" t="s">
        <v>772</v>
      </c>
      <c r="B490" s="1" t="s">
        <v>773</v>
      </c>
      <c r="C490" s="1" t="s">
        <v>989</v>
      </c>
      <c r="D490" s="1" t="s">
        <v>448</v>
      </c>
      <c r="E490" s="1" t="str">
        <f t="shared" si="7"/>
        <v>W05</v>
      </c>
      <c r="F490" s="4">
        <v>14.24</v>
      </c>
      <c r="G490" s="4">
        <v>11.22</v>
      </c>
      <c r="H490" s="4">
        <v>11.22</v>
      </c>
      <c r="I490" s="4"/>
      <c r="J490" s="1" t="s">
        <v>775</v>
      </c>
      <c r="K490" s="1" t="s">
        <v>886</v>
      </c>
      <c r="L490" s="1" t="s">
        <v>777</v>
      </c>
      <c r="M490" s="1" t="s">
        <v>778</v>
      </c>
      <c r="N490" s="1" t="s">
        <v>787</v>
      </c>
      <c r="O490" s="6">
        <v>44492</v>
      </c>
      <c r="P490" s="6">
        <v>44470</v>
      </c>
      <c r="Q490" s="6">
        <v>44454</v>
      </c>
      <c r="R490" s="1" t="s">
        <v>779</v>
      </c>
      <c r="S490" s="1" t="s">
        <v>795</v>
      </c>
      <c r="T490" s="5">
        <v>577</v>
      </c>
      <c r="U490" s="4">
        <v>16</v>
      </c>
      <c r="V490" s="5">
        <v>494</v>
      </c>
      <c r="W490" s="6">
        <v>43816</v>
      </c>
      <c r="X490" s="6">
        <v>42572</v>
      </c>
      <c r="Y490" s="6"/>
      <c r="Z490" s="6"/>
      <c r="AA490" s="6">
        <v>44884</v>
      </c>
      <c r="AB490" s="6"/>
      <c r="AC490" s="6"/>
      <c r="AD490" s="6"/>
    </row>
    <row r="491" spans="1:30">
      <c r="A491" s="1" t="s">
        <v>772</v>
      </c>
      <c r="B491" s="1" t="s">
        <v>773</v>
      </c>
      <c r="C491" s="1" t="s">
        <v>989</v>
      </c>
      <c r="D491" s="1" t="s">
        <v>269</v>
      </c>
      <c r="E491" s="1" t="str">
        <f t="shared" si="7"/>
        <v>W05</v>
      </c>
      <c r="F491" s="4">
        <v>16.100000000000001</v>
      </c>
      <c r="G491" s="4">
        <v>12.78</v>
      </c>
      <c r="H491" s="4">
        <v>12.78</v>
      </c>
      <c r="I491" s="4"/>
      <c r="J491" s="1" t="s">
        <v>775</v>
      </c>
      <c r="K491" s="1" t="s">
        <v>834</v>
      </c>
      <c r="L491" s="1" t="s">
        <v>787</v>
      </c>
      <c r="M491" s="1" t="s">
        <v>788</v>
      </c>
      <c r="O491" s="6">
        <v>44680</v>
      </c>
      <c r="P491" s="6">
        <v>44680</v>
      </c>
      <c r="Q491" s="6">
        <v>44090</v>
      </c>
      <c r="R491" s="1" t="s">
        <v>779</v>
      </c>
      <c r="T491" s="5">
        <v>300</v>
      </c>
      <c r="U491" s="4">
        <v>9</v>
      </c>
      <c r="V491" s="5">
        <v>284</v>
      </c>
      <c r="W491" s="6">
        <v>44098</v>
      </c>
      <c r="X491" s="6"/>
      <c r="Y491" s="6"/>
      <c r="Z491" s="6"/>
      <c r="AA491" s="6"/>
      <c r="AB491" s="6"/>
      <c r="AC491" s="6"/>
      <c r="AD491" s="6">
        <v>44727</v>
      </c>
    </row>
    <row r="492" spans="1:30">
      <c r="A492" s="1" t="s">
        <v>772</v>
      </c>
      <c r="B492" s="1" t="s">
        <v>903</v>
      </c>
      <c r="C492" s="1" t="s">
        <v>989</v>
      </c>
      <c r="D492" s="1" t="s">
        <v>1072</v>
      </c>
      <c r="E492" s="1" t="str">
        <f t="shared" si="7"/>
        <v>W05</v>
      </c>
      <c r="F492" s="4">
        <v>3.15</v>
      </c>
      <c r="G492" s="4">
        <v>3</v>
      </c>
      <c r="H492" s="4">
        <v>3</v>
      </c>
      <c r="I492" s="4"/>
      <c r="J492" s="1" t="s">
        <v>775</v>
      </c>
      <c r="K492" s="1" t="s">
        <v>974</v>
      </c>
      <c r="L492" s="1" t="s">
        <v>975</v>
      </c>
      <c r="M492" s="1" t="s">
        <v>829</v>
      </c>
      <c r="O492" s="6">
        <v>44939</v>
      </c>
      <c r="P492" s="6">
        <v>44939</v>
      </c>
      <c r="Q492" s="6"/>
      <c r="R492" s="1" t="s">
        <v>909</v>
      </c>
      <c r="T492" s="5">
        <v>0</v>
      </c>
      <c r="U492" s="4">
        <v>0</v>
      </c>
      <c r="V492" s="5">
        <v>25</v>
      </c>
      <c r="W492" s="6"/>
      <c r="X492" s="6"/>
      <c r="Y492" s="6"/>
      <c r="Z492" s="6"/>
      <c r="AA492" s="6"/>
      <c r="AB492" s="6"/>
      <c r="AC492" s="6"/>
      <c r="AD492" s="6"/>
    </row>
    <row r="493" spans="1:30">
      <c r="A493" s="1" t="s">
        <v>772</v>
      </c>
      <c r="B493" s="1" t="s">
        <v>773</v>
      </c>
      <c r="C493" s="1" t="s">
        <v>989</v>
      </c>
      <c r="D493" s="1" t="s">
        <v>144</v>
      </c>
      <c r="E493" s="1" t="str">
        <f t="shared" si="7"/>
        <v>W05</v>
      </c>
      <c r="F493" s="4">
        <v>7.88</v>
      </c>
      <c r="G493" s="4">
        <v>6.27</v>
      </c>
      <c r="H493" s="4">
        <v>6.27</v>
      </c>
      <c r="I493" s="4"/>
      <c r="J493" s="1" t="s">
        <v>775</v>
      </c>
      <c r="K493" s="1" t="s">
        <v>796</v>
      </c>
      <c r="L493" s="1" t="s">
        <v>787</v>
      </c>
      <c r="M493" s="1" t="s">
        <v>788</v>
      </c>
      <c r="O493" s="6">
        <v>44744</v>
      </c>
      <c r="P493" s="6">
        <v>44722</v>
      </c>
      <c r="Q493" s="6">
        <v>44141</v>
      </c>
      <c r="R493" s="1" t="s">
        <v>779</v>
      </c>
      <c r="T493" s="5">
        <v>402</v>
      </c>
      <c r="U493" s="4">
        <v>7</v>
      </c>
      <c r="V493" s="5">
        <v>242</v>
      </c>
      <c r="W493" s="6"/>
      <c r="X493" s="6"/>
      <c r="Y493" s="6"/>
      <c r="Z493" s="6"/>
      <c r="AA493" s="6"/>
      <c r="AB493" s="6"/>
      <c r="AC493" s="6"/>
      <c r="AD493" s="6">
        <v>44714</v>
      </c>
    </row>
    <row r="494" spans="1:30">
      <c r="A494" s="1" t="s">
        <v>772</v>
      </c>
      <c r="B494" s="1" t="s">
        <v>903</v>
      </c>
      <c r="C494" s="1" t="s">
        <v>989</v>
      </c>
      <c r="D494" s="1" t="s">
        <v>1073</v>
      </c>
      <c r="E494" s="1" t="str">
        <f t="shared" si="7"/>
        <v>W05</v>
      </c>
      <c r="F494" s="4">
        <v>7.75</v>
      </c>
      <c r="G494" s="4">
        <v>7.75</v>
      </c>
      <c r="H494" s="4">
        <v>7.75</v>
      </c>
      <c r="I494" s="4"/>
      <c r="J494" s="1" t="s">
        <v>775</v>
      </c>
      <c r="K494" s="1" t="s">
        <v>1074</v>
      </c>
      <c r="L494" s="1" t="s">
        <v>1075</v>
      </c>
      <c r="O494" s="6">
        <v>42345</v>
      </c>
      <c r="P494" s="6">
        <v>42345</v>
      </c>
      <c r="Q494" s="6">
        <v>33970</v>
      </c>
      <c r="R494" s="1" t="s">
        <v>1076</v>
      </c>
      <c r="T494" s="5">
        <v>0</v>
      </c>
      <c r="U494" s="4">
        <v>86</v>
      </c>
      <c r="V494" s="5">
        <v>2619</v>
      </c>
      <c r="W494" s="6"/>
      <c r="X494" s="6"/>
      <c r="Y494" s="6"/>
      <c r="Z494" s="6"/>
      <c r="AA494" s="6"/>
      <c r="AB494" s="6"/>
      <c r="AC494" s="6"/>
      <c r="AD494" s="6"/>
    </row>
    <row r="495" spans="1:30">
      <c r="A495" s="1" t="s">
        <v>772</v>
      </c>
      <c r="B495" s="1" t="s">
        <v>773</v>
      </c>
      <c r="C495" s="1" t="s">
        <v>1010</v>
      </c>
      <c r="D495" s="1" t="s">
        <v>532</v>
      </c>
      <c r="E495" s="1" t="str">
        <f t="shared" si="7"/>
        <v>W07</v>
      </c>
      <c r="F495" s="4">
        <v>14.37</v>
      </c>
      <c r="G495" s="4">
        <v>11.37</v>
      </c>
      <c r="H495" s="4">
        <v>11.37</v>
      </c>
      <c r="I495" s="4"/>
      <c r="J495" s="1" t="s">
        <v>775</v>
      </c>
      <c r="K495" s="1" t="s">
        <v>805</v>
      </c>
      <c r="L495" s="1" t="s">
        <v>777</v>
      </c>
      <c r="M495" s="1" t="s">
        <v>778</v>
      </c>
      <c r="N495" s="1" t="s">
        <v>777</v>
      </c>
      <c r="O495" s="6">
        <v>44653</v>
      </c>
      <c r="P495" s="6">
        <v>44651</v>
      </c>
      <c r="Q495" s="6">
        <v>44626</v>
      </c>
      <c r="R495" s="1" t="s">
        <v>779</v>
      </c>
      <c r="S495" s="1" t="s">
        <v>795</v>
      </c>
      <c r="T495" s="5">
        <v>577</v>
      </c>
      <c r="U495" s="4">
        <v>10</v>
      </c>
      <c r="V495" s="5">
        <v>313</v>
      </c>
      <c r="W495" s="6">
        <v>43100</v>
      </c>
      <c r="X495" s="6">
        <v>43100</v>
      </c>
      <c r="Y495" s="6"/>
      <c r="Z495" s="6"/>
      <c r="AA495" s="6"/>
      <c r="AB495" s="6"/>
      <c r="AC495" s="6"/>
      <c r="AD495" s="6"/>
    </row>
    <row r="496" spans="1:30">
      <c r="A496" s="1" t="s">
        <v>772</v>
      </c>
      <c r="B496" s="1" t="s">
        <v>773</v>
      </c>
      <c r="C496" s="1" t="s">
        <v>1010</v>
      </c>
      <c r="D496" s="1" t="s">
        <v>71</v>
      </c>
      <c r="E496" s="1" t="str">
        <f t="shared" si="7"/>
        <v>W07</v>
      </c>
      <c r="F496" s="4">
        <v>4.3</v>
      </c>
      <c r="G496" s="4">
        <v>3.44</v>
      </c>
      <c r="H496" s="4">
        <v>3.44</v>
      </c>
      <c r="I496" s="4"/>
      <c r="J496" s="1" t="s">
        <v>775</v>
      </c>
      <c r="K496" s="1" t="s">
        <v>839</v>
      </c>
      <c r="L496" s="1" t="s">
        <v>777</v>
      </c>
      <c r="M496" s="1" t="s">
        <v>778</v>
      </c>
      <c r="N496" s="1" t="s">
        <v>787</v>
      </c>
      <c r="O496" s="6">
        <v>44775</v>
      </c>
      <c r="P496" s="6">
        <v>44773</v>
      </c>
      <c r="Q496" s="6">
        <v>44728</v>
      </c>
      <c r="R496" s="1" t="s">
        <v>779</v>
      </c>
      <c r="S496" s="1" t="s">
        <v>823</v>
      </c>
      <c r="T496" s="5">
        <v>457</v>
      </c>
      <c r="U496" s="4">
        <v>6</v>
      </c>
      <c r="V496" s="5">
        <v>191</v>
      </c>
      <c r="W496" s="6">
        <v>43710</v>
      </c>
      <c r="X496" s="6">
        <v>42572</v>
      </c>
      <c r="Y496" s="6"/>
      <c r="Z496" s="6"/>
      <c r="AA496" s="6"/>
      <c r="AB496" s="6"/>
      <c r="AC496" s="6"/>
      <c r="AD496" s="6"/>
    </row>
    <row r="497" spans="1:30">
      <c r="A497" s="1" t="s">
        <v>772</v>
      </c>
      <c r="B497" s="1" t="s">
        <v>773</v>
      </c>
      <c r="C497" s="1" t="s">
        <v>1010</v>
      </c>
      <c r="D497" s="1" t="s">
        <v>358</v>
      </c>
      <c r="E497" s="1" t="str">
        <f t="shared" si="7"/>
        <v>W07</v>
      </c>
      <c r="F497" s="4">
        <v>4.45</v>
      </c>
      <c r="G497" s="4">
        <v>3.41</v>
      </c>
      <c r="H497" s="4">
        <v>3.41</v>
      </c>
      <c r="I497" s="4"/>
      <c r="J497" s="1" t="s">
        <v>775</v>
      </c>
      <c r="K497" s="1" t="s">
        <v>861</v>
      </c>
      <c r="L497" s="1" t="s">
        <v>787</v>
      </c>
      <c r="M497" s="1" t="s">
        <v>788</v>
      </c>
      <c r="O497" s="6">
        <v>44866</v>
      </c>
      <c r="P497" s="6">
        <v>44846</v>
      </c>
      <c r="Q497" s="6">
        <v>44295</v>
      </c>
      <c r="R497" s="1" t="s">
        <v>779</v>
      </c>
      <c r="T497" s="5">
        <v>300</v>
      </c>
      <c r="U497" s="4">
        <v>3</v>
      </c>
      <c r="V497" s="5">
        <v>118</v>
      </c>
      <c r="W497" s="6">
        <v>43016</v>
      </c>
      <c r="X497" s="6"/>
      <c r="Y497" s="6"/>
      <c r="Z497" s="6"/>
      <c r="AA497" s="6"/>
      <c r="AB497" s="6"/>
      <c r="AC497" s="6"/>
      <c r="AD497" s="6">
        <v>44918</v>
      </c>
    </row>
    <row r="498" spans="1:30">
      <c r="A498" s="1" t="s">
        <v>772</v>
      </c>
      <c r="B498" s="1" t="s">
        <v>773</v>
      </c>
      <c r="C498" s="1" t="s">
        <v>1010</v>
      </c>
      <c r="D498" s="1" t="s">
        <v>523</v>
      </c>
      <c r="E498" s="1" t="str">
        <f t="shared" si="7"/>
        <v>W07</v>
      </c>
      <c r="F498" s="4">
        <v>11</v>
      </c>
      <c r="G498" s="4">
        <v>8.73</v>
      </c>
      <c r="H498" s="4">
        <v>8.73</v>
      </c>
      <c r="I498" s="4"/>
      <c r="J498" s="1" t="s">
        <v>775</v>
      </c>
      <c r="K498" s="1" t="s">
        <v>824</v>
      </c>
      <c r="L498" s="1" t="s">
        <v>777</v>
      </c>
      <c r="M498" s="1" t="s">
        <v>778</v>
      </c>
      <c r="N498" s="1" t="s">
        <v>788</v>
      </c>
      <c r="O498" s="6">
        <v>44648</v>
      </c>
      <c r="P498" s="6">
        <v>44636</v>
      </c>
      <c r="Q498" s="6">
        <v>44597</v>
      </c>
      <c r="R498" s="1" t="s">
        <v>779</v>
      </c>
      <c r="S498" s="1" t="s">
        <v>823</v>
      </c>
      <c r="T498" s="5">
        <v>457</v>
      </c>
      <c r="U498" s="4">
        <v>10</v>
      </c>
      <c r="V498" s="5">
        <v>328</v>
      </c>
      <c r="W498" s="6">
        <v>43883</v>
      </c>
      <c r="X498" s="6">
        <v>43468</v>
      </c>
      <c r="Y498" s="6"/>
      <c r="Z498" s="6"/>
      <c r="AA498" s="6"/>
      <c r="AB498" s="6"/>
      <c r="AC498" s="6"/>
      <c r="AD498" s="6"/>
    </row>
    <row r="499" spans="1:30">
      <c r="A499" s="1" t="s">
        <v>772</v>
      </c>
      <c r="B499" s="1" t="s">
        <v>773</v>
      </c>
      <c r="C499" s="1" t="s">
        <v>1010</v>
      </c>
      <c r="D499" s="1" t="s">
        <v>563</v>
      </c>
      <c r="E499" s="1" t="str">
        <f t="shared" si="7"/>
        <v>W07</v>
      </c>
      <c r="F499" s="4">
        <v>12.36</v>
      </c>
      <c r="G499" s="4">
        <v>9.68</v>
      </c>
      <c r="H499" s="4">
        <v>9.68</v>
      </c>
      <c r="I499" s="4"/>
      <c r="J499" s="1" t="s">
        <v>775</v>
      </c>
      <c r="K499" s="1" t="s">
        <v>884</v>
      </c>
      <c r="L499" s="1" t="s">
        <v>777</v>
      </c>
      <c r="M499" s="1" t="s">
        <v>778</v>
      </c>
      <c r="N499" s="1" t="s">
        <v>787</v>
      </c>
      <c r="O499" s="6">
        <v>44733</v>
      </c>
      <c r="P499" s="6">
        <v>44723</v>
      </c>
      <c r="Q499" s="6">
        <v>44676</v>
      </c>
      <c r="R499" s="1" t="s">
        <v>779</v>
      </c>
      <c r="S499" s="1" t="s">
        <v>795</v>
      </c>
      <c r="T499" s="5">
        <v>577</v>
      </c>
      <c r="U499" s="4">
        <v>7</v>
      </c>
      <c r="V499" s="5">
        <v>241</v>
      </c>
      <c r="W499" s="6">
        <v>43373</v>
      </c>
      <c r="X499" s="6">
        <v>42702</v>
      </c>
      <c r="Y499" s="6"/>
      <c r="Z499" s="6"/>
      <c r="AA499" s="6"/>
      <c r="AB499" s="6"/>
      <c r="AC499" s="6"/>
      <c r="AD499" s="6"/>
    </row>
    <row r="500" spans="1:30">
      <c r="A500" s="1" t="s">
        <v>772</v>
      </c>
      <c r="B500" s="1" t="s">
        <v>773</v>
      </c>
      <c r="C500" s="1" t="s">
        <v>1010</v>
      </c>
      <c r="D500" s="1" t="s">
        <v>513</v>
      </c>
      <c r="E500" s="1" t="str">
        <f t="shared" si="7"/>
        <v>W07</v>
      </c>
      <c r="F500" s="4">
        <v>11.28</v>
      </c>
      <c r="G500" s="4">
        <v>8.8800000000000008</v>
      </c>
      <c r="H500" s="4">
        <v>8.8800000000000008</v>
      </c>
      <c r="I500" s="4"/>
      <c r="J500" s="1" t="s">
        <v>775</v>
      </c>
      <c r="K500" s="1" t="s">
        <v>824</v>
      </c>
      <c r="L500" s="1" t="s">
        <v>777</v>
      </c>
      <c r="M500" s="1" t="s">
        <v>778</v>
      </c>
      <c r="O500" s="6">
        <v>44635</v>
      </c>
      <c r="P500" s="6">
        <v>44620</v>
      </c>
      <c r="Q500" s="6">
        <v>44603</v>
      </c>
      <c r="R500" s="1" t="s">
        <v>779</v>
      </c>
      <c r="S500" s="1" t="s">
        <v>795</v>
      </c>
      <c r="T500" s="5">
        <v>577</v>
      </c>
      <c r="U500" s="4">
        <v>11</v>
      </c>
      <c r="V500" s="5">
        <v>344</v>
      </c>
      <c r="W500" s="6">
        <v>45095</v>
      </c>
      <c r="X500" s="6"/>
      <c r="Y500" s="6"/>
      <c r="Z500" s="6"/>
      <c r="AA500" s="6"/>
      <c r="AB500" s="6"/>
      <c r="AC500" s="6"/>
      <c r="AD500" s="6"/>
    </row>
    <row r="501" spans="1:30">
      <c r="A501" s="1" t="s">
        <v>772</v>
      </c>
      <c r="B501" s="1" t="s">
        <v>773</v>
      </c>
      <c r="C501" s="1" t="s">
        <v>1010</v>
      </c>
      <c r="D501" s="1" t="s">
        <v>444</v>
      </c>
      <c r="E501" s="1" t="str">
        <f t="shared" si="7"/>
        <v>W07</v>
      </c>
      <c r="F501" s="4">
        <v>11.42</v>
      </c>
      <c r="G501" s="4">
        <v>9.16</v>
      </c>
      <c r="H501" s="4">
        <v>9.16</v>
      </c>
      <c r="I501" s="4"/>
      <c r="J501" s="1" t="s">
        <v>775</v>
      </c>
      <c r="K501" s="1" t="s">
        <v>860</v>
      </c>
      <c r="L501" s="1" t="s">
        <v>777</v>
      </c>
      <c r="M501" s="1" t="s">
        <v>778</v>
      </c>
      <c r="N501" s="1" t="s">
        <v>788</v>
      </c>
      <c r="O501" s="6">
        <v>44463</v>
      </c>
      <c r="P501" s="6">
        <v>44456</v>
      </c>
      <c r="Q501" s="6">
        <v>44440</v>
      </c>
      <c r="R501" s="1" t="s">
        <v>779</v>
      </c>
      <c r="S501" s="1" t="s">
        <v>795</v>
      </c>
      <c r="T501" s="5">
        <v>577</v>
      </c>
      <c r="U501" s="4">
        <v>16</v>
      </c>
      <c r="V501" s="5">
        <v>508</v>
      </c>
      <c r="W501" s="6">
        <v>43747</v>
      </c>
      <c r="X501" s="6">
        <v>43665</v>
      </c>
      <c r="Y501" s="6"/>
      <c r="Z501" s="6"/>
      <c r="AA501" s="6">
        <v>44866</v>
      </c>
      <c r="AB501" s="6"/>
      <c r="AC501" s="6"/>
      <c r="AD501" s="6"/>
    </row>
    <row r="502" spans="1:30">
      <c r="A502" s="1" t="s">
        <v>772</v>
      </c>
      <c r="B502" s="1" t="s">
        <v>773</v>
      </c>
      <c r="C502" s="1" t="s">
        <v>1010</v>
      </c>
      <c r="D502" s="1" t="s">
        <v>233</v>
      </c>
      <c r="E502" s="1" t="str">
        <f t="shared" si="7"/>
        <v>W07</v>
      </c>
      <c r="F502" s="4">
        <v>12.86</v>
      </c>
      <c r="G502" s="4">
        <v>10.3</v>
      </c>
      <c r="H502" s="4">
        <v>10.3</v>
      </c>
      <c r="I502" s="4"/>
      <c r="J502" s="1" t="s">
        <v>775</v>
      </c>
      <c r="K502" s="1" t="s">
        <v>888</v>
      </c>
      <c r="L502" s="1" t="s">
        <v>778</v>
      </c>
      <c r="M502" s="1" t="s">
        <v>777</v>
      </c>
      <c r="N502" s="1" t="s">
        <v>787</v>
      </c>
      <c r="O502" s="6">
        <v>44853</v>
      </c>
      <c r="P502" s="6">
        <v>44846</v>
      </c>
      <c r="Q502" s="6"/>
      <c r="R502" s="1" t="s">
        <v>779</v>
      </c>
      <c r="T502" s="5">
        <v>120</v>
      </c>
      <c r="U502" s="4">
        <v>3</v>
      </c>
      <c r="V502" s="5">
        <v>118</v>
      </c>
      <c r="W502" s="6">
        <v>43963</v>
      </c>
      <c r="X502" s="6">
        <v>43997</v>
      </c>
      <c r="Y502" s="6"/>
      <c r="Z502" s="6"/>
      <c r="AA502" s="6"/>
      <c r="AB502" s="6"/>
      <c r="AC502" s="6"/>
      <c r="AD502" s="6"/>
    </row>
    <row r="503" spans="1:30">
      <c r="A503" s="1" t="s">
        <v>772</v>
      </c>
      <c r="B503" s="1" t="s">
        <v>773</v>
      </c>
      <c r="C503" s="1" t="s">
        <v>1010</v>
      </c>
      <c r="D503" s="1" t="s">
        <v>357</v>
      </c>
      <c r="E503" s="1" t="str">
        <f t="shared" si="7"/>
        <v>W07</v>
      </c>
      <c r="F503" s="4">
        <v>14.68</v>
      </c>
      <c r="G503" s="4">
        <v>11.63</v>
      </c>
      <c r="H503" s="4">
        <v>11.63</v>
      </c>
      <c r="I503" s="4"/>
      <c r="J503" s="1" t="s">
        <v>775</v>
      </c>
      <c r="K503" s="1" t="s">
        <v>890</v>
      </c>
      <c r="L503" s="1" t="s">
        <v>787</v>
      </c>
      <c r="M503" s="1" t="s">
        <v>788</v>
      </c>
      <c r="N503" s="1" t="s">
        <v>777</v>
      </c>
      <c r="O503" s="6">
        <v>44837</v>
      </c>
      <c r="P503" s="6">
        <v>44813</v>
      </c>
      <c r="Q503" s="6">
        <v>44291</v>
      </c>
      <c r="R503" s="1" t="s">
        <v>779</v>
      </c>
      <c r="T503" s="5">
        <v>402</v>
      </c>
      <c r="U503" s="4">
        <v>4</v>
      </c>
      <c r="V503" s="5">
        <v>151</v>
      </c>
      <c r="W503" s="6">
        <v>43100</v>
      </c>
      <c r="X503" s="6">
        <v>43100</v>
      </c>
      <c r="Y503" s="6"/>
      <c r="Z503" s="6"/>
      <c r="AA503" s="6"/>
      <c r="AB503" s="6"/>
      <c r="AC503" s="6"/>
      <c r="AD503" s="6"/>
    </row>
    <row r="504" spans="1:30">
      <c r="A504" s="1" t="s">
        <v>772</v>
      </c>
      <c r="B504" s="1" t="s">
        <v>903</v>
      </c>
      <c r="C504" s="1" t="s">
        <v>1010</v>
      </c>
      <c r="D504" s="1" t="s">
        <v>1077</v>
      </c>
      <c r="E504" s="1" t="str">
        <f t="shared" si="7"/>
        <v>W07</v>
      </c>
      <c r="F504" s="4">
        <v>8.5399999999999991</v>
      </c>
      <c r="G504" s="4">
        <v>3.5</v>
      </c>
      <c r="H504" s="4">
        <v>3.5</v>
      </c>
      <c r="I504" s="4"/>
      <c r="J504" s="1" t="s">
        <v>775</v>
      </c>
      <c r="K504" s="1" t="s">
        <v>974</v>
      </c>
      <c r="L504" s="1" t="s">
        <v>975</v>
      </c>
      <c r="M504" s="1" t="s">
        <v>1007</v>
      </c>
      <c r="N504" s="1" t="s">
        <v>777</v>
      </c>
      <c r="O504" s="6">
        <v>44942</v>
      </c>
      <c r="P504" s="6">
        <v>44941</v>
      </c>
      <c r="Q504" s="6"/>
      <c r="R504" s="1" t="s">
        <v>909</v>
      </c>
      <c r="T504" s="5">
        <v>0</v>
      </c>
      <c r="U504" s="4">
        <v>0</v>
      </c>
      <c r="V504" s="5">
        <v>23</v>
      </c>
      <c r="W504" s="6">
        <v>49890</v>
      </c>
      <c r="X504" s="6">
        <v>50041</v>
      </c>
      <c r="Y504" s="6"/>
      <c r="Z504" s="6"/>
      <c r="AA504" s="6"/>
      <c r="AB504" s="6"/>
      <c r="AC504" s="6"/>
      <c r="AD504" s="6"/>
    </row>
    <row r="505" spans="1:30">
      <c r="A505" s="1" t="s">
        <v>772</v>
      </c>
      <c r="B505" s="1" t="s">
        <v>773</v>
      </c>
      <c r="C505" s="1" t="s">
        <v>1010</v>
      </c>
      <c r="D505" s="1" t="s">
        <v>336</v>
      </c>
      <c r="E505" s="1" t="str">
        <f t="shared" si="7"/>
        <v>W07</v>
      </c>
      <c r="F505" s="4">
        <v>4.72</v>
      </c>
      <c r="G505" s="4">
        <v>3.64</v>
      </c>
      <c r="H505" s="4">
        <v>3.64</v>
      </c>
      <c r="I505" s="4"/>
      <c r="J505" s="1" t="s">
        <v>775</v>
      </c>
      <c r="K505" s="1" t="s">
        <v>796</v>
      </c>
      <c r="L505" s="1" t="s">
        <v>787</v>
      </c>
      <c r="M505" s="1" t="s">
        <v>788</v>
      </c>
      <c r="N505" s="1" t="s">
        <v>787</v>
      </c>
      <c r="O505" s="6">
        <v>44743</v>
      </c>
      <c r="P505" s="6">
        <v>44732</v>
      </c>
      <c r="Q505" s="6">
        <v>44232</v>
      </c>
      <c r="R505" s="1" t="s">
        <v>779</v>
      </c>
      <c r="T505" s="5">
        <v>402</v>
      </c>
      <c r="U505" s="4">
        <v>7</v>
      </c>
      <c r="V505" s="5">
        <v>232</v>
      </c>
      <c r="W505" s="6">
        <v>43620</v>
      </c>
      <c r="X505" s="6">
        <v>42472</v>
      </c>
      <c r="Y505" s="6"/>
      <c r="Z505" s="6"/>
      <c r="AA505" s="6">
        <v>44943</v>
      </c>
      <c r="AB505" s="6"/>
      <c r="AC505" s="6"/>
      <c r="AD505" s="6"/>
    </row>
    <row r="506" spans="1:30">
      <c r="A506" s="1" t="s">
        <v>772</v>
      </c>
      <c r="B506" s="1" t="s">
        <v>773</v>
      </c>
      <c r="C506" s="1" t="s">
        <v>1010</v>
      </c>
      <c r="D506" s="1" t="s">
        <v>139</v>
      </c>
      <c r="E506" s="1" t="str">
        <f t="shared" si="7"/>
        <v>W07</v>
      </c>
      <c r="F506" s="4">
        <v>15.25</v>
      </c>
      <c r="G506" s="4">
        <v>12.26</v>
      </c>
      <c r="H506" s="4">
        <v>12.26</v>
      </c>
      <c r="I506" s="4"/>
      <c r="J506" s="1" t="s">
        <v>775</v>
      </c>
      <c r="K506" s="1" t="s">
        <v>786</v>
      </c>
      <c r="L506" s="1" t="s">
        <v>787</v>
      </c>
      <c r="M506" s="1" t="s">
        <v>788</v>
      </c>
      <c r="N506" s="1" t="s">
        <v>788</v>
      </c>
      <c r="O506" s="6">
        <v>44806</v>
      </c>
      <c r="P506" s="6">
        <v>44784</v>
      </c>
      <c r="Q506" s="6">
        <v>44233</v>
      </c>
      <c r="R506" s="1" t="s">
        <v>779</v>
      </c>
      <c r="T506" s="5">
        <v>402</v>
      </c>
      <c r="U506" s="4">
        <v>5</v>
      </c>
      <c r="V506" s="5">
        <v>180</v>
      </c>
      <c r="W506" s="6">
        <v>43983</v>
      </c>
      <c r="X506" s="6">
        <v>43411</v>
      </c>
      <c r="Y506" s="6"/>
      <c r="Z506" s="6"/>
      <c r="AA506" s="6"/>
      <c r="AB506" s="6"/>
      <c r="AC506" s="6"/>
      <c r="AD506" s="6">
        <v>44807</v>
      </c>
    </row>
    <row r="507" spans="1:30">
      <c r="A507" s="1" t="s">
        <v>772</v>
      </c>
      <c r="B507" s="1" t="s">
        <v>773</v>
      </c>
      <c r="C507" s="1" t="s">
        <v>1010</v>
      </c>
      <c r="D507" s="1" t="s">
        <v>267</v>
      </c>
      <c r="E507" s="1" t="str">
        <f t="shared" si="7"/>
        <v>W07</v>
      </c>
      <c r="F507" s="5">
        <v>10.74</v>
      </c>
      <c r="G507" s="4">
        <v>8.44</v>
      </c>
      <c r="H507" s="4">
        <v>8.44</v>
      </c>
      <c r="I507" s="4"/>
      <c r="J507" s="1" t="s">
        <v>775</v>
      </c>
      <c r="K507" s="1" t="s">
        <v>825</v>
      </c>
      <c r="L507" s="1" t="s">
        <v>787</v>
      </c>
      <c r="M507" s="1" t="s">
        <v>788</v>
      </c>
      <c r="O507" s="6">
        <v>44653</v>
      </c>
      <c r="P507" s="6">
        <v>44640</v>
      </c>
      <c r="Q507" s="6">
        <v>44091</v>
      </c>
      <c r="R507" s="1" t="s">
        <v>779</v>
      </c>
      <c r="T507" s="5">
        <v>402</v>
      </c>
      <c r="U507" s="4">
        <v>10</v>
      </c>
      <c r="V507" s="5">
        <v>324</v>
      </c>
      <c r="W507" s="6">
        <v>44523</v>
      </c>
      <c r="X507" s="6"/>
      <c r="Y507" s="6"/>
      <c r="Z507" s="6"/>
      <c r="AA507" s="6">
        <v>44893</v>
      </c>
      <c r="AB507" s="6"/>
      <c r="AC507" s="6"/>
      <c r="AD507" s="6"/>
    </row>
    <row r="508" spans="1:30">
      <c r="A508" s="1" t="s">
        <v>772</v>
      </c>
      <c r="B508" s="1" t="s">
        <v>773</v>
      </c>
      <c r="C508" s="1" t="s">
        <v>1010</v>
      </c>
      <c r="D508" s="1" t="s">
        <v>72</v>
      </c>
      <c r="E508" s="1" t="str">
        <f t="shared" si="7"/>
        <v>W07</v>
      </c>
      <c r="F508" s="4">
        <v>15.9</v>
      </c>
      <c r="G508" s="4">
        <v>12.42</v>
      </c>
      <c r="H508" s="4">
        <v>12.42</v>
      </c>
      <c r="I508" s="4"/>
      <c r="J508" s="1" t="s">
        <v>775</v>
      </c>
      <c r="K508" s="1" t="s">
        <v>839</v>
      </c>
      <c r="L508" s="1" t="s">
        <v>777</v>
      </c>
      <c r="M508" s="1" t="s">
        <v>778</v>
      </c>
      <c r="O508" s="6">
        <v>44775</v>
      </c>
      <c r="P508" s="6">
        <v>44773</v>
      </c>
      <c r="Q508" s="6">
        <v>44713</v>
      </c>
      <c r="R508" s="1" t="s">
        <v>779</v>
      </c>
      <c r="S508" s="1" t="s">
        <v>792</v>
      </c>
      <c r="T508" s="5">
        <v>577</v>
      </c>
      <c r="U508" s="4">
        <v>6</v>
      </c>
      <c r="V508" s="5">
        <v>191</v>
      </c>
      <c r="W508" s="6">
        <v>45232</v>
      </c>
      <c r="X508" s="6"/>
      <c r="Y508" s="6"/>
      <c r="Z508" s="6"/>
      <c r="AA508" s="6"/>
      <c r="AB508" s="6"/>
      <c r="AC508" s="6"/>
      <c r="AD508" s="6"/>
    </row>
    <row r="509" spans="1:30">
      <c r="A509" s="1" t="s">
        <v>772</v>
      </c>
      <c r="B509" s="1" t="s">
        <v>773</v>
      </c>
      <c r="C509" s="1" t="s">
        <v>1010</v>
      </c>
      <c r="D509" s="1" t="s">
        <v>648</v>
      </c>
      <c r="E509" s="1" t="str">
        <f t="shared" si="7"/>
        <v>W07</v>
      </c>
      <c r="F509" s="4">
        <v>15.4</v>
      </c>
      <c r="G509" s="4">
        <v>12.02</v>
      </c>
      <c r="H509" s="4">
        <v>12.02</v>
      </c>
      <c r="I509" s="4"/>
      <c r="J509" s="1" t="s">
        <v>775</v>
      </c>
      <c r="K509" s="1" t="s">
        <v>849</v>
      </c>
      <c r="L509" s="1" t="s">
        <v>913</v>
      </c>
      <c r="M509" s="1" t="s">
        <v>787</v>
      </c>
      <c r="N509" s="1" t="s">
        <v>777</v>
      </c>
      <c r="O509" s="6">
        <v>44950</v>
      </c>
      <c r="P509" s="6">
        <v>44950</v>
      </c>
      <c r="Q509" s="6">
        <v>44951</v>
      </c>
      <c r="R509" s="1" t="s">
        <v>779</v>
      </c>
      <c r="T509" s="5">
        <v>30</v>
      </c>
      <c r="U509" s="4">
        <v>0</v>
      </c>
      <c r="V509" s="5">
        <v>14</v>
      </c>
      <c r="W509" s="6">
        <v>43678</v>
      </c>
      <c r="X509" s="6">
        <v>43637</v>
      </c>
      <c r="Y509" s="6"/>
      <c r="Z509" s="6"/>
      <c r="AA509" s="6"/>
      <c r="AB509" s="6"/>
      <c r="AC509" s="6"/>
      <c r="AD509" s="6"/>
    </row>
    <row r="510" spans="1:30">
      <c r="A510" s="1" t="s">
        <v>772</v>
      </c>
      <c r="B510" s="1" t="s">
        <v>773</v>
      </c>
      <c r="C510" s="1" t="s">
        <v>1010</v>
      </c>
      <c r="D510" s="1" t="s">
        <v>378</v>
      </c>
      <c r="E510" s="1" t="str">
        <f t="shared" si="7"/>
        <v>W07</v>
      </c>
      <c r="F510" s="4">
        <v>13.68</v>
      </c>
      <c r="G510" s="4">
        <v>10.88</v>
      </c>
      <c r="H510" s="4">
        <v>10.88</v>
      </c>
      <c r="I510" s="4"/>
      <c r="J510" s="1" t="s">
        <v>775</v>
      </c>
      <c r="K510" s="1" t="s">
        <v>807</v>
      </c>
      <c r="L510" s="1" t="s">
        <v>787</v>
      </c>
      <c r="M510" s="1" t="s">
        <v>788</v>
      </c>
      <c r="N510" s="1" t="s">
        <v>787</v>
      </c>
      <c r="O510" s="6">
        <v>44897</v>
      </c>
      <c r="P510" s="6">
        <v>44895</v>
      </c>
      <c r="Q510" s="6">
        <v>44317</v>
      </c>
      <c r="R510" s="1" t="s">
        <v>779</v>
      </c>
      <c r="T510" s="5">
        <v>402</v>
      </c>
      <c r="U510" s="4">
        <v>2</v>
      </c>
      <c r="V510" s="5">
        <v>69</v>
      </c>
      <c r="W510" s="6">
        <v>43710</v>
      </c>
      <c r="X510" s="6">
        <v>42572</v>
      </c>
      <c r="Y510" s="6"/>
      <c r="Z510" s="6"/>
      <c r="AA510" s="6"/>
      <c r="AB510" s="6"/>
      <c r="AC510" s="6"/>
      <c r="AD510" s="6">
        <v>44898</v>
      </c>
    </row>
    <row r="511" spans="1:30">
      <c r="A511" s="1" t="s">
        <v>772</v>
      </c>
      <c r="B511" s="1" t="s">
        <v>773</v>
      </c>
      <c r="C511" s="1" t="s">
        <v>1010</v>
      </c>
      <c r="D511" s="1" t="s">
        <v>412</v>
      </c>
      <c r="E511" s="1" t="str">
        <f t="shared" si="7"/>
        <v>W07</v>
      </c>
      <c r="F511" s="4">
        <v>7.85</v>
      </c>
      <c r="G511" s="4">
        <v>6.3</v>
      </c>
      <c r="H511" s="4">
        <v>6.3</v>
      </c>
      <c r="I511" s="4"/>
      <c r="J511" s="1" t="s">
        <v>775</v>
      </c>
      <c r="K511" s="1" t="s">
        <v>808</v>
      </c>
      <c r="L511" s="1" t="s">
        <v>787</v>
      </c>
      <c r="M511" s="1" t="s">
        <v>788</v>
      </c>
      <c r="N511" s="1" t="s">
        <v>777</v>
      </c>
      <c r="O511" s="6">
        <v>44867</v>
      </c>
      <c r="P511" s="6">
        <v>44852</v>
      </c>
      <c r="Q511" s="6">
        <v>44371</v>
      </c>
      <c r="R511" s="1" t="s">
        <v>779</v>
      </c>
      <c r="T511" s="5">
        <v>402</v>
      </c>
      <c r="U511" s="4">
        <v>3</v>
      </c>
      <c r="V511" s="5">
        <v>112</v>
      </c>
      <c r="W511" s="6">
        <v>43072</v>
      </c>
      <c r="X511" s="6">
        <v>43138</v>
      </c>
      <c r="Y511" s="6"/>
      <c r="Z511" s="6"/>
      <c r="AA511" s="6"/>
      <c r="AB511" s="6"/>
      <c r="AC511" s="6"/>
      <c r="AD511" s="6">
        <v>44874</v>
      </c>
    </row>
    <row r="512" spans="1:30">
      <c r="A512" s="1" t="s">
        <v>772</v>
      </c>
      <c r="B512" s="1" t="s">
        <v>773</v>
      </c>
      <c r="C512" s="1" t="s">
        <v>1010</v>
      </c>
      <c r="D512" s="1" t="s">
        <v>421</v>
      </c>
      <c r="E512" s="1" t="str">
        <f t="shared" si="7"/>
        <v>W07</v>
      </c>
      <c r="F512" s="4">
        <v>11.26</v>
      </c>
      <c r="G512" s="4">
        <v>8.9499999999999993</v>
      </c>
      <c r="H512" s="4">
        <v>8.9499999999999993</v>
      </c>
      <c r="I512" s="4"/>
      <c r="J512" s="1" t="s">
        <v>775</v>
      </c>
      <c r="K512" s="1" t="s">
        <v>833</v>
      </c>
      <c r="L512" s="1" t="s">
        <v>777</v>
      </c>
      <c r="M512" s="1" t="s">
        <v>778</v>
      </c>
      <c r="N512" s="1" t="s">
        <v>787</v>
      </c>
      <c r="O512" s="6">
        <v>44418</v>
      </c>
      <c r="P512" s="6">
        <v>44408</v>
      </c>
      <c r="Q512" s="6">
        <v>44393</v>
      </c>
      <c r="R512" s="1" t="s">
        <v>779</v>
      </c>
      <c r="S512" s="1" t="s">
        <v>795</v>
      </c>
      <c r="T512" s="5">
        <v>577</v>
      </c>
      <c r="U512" s="4">
        <v>18</v>
      </c>
      <c r="V512" s="5">
        <v>556</v>
      </c>
      <c r="W512" s="6">
        <v>43293</v>
      </c>
      <c r="X512" s="6">
        <v>43079</v>
      </c>
      <c r="Y512" s="6"/>
      <c r="Z512" s="6"/>
      <c r="AA512" s="6">
        <v>44838</v>
      </c>
      <c r="AB512" s="6"/>
      <c r="AC512" s="6"/>
      <c r="AD512" s="6"/>
    </row>
    <row r="513" spans="1:30">
      <c r="A513" s="1" t="s">
        <v>772</v>
      </c>
      <c r="B513" s="1" t="s">
        <v>773</v>
      </c>
      <c r="C513" s="1" t="s">
        <v>1010</v>
      </c>
      <c r="D513" s="1" t="s">
        <v>285</v>
      </c>
      <c r="E513" s="1" t="str">
        <f t="shared" si="7"/>
        <v>W07</v>
      </c>
      <c r="F513" s="4">
        <v>15.1</v>
      </c>
      <c r="G513" s="4">
        <v>11.96</v>
      </c>
      <c r="H513" s="4">
        <v>11.96</v>
      </c>
      <c r="I513" s="4"/>
      <c r="J513" s="1" t="s">
        <v>775</v>
      </c>
      <c r="K513" s="1" t="s">
        <v>825</v>
      </c>
      <c r="L513" s="1" t="s">
        <v>787</v>
      </c>
      <c r="M513" s="1" t="s">
        <v>788</v>
      </c>
      <c r="O513" s="6">
        <v>44680</v>
      </c>
      <c r="P513" s="6">
        <v>44680</v>
      </c>
      <c r="Q513" s="6">
        <v>44118</v>
      </c>
      <c r="R513" s="1" t="s">
        <v>779</v>
      </c>
      <c r="T513" s="5">
        <v>402</v>
      </c>
      <c r="U513" s="4">
        <v>9</v>
      </c>
      <c r="V513" s="5">
        <v>284</v>
      </c>
      <c r="W513" s="6">
        <v>44098</v>
      </c>
      <c r="X513" s="6"/>
      <c r="Y513" s="6"/>
      <c r="Z513" s="6"/>
      <c r="AA513" s="6">
        <v>44950</v>
      </c>
      <c r="AB513" s="6"/>
      <c r="AC513" s="6"/>
      <c r="AD513" s="6">
        <v>44688</v>
      </c>
    </row>
    <row r="514" spans="1:30">
      <c r="A514" s="1" t="s">
        <v>772</v>
      </c>
      <c r="B514" s="1" t="s">
        <v>773</v>
      </c>
      <c r="C514" s="1" t="s">
        <v>1010</v>
      </c>
      <c r="D514" s="1" t="s">
        <v>283</v>
      </c>
      <c r="E514" s="1" t="str">
        <f t="shared" si="7"/>
        <v>W07</v>
      </c>
      <c r="F514" s="4">
        <v>8.02</v>
      </c>
      <c r="G514" s="4">
        <v>6.45</v>
      </c>
      <c r="H514" s="4">
        <v>6.45</v>
      </c>
      <c r="I514" s="4"/>
      <c r="J514" s="1" t="s">
        <v>775</v>
      </c>
      <c r="K514" s="1" t="s">
        <v>825</v>
      </c>
      <c r="L514" s="1" t="s">
        <v>787</v>
      </c>
      <c r="M514" s="1" t="s">
        <v>788</v>
      </c>
      <c r="O514" s="6">
        <v>44653</v>
      </c>
      <c r="P514" s="6">
        <v>44651</v>
      </c>
      <c r="Q514" s="6">
        <v>44115</v>
      </c>
      <c r="R514" s="1" t="s">
        <v>779</v>
      </c>
      <c r="T514" s="5">
        <v>402</v>
      </c>
      <c r="U514" s="4">
        <v>10</v>
      </c>
      <c r="V514" s="5">
        <v>313</v>
      </c>
      <c r="W514" s="6">
        <v>44523</v>
      </c>
      <c r="X514" s="6"/>
      <c r="Y514" s="6"/>
      <c r="Z514" s="6"/>
      <c r="AA514" s="6">
        <v>44950</v>
      </c>
      <c r="AB514" s="6"/>
      <c r="AC514" s="6"/>
      <c r="AD514" s="6">
        <v>44726</v>
      </c>
    </row>
    <row r="515" spans="1:30">
      <c r="A515" s="1" t="s">
        <v>772</v>
      </c>
      <c r="B515" s="1" t="s">
        <v>773</v>
      </c>
      <c r="C515" s="1" t="s">
        <v>1010</v>
      </c>
      <c r="D515" s="1" t="s">
        <v>286</v>
      </c>
      <c r="E515" s="1" t="str">
        <f t="shared" si="7"/>
        <v>W07</v>
      </c>
      <c r="F515" s="4">
        <v>10.54</v>
      </c>
      <c r="G515" s="4">
        <v>8.33</v>
      </c>
      <c r="H515" s="4">
        <v>8.33</v>
      </c>
      <c r="I515" s="4"/>
      <c r="J515" s="1" t="s">
        <v>775</v>
      </c>
      <c r="K515" s="1" t="s">
        <v>1078</v>
      </c>
      <c r="L515" s="1" t="s">
        <v>787</v>
      </c>
      <c r="M515" s="1" t="s">
        <v>788</v>
      </c>
      <c r="O515" s="6">
        <v>44744</v>
      </c>
      <c r="P515" s="6">
        <v>44728</v>
      </c>
      <c r="Q515" s="6">
        <v>44125</v>
      </c>
      <c r="R515" s="1" t="s">
        <v>779</v>
      </c>
      <c r="T515" s="5">
        <v>300</v>
      </c>
      <c r="U515" s="4">
        <v>7</v>
      </c>
      <c r="V515" s="5">
        <v>236</v>
      </c>
      <c r="W515" s="6"/>
      <c r="X515" s="6"/>
      <c r="Y515" s="6"/>
      <c r="Z515" s="6"/>
      <c r="AA515" s="6"/>
      <c r="AB515" s="6"/>
      <c r="AC515" s="6"/>
      <c r="AD515" s="6">
        <v>44762</v>
      </c>
    </row>
    <row r="516" spans="1:30">
      <c r="A516" s="1" t="s">
        <v>772</v>
      </c>
      <c r="B516" s="1" t="s">
        <v>773</v>
      </c>
      <c r="C516" s="1" t="s">
        <v>1010</v>
      </c>
      <c r="D516" s="1" t="s">
        <v>576</v>
      </c>
      <c r="E516" s="1" t="str">
        <f t="shared" si="7"/>
        <v>W07</v>
      </c>
      <c r="F516" s="4">
        <v>15.08</v>
      </c>
      <c r="G516" s="4">
        <v>11.62</v>
      </c>
      <c r="H516" s="4">
        <v>11.62</v>
      </c>
      <c r="I516" s="4"/>
      <c r="J516" s="1" t="s">
        <v>775</v>
      </c>
      <c r="K516" s="1" t="s">
        <v>839</v>
      </c>
      <c r="L516" s="1" t="s">
        <v>777</v>
      </c>
      <c r="M516" s="1" t="s">
        <v>778</v>
      </c>
      <c r="N516" s="1" t="s">
        <v>788</v>
      </c>
      <c r="O516" s="6">
        <v>44775</v>
      </c>
      <c r="P516" s="6">
        <v>44749</v>
      </c>
      <c r="Q516" s="6">
        <v>44706</v>
      </c>
      <c r="R516" s="1" t="s">
        <v>779</v>
      </c>
      <c r="S516" s="1" t="s">
        <v>795</v>
      </c>
      <c r="T516" s="5">
        <v>577</v>
      </c>
      <c r="U516" s="4">
        <v>7</v>
      </c>
      <c r="V516" s="5">
        <v>215</v>
      </c>
      <c r="W516" s="6">
        <v>43178</v>
      </c>
      <c r="X516" s="6">
        <v>43553</v>
      </c>
      <c r="Y516" s="6"/>
      <c r="Z516" s="6"/>
      <c r="AA516" s="6"/>
      <c r="AB516" s="6"/>
      <c r="AC516" s="6"/>
      <c r="AD516" s="6"/>
    </row>
    <row r="517" spans="1:30">
      <c r="A517" s="1" t="s">
        <v>772</v>
      </c>
      <c r="B517" s="1" t="s">
        <v>773</v>
      </c>
      <c r="C517" s="1" t="s">
        <v>1010</v>
      </c>
      <c r="D517" s="1" t="s">
        <v>419</v>
      </c>
      <c r="E517" s="1" t="str">
        <f t="shared" ref="E517:E580" si="8">RIGHT(C517,3)</f>
        <v>W07</v>
      </c>
      <c r="F517" s="4">
        <v>15.5</v>
      </c>
      <c r="G517" s="4">
        <v>12.31</v>
      </c>
      <c r="H517" s="4">
        <v>12.31</v>
      </c>
      <c r="I517" s="4"/>
      <c r="J517" s="1" t="s">
        <v>775</v>
      </c>
      <c r="K517" s="1" t="s">
        <v>833</v>
      </c>
      <c r="L517" s="1" t="s">
        <v>777</v>
      </c>
      <c r="M517" s="1" t="s">
        <v>778</v>
      </c>
      <c r="N517" s="1" t="s">
        <v>787</v>
      </c>
      <c r="O517" s="6">
        <v>44418</v>
      </c>
      <c r="P517" s="6">
        <v>44405</v>
      </c>
      <c r="Q517" s="6">
        <v>44387</v>
      </c>
      <c r="R517" s="1" t="s">
        <v>779</v>
      </c>
      <c r="S517" s="1" t="s">
        <v>795</v>
      </c>
      <c r="T517" s="5">
        <v>577</v>
      </c>
      <c r="U517" s="4">
        <v>18</v>
      </c>
      <c r="V517" s="5">
        <v>559</v>
      </c>
      <c r="W517" s="6">
        <v>43293</v>
      </c>
      <c r="X517" s="6">
        <v>43079</v>
      </c>
      <c r="Y517" s="6"/>
      <c r="Z517" s="6"/>
      <c r="AA517" s="6">
        <v>44838</v>
      </c>
      <c r="AB517" s="6"/>
      <c r="AC517" s="6"/>
      <c r="AD517" s="6"/>
    </row>
    <row r="518" spans="1:30">
      <c r="A518" s="1" t="s">
        <v>772</v>
      </c>
      <c r="B518" s="1" t="s">
        <v>773</v>
      </c>
      <c r="C518" s="1" t="s">
        <v>1010</v>
      </c>
      <c r="D518" s="1" t="s">
        <v>381</v>
      </c>
      <c r="E518" s="1" t="str">
        <f t="shared" si="8"/>
        <v>W07</v>
      </c>
      <c r="F518" s="4">
        <v>10.25</v>
      </c>
      <c r="G518" s="4">
        <v>8.18</v>
      </c>
      <c r="H518" s="4">
        <v>8.18</v>
      </c>
      <c r="I518" s="4"/>
      <c r="J518" s="1" t="s">
        <v>775</v>
      </c>
      <c r="K518" s="1" t="s">
        <v>894</v>
      </c>
      <c r="L518" s="1" t="s">
        <v>787</v>
      </c>
      <c r="M518" s="1" t="s">
        <v>788</v>
      </c>
      <c r="N518" s="1" t="s">
        <v>788</v>
      </c>
      <c r="O518" s="6">
        <v>44958</v>
      </c>
      <c r="P518" s="6">
        <v>44946</v>
      </c>
      <c r="Q518" s="6">
        <v>44317</v>
      </c>
      <c r="R518" s="1" t="s">
        <v>779</v>
      </c>
      <c r="T518" s="5">
        <v>402</v>
      </c>
      <c r="U518" s="4">
        <v>0</v>
      </c>
      <c r="V518" s="5">
        <v>18</v>
      </c>
      <c r="W518" s="6">
        <v>43763</v>
      </c>
      <c r="X518" s="6">
        <v>43468</v>
      </c>
      <c r="Y518" s="6"/>
      <c r="Z518" s="6"/>
      <c r="AA518" s="6"/>
      <c r="AB518" s="6"/>
      <c r="AC518" s="6"/>
      <c r="AD518" s="6"/>
    </row>
    <row r="519" spans="1:30">
      <c r="A519" s="1" t="s">
        <v>772</v>
      </c>
      <c r="B519" s="1" t="s">
        <v>773</v>
      </c>
      <c r="C519" s="1" t="s">
        <v>1010</v>
      </c>
      <c r="D519" s="1" t="s">
        <v>161</v>
      </c>
      <c r="E519" s="1" t="str">
        <f t="shared" si="8"/>
        <v>W07</v>
      </c>
      <c r="F519" s="4">
        <v>12.4</v>
      </c>
      <c r="G519" s="4">
        <v>10.53</v>
      </c>
      <c r="H519" s="4">
        <v>10.53</v>
      </c>
      <c r="I519" s="4"/>
      <c r="J519" s="1" t="s">
        <v>775</v>
      </c>
      <c r="K519" s="1" t="s">
        <v>1079</v>
      </c>
      <c r="L519" s="1" t="s">
        <v>866</v>
      </c>
      <c r="M519" s="1" t="s">
        <v>867</v>
      </c>
      <c r="N519" s="1" t="s">
        <v>788</v>
      </c>
      <c r="O519" s="6">
        <v>44886</v>
      </c>
      <c r="P519" s="6">
        <v>44871</v>
      </c>
      <c r="Q519" s="6">
        <v>44802</v>
      </c>
      <c r="R519" s="1" t="s">
        <v>868</v>
      </c>
      <c r="T519" s="5">
        <v>240</v>
      </c>
      <c r="U519" s="4">
        <v>3</v>
      </c>
      <c r="V519" s="5">
        <v>93</v>
      </c>
      <c r="W519" s="6">
        <v>44478</v>
      </c>
      <c r="X519" s="6">
        <v>44761</v>
      </c>
      <c r="Y519" s="6"/>
      <c r="Z519" s="6"/>
      <c r="AA519" s="6"/>
      <c r="AB519" s="6"/>
      <c r="AC519" s="6"/>
      <c r="AD519" s="6"/>
    </row>
    <row r="520" spans="1:30">
      <c r="A520" s="1" t="s">
        <v>772</v>
      </c>
      <c r="B520" s="1" t="s">
        <v>773</v>
      </c>
      <c r="C520" s="1" t="s">
        <v>1010</v>
      </c>
      <c r="D520" s="1" t="s">
        <v>1080</v>
      </c>
      <c r="E520" s="1" t="str">
        <f t="shared" si="8"/>
        <v>W07</v>
      </c>
      <c r="F520" s="4">
        <v>2.37</v>
      </c>
      <c r="G520" s="4">
        <v>2.08</v>
      </c>
      <c r="H520" s="4">
        <v>2.08</v>
      </c>
      <c r="I520" s="4"/>
      <c r="J520" s="1" t="s">
        <v>775</v>
      </c>
      <c r="K520" s="1" t="s">
        <v>948</v>
      </c>
      <c r="L520" s="1" t="s">
        <v>829</v>
      </c>
      <c r="M520" s="1" t="s">
        <v>913</v>
      </c>
      <c r="N520" s="1" t="s">
        <v>777</v>
      </c>
      <c r="O520" s="6">
        <v>44961</v>
      </c>
      <c r="P520" s="6">
        <v>44944</v>
      </c>
      <c r="Q520" s="6">
        <v>44938</v>
      </c>
      <c r="R520" s="1" t="s">
        <v>830</v>
      </c>
      <c r="S520" s="1" t="s">
        <v>914</v>
      </c>
      <c r="T520" s="5">
        <v>330</v>
      </c>
      <c r="U520" s="4">
        <v>0</v>
      </c>
      <c r="V520" s="5">
        <v>20</v>
      </c>
      <c r="W520" s="6">
        <v>44045</v>
      </c>
      <c r="X520" s="6">
        <v>43292</v>
      </c>
      <c r="Y520" s="6"/>
      <c r="Z520" s="6"/>
      <c r="AA520" s="6"/>
      <c r="AB520" s="6"/>
      <c r="AC520" s="6"/>
      <c r="AD520" s="6"/>
    </row>
    <row r="521" spans="1:30">
      <c r="A521" s="1" t="s">
        <v>772</v>
      </c>
      <c r="B521" s="1" t="s">
        <v>773</v>
      </c>
      <c r="C521" s="1" t="s">
        <v>1010</v>
      </c>
      <c r="D521" s="1" t="s">
        <v>584</v>
      </c>
      <c r="E521" s="1" t="str">
        <f t="shared" si="8"/>
        <v>W07</v>
      </c>
      <c r="F521" s="4">
        <v>11.88</v>
      </c>
      <c r="G521" s="4">
        <v>9.27</v>
      </c>
      <c r="H521" s="4">
        <v>9.27</v>
      </c>
      <c r="I521" s="4"/>
      <c r="J521" s="1" t="s">
        <v>775</v>
      </c>
      <c r="K521" s="1" t="s">
        <v>800</v>
      </c>
      <c r="L521" s="1" t="s">
        <v>777</v>
      </c>
      <c r="M521" s="1" t="s">
        <v>778</v>
      </c>
      <c r="O521" s="6">
        <v>44806</v>
      </c>
      <c r="P521" s="6">
        <v>44797</v>
      </c>
      <c r="Q521" s="6">
        <v>44783</v>
      </c>
      <c r="R521" s="1" t="s">
        <v>779</v>
      </c>
      <c r="S521" s="1" t="s">
        <v>795</v>
      </c>
      <c r="T521" s="5">
        <v>577</v>
      </c>
      <c r="U521" s="4">
        <v>5</v>
      </c>
      <c r="V521" s="5">
        <v>167</v>
      </c>
      <c r="W521" s="6">
        <v>44383</v>
      </c>
      <c r="X521" s="6"/>
      <c r="Y521" s="6"/>
      <c r="Z521" s="6"/>
      <c r="AA521" s="6"/>
      <c r="AB521" s="6"/>
      <c r="AC521" s="6"/>
      <c r="AD521" s="6"/>
    </row>
    <row r="522" spans="1:30">
      <c r="A522" s="1" t="s">
        <v>772</v>
      </c>
      <c r="B522" s="1" t="s">
        <v>773</v>
      </c>
      <c r="C522" s="1" t="s">
        <v>1010</v>
      </c>
      <c r="D522" s="1" t="s">
        <v>180</v>
      </c>
      <c r="E522" s="1" t="str">
        <f t="shared" si="8"/>
        <v>W07</v>
      </c>
      <c r="F522" s="4">
        <v>9.86</v>
      </c>
      <c r="G522" s="4">
        <v>7.76</v>
      </c>
      <c r="H522" s="4">
        <v>7.76</v>
      </c>
      <c r="I522" s="4"/>
      <c r="J522" s="1" t="s">
        <v>775</v>
      </c>
      <c r="K522" s="1" t="s">
        <v>831</v>
      </c>
      <c r="L522" s="1" t="s">
        <v>777</v>
      </c>
      <c r="M522" s="1" t="s">
        <v>778</v>
      </c>
      <c r="N522" s="1" t="s">
        <v>788</v>
      </c>
      <c r="O522" s="6">
        <v>44886</v>
      </c>
      <c r="P522" s="6">
        <v>44870</v>
      </c>
      <c r="Q522" s="6">
        <v>44833</v>
      </c>
      <c r="R522" s="1" t="s">
        <v>779</v>
      </c>
      <c r="S522" s="1" t="s">
        <v>780</v>
      </c>
      <c r="T522" s="5">
        <v>517</v>
      </c>
      <c r="U522" s="4">
        <v>3</v>
      </c>
      <c r="V522" s="5">
        <v>94</v>
      </c>
      <c r="W522" s="6">
        <v>43747</v>
      </c>
      <c r="X522" s="6">
        <v>43665</v>
      </c>
      <c r="Y522" s="6"/>
      <c r="Z522" s="6"/>
      <c r="AA522" s="6"/>
      <c r="AB522" s="6"/>
      <c r="AC522" s="6"/>
      <c r="AD522" s="6"/>
    </row>
    <row r="523" spans="1:30">
      <c r="A523" s="1" t="s">
        <v>772</v>
      </c>
      <c r="B523" s="1" t="s">
        <v>773</v>
      </c>
      <c r="C523" s="1" t="s">
        <v>1010</v>
      </c>
      <c r="D523" s="1" t="s">
        <v>185</v>
      </c>
      <c r="E523" s="1" t="str">
        <f t="shared" si="8"/>
        <v>W07</v>
      </c>
      <c r="F523" s="4">
        <v>11.31</v>
      </c>
      <c r="G523" s="4">
        <v>8.93</v>
      </c>
      <c r="H523" s="4">
        <v>8.93</v>
      </c>
      <c r="I523" s="4"/>
      <c r="J523" s="1" t="s">
        <v>775</v>
      </c>
      <c r="K523" s="1" t="s">
        <v>800</v>
      </c>
      <c r="L523" s="1" t="s">
        <v>777</v>
      </c>
      <c r="M523" s="1" t="s">
        <v>778</v>
      </c>
      <c r="O523" s="6">
        <v>44806</v>
      </c>
      <c r="P523" s="6">
        <v>44793</v>
      </c>
      <c r="Q523" s="6">
        <v>44783</v>
      </c>
      <c r="R523" s="1" t="s">
        <v>779</v>
      </c>
      <c r="S523" s="1" t="s">
        <v>792</v>
      </c>
      <c r="T523" s="5">
        <v>577</v>
      </c>
      <c r="U523" s="4">
        <v>5</v>
      </c>
      <c r="V523" s="5">
        <v>171</v>
      </c>
      <c r="W523" s="6">
        <v>44383</v>
      </c>
      <c r="X523" s="6"/>
      <c r="Y523" s="6"/>
      <c r="Z523" s="6"/>
      <c r="AA523" s="6"/>
      <c r="AB523" s="6"/>
      <c r="AC523" s="6"/>
      <c r="AD523" s="6"/>
    </row>
    <row r="524" spans="1:30">
      <c r="A524" s="1" t="s">
        <v>772</v>
      </c>
      <c r="B524" s="1" t="s">
        <v>773</v>
      </c>
      <c r="C524" s="1" t="s">
        <v>1010</v>
      </c>
      <c r="D524" s="1" t="s">
        <v>529</v>
      </c>
      <c r="E524" s="1" t="str">
        <f t="shared" si="8"/>
        <v>W07</v>
      </c>
      <c r="F524" s="4">
        <v>7.6</v>
      </c>
      <c r="G524" s="4">
        <v>5.95</v>
      </c>
      <c r="H524" s="4">
        <v>5.95</v>
      </c>
      <c r="I524" s="4"/>
      <c r="J524" s="1" t="s">
        <v>775</v>
      </c>
      <c r="K524" s="1" t="s">
        <v>805</v>
      </c>
      <c r="L524" s="1" t="s">
        <v>777</v>
      </c>
      <c r="M524" s="1" t="s">
        <v>778</v>
      </c>
      <c r="N524" s="1" t="s">
        <v>787</v>
      </c>
      <c r="O524" s="6">
        <v>44653</v>
      </c>
      <c r="P524" s="6">
        <v>44649</v>
      </c>
      <c r="Q524" s="6">
        <v>44625</v>
      </c>
      <c r="R524" s="1" t="s">
        <v>779</v>
      </c>
      <c r="S524" s="1" t="s">
        <v>780</v>
      </c>
      <c r="T524" s="5">
        <v>517</v>
      </c>
      <c r="U524" s="4">
        <v>10</v>
      </c>
      <c r="V524" s="5">
        <v>315</v>
      </c>
      <c r="W524" s="6">
        <v>43293</v>
      </c>
      <c r="X524" s="6">
        <v>43079</v>
      </c>
      <c r="Y524" s="6"/>
      <c r="Z524" s="6"/>
      <c r="AA524" s="6"/>
      <c r="AB524" s="6"/>
      <c r="AC524" s="6"/>
      <c r="AD524" s="6"/>
    </row>
    <row r="525" spans="1:30">
      <c r="A525" s="1" t="s">
        <v>772</v>
      </c>
      <c r="B525" s="1" t="s">
        <v>773</v>
      </c>
      <c r="C525" s="1" t="s">
        <v>1010</v>
      </c>
      <c r="D525" s="1" t="s">
        <v>587</v>
      </c>
      <c r="E525" s="1" t="str">
        <f t="shared" si="8"/>
        <v>W07</v>
      </c>
      <c r="F525" s="4">
        <v>4.2</v>
      </c>
      <c r="G525" s="4">
        <v>3.24</v>
      </c>
      <c r="H525" s="4">
        <v>3.24</v>
      </c>
      <c r="I525" s="4"/>
      <c r="J525" s="1" t="s">
        <v>775</v>
      </c>
      <c r="K525" s="1" t="s">
        <v>800</v>
      </c>
      <c r="L525" s="1" t="s">
        <v>777</v>
      </c>
      <c r="M525" s="1" t="s">
        <v>778</v>
      </c>
      <c r="O525" s="6">
        <v>44806</v>
      </c>
      <c r="P525" s="6">
        <v>44804</v>
      </c>
      <c r="Q525" s="6">
        <v>44797</v>
      </c>
      <c r="R525" s="1" t="s">
        <v>779</v>
      </c>
      <c r="S525" s="1" t="s">
        <v>795</v>
      </c>
      <c r="T525" s="5">
        <v>577</v>
      </c>
      <c r="U525" s="4">
        <v>5</v>
      </c>
      <c r="V525" s="5">
        <v>160</v>
      </c>
      <c r="W525" s="6">
        <v>44383</v>
      </c>
      <c r="X525" s="6"/>
      <c r="Y525" s="6"/>
      <c r="Z525" s="6"/>
      <c r="AA525" s="6"/>
      <c r="AB525" s="6"/>
      <c r="AC525" s="6"/>
      <c r="AD525" s="6"/>
    </row>
    <row r="526" spans="1:30">
      <c r="A526" s="1" t="s">
        <v>772</v>
      </c>
      <c r="B526" s="1" t="s">
        <v>773</v>
      </c>
      <c r="C526" s="1" t="s">
        <v>1002</v>
      </c>
      <c r="D526" s="1" t="s">
        <v>483</v>
      </c>
      <c r="E526" s="1" t="str">
        <f t="shared" si="8"/>
        <v>W06</v>
      </c>
      <c r="F526" s="4">
        <v>11.56</v>
      </c>
      <c r="G526" s="4">
        <v>8.9499999999999993</v>
      </c>
      <c r="H526" s="4">
        <v>8.9499999999999993</v>
      </c>
      <c r="I526" s="4"/>
      <c r="J526" s="1" t="s">
        <v>775</v>
      </c>
      <c r="K526" s="1" t="s">
        <v>840</v>
      </c>
      <c r="L526" s="1" t="s">
        <v>777</v>
      </c>
      <c r="M526" s="1" t="s">
        <v>778</v>
      </c>
      <c r="N526" s="1" t="s">
        <v>787</v>
      </c>
      <c r="O526" s="6">
        <v>44565</v>
      </c>
      <c r="P526" s="6">
        <v>44550</v>
      </c>
      <c r="Q526" s="6">
        <v>44516</v>
      </c>
      <c r="R526" s="1" t="s">
        <v>779</v>
      </c>
      <c r="S526" s="1" t="s">
        <v>780</v>
      </c>
      <c r="T526" s="5">
        <v>517</v>
      </c>
      <c r="U526" s="4">
        <v>13</v>
      </c>
      <c r="V526" s="5">
        <v>414</v>
      </c>
      <c r="W526" s="6">
        <v>43535</v>
      </c>
      <c r="X526" s="6">
        <v>43566</v>
      </c>
      <c r="Y526" s="6"/>
      <c r="Z526" s="6"/>
      <c r="AA526" s="6">
        <v>44942</v>
      </c>
      <c r="AB526" s="6"/>
      <c r="AC526" s="6"/>
      <c r="AD526" s="6"/>
    </row>
    <row r="527" spans="1:30">
      <c r="A527" s="1" t="s">
        <v>772</v>
      </c>
      <c r="B527" s="1" t="s">
        <v>773</v>
      </c>
      <c r="C527" s="1" t="s">
        <v>1002</v>
      </c>
      <c r="D527" s="1" t="s">
        <v>485</v>
      </c>
      <c r="E527" s="1" t="str">
        <f t="shared" si="8"/>
        <v>W06</v>
      </c>
      <c r="F527" s="4">
        <v>8.2799999999999994</v>
      </c>
      <c r="G527" s="4">
        <v>6.41</v>
      </c>
      <c r="H527" s="4">
        <v>6.41</v>
      </c>
      <c r="I527" s="4"/>
      <c r="J527" s="1" t="s">
        <v>775</v>
      </c>
      <c r="K527" s="1" t="s">
        <v>840</v>
      </c>
      <c r="L527" s="1" t="s">
        <v>777</v>
      </c>
      <c r="M527" s="1" t="s">
        <v>778</v>
      </c>
      <c r="N527" s="1" t="s">
        <v>787</v>
      </c>
      <c r="O527" s="6">
        <v>44565</v>
      </c>
      <c r="P527" s="6">
        <v>44553</v>
      </c>
      <c r="Q527" s="6">
        <v>44532</v>
      </c>
      <c r="R527" s="1" t="s">
        <v>779</v>
      </c>
      <c r="S527" s="1" t="s">
        <v>823</v>
      </c>
      <c r="T527" s="5">
        <v>457</v>
      </c>
      <c r="U527" s="4">
        <v>13</v>
      </c>
      <c r="V527" s="5">
        <v>411</v>
      </c>
      <c r="W527" s="6">
        <v>43497</v>
      </c>
      <c r="X527" s="6">
        <v>42702</v>
      </c>
      <c r="Y527" s="6"/>
      <c r="Z527" s="6"/>
      <c r="AA527" s="6">
        <v>44896</v>
      </c>
      <c r="AB527" s="6"/>
      <c r="AC527" s="6"/>
      <c r="AD527" s="6"/>
    </row>
    <row r="528" spans="1:30">
      <c r="A528" s="1" t="s">
        <v>772</v>
      </c>
      <c r="B528" s="1" t="s">
        <v>773</v>
      </c>
      <c r="C528" s="1" t="s">
        <v>1002</v>
      </c>
      <c r="D528" s="1" t="s">
        <v>470</v>
      </c>
      <c r="E528" s="1" t="str">
        <f t="shared" si="8"/>
        <v>W06</v>
      </c>
      <c r="F528" s="4">
        <v>12.02</v>
      </c>
      <c r="G528" s="4">
        <v>9.4600000000000009</v>
      </c>
      <c r="H528" s="4">
        <v>9.4600000000000009</v>
      </c>
      <c r="I528" s="4"/>
      <c r="J528" s="1" t="s">
        <v>775</v>
      </c>
      <c r="K528" s="1" t="s">
        <v>881</v>
      </c>
      <c r="L528" s="1" t="s">
        <v>777</v>
      </c>
      <c r="M528" s="1" t="s">
        <v>778</v>
      </c>
      <c r="O528" s="6">
        <v>44531</v>
      </c>
      <c r="P528" s="6">
        <v>44521</v>
      </c>
      <c r="Q528" s="6">
        <v>44488</v>
      </c>
      <c r="R528" s="1" t="s">
        <v>779</v>
      </c>
      <c r="S528" s="1" t="s">
        <v>823</v>
      </c>
      <c r="T528" s="5">
        <v>457</v>
      </c>
      <c r="U528" s="4">
        <v>14</v>
      </c>
      <c r="V528" s="5">
        <v>443</v>
      </c>
      <c r="W528" s="6">
        <v>43720</v>
      </c>
      <c r="X528" s="6"/>
      <c r="Y528" s="6"/>
      <c r="Z528" s="6"/>
      <c r="AA528" s="6">
        <v>44861</v>
      </c>
      <c r="AB528" s="6"/>
      <c r="AC528" s="6"/>
      <c r="AD528" s="6">
        <v>44898</v>
      </c>
    </row>
    <row r="529" spans="1:30">
      <c r="A529" s="1" t="s">
        <v>772</v>
      </c>
      <c r="B529" s="1" t="s">
        <v>773</v>
      </c>
      <c r="C529" s="1" t="s">
        <v>1002</v>
      </c>
      <c r="D529" s="1" t="s">
        <v>398</v>
      </c>
      <c r="E529" s="1" t="str">
        <f t="shared" si="8"/>
        <v>W06</v>
      </c>
      <c r="F529" s="4">
        <v>10.24</v>
      </c>
      <c r="G529" s="4">
        <v>8.2799999999999994</v>
      </c>
      <c r="H529" s="4">
        <v>8.2799999999999994</v>
      </c>
      <c r="I529" s="4"/>
      <c r="J529" s="1" t="s">
        <v>775</v>
      </c>
      <c r="K529" s="1" t="s">
        <v>808</v>
      </c>
      <c r="L529" s="1" t="s">
        <v>787</v>
      </c>
      <c r="M529" s="1" t="s">
        <v>788</v>
      </c>
      <c r="N529" s="1" t="s">
        <v>777</v>
      </c>
      <c r="O529" s="6">
        <v>44867</v>
      </c>
      <c r="P529" s="6">
        <v>44863</v>
      </c>
      <c r="Q529" s="6">
        <v>44352</v>
      </c>
      <c r="R529" s="1" t="s">
        <v>779</v>
      </c>
      <c r="T529" s="5">
        <v>402</v>
      </c>
      <c r="U529" s="4">
        <v>3</v>
      </c>
      <c r="V529" s="5">
        <v>101</v>
      </c>
      <c r="W529" s="6">
        <v>43072</v>
      </c>
      <c r="X529" s="6">
        <v>43138</v>
      </c>
      <c r="Y529" s="6"/>
      <c r="Z529" s="6"/>
      <c r="AA529" s="6"/>
      <c r="AB529" s="6"/>
      <c r="AC529" s="6"/>
      <c r="AD529" s="6">
        <v>44874</v>
      </c>
    </row>
    <row r="530" spans="1:30">
      <c r="A530" s="1" t="s">
        <v>772</v>
      </c>
      <c r="B530" s="1" t="s">
        <v>773</v>
      </c>
      <c r="C530" s="1" t="s">
        <v>1002</v>
      </c>
      <c r="D530" s="1" t="s">
        <v>187</v>
      </c>
      <c r="E530" s="1" t="str">
        <f t="shared" si="8"/>
        <v>W06</v>
      </c>
      <c r="F530" s="4">
        <v>16.440000000000001</v>
      </c>
      <c r="G530" s="4">
        <v>12.77</v>
      </c>
      <c r="H530" s="4">
        <v>12.77</v>
      </c>
      <c r="I530" s="4"/>
      <c r="J530" s="1" t="s">
        <v>775</v>
      </c>
      <c r="K530" s="1" t="s">
        <v>794</v>
      </c>
      <c r="L530" s="1" t="s">
        <v>777</v>
      </c>
      <c r="M530" s="1" t="s">
        <v>778</v>
      </c>
      <c r="O530" s="6">
        <v>44916</v>
      </c>
      <c r="P530" s="6">
        <v>44902</v>
      </c>
      <c r="Q530" s="6">
        <v>44888</v>
      </c>
      <c r="R530" s="1" t="s">
        <v>779</v>
      </c>
      <c r="S530" s="1" t="s">
        <v>795</v>
      </c>
      <c r="T530" s="5">
        <v>577</v>
      </c>
      <c r="U530" s="4">
        <v>2</v>
      </c>
      <c r="V530" s="5">
        <v>62</v>
      </c>
      <c r="W530" s="6">
        <v>43803</v>
      </c>
      <c r="X530" s="6"/>
      <c r="Y530" s="6"/>
      <c r="Z530" s="6"/>
      <c r="AA530" s="6"/>
      <c r="AB530" s="6"/>
      <c r="AC530" s="6"/>
      <c r="AD530" s="6"/>
    </row>
    <row r="531" spans="1:30">
      <c r="A531" s="1" t="s">
        <v>772</v>
      </c>
      <c r="B531" s="1" t="s">
        <v>773</v>
      </c>
      <c r="C531" s="1" t="s">
        <v>1002</v>
      </c>
      <c r="D531" s="1" t="s">
        <v>580</v>
      </c>
      <c r="E531" s="1" t="str">
        <f t="shared" si="8"/>
        <v>W06</v>
      </c>
      <c r="F531" s="4">
        <v>3.89</v>
      </c>
      <c r="G531" s="4">
        <v>3.08</v>
      </c>
      <c r="H531" s="4">
        <v>3.08</v>
      </c>
      <c r="I531" s="4"/>
      <c r="J531" s="1" t="s">
        <v>775</v>
      </c>
      <c r="K531" s="1" t="s">
        <v>800</v>
      </c>
      <c r="L531" s="1" t="s">
        <v>777</v>
      </c>
      <c r="M531" s="1" t="s">
        <v>778</v>
      </c>
      <c r="O531" s="6">
        <v>44806</v>
      </c>
      <c r="P531" s="6">
        <v>44790</v>
      </c>
      <c r="Q531" s="6">
        <v>44781</v>
      </c>
      <c r="R531" s="1" t="s">
        <v>779</v>
      </c>
      <c r="S531" s="1" t="s">
        <v>792</v>
      </c>
      <c r="T531" s="5">
        <v>577</v>
      </c>
      <c r="U531" s="4">
        <v>5</v>
      </c>
      <c r="V531" s="5">
        <v>174</v>
      </c>
      <c r="W531" s="6">
        <v>45266</v>
      </c>
      <c r="X531" s="6"/>
      <c r="Y531" s="6"/>
      <c r="Z531" s="6"/>
      <c r="AA531" s="6"/>
      <c r="AB531" s="6"/>
      <c r="AC531" s="6"/>
      <c r="AD531" s="6"/>
    </row>
    <row r="532" spans="1:30">
      <c r="A532" s="1" t="s">
        <v>772</v>
      </c>
      <c r="B532" s="1" t="s">
        <v>773</v>
      </c>
      <c r="C532" s="1" t="s">
        <v>1002</v>
      </c>
      <c r="D532" s="1" t="s">
        <v>560</v>
      </c>
      <c r="E532" s="1" t="str">
        <f t="shared" si="8"/>
        <v>W06</v>
      </c>
      <c r="F532" s="4">
        <v>12.54</v>
      </c>
      <c r="G532" s="4">
        <v>9.82</v>
      </c>
      <c r="H532" s="4">
        <v>9.82</v>
      </c>
      <c r="I532" s="4"/>
      <c r="J532" s="1" t="s">
        <v>775</v>
      </c>
      <c r="K532" s="1" t="s">
        <v>884</v>
      </c>
      <c r="L532" s="1" t="s">
        <v>777</v>
      </c>
      <c r="M532" s="1" t="s">
        <v>778</v>
      </c>
      <c r="O532" s="6">
        <v>44715</v>
      </c>
      <c r="P532" s="6">
        <v>44712</v>
      </c>
      <c r="Q532" s="6">
        <v>44659</v>
      </c>
      <c r="R532" s="1" t="s">
        <v>779</v>
      </c>
      <c r="S532" s="1" t="s">
        <v>792</v>
      </c>
      <c r="T532" s="5">
        <v>577</v>
      </c>
      <c r="U532" s="4">
        <v>8</v>
      </c>
      <c r="V532" s="5">
        <v>252</v>
      </c>
      <c r="W532" s="6">
        <v>45197</v>
      </c>
      <c r="X532" s="6"/>
      <c r="Y532" s="6"/>
      <c r="Z532" s="6"/>
      <c r="AA532" s="6"/>
      <c r="AB532" s="6"/>
      <c r="AC532" s="6"/>
      <c r="AD532" s="6"/>
    </row>
    <row r="533" spans="1:30">
      <c r="A533" s="1" t="s">
        <v>772</v>
      </c>
      <c r="B533" s="1" t="s">
        <v>773</v>
      </c>
      <c r="C533" s="1" t="s">
        <v>1002</v>
      </c>
      <c r="D533" s="1" t="s">
        <v>552</v>
      </c>
      <c r="E533" s="1" t="str">
        <f t="shared" si="8"/>
        <v>W06</v>
      </c>
      <c r="F533" s="4">
        <v>17</v>
      </c>
      <c r="G533" s="4">
        <v>13.36</v>
      </c>
      <c r="H533" s="4">
        <v>13.36</v>
      </c>
      <c r="I533" s="4"/>
      <c r="J533" s="1" t="s">
        <v>775</v>
      </c>
      <c r="K533" s="1" t="s">
        <v>884</v>
      </c>
      <c r="L533" s="1" t="s">
        <v>777</v>
      </c>
      <c r="M533" s="1" t="s">
        <v>778</v>
      </c>
      <c r="N533" s="1" t="s">
        <v>787</v>
      </c>
      <c r="O533" s="6">
        <v>44714</v>
      </c>
      <c r="P533" s="6">
        <v>44700</v>
      </c>
      <c r="Q533" s="6">
        <v>44655</v>
      </c>
      <c r="R533" s="1" t="s">
        <v>779</v>
      </c>
      <c r="S533" s="1" t="s">
        <v>795</v>
      </c>
      <c r="T533" s="5">
        <v>577</v>
      </c>
      <c r="U533" s="4">
        <v>8</v>
      </c>
      <c r="V533" s="5">
        <v>264</v>
      </c>
      <c r="W533" s="6">
        <v>43293</v>
      </c>
      <c r="X533" s="6">
        <v>43079</v>
      </c>
      <c r="Y533" s="6"/>
      <c r="Z533" s="6"/>
      <c r="AA533" s="6"/>
      <c r="AB533" s="6"/>
      <c r="AC533" s="6"/>
      <c r="AD533" s="6"/>
    </row>
    <row r="534" spans="1:30">
      <c r="A534" s="1" t="s">
        <v>772</v>
      </c>
      <c r="B534" s="1" t="s">
        <v>773</v>
      </c>
      <c r="C534" s="1" t="s">
        <v>1002</v>
      </c>
      <c r="D534" s="1" t="s">
        <v>311</v>
      </c>
      <c r="E534" s="1" t="str">
        <f t="shared" si="8"/>
        <v>W06</v>
      </c>
      <c r="F534" s="4">
        <v>6.48</v>
      </c>
      <c r="G534" s="4">
        <v>5.15</v>
      </c>
      <c r="H534" s="4">
        <v>5.15</v>
      </c>
      <c r="I534" s="4"/>
      <c r="J534" s="1" t="s">
        <v>775</v>
      </c>
      <c r="K534" s="1" t="s">
        <v>1078</v>
      </c>
      <c r="L534" s="1" t="s">
        <v>787</v>
      </c>
      <c r="M534" s="1" t="s">
        <v>788</v>
      </c>
      <c r="O534" s="6">
        <v>44744</v>
      </c>
      <c r="P534" s="6">
        <v>44734</v>
      </c>
      <c r="Q534" s="6">
        <v>44175</v>
      </c>
      <c r="R534" s="1" t="s">
        <v>779</v>
      </c>
      <c r="T534" s="5">
        <v>300</v>
      </c>
      <c r="U534" s="4">
        <v>7</v>
      </c>
      <c r="V534" s="5">
        <v>230</v>
      </c>
      <c r="W534" s="6"/>
      <c r="X534" s="6"/>
      <c r="Y534" s="6"/>
      <c r="Z534" s="6"/>
      <c r="AA534" s="6"/>
      <c r="AB534" s="6"/>
      <c r="AC534" s="6"/>
      <c r="AD534" s="6">
        <v>44762</v>
      </c>
    </row>
    <row r="535" spans="1:30">
      <c r="A535" s="1" t="s">
        <v>772</v>
      </c>
      <c r="B535" s="1" t="s">
        <v>773</v>
      </c>
      <c r="C535" s="1" t="s">
        <v>1002</v>
      </c>
      <c r="D535" s="1" t="s">
        <v>158</v>
      </c>
      <c r="E535" s="1" t="str">
        <f t="shared" si="8"/>
        <v>W06</v>
      </c>
      <c r="F535" s="4">
        <v>18.72</v>
      </c>
      <c r="G535" s="4">
        <v>14.84</v>
      </c>
      <c r="H535" s="4">
        <v>14.84</v>
      </c>
      <c r="I535" s="4"/>
      <c r="J535" s="1" t="s">
        <v>775</v>
      </c>
      <c r="K535" s="1" t="s">
        <v>793</v>
      </c>
      <c r="L535" s="1" t="s">
        <v>787</v>
      </c>
      <c r="M535" s="1" t="s">
        <v>788</v>
      </c>
      <c r="N535" s="1" t="s">
        <v>787</v>
      </c>
      <c r="O535" s="6">
        <v>44774</v>
      </c>
      <c r="P535" s="6">
        <v>44751</v>
      </c>
      <c r="Q535" s="6">
        <v>44176</v>
      </c>
      <c r="R535" s="1" t="s">
        <v>779</v>
      </c>
      <c r="T535" s="5">
        <v>402</v>
      </c>
      <c r="U535" s="4">
        <v>7</v>
      </c>
      <c r="V535" s="5">
        <v>213</v>
      </c>
      <c r="W535" s="6">
        <v>43373</v>
      </c>
      <c r="X535" s="6">
        <v>42702</v>
      </c>
      <c r="Y535" s="6"/>
      <c r="Z535" s="6"/>
      <c r="AA535" s="6"/>
      <c r="AB535" s="6"/>
      <c r="AC535" s="6"/>
      <c r="AD535" s="6"/>
    </row>
    <row r="536" spans="1:30">
      <c r="A536" s="1" t="s">
        <v>772</v>
      </c>
      <c r="B536" s="1" t="s">
        <v>773</v>
      </c>
      <c r="C536" s="1" t="s">
        <v>1002</v>
      </c>
      <c r="D536" s="1" t="s">
        <v>173</v>
      </c>
      <c r="E536" s="1" t="str">
        <f t="shared" si="8"/>
        <v>W06</v>
      </c>
      <c r="F536" s="4">
        <v>13.12</v>
      </c>
      <c r="G536" s="4">
        <v>10.33</v>
      </c>
      <c r="H536" s="4">
        <v>10.33</v>
      </c>
      <c r="I536" s="4"/>
      <c r="J536" s="1" t="s">
        <v>775</v>
      </c>
      <c r="K536" s="1" t="s">
        <v>794</v>
      </c>
      <c r="L536" s="1" t="s">
        <v>777</v>
      </c>
      <c r="M536" s="1" t="s">
        <v>778</v>
      </c>
      <c r="O536" s="6">
        <v>44916</v>
      </c>
      <c r="P536" s="6">
        <v>44902</v>
      </c>
      <c r="Q536" s="6">
        <v>44876</v>
      </c>
      <c r="R536" s="1" t="s">
        <v>779</v>
      </c>
      <c r="S536" s="1" t="s">
        <v>795</v>
      </c>
      <c r="T536" s="5">
        <v>577</v>
      </c>
      <c r="U536" s="4">
        <v>2</v>
      </c>
      <c r="V536" s="5">
        <v>62</v>
      </c>
      <c r="W536" s="6">
        <v>43803</v>
      </c>
      <c r="X536" s="6"/>
      <c r="Y536" s="6"/>
      <c r="Z536" s="6"/>
      <c r="AA536" s="6"/>
      <c r="AB536" s="6"/>
      <c r="AC536" s="6"/>
      <c r="AD536" s="6"/>
    </row>
    <row r="537" spans="1:30">
      <c r="A537" s="1" t="s">
        <v>772</v>
      </c>
      <c r="B537" s="1" t="s">
        <v>773</v>
      </c>
      <c r="C537" s="1" t="s">
        <v>1002</v>
      </c>
      <c r="D537" s="1" t="s">
        <v>177</v>
      </c>
      <c r="E537" s="1" t="str">
        <f t="shared" si="8"/>
        <v>W06</v>
      </c>
      <c r="F537" s="4">
        <v>9.9499999999999993</v>
      </c>
      <c r="G537" s="4">
        <v>7.88</v>
      </c>
      <c r="H537" s="4">
        <v>7.88</v>
      </c>
      <c r="I537" s="4"/>
      <c r="J537" s="1" t="s">
        <v>775</v>
      </c>
      <c r="K537" s="1" t="s">
        <v>794</v>
      </c>
      <c r="L537" s="1" t="s">
        <v>777</v>
      </c>
      <c r="M537" s="1" t="s">
        <v>778</v>
      </c>
      <c r="N537" s="1" t="s">
        <v>788</v>
      </c>
      <c r="O537" s="6">
        <v>44897</v>
      </c>
      <c r="P537" s="6">
        <v>44895</v>
      </c>
      <c r="Q537" s="6">
        <v>44869</v>
      </c>
      <c r="R537" s="1" t="s">
        <v>779</v>
      </c>
      <c r="S537" s="1" t="s">
        <v>795</v>
      </c>
      <c r="T537" s="5">
        <v>577</v>
      </c>
      <c r="U537" s="4">
        <v>2</v>
      </c>
      <c r="V537" s="5">
        <v>69</v>
      </c>
      <c r="W537" s="6">
        <v>43747</v>
      </c>
      <c r="X537" s="6">
        <v>43665</v>
      </c>
      <c r="Y537" s="6"/>
      <c r="Z537" s="6"/>
      <c r="AA537" s="6"/>
      <c r="AB537" s="6"/>
      <c r="AC537" s="6"/>
      <c r="AD537" s="6"/>
    </row>
    <row r="538" spans="1:30">
      <c r="A538" s="1" t="s">
        <v>772</v>
      </c>
      <c r="B538" s="1" t="s">
        <v>773</v>
      </c>
      <c r="C538" s="1" t="s">
        <v>1002</v>
      </c>
      <c r="D538" s="1" t="s">
        <v>435</v>
      </c>
      <c r="E538" s="1" t="str">
        <f t="shared" si="8"/>
        <v>W06</v>
      </c>
      <c r="F538" s="4">
        <v>10.1</v>
      </c>
      <c r="G538" s="4">
        <v>7.88</v>
      </c>
      <c r="H538" s="4">
        <v>7.88</v>
      </c>
      <c r="I538" s="4"/>
      <c r="J538" s="1" t="s">
        <v>775</v>
      </c>
      <c r="K538" s="1" t="s">
        <v>894</v>
      </c>
      <c r="L538" s="1" t="s">
        <v>787</v>
      </c>
      <c r="M538" s="1" t="s">
        <v>788</v>
      </c>
      <c r="O538" s="6">
        <v>44958</v>
      </c>
      <c r="P538" s="6">
        <v>44940</v>
      </c>
      <c r="Q538" s="6">
        <v>44412</v>
      </c>
      <c r="R538" s="1" t="s">
        <v>779</v>
      </c>
      <c r="T538" s="5">
        <v>402</v>
      </c>
      <c r="U538" s="4">
        <v>0</v>
      </c>
      <c r="V538" s="5">
        <v>24</v>
      </c>
      <c r="W538" s="6">
        <v>43803</v>
      </c>
      <c r="X538" s="6"/>
      <c r="Y538" s="6"/>
      <c r="Z538" s="6"/>
      <c r="AA538" s="6"/>
      <c r="AB538" s="6"/>
      <c r="AC538" s="6"/>
      <c r="AD538" s="6"/>
    </row>
    <row r="539" spans="1:30">
      <c r="A539" s="1" t="s">
        <v>772</v>
      </c>
      <c r="B539" s="1" t="s">
        <v>773</v>
      </c>
      <c r="C539" s="1" t="s">
        <v>1002</v>
      </c>
      <c r="D539" s="1" t="s">
        <v>438</v>
      </c>
      <c r="E539" s="1" t="str">
        <f t="shared" si="8"/>
        <v>W06</v>
      </c>
      <c r="F539" s="4">
        <v>12.68</v>
      </c>
      <c r="G539" s="4">
        <v>9.9</v>
      </c>
      <c r="H539" s="4">
        <v>9.9</v>
      </c>
      <c r="I539" s="4"/>
      <c r="J539" s="1" t="s">
        <v>775</v>
      </c>
      <c r="K539" s="1" t="s">
        <v>860</v>
      </c>
      <c r="L539" s="1" t="s">
        <v>777</v>
      </c>
      <c r="M539" s="1" t="s">
        <v>778</v>
      </c>
      <c r="O539" s="6">
        <v>44442</v>
      </c>
      <c r="P539" s="6">
        <v>44440</v>
      </c>
      <c r="Q539" s="6">
        <v>44421</v>
      </c>
      <c r="R539" s="1" t="s">
        <v>779</v>
      </c>
      <c r="S539" s="1" t="s">
        <v>795</v>
      </c>
      <c r="T539" s="5">
        <v>577</v>
      </c>
      <c r="U539" s="4">
        <v>17</v>
      </c>
      <c r="V539" s="5">
        <v>524</v>
      </c>
      <c r="W539" s="6">
        <v>43803</v>
      </c>
      <c r="X539" s="6"/>
      <c r="Y539" s="6"/>
      <c r="Z539" s="6"/>
      <c r="AA539" s="6">
        <v>44861</v>
      </c>
      <c r="AB539" s="6"/>
      <c r="AC539" s="6"/>
      <c r="AD539" s="6"/>
    </row>
    <row r="540" spans="1:30">
      <c r="A540" s="1" t="s">
        <v>772</v>
      </c>
      <c r="B540" s="1" t="s">
        <v>773</v>
      </c>
      <c r="C540" s="1" t="s">
        <v>1002</v>
      </c>
      <c r="D540" s="1" t="s">
        <v>443</v>
      </c>
      <c r="E540" s="1" t="str">
        <f t="shared" si="8"/>
        <v>W06</v>
      </c>
      <c r="F540" s="4">
        <v>14.2</v>
      </c>
      <c r="G540" s="4">
        <v>11.24</v>
      </c>
      <c r="H540" s="4">
        <v>11.24</v>
      </c>
      <c r="I540" s="4"/>
      <c r="J540" s="1" t="s">
        <v>775</v>
      </c>
      <c r="K540" s="1" t="s">
        <v>860</v>
      </c>
      <c r="L540" s="1" t="s">
        <v>777</v>
      </c>
      <c r="M540" s="1" t="s">
        <v>778</v>
      </c>
      <c r="N540" s="1" t="s">
        <v>777</v>
      </c>
      <c r="O540" s="6">
        <v>44455</v>
      </c>
      <c r="P540" s="6">
        <v>44450</v>
      </c>
      <c r="Q540" s="6">
        <v>44427</v>
      </c>
      <c r="R540" s="1" t="s">
        <v>779</v>
      </c>
      <c r="S540" s="1" t="s">
        <v>795</v>
      </c>
      <c r="T540" s="5">
        <v>577</v>
      </c>
      <c r="U540" s="4">
        <v>16</v>
      </c>
      <c r="V540" s="5">
        <v>514</v>
      </c>
      <c r="W540" s="6">
        <v>43895</v>
      </c>
      <c r="X540" s="6">
        <v>42898</v>
      </c>
      <c r="Y540" s="6"/>
      <c r="Z540" s="6"/>
      <c r="AA540" s="6">
        <v>44865</v>
      </c>
      <c r="AB540" s="6"/>
      <c r="AC540" s="6"/>
      <c r="AD540" s="6"/>
    </row>
    <row r="541" spans="1:30">
      <c r="A541" s="1" t="s">
        <v>772</v>
      </c>
      <c r="B541" s="1" t="s">
        <v>773</v>
      </c>
      <c r="C541" s="1" t="s">
        <v>1002</v>
      </c>
      <c r="D541" s="1" t="s">
        <v>349</v>
      </c>
      <c r="E541" s="1" t="str">
        <f t="shared" si="8"/>
        <v>W06</v>
      </c>
      <c r="F541" s="4">
        <v>7.46</v>
      </c>
      <c r="G541" s="4">
        <v>5.79</v>
      </c>
      <c r="H541" s="4">
        <v>5.79</v>
      </c>
      <c r="I541" s="4"/>
      <c r="J541" s="1" t="s">
        <v>775</v>
      </c>
      <c r="K541" s="1" t="s">
        <v>890</v>
      </c>
      <c r="L541" s="1" t="s">
        <v>787</v>
      </c>
      <c r="M541" s="1" t="s">
        <v>788</v>
      </c>
      <c r="N541" s="1" t="s">
        <v>777</v>
      </c>
      <c r="O541" s="6">
        <v>44837</v>
      </c>
      <c r="P541" s="6">
        <v>44826</v>
      </c>
      <c r="Q541" s="6">
        <v>44272</v>
      </c>
      <c r="R541" s="1" t="s">
        <v>779</v>
      </c>
      <c r="T541" s="5">
        <v>402</v>
      </c>
      <c r="U541" s="4">
        <v>4</v>
      </c>
      <c r="V541" s="5">
        <v>138</v>
      </c>
      <c r="W541" s="6">
        <v>43678</v>
      </c>
      <c r="X541" s="6">
        <v>43637</v>
      </c>
      <c r="Y541" s="6"/>
      <c r="Z541" s="6"/>
      <c r="AA541" s="6"/>
      <c r="AB541" s="6"/>
      <c r="AC541" s="6"/>
      <c r="AD541" s="6">
        <v>44837</v>
      </c>
    </row>
    <row r="542" spans="1:30">
      <c r="A542" s="1" t="s">
        <v>772</v>
      </c>
      <c r="B542" s="1" t="s">
        <v>773</v>
      </c>
      <c r="C542" s="1" t="s">
        <v>1002</v>
      </c>
      <c r="D542" s="1" t="s">
        <v>351</v>
      </c>
      <c r="E542" s="1" t="str">
        <f t="shared" si="8"/>
        <v>W06</v>
      </c>
      <c r="F542" s="4">
        <v>17.239999999999998</v>
      </c>
      <c r="G542" s="4">
        <v>13.68</v>
      </c>
      <c r="H542" s="4">
        <v>13.68</v>
      </c>
      <c r="I542" s="4"/>
      <c r="J542" s="1" t="s">
        <v>775</v>
      </c>
      <c r="K542" s="1" t="s">
        <v>890</v>
      </c>
      <c r="L542" s="1" t="s">
        <v>787</v>
      </c>
      <c r="M542" s="1" t="s">
        <v>788</v>
      </c>
      <c r="N542" s="1" t="s">
        <v>777</v>
      </c>
      <c r="O542" s="6">
        <v>44837</v>
      </c>
      <c r="P542" s="6">
        <v>44824</v>
      </c>
      <c r="Q542" s="6">
        <v>44276</v>
      </c>
      <c r="R542" s="1" t="s">
        <v>779</v>
      </c>
      <c r="T542" s="5">
        <v>402</v>
      </c>
      <c r="U542" s="4">
        <v>4</v>
      </c>
      <c r="V542" s="5">
        <v>140</v>
      </c>
      <c r="W542" s="6">
        <v>43100</v>
      </c>
      <c r="X542" s="6">
        <v>43100</v>
      </c>
      <c r="Y542" s="6"/>
      <c r="Z542" s="6"/>
      <c r="AA542" s="6"/>
      <c r="AB542" s="6"/>
      <c r="AC542" s="6"/>
      <c r="AD542" s="6">
        <v>44835</v>
      </c>
    </row>
    <row r="543" spans="1:30">
      <c r="A543" s="1" t="s">
        <v>772</v>
      </c>
      <c r="B543" s="1" t="s">
        <v>773</v>
      </c>
      <c r="C543" s="1" t="s">
        <v>1002</v>
      </c>
      <c r="D543" s="1" t="s">
        <v>206</v>
      </c>
      <c r="E543" s="1" t="str">
        <f t="shared" si="8"/>
        <v>W06</v>
      </c>
      <c r="F543" s="4">
        <v>11.44</v>
      </c>
      <c r="G543" s="4">
        <v>9.02</v>
      </c>
      <c r="H543" s="4">
        <v>9.02</v>
      </c>
      <c r="I543" s="4"/>
      <c r="J543" s="1" t="s">
        <v>775</v>
      </c>
      <c r="K543" s="1" t="s">
        <v>849</v>
      </c>
      <c r="L543" s="1" t="s">
        <v>788</v>
      </c>
      <c r="M543" s="1" t="s">
        <v>787</v>
      </c>
      <c r="N543" s="1" t="s">
        <v>788</v>
      </c>
      <c r="O543" s="6">
        <v>44931</v>
      </c>
      <c r="P543" s="6">
        <v>44931</v>
      </c>
      <c r="Q543" s="6">
        <v>44932</v>
      </c>
      <c r="R543" s="1" t="s">
        <v>779</v>
      </c>
      <c r="T543" s="5">
        <v>30</v>
      </c>
      <c r="U543" s="4">
        <v>1</v>
      </c>
      <c r="V543" s="5">
        <v>33</v>
      </c>
      <c r="W543" s="6">
        <v>43680</v>
      </c>
      <c r="X543" s="6">
        <v>43639</v>
      </c>
      <c r="Y543" s="6"/>
      <c r="Z543" s="6"/>
      <c r="AA543" s="6"/>
      <c r="AB543" s="6"/>
      <c r="AC543" s="6"/>
      <c r="AD543" s="6"/>
    </row>
    <row r="544" spans="1:30">
      <c r="A544" s="1" t="s">
        <v>772</v>
      </c>
      <c r="B544" s="1" t="s">
        <v>773</v>
      </c>
      <c r="C544" s="1" t="s">
        <v>989</v>
      </c>
      <c r="D544" s="1" t="s">
        <v>433</v>
      </c>
      <c r="E544" s="1" t="str">
        <f t="shared" si="8"/>
        <v>W05</v>
      </c>
      <c r="F544" s="4">
        <v>17.96</v>
      </c>
      <c r="G544" s="4">
        <v>13.96</v>
      </c>
      <c r="H544" s="4">
        <v>13.96</v>
      </c>
      <c r="I544" s="4"/>
      <c r="J544" s="1" t="s">
        <v>775</v>
      </c>
      <c r="K544" s="1" t="s">
        <v>860</v>
      </c>
      <c r="L544" s="1" t="s">
        <v>777</v>
      </c>
      <c r="M544" s="1" t="s">
        <v>778</v>
      </c>
      <c r="O544" s="6">
        <v>44442</v>
      </c>
      <c r="P544" s="6">
        <v>44425</v>
      </c>
      <c r="Q544" s="6">
        <v>44404</v>
      </c>
      <c r="R544" s="1" t="s">
        <v>779</v>
      </c>
      <c r="S544" s="1" t="s">
        <v>795</v>
      </c>
      <c r="T544" s="5">
        <v>577</v>
      </c>
      <c r="U544" s="4">
        <v>17</v>
      </c>
      <c r="V544" s="5">
        <v>539</v>
      </c>
      <c r="W544" s="6">
        <v>43803</v>
      </c>
      <c r="X544" s="6"/>
      <c r="Y544" s="6"/>
      <c r="Z544" s="6"/>
      <c r="AA544" s="6">
        <v>44839</v>
      </c>
      <c r="AB544" s="6"/>
      <c r="AC544" s="6"/>
      <c r="AD544" s="6"/>
    </row>
    <row r="545" spans="1:30">
      <c r="A545" s="1" t="s">
        <v>772</v>
      </c>
      <c r="B545" s="1" t="s">
        <v>773</v>
      </c>
      <c r="C545" s="1" t="s">
        <v>989</v>
      </c>
      <c r="D545" s="1" t="s">
        <v>744</v>
      </c>
      <c r="E545" s="1" t="str">
        <f t="shared" si="8"/>
        <v>W05</v>
      </c>
      <c r="F545" s="4">
        <v>0.94</v>
      </c>
      <c r="G545" s="4">
        <v>0.94</v>
      </c>
      <c r="H545" s="4">
        <v>0.94</v>
      </c>
      <c r="I545" s="4"/>
      <c r="J545" s="1" t="s">
        <v>775</v>
      </c>
      <c r="K545" s="1" t="s">
        <v>855</v>
      </c>
      <c r="L545" s="1" t="s">
        <v>828</v>
      </c>
      <c r="M545" s="1" t="s">
        <v>829</v>
      </c>
      <c r="O545" s="6">
        <v>44959</v>
      </c>
      <c r="P545" s="6">
        <v>44957</v>
      </c>
      <c r="Q545" s="6"/>
      <c r="R545" s="1" t="s">
        <v>830</v>
      </c>
      <c r="T545" s="5">
        <v>60</v>
      </c>
      <c r="U545" s="4">
        <v>0</v>
      </c>
      <c r="V545" s="5">
        <v>7</v>
      </c>
      <c r="W545" s="6">
        <v>43322</v>
      </c>
      <c r="X545" s="6"/>
      <c r="Y545" s="6"/>
      <c r="Z545" s="6"/>
      <c r="AA545" s="6"/>
      <c r="AB545" s="6"/>
      <c r="AC545" s="6"/>
      <c r="AD545" s="6"/>
    </row>
    <row r="546" spans="1:30">
      <c r="A546" s="1" t="s">
        <v>772</v>
      </c>
      <c r="B546" s="1" t="s">
        <v>773</v>
      </c>
      <c r="C546" s="1" t="s">
        <v>989</v>
      </c>
      <c r="D546" s="1" t="s">
        <v>170</v>
      </c>
      <c r="E546" s="1" t="str">
        <f t="shared" si="8"/>
        <v>W05</v>
      </c>
      <c r="F546" s="4">
        <v>16.54</v>
      </c>
      <c r="G546" s="4">
        <v>13.04</v>
      </c>
      <c r="H546" s="4">
        <v>13.04</v>
      </c>
      <c r="I546" s="4"/>
      <c r="J546" s="1" t="s">
        <v>775</v>
      </c>
      <c r="K546" s="1" t="s">
        <v>791</v>
      </c>
      <c r="L546" s="1" t="s">
        <v>777</v>
      </c>
      <c r="M546" s="1" t="s">
        <v>778</v>
      </c>
      <c r="N546" s="1" t="s">
        <v>788</v>
      </c>
      <c r="O546" s="6">
        <v>44929</v>
      </c>
      <c r="P546" s="6">
        <v>44926</v>
      </c>
      <c r="Q546" s="6">
        <v>44910</v>
      </c>
      <c r="R546" s="1" t="s">
        <v>779</v>
      </c>
      <c r="S546" s="1" t="s">
        <v>795</v>
      </c>
      <c r="T546" s="5">
        <v>577</v>
      </c>
      <c r="U546" s="4">
        <v>1</v>
      </c>
      <c r="V546" s="5">
        <v>38</v>
      </c>
      <c r="W546" s="6">
        <v>43747</v>
      </c>
      <c r="X546" s="6">
        <v>43665</v>
      </c>
      <c r="Y546" s="6"/>
      <c r="Z546" s="6"/>
      <c r="AA546" s="6"/>
      <c r="AB546" s="6"/>
      <c r="AC546" s="6"/>
      <c r="AD546" s="6"/>
    </row>
    <row r="547" spans="1:30">
      <c r="A547" s="1" t="s">
        <v>772</v>
      </c>
      <c r="B547" s="1" t="s">
        <v>773</v>
      </c>
      <c r="C547" s="1" t="s">
        <v>989</v>
      </c>
      <c r="D547" s="1" t="s">
        <v>373</v>
      </c>
      <c r="E547" s="1" t="str">
        <f t="shared" si="8"/>
        <v>W05</v>
      </c>
      <c r="F547" s="4">
        <v>13.46</v>
      </c>
      <c r="G547" s="4">
        <v>10.5</v>
      </c>
      <c r="H547" s="4">
        <v>10.43</v>
      </c>
      <c r="I547" s="4"/>
      <c r="J547" s="1" t="s">
        <v>775</v>
      </c>
      <c r="K547" s="1" t="s">
        <v>807</v>
      </c>
      <c r="L547" s="1" t="s">
        <v>787</v>
      </c>
      <c r="M547" s="1" t="s">
        <v>788</v>
      </c>
      <c r="N547" s="1" t="s">
        <v>787</v>
      </c>
      <c r="O547" s="6">
        <v>44897</v>
      </c>
      <c r="P547" s="6">
        <v>44895</v>
      </c>
      <c r="Q547" s="6">
        <v>44311</v>
      </c>
      <c r="R547" s="1" t="s">
        <v>779</v>
      </c>
      <c r="T547" s="5">
        <v>402</v>
      </c>
      <c r="U547" s="4">
        <v>2</v>
      </c>
      <c r="V547" s="5">
        <v>69</v>
      </c>
      <c r="W547" s="6">
        <v>43710</v>
      </c>
      <c r="X547" s="6">
        <v>42572</v>
      </c>
      <c r="Y547" s="6"/>
      <c r="Z547" s="6"/>
      <c r="AA547" s="6"/>
      <c r="AB547" s="6"/>
      <c r="AC547" s="6"/>
      <c r="AD547" s="6"/>
    </row>
    <row r="548" spans="1:30">
      <c r="A548" s="1" t="s">
        <v>772</v>
      </c>
      <c r="B548" s="1" t="s">
        <v>773</v>
      </c>
      <c r="C548" s="1" t="s">
        <v>1002</v>
      </c>
      <c r="D548" s="1" t="s">
        <v>183</v>
      </c>
      <c r="E548" s="1" t="str">
        <f t="shared" si="8"/>
        <v>W06</v>
      </c>
      <c r="F548" s="4">
        <v>13.25</v>
      </c>
      <c r="G548" s="4">
        <v>10.37</v>
      </c>
      <c r="H548" s="4">
        <v>10.37</v>
      </c>
      <c r="I548" s="4"/>
      <c r="J548" s="1" t="s">
        <v>775</v>
      </c>
      <c r="K548" s="1" t="s">
        <v>776</v>
      </c>
      <c r="L548" s="1" t="s">
        <v>777</v>
      </c>
      <c r="M548" s="1" t="s">
        <v>778</v>
      </c>
      <c r="O548" s="6">
        <v>44959</v>
      </c>
      <c r="P548" s="6">
        <v>44956</v>
      </c>
      <c r="Q548" s="6">
        <v>44916</v>
      </c>
      <c r="R548" s="1" t="s">
        <v>779</v>
      </c>
      <c r="S548" s="1" t="s">
        <v>780</v>
      </c>
      <c r="T548" s="5">
        <v>517</v>
      </c>
      <c r="U548" s="4">
        <v>0</v>
      </c>
      <c r="V548" s="5">
        <v>8</v>
      </c>
      <c r="W548" s="6">
        <v>43322</v>
      </c>
      <c r="X548" s="6"/>
      <c r="Y548" s="6"/>
      <c r="Z548" s="6"/>
      <c r="AA548" s="6"/>
      <c r="AB548" s="6"/>
      <c r="AC548" s="6"/>
      <c r="AD548" s="6"/>
    </row>
    <row r="549" spans="1:30">
      <c r="A549" s="1" t="s">
        <v>772</v>
      </c>
      <c r="B549" s="1" t="s">
        <v>773</v>
      </c>
      <c r="C549" s="1" t="s">
        <v>1002</v>
      </c>
      <c r="D549" s="1" t="s">
        <v>186</v>
      </c>
      <c r="E549" s="1" t="str">
        <f t="shared" si="8"/>
        <v>W06</v>
      </c>
      <c r="F549" s="4">
        <v>9.1</v>
      </c>
      <c r="G549" s="4">
        <v>7.32</v>
      </c>
      <c r="H549" s="4">
        <v>7.32</v>
      </c>
      <c r="I549" s="4"/>
      <c r="J549" s="1" t="s">
        <v>775</v>
      </c>
      <c r="K549" s="1" t="s">
        <v>798</v>
      </c>
      <c r="L549" s="1" t="s">
        <v>778</v>
      </c>
      <c r="M549" s="1" t="s">
        <v>777</v>
      </c>
      <c r="N549" s="1" t="s">
        <v>787</v>
      </c>
      <c r="O549" s="6">
        <v>44866</v>
      </c>
      <c r="P549" s="6">
        <v>44861</v>
      </c>
      <c r="Q549" s="6"/>
      <c r="R549" s="1" t="s">
        <v>779</v>
      </c>
      <c r="T549" s="5">
        <v>120</v>
      </c>
      <c r="U549" s="4">
        <v>3</v>
      </c>
      <c r="V549" s="5">
        <v>103</v>
      </c>
      <c r="W549" s="6">
        <v>43963</v>
      </c>
      <c r="X549" s="6">
        <v>43997</v>
      </c>
      <c r="Y549" s="6"/>
      <c r="Z549" s="6"/>
      <c r="AA549" s="6"/>
      <c r="AB549" s="6"/>
      <c r="AC549" s="6"/>
      <c r="AD549" s="6"/>
    </row>
    <row r="550" spans="1:30">
      <c r="A550" s="1" t="s">
        <v>772</v>
      </c>
      <c r="B550" s="1" t="s">
        <v>773</v>
      </c>
      <c r="C550" s="1" t="s">
        <v>1002</v>
      </c>
      <c r="D550" s="1" t="s">
        <v>189</v>
      </c>
      <c r="E550" s="1" t="str">
        <f t="shared" si="8"/>
        <v>W06</v>
      </c>
      <c r="F550" s="4">
        <v>12.22</v>
      </c>
      <c r="G550" s="4">
        <v>9.75</v>
      </c>
      <c r="H550" s="4">
        <v>9.75</v>
      </c>
      <c r="I550" s="4"/>
      <c r="J550" s="1" t="s">
        <v>775</v>
      </c>
      <c r="K550" s="1" t="s">
        <v>988</v>
      </c>
      <c r="L550" s="1" t="s">
        <v>778</v>
      </c>
      <c r="M550" s="1" t="s">
        <v>777</v>
      </c>
      <c r="N550" s="1" t="s">
        <v>777</v>
      </c>
      <c r="O550" s="6">
        <v>44830</v>
      </c>
      <c r="P550" s="6">
        <v>44827</v>
      </c>
      <c r="Q550" s="6"/>
      <c r="R550" s="1" t="s">
        <v>779</v>
      </c>
      <c r="T550" s="5">
        <v>120</v>
      </c>
      <c r="U550" s="4">
        <v>4</v>
      </c>
      <c r="V550" s="5">
        <v>137</v>
      </c>
      <c r="W550" s="6">
        <v>43175</v>
      </c>
      <c r="X550" s="6">
        <v>43206</v>
      </c>
      <c r="Y550" s="6"/>
      <c r="Z550" s="6"/>
      <c r="AA550" s="6"/>
      <c r="AB550" s="6"/>
      <c r="AC550" s="6"/>
      <c r="AD550" s="6">
        <v>44821</v>
      </c>
    </row>
    <row r="551" spans="1:30">
      <c r="A551" s="1" t="s">
        <v>772</v>
      </c>
      <c r="B551" s="1" t="s">
        <v>773</v>
      </c>
      <c r="C551" s="1" t="s">
        <v>1002</v>
      </c>
      <c r="D551" s="1" t="s">
        <v>637</v>
      </c>
      <c r="E551" s="1" t="str">
        <f t="shared" si="8"/>
        <v>W06</v>
      </c>
      <c r="F551" s="4">
        <v>8.1</v>
      </c>
      <c r="G551" s="4">
        <v>6.32</v>
      </c>
      <c r="H551" s="4">
        <v>6.32</v>
      </c>
      <c r="I551" s="4"/>
      <c r="J551" s="1" t="s">
        <v>775</v>
      </c>
      <c r="K551" s="1" t="s">
        <v>791</v>
      </c>
      <c r="L551" s="1" t="s">
        <v>777</v>
      </c>
      <c r="M551" s="1" t="s">
        <v>778</v>
      </c>
      <c r="N551" s="1" t="s">
        <v>777</v>
      </c>
      <c r="O551" s="6">
        <v>44957</v>
      </c>
      <c r="P551" s="6">
        <v>44933</v>
      </c>
      <c r="Q551" s="6">
        <v>44915</v>
      </c>
      <c r="R551" s="1" t="s">
        <v>779</v>
      </c>
      <c r="S551" s="1" t="s">
        <v>792</v>
      </c>
      <c r="T551" s="5">
        <v>577</v>
      </c>
      <c r="U551" s="4">
        <v>1</v>
      </c>
      <c r="V551" s="5">
        <v>31</v>
      </c>
      <c r="W551" s="6">
        <v>43175</v>
      </c>
      <c r="X551" s="6">
        <v>43206</v>
      </c>
      <c r="Y551" s="6"/>
      <c r="Z551" s="6"/>
      <c r="AA551" s="6"/>
      <c r="AB551" s="6"/>
      <c r="AC551" s="6"/>
      <c r="AD551" s="6"/>
    </row>
    <row r="552" spans="1:30">
      <c r="A552" s="1" t="s">
        <v>772</v>
      </c>
      <c r="B552" s="1" t="s">
        <v>773</v>
      </c>
      <c r="C552" s="1" t="s">
        <v>1002</v>
      </c>
      <c r="D552" s="1" t="s">
        <v>591</v>
      </c>
      <c r="E552" s="1" t="str">
        <f t="shared" si="8"/>
        <v>W06</v>
      </c>
      <c r="F552" s="4">
        <v>3.06</v>
      </c>
      <c r="G552" s="5">
        <v>2.41</v>
      </c>
      <c r="H552" s="5">
        <v>2.41</v>
      </c>
      <c r="I552" s="5"/>
      <c r="J552" s="1" t="s">
        <v>775</v>
      </c>
      <c r="K552" s="1" t="s">
        <v>800</v>
      </c>
      <c r="L552" s="1" t="s">
        <v>777</v>
      </c>
      <c r="M552" s="1" t="s">
        <v>778</v>
      </c>
      <c r="N552" s="1" t="s">
        <v>777</v>
      </c>
      <c r="O552" s="6">
        <v>44824</v>
      </c>
      <c r="P552" s="6">
        <v>44820</v>
      </c>
      <c r="Q552" s="6">
        <v>44798</v>
      </c>
      <c r="R552" s="1" t="s">
        <v>779</v>
      </c>
      <c r="S552" s="1" t="s">
        <v>780</v>
      </c>
      <c r="T552" s="5">
        <v>517</v>
      </c>
      <c r="U552" s="4">
        <v>4</v>
      </c>
      <c r="V552" s="5">
        <v>144</v>
      </c>
      <c r="W552" s="6">
        <v>43483</v>
      </c>
      <c r="X552" s="6">
        <v>43356</v>
      </c>
      <c r="Y552" s="6"/>
      <c r="Z552" s="6"/>
      <c r="AA552" s="6"/>
      <c r="AB552" s="6"/>
      <c r="AC552" s="6"/>
      <c r="AD552" s="6"/>
    </row>
    <row r="553" spans="1:30">
      <c r="A553" s="1" t="s">
        <v>772</v>
      </c>
      <c r="B553" s="1" t="s">
        <v>773</v>
      </c>
      <c r="C553" s="1" t="s">
        <v>1002</v>
      </c>
      <c r="D553" s="1" t="s">
        <v>176</v>
      </c>
      <c r="E553" s="1" t="str">
        <f t="shared" si="8"/>
        <v>W06</v>
      </c>
      <c r="F553" s="4">
        <v>7.8</v>
      </c>
      <c r="G553" s="4">
        <v>6.08</v>
      </c>
      <c r="H553" s="4">
        <v>6.08</v>
      </c>
      <c r="I553" s="4"/>
      <c r="J553" s="1" t="s">
        <v>775</v>
      </c>
      <c r="K553" s="1" t="s">
        <v>794</v>
      </c>
      <c r="L553" s="1" t="s">
        <v>777</v>
      </c>
      <c r="M553" s="1" t="s">
        <v>778</v>
      </c>
      <c r="N553" s="1" t="s">
        <v>788</v>
      </c>
      <c r="O553" s="6">
        <v>44897</v>
      </c>
      <c r="P553" s="6">
        <v>44886</v>
      </c>
      <c r="Q553" s="6">
        <v>44841</v>
      </c>
      <c r="R553" s="1" t="s">
        <v>779</v>
      </c>
      <c r="S553" s="1" t="s">
        <v>823</v>
      </c>
      <c r="T553" s="5">
        <v>457</v>
      </c>
      <c r="U553" s="4">
        <v>2</v>
      </c>
      <c r="V553" s="5">
        <v>78</v>
      </c>
      <c r="W553" s="6">
        <v>43747</v>
      </c>
      <c r="X553" s="6">
        <v>43665</v>
      </c>
      <c r="Y553" s="6"/>
      <c r="Z553" s="6"/>
      <c r="AA553" s="6"/>
      <c r="AB553" s="6"/>
      <c r="AC553" s="6"/>
      <c r="AD553" s="6"/>
    </row>
    <row r="554" spans="1:30">
      <c r="A554" s="1" t="s">
        <v>772</v>
      </c>
      <c r="B554" s="1" t="s">
        <v>773</v>
      </c>
      <c r="C554" s="1" t="s">
        <v>1002</v>
      </c>
      <c r="D554" s="1" t="s">
        <v>463</v>
      </c>
      <c r="E554" s="1" t="str">
        <f t="shared" si="8"/>
        <v>W06</v>
      </c>
      <c r="F554" s="4">
        <v>8.52</v>
      </c>
      <c r="G554" s="4">
        <v>6.81</v>
      </c>
      <c r="H554" s="4">
        <v>6.81</v>
      </c>
      <c r="I554" s="4"/>
      <c r="J554" s="1" t="s">
        <v>775</v>
      </c>
      <c r="K554" s="1" t="s">
        <v>872</v>
      </c>
      <c r="L554" s="1" t="s">
        <v>777</v>
      </c>
      <c r="M554" s="1" t="s">
        <v>778</v>
      </c>
      <c r="N554" s="1" t="s">
        <v>873</v>
      </c>
      <c r="O554" s="6">
        <v>44504</v>
      </c>
      <c r="P554" s="6">
        <v>44496</v>
      </c>
      <c r="Q554" s="6">
        <v>44475</v>
      </c>
      <c r="R554" s="1" t="s">
        <v>779</v>
      </c>
      <c r="S554" s="1" t="s">
        <v>823</v>
      </c>
      <c r="T554" s="5">
        <v>457</v>
      </c>
      <c r="U554" s="4">
        <v>15</v>
      </c>
      <c r="V554" s="5">
        <v>468</v>
      </c>
      <c r="W554" s="6">
        <v>43954</v>
      </c>
      <c r="X554" s="6">
        <v>43275</v>
      </c>
      <c r="Y554" s="6"/>
      <c r="Z554" s="6"/>
      <c r="AA554" s="6">
        <v>44836</v>
      </c>
      <c r="AB554" s="6"/>
      <c r="AC554" s="6"/>
      <c r="AD554" s="6">
        <v>44897</v>
      </c>
    </row>
    <row r="555" spans="1:30">
      <c r="A555" s="1" t="s">
        <v>772</v>
      </c>
      <c r="B555" s="1" t="s">
        <v>773</v>
      </c>
      <c r="C555" s="1" t="s">
        <v>1002</v>
      </c>
      <c r="D555" s="1" t="s">
        <v>147</v>
      </c>
      <c r="E555" s="1" t="str">
        <f t="shared" si="8"/>
        <v>W06</v>
      </c>
      <c r="F555" s="4">
        <v>11.55</v>
      </c>
      <c r="G555" s="4">
        <v>9.1300000000000008</v>
      </c>
      <c r="H555" s="4">
        <v>9.1300000000000008</v>
      </c>
      <c r="I555" s="4"/>
      <c r="J555" s="1" t="s">
        <v>775</v>
      </c>
      <c r="K555" s="1" t="s">
        <v>898</v>
      </c>
      <c r="L555" s="1" t="s">
        <v>787</v>
      </c>
      <c r="M555" s="1" t="s">
        <v>788</v>
      </c>
      <c r="N555" s="1" t="s">
        <v>787</v>
      </c>
      <c r="O555" s="6">
        <v>44715</v>
      </c>
      <c r="P555" s="6">
        <v>44706</v>
      </c>
      <c r="Q555" s="6">
        <v>44130</v>
      </c>
      <c r="R555" s="1" t="s">
        <v>779</v>
      </c>
      <c r="T555" s="5">
        <v>402</v>
      </c>
      <c r="U555" s="4">
        <v>8</v>
      </c>
      <c r="V555" s="5">
        <v>258</v>
      </c>
      <c r="W555" s="6">
        <v>43535</v>
      </c>
      <c r="X555" s="6">
        <v>43566</v>
      </c>
      <c r="Y555" s="6"/>
      <c r="Z555" s="6"/>
      <c r="AA555" s="6"/>
      <c r="AB555" s="6"/>
      <c r="AC555" s="6"/>
      <c r="AD555" s="6"/>
    </row>
    <row r="556" spans="1:30">
      <c r="A556" s="1" t="s">
        <v>772</v>
      </c>
      <c r="B556" s="1" t="s">
        <v>773</v>
      </c>
      <c r="C556" s="1" t="s">
        <v>1002</v>
      </c>
      <c r="D556" s="1" t="s">
        <v>316</v>
      </c>
      <c r="E556" s="1" t="str">
        <f t="shared" si="8"/>
        <v>W06</v>
      </c>
      <c r="F556" s="4">
        <v>13.66</v>
      </c>
      <c r="G556" s="4">
        <v>10.92</v>
      </c>
      <c r="H556" s="4">
        <v>10.92</v>
      </c>
      <c r="I556" s="4"/>
      <c r="J556" s="1" t="s">
        <v>775</v>
      </c>
      <c r="K556" s="1" t="s">
        <v>843</v>
      </c>
      <c r="L556" s="1" t="s">
        <v>787</v>
      </c>
      <c r="M556" s="1" t="s">
        <v>788</v>
      </c>
      <c r="N556" s="1" t="s">
        <v>787</v>
      </c>
      <c r="O556" s="6">
        <v>44774</v>
      </c>
      <c r="P556" s="6">
        <v>44754</v>
      </c>
      <c r="Q556" s="6">
        <v>44201</v>
      </c>
      <c r="R556" s="1" t="s">
        <v>779</v>
      </c>
      <c r="T556" s="5">
        <v>300</v>
      </c>
      <c r="U556" s="4">
        <v>6</v>
      </c>
      <c r="V556" s="5">
        <v>210</v>
      </c>
      <c r="W556" s="6">
        <v>43373</v>
      </c>
      <c r="X556" s="6">
        <v>42702</v>
      </c>
      <c r="Y556" s="6"/>
      <c r="Z556" s="6"/>
      <c r="AA556" s="6"/>
      <c r="AB556" s="6"/>
      <c r="AC556" s="6"/>
      <c r="AD556" s="6">
        <v>44805</v>
      </c>
    </row>
    <row r="557" spans="1:30">
      <c r="A557" s="1" t="s">
        <v>772</v>
      </c>
      <c r="B557" s="1" t="s">
        <v>773</v>
      </c>
      <c r="C557" s="1" t="s">
        <v>1002</v>
      </c>
      <c r="D557" s="1" t="s">
        <v>388</v>
      </c>
      <c r="E557" s="1" t="str">
        <f t="shared" si="8"/>
        <v>W06</v>
      </c>
      <c r="F557" s="4">
        <v>13.38</v>
      </c>
      <c r="G557" s="4">
        <v>10.62</v>
      </c>
      <c r="H557" s="4">
        <v>10.62</v>
      </c>
      <c r="I557" s="4"/>
      <c r="J557" s="1" t="s">
        <v>775</v>
      </c>
      <c r="K557" s="1" t="s">
        <v>950</v>
      </c>
      <c r="L557" s="1" t="s">
        <v>787</v>
      </c>
      <c r="M557" s="1" t="s">
        <v>788</v>
      </c>
      <c r="N557" s="1" t="s">
        <v>788</v>
      </c>
      <c r="O557" s="6">
        <v>44928</v>
      </c>
      <c r="P557" s="6">
        <v>44920</v>
      </c>
      <c r="Q557" s="6">
        <v>44337</v>
      </c>
      <c r="R557" s="1" t="s">
        <v>779</v>
      </c>
      <c r="T557" s="5">
        <v>300</v>
      </c>
      <c r="U557" s="4">
        <v>1</v>
      </c>
      <c r="V557" s="5">
        <v>44</v>
      </c>
      <c r="W557" s="6">
        <v>43763</v>
      </c>
      <c r="X557" s="6">
        <v>43468</v>
      </c>
      <c r="Y557" s="6"/>
      <c r="Z557" s="6"/>
      <c r="AA557" s="6"/>
      <c r="AB557" s="6"/>
      <c r="AC557" s="6"/>
      <c r="AD557" s="6"/>
    </row>
    <row r="558" spans="1:30">
      <c r="A558" s="1" t="s">
        <v>772</v>
      </c>
      <c r="B558" s="1" t="s">
        <v>773</v>
      </c>
      <c r="C558" s="1" t="s">
        <v>1002</v>
      </c>
      <c r="D558" s="1" t="s">
        <v>315</v>
      </c>
      <c r="E558" s="1" t="str">
        <f t="shared" si="8"/>
        <v>W06</v>
      </c>
      <c r="F558" s="4">
        <v>14.48</v>
      </c>
      <c r="G558" s="4">
        <v>11.34</v>
      </c>
      <c r="H558" s="4">
        <v>11.34</v>
      </c>
      <c r="I558" s="4"/>
      <c r="J558" s="1" t="s">
        <v>775</v>
      </c>
      <c r="K558" s="1" t="s">
        <v>843</v>
      </c>
      <c r="L558" s="1" t="s">
        <v>787</v>
      </c>
      <c r="M558" s="1" t="s">
        <v>788</v>
      </c>
      <c r="N558" s="1" t="s">
        <v>787</v>
      </c>
      <c r="O558" s="6">
        <v>44774</v>
      </c>
      <c r="P558" s="6">
        <v>44755</v>
      </c>
      <c r="Q558" s="6">
        <v>44208</v>
      </c>
      <c r="R558" s="1" t="s">
        <v>779</v>
      </c>
      <c r="T558" s="5">
        <v>300</v>
      </c>
      <c r="U558" s="4">
        <v>6</v>
      </c>
      <c r="V558" s="5">
        <v>209</v>
      </c>
      <c r="W558" s="6">
        <v>43373</v>
      </c>
      <c r="X558" s="6">
        <v>42702</v>
      </c>
      <c r="Y558" s="6"/>
      <c r="Z558" s="6"/>
      <c r="AA558" s="6"/>
      <c r="AB558" s="6"/>
      <c r="AC558" s="6"/>
      <c r="AD558" s="6">
        <v>44805</v>
      </c>
    </row>
    <row r="559" spans="1:30">
      <c r="A559" s="1" t="s">
        <v>772</v>
      </c>
      <c r="B559" s="1" t="s">
        <v>773</v>
      </c>
      <c r="C559" s="1" t="s">
        <v>1002</v>
      </c>
      <c r="D559" s="1" t="s">
        <v>225</v>
      </c>
      <c r="E559" s="1" t="str">
        <f t="shared" si="8"/>
        <v>W06</v>
      </c>
      <c r="F559" s="4">
        <v>4.07</v>
      </c>
      <c r="G559" s="4">
        <v>3.26</v>
      </c>
      <c r="H559" s="4">
        <v>3.26</v>
      </c>
      <c r="I559" s="4"/>
      <c r="J559" s="1" t="s">
        <v>775</v>
      </c>
      <c r="K559" s="1" t="s">
        <v>797</v>
      </c>
      <c r="L559" s="1" t="s">
        <v>777</v>
      </c>
      <c r="M559" s="1" t="s">
        <v>778</v>
      </c>
      <c r="O559" s="6">
        <v>44865</v>
      </c>
      <c r="P559" s="6">
        <v>44854</v>
      </c>
      <c r="Q559" s="6">
        <v>44833</v>
      </c>
      <c r="R559" s="1" t="s">
        <v>779</v>
      </c>
      <c r="S559" s="1" t="s">
        <v>823</v>
      </c>
      <c r="T559" s="5">
        <v>457</v>
      </c>
      <c r="U559" s="4">
        <v>3</v>
      </c>
      <c r="V559" s="5">
        <v>110</v>
      </c>
      <c r="W559" s="6"/>
      <c r="X559" s="6"/>
      <c r="Y559" s="6"/>
      <c r="Z559" s="6"/>
      <c r="AA559" s="6"/>
      <c r="AB559" s="6"/>
      <c r="AC559" s="6"/>
      <c r="AD559" s="6"/>
    </row>
    <row r="560" spans="1:30">
      <c r="A560" s="1" t="s">
        <v>772</v>
      </c>
      <c r="B560" s="1" t="s">
        <v>773</v>
      </c>
      <c r="C560" s="1" t="s">
        <v>1002</v>
      </c>
      <c r="D560" s="1" t="s">
        <v>595</v>
      </c>
      <c r="E560" s="1" t="str">
        <f t="shared" si="8"/>
        <v>W06</v>
      </c>
      <c r="F560" s="4">
        <v>9.02</v>
      </c>
      <c r="G560" s="4">
        <v>7.04</v>
      </c>
      <c r="H560" s="4">
        <v>7.04</v>
      </c>
      <c r="I560" s="4"/>
      <c r="J560" s="1" t="s">
        <v>775</v>
      </c>
      <c r="K560" s="1" t="s">
        <v>797</v>
      </c>
      <c r="L560" s="1" t="s">
        <v>777</v>
      </c>
      <c r="M560" s="1" t="s">
        <v>778</v>
      </c>
      <c r="N560" s="1" t="s">
        <v>777</v>
      </c>
      <c r="O560" s="6">
        <v>44838</v>
      </c>
      <c r="P560" s="6">
        <v>44833</v>
      </c>
      <c r="Q560" s="6">
        <v>44818</v>
      </c>
      <c r="R560" s="1" t="s">
        <v>779</v>
      </c>
      <c r="S560" s="1" t="s">
        <v>792</v>
      </c>
      <c r="T560" s="5">
        <v>577</v>
      </c>
      <c r="U560" s="4">
        <v>4</v>
      </c>
      <c r="V560" s="5">
        <v>131</v>
      </c>
      <c r="W560" s="6">
        <v>43175</v>
      </c>
      <c r="X560" s="6">
        <v>43206</v>
      </c>
      <c r="Y560" s="6"/>
      <c r="Z560" s="6"/>
      <c r="AA560" s="6"/>
      <c r="AB560" s="6"/>
      <c r="AC560" s="6"/>
      <c r="AD560" s="6"/>
    </row>
    <row r="561" spans="1:30">
      <c r="A561" s="1" t="s">
        <v>772</v>
      </c>
      <c r="B561" s="1" t="s">
        <v>773</v>
      </c>
      <c r="C561" s="1" t="s">
        <v>1002</v>
      </c>
      <c r="D561" s="1" t="s">
        <v>73</v>
      </c>
      <c r="E561" s="1" t="str">
        <f t="shared" si="8"/>
        <v>W06</v>
      </c>
      <c r="F561" s="4">
        <v>10.5</v>
      </c>
      <c r="G561" s="4">
        <v>8.2100000000000009</v>
      </c>
      <c r="H561" s="4">
        <v>8.2100000000000009</v>
      </c>
      <c r="I561" s="4"/>
      <c r="J561" s="1" t="s">
        <v>775</v>
      </c>
      <c r="K561" s="1" t="s">
        <v>839</v>
      </c>
      <c r="L561" s="1" t="s">
        <v>777</v>
      </c>
      <c r="M561" s="1" t="s">
        <v>778</v>
      </c>
      <c r="N561" s="1" t="s">
        <v>787</v>
      </c>
      <c r="O561" s="6">
        <v>44775</v>
      </c>
      <c r="P561" s="6">
        <v>44758</v>
      </c>
      <c r="Q561" s="6">
        <v>44725</v>
      </c>
      <c r="R561" s="1" t="s">
        <v>779</v>
      </c>
      <c r="S561" s="1" t="s">
        <v>792</v>
      </c>
      <c r="T561" s="5">
        <v>577</v>
      </c>
      <c r="U561" s="4">
        <v>6</v>
      </c>
      <c r="V561" s="5">
        <v>206</v>
      </c>
      <c r="W561" s="6">
        <v>43535</v>
      </c>
      <c r="X561" s="6">
        <v>43566</v>
      </c>
      <c r="Y561" s="6"/>
      <c r="Z561" s="6"/>
      <c r="AA561" s="6"/>
      <c r="AB561" s="6"/>
      <c r="AC561" s="6"/>
      <c r="AD561" s="6"/>
    </row>
    <row r="562" spans="1:30">
      <c r="A562" s="1" t="s">
        <v>772</v>
      </c>
      <c r="B562" s="1" t="s">
        <v>773</v>
      </c>
      <c r="C562" s="1" t="s">
        <v>1002</v>
      </c>
      <c r="D562" s="1" t="s">
        <v>1081</v>
      </c>
      <c r="E562" s="1" t="str">
        <f t="shared" si="8"/>
        <v>W06</v>
      </c>
      <c r="F562" s="4">
        <v>0.36</v>
      </c>
      <c r="G562" s="4">
        <v>0.36</v>
      </c>
      <c r="H562" s="4">
        <v>0.36</v>
      </c>
      <c r="I562" s="4"/>
      <c r="J562" s="1" t="s">
        <v>775</v>
      </c>
      <c r="K562" s="1" t="s">
        <v>967</v>
      </c>
      <c r="L562" s="1" t="s">
        <v>829</v>
      </c>
      <c r="M562" s="1" t="s">
        <v>913</v>
      </c>
      <c r="O562" s="6">
        <v>44870</v>
      </c>
      <c r="P562" s="6">
        <v>44849</v>
      </c>
      <c r="Q562" s="6">
        <v>44848</v>
      </c>
      <c r="R562" s="1" t="s">
        <v>830</v>
      </c>
      <c r="S562" s="1" t="s">
        <v>914</v>
      </c>
      <c r="T562" s="5">
        <v>330</v>
      </c>
      <c r="U562" s="4">
        <v>3</v>
      </c>
      <c r="V562" s="5">
        <v>115</v>
      </c>
      <c r="W562" s="6"/>
      <c r="X562" s="6"/>
      <c r="Y562" s="6"/>
      <c r="Z562" s="6"/>
      <c r="AA562" s="6"/>
      <c r="AB562" s="6"/>
      <c r="AC562" s="6"/>
      <c r="AD562" s="6"/>
    </row>
    <row r="563" spans="1:30">
      <c r="A563" s="1" t="s">
        <v>772</v>
      </c>
      <c r="B563" s="1" t="s">
        <v>773</v>
      </c>
      <c r="C563" s="1" t="s">
        <v>1002</v>
      </c>
      <c r="D563" s="1" t="s">
        <v>538</v>
      </c>
      <c r="E563" s="1" t="str">
        <f t="shared" si="8"/>
        <v>W06</v>
      </c>
      <c r="F563" s="4">
        <v>6.6</v>
      </c>
      <c r="G563" s="4">
        <v>5.3</v>
      </c>
      <c r="H563" s="4">
        <v>5.3</v>
      </c>
      <c r="I563" s="4"/>
      <c r="J563" s="1" t="s">
        <v>775</v>
      </c>
      <c r="K563" s="1" t="s">
        <v>805</v>
      </c>
      <c r="L563" s="1" t="s">
        <v>777</v>
      </c>
      <c r="M563" s="1" t="s">
        <v>778</v>
      </c>
      <c r="N563" s="1" t="s">
        <v>788</v>
      </c>
      <c r="O563" s="6">
        <v>44669</v>
      </c>
      <c r="P563" s="6">
        <v>44664</v>
      </c>
      <c r="Q563" s="6">
        <v>44643</v>
      </c>
      <c r="R563" s="1" t="s">
        <v>779</v>
      </c>
      <c r="S563" s="1" t="s">
        <v>780</v>
      </c>
      <c r="T563" s="5">
        <v>517</v>
      </c>
      <c r="U563" s="4">
        <v>9</v>
      </c>
      <c r="V563" s="5">
        <v>300</v>
      </c>
      <c r="W563" s="6">
        <v>43178</v>
      </c>
      <c r="X563" s="6">
        <v>43553</v>
      </c>
      <c r="Y563" s="6"/>
      <c r="Z563" s="6"/>
      <c r="AA563" s="6"/>
      <c r="AB563" s="6"/>
      <c r="AC563" s="6"/>
      <c r="AD563" s="6"/>
    </row>
    <row r="564" spans="1:30">
      <c r="A564" s="1" t="s">
        <v>772</v>
      </c>
      <c r="B564" s="1" t="s">
        <v>773</v>
      </c>
      <c r="C564" s="1" t="s">
        <v>1002</v>
      </c>
      <c r="D564" s="1" t="s">
        <v>579</v>
      </c>
      <c r="E564" s="1" t="str">
        <f t="shared" si="8"/>
        <v>W06</v>
      </c>
      <c r="F564" s="4">
        <v>9.7899999999999991</v>
      </c>
      <c r="G564" s="4">
        <v>7.49</v>
      </c>
      <c r="H564" s="4">
        <v>7.49</v>
      </c>
      <c r="I564" s="4"/>
      <c r="J564" s="1" t="s">
        <v>775</v>
      </c>
      <c r="K564" s="1" t="s">
        <v>839</v>
      </c>
      <c r="L564" s="1" t="s">
        <v>777</v>
      </c>
      <c r="M564" s="1" t="s">
        <v>778</v>
      </c>
      <c r="N564" s="1" t="s">
        <v>787</v>
      </c>
      <c r="O564" s="6">
        <v>44775</v>
      </c>
      <c r="P564" s="6">
        <v>44768</v>
      </c>
      <c r="Q564" s="6">
        <v>44715</v>
      </c>
      <c r="R564" s="1" t="s">
        <v>779</v>
      </c>
      <c r="S564" s="1" t="s">
        <v>882</v>
      </c>
      <c r="T564" s="5">
        <v>517</v>
      </c>
      <c r="U564" s="4">
        <v>6</v>
      </c>
      <c r="V564" s="5">
        <v>196</v>
      </c>
      <c r="W564" s="6">
        <v>43535</v>
      </c>
      <c r="X564" s="6">
        <v>43566</v>
      </c>
      <c r="Y564" s="6"/>
      <c r="Z564" s="6"/>
      <c r="AA564" s="6"/>
      <c r="AB564" s="6"/>
      <c r="AC564" s="6"/>
      <c r="AD564" s="6"/>
    </row>
    <row r="565" spans="1:30">
      <c r="A565" s="1" t="s">
        <v>772</v>
      </c>
      <c r="B565" s="1" t="s">
        <v>773</v>
      </c>
      <c r="C565" s="1" t="s">
        <v>1002</v>
      </c>
      <c r="D565" s="1" t="s">
        <v>520</v>
      </c>
      <c r="E565" s="1" t="str">
        <f t="shared" si="8"/>
        <v>W06</v>
      </c>
      <c r="F565" s="4">
        <v>11.46</v>
      </c>
      <c r="G565" s="4">
        <v>9.1</v>
      </c>
      <c r="H565" s="4">
        <v>9.1</v>
      </c>
      <c r="I565" s="4"/>
      <c r="J565" s="1" t="s">
        <v>775</v>
      </c>
      <c r="K565" s="1" t="s">
        <v>824</v>
      </c>
      <c r="L565" s="1" t="s">
        <v>777</v>
      </c>
      <c r="M565" s="1" t="s">
        <v>778</v>
      </c>
      <c r="N565" s="1" t="s">
        <v>787</v>
      </c>
      <c r="O565" s="6">
        <v>44650</v>
      </c>
      <c r="P565" s="6">
        <v>44629</v>
      </c>
      <c r="Q565" s="6">
        <v>44613</v>
      </c>
      <c r="R565" s="1" t="s">
        <v>779</v>
      </c>
      <c r="S565" s="1" t="s">
        <v>795</v>
      </c>
      <c r="T565" s="5">
        <v>577</v>
      </c>
      <c r="U565" s="4">
        <v>11</v>
      </c>
      <c r="V565" s="5">
        <v>335</v>
      </c>
      <c r="W565" s="6">
        <v>43373</v>
      </c>
      <c r="X565" s="6">
        <v>42702</v>
      </c>
      <c r="Y565" s="6"/>
      <c r="Z565" s="6"/>
      <c r="AA565" s="6"/>
      <c r="AB565" s="6"/>
      <c r="AC565" s="6"/>
      <c r="AD565" s="6"/>
    </row>
    <row r="566" spans="1:30">
      <c r="A566" s="1" t="s">
        <v>772</v>
      </c>
      <c r="B566" s="1" t="s">
        <v>773</v>
      </c>
      <c r="C566" s="1" t="s">
        <v>1002</v>
      </c>
      <c r="D566" s="1" t="s">
        <v>74</v>
      </c>
      <c r="E566" s="1" t="str">
        <f t="shared" si="8"/>
        <v>W06</v>
      </c>
      <c r="F566" s="4">
        <v>7.9</v>
      </c>
      <c r="G566" s="4">
        <v>5.84</v>
      </c>
      <c r="H566" s="4">
        <v>5.84</v>
      </c>
      <c r="I566" s="4"/>
      <c r="J566" s="1" t="s">
        <v>775</v>
      </c>
      <c r="K566" s="1" t="s">
        <v>839</v>
      </c>
      <c r="L566" s="1" t="s">
        <v>777</v>
      </c>
      <c r="M566" s="1" t="s">
        <v>778</v>
      </c>
      <c r="N566" s="1" t="s">
        <v>787</v>
      </c>
      <c r="O566" s="6">
        <v>44798</v>
      </c>
      <c r="P566" s="6">
        <v>44777</v>
      </c>
      <c r="Q566" s="6">
        <v>44722</v>
      </c>
      <c r="R566" s="1" t="s">
        <v>779</v>
      </c>
      <c r="S566" s="1" t="s">
        <v>823</v>
      </c>
      <c r="T566" s="5">
        <v>457</v>
      </c>
      <c r="U566" s="4">
        <v>6</v>
      </c>
      <c r="V566" s="5">
        <v>187</v>
      </c>
      <c r="W566" s="6">
        <v>43293</v>
      </c>
      <c r="X566" s="6">
        <v>43079</v>
      </c>
      <c r="Y566" s="6"/>
      <c r="Z566" s="6"/>
      <c r="AA566" s="6"/>
      <c r="AB566" s="6"/>
      <c r="AC566" s="6"/>
      <c r="AD566" s="6"/>
    </row>
    <row r="567" spans="1:30">
      <c r="A567" s="1" t="s">
        <v>772</v>
      </c>
      <c r="B567" s="1" t="s">
        <v>773</v>
      </c>
      <c r="C567" s="1" t="s">
        <v>1002</v>
      </c>
      <c r="D567" s="1" t="s">
        <v>537</v>
      </c>
      <c r="E567" s="1" t="str">
        <f t="shared" si="8"/>
        <v>W06</v>
      </c>
      <c r="F567" s="4">
        <v>10.02</v>
      </c>
      <c r="G567" s="4">
        <v>7.93</v>
      </c>
      <c r="H567" s="4">
        <v>7.93</v>
      </c>
      <c r="I567" s="4"/>
      <c r="J567" s="1" t="s">
        <v>775</v>
      </c>
      <c r="K567" s="1" t="s">
        <v>805</v>
      </c>
      <c r="L567" s="1" t="s">
        <v>777</v>
      </c>
      <c r="M567" s="1" t="s">
        <v>778</v>
      </c>
      <c r="N567" s="1" t="s">
        <v>788</v>
      </c>
      <c r="O567" s="6">
        <v>44669</v>
      </c>
      <c r="P567" s="6">
        <v>44663</v>
      </c>
      <c r="Q567" s="6">
        <v>44648</v>
      </c>
      <c r="R567" s="1" t="s">
        <v>779</v>
      </c>
      <c r="S567" s="1" t="s">
        <v>795</v>
      </c>
      <c r="T567" s="5">
        <v>577</v>
      </c>
      <c r="U567" s="4">
        <v>9</v>
      </c>
      <c r="V567" s="5">
        <v>301</v>
      </c>
      <c r="W567" s="6">
        <v>43858</v>
      </c>
      <c r="X567" s="6">
        <v>44234</v>
      </c>
      <c r="Y567" s="6"/>
      <c r="Z567" s="6"/>
      <c r="AA567" s="6"/>
      <c r="AB567" s="6"/>
      <c r="AC567" s="6"/>
      <c r="AD567" s="6"/>
    </row>
    <row r="568" spans="1:30">
      <c r="A568" s="1" t="s">
        <v>772</v>
      </c>
      <c r="B568" s="1" t="s">
        <v>773</v>
      </c>
      <c r="C568" s="1" t="s">
        <v>1002</v>
      </c>
      <c r="D568" s="1" t="s">
        <v>578</v>
      </c>
      <c r="E568" s="1" t="str">
        <f t="shared" si="8"/>
        <v>W06</v>
      </c>
      <c r="F568" s="4">
        <v>8.98</v>
      </c>
      <c r="G568" s="4">
        <v>7.09</v>
      </c>
      <c r="H568" s="4">
        <v>7.09</v>
      </c>
      <c r="I568" s="4"/>
      <c r="J568" s="1" t="s">
        <v>775</v>
      </c>
      <c r="K568" s="1" t="s">
        <v>839</v>
      </c>
      <c r="L568" s="1" t="s">
        <v>777</v>
      </c>
      <c r="M568" s="1" t="s">
        <v>778</v>
      </c>
      <c r="N568" s="1" t="s">
        <v>787</v>
      </c>
      <c r="O568" s="6">
        <v>44775</v>
      </c>
      <c r="P568" s="6">
        <v>44754</v>
      </c>
      <c r="Q568" s="6">
        <v>44698</v>
      </c>
      <c r="R568" s="1" t="s">
        <v>779</v>
      </c>
      <c r="S568" s="1" t="s">
        <v>882</v>
      </c>
      <c r="T568" s="5">
        <v>517</v>
      </c>
      <c r="U568" s="4">
        <v>6</v>
      </c>
      <c r="V568" s="5">
        <v>210</v>
      </c>
      <c r="W568" s="6">
        <v>43535</v>
      </c>
      <c r="X568" s="6">
        <v>43566</v>
      </c>
      <c r="Y568" s="6"/>
      <c r="Z568" s="6"/>
      <c r="AA568" s="6"/>
      <c r="AB568" s="6"/>
      <c r="AC568" s="6"/>
      <c r="AD568" s="6"/>
    </row>
    <row r="569" spans="1:30">
      <c r="A569" s="1" t="s">
        <v>772</v>
      </c>
      <c r="B569" s="1" t="s">
        <v>773</v>
      </c>
      <c r="C569" s="1" t="s">
        <v>1002</v>
      </c>
      <c r="D569" s="1" t="s">
        <v>474</v>
      </c>
      <c r="E569" s="1" t="str">
        <f t="shared" si="8"/>
        <v>W06</v>
      </c>
      <c r="F569" s="4">
        <v>8.66</v>
      </c>
      <c r="G569" s="4">
        <v>6.6</v>
      </c>
      <c r="H569" s="4">
        <v>6.6</v>
      </c>
      <c r="I569" s="4"/>
      <c r="J569" s="1" t="s">
        <v>775</v>
      </c>
      <c r="K569" s="1" t="s">
        <v>881</v>
      </c>
      <c r="L569" s="1" t="s">
        <v>777</v>
      </c>
      <c r="M569" s="1" t="s">
        <v>778</v>
      </c>
      <c r="N569" s="1" t="s">
        <v>787</v>
      </c>
      <c r="O569" s="6">
        <v>44537</v>
      </c>
      <c r="P569" s="6">
        <v>44528</v>
      </c>
      <c r="Q569" s="6">
        <v>44512</v>
      </c>
      <c r="R569" s="1" t="s">
        <v>779</v>
      </c>
      <c r="S569" s="1" t="s">
        <v>795</v>
      </c>
      <c r="T569" s="5">
        <v>577</v>
      </c>
      <c r="U569" s="4">
        <v>14</v>
      </c>
      <c r="V569" s="5">
        <v>436</v>
      </c>
      <c r="W569" s="6">
        <v>43535</v>
      </c>
      <c r="X569" s="6">
        <v>43566</v>
      </c>
      <c r="Y569" s="6"/>
      <c r="Z569" s="6"/>
      <c r="AA569" s="6"/>
      <c r="AB569" s="6"/>
      <c r="AC569" s="6"/>
      <c r="AD569" s="6"/>
    </row>
    <row r="570" spans="1:30">
      <c r="A570" s="1" t="s">
        <v>772</v>
      </c>
      <c r="B570" s="1" t="s">
        <v>773</v>
      </c>
      <c r="C570" s="1" t="s">
        <v>1002</v>
      </c>
      <c r="D570" s="1" t="s">
        <v>215</v>
      </c>
      <c r="E570" s="1" t="str">
        <f t="shared" si="8"/>
        <v>W06</v>
      </c>
      <c r="F570" s="4">
        <v>8.66</v>
      </c>
      <c r="G570" s="4">
        <v>6.82</v>
      </c>
      <c r="H570" s="4">
        <v>6.82</v>
      </c>
      <c r="I570" s="4"/>
      <c r="J570" s="1" t="s">
        <v>775</v>
      </c>
      <c r="K570" s="1" t="s">
        <v>849</v>
      </c>
      <c r="L570" s="1" t="s">
        <v>788</v>
      </c>
      <c r="M570" s="1" t="s">
        <v>787</v>
      </c>
      <c r="N570" s="1" t="s">
        <v>777</v>
      </c>
      <c r="O570" s="6">
        <v>44950</v>
      </c>
      <c r="P570" s="6">
        <v>44950</v>
      </c>
      <c r="Q570" s="6">
        <v>44952</v>
      </c>
      <c r="R570" s="1" t="s">
        <v>779</v>
      </c>
      <c r="T570" s="5">
        <v>30</v>
      </c>
      <c r="U570" s="4">
        <v>0</v>
      </c>
      <c r="V570" s="5">
        <v>14</v>
      </c>
      <c r="W570" s="6">
        <v>43678</v>
      </c>
      <c r="X570" s="6">
        <v>43637</v>
      </c>
      <c r="Y570" s="6"/>
      <c r="Z570" s="6"/>
      <c r="AA570" s="6"/>
      <c r="AB570" s="6"/>
      <c r="AC570" s="6"/>
      <c r="AD570" s="6"/>
    </row>
    <row r="571" spans="1:30">
      <c r="A571" s="1" t="s">
        <v>772</v>
      </c>
      <c r="B571" s="1" t="s">
        <v>773</v>
      </c>
      <c r="C571" s="1" t="s">
        <v>1002</v>
      </c>
      <c r="D571" s="1" t="s">
        <v>76</v>
      </c>
      <c r="E571" s="1" t="str">
        <f t="shared" si="8"/>
        <v>W06</v>
      </c>
      <c r="F571" s="4">
        <v>6.36</v>
      </c>
      <c r="G571" s="4">
        <v>5</v>
      </c>
      <c r="H571" s="4">
        <v>5</v>
      </c>
      <c r="I571" s="4"/>
      <c r="J571" s="1" t="s">
        <v>775</v>
      </c>
      <c r="K571" s="1" t="s">
        <v>839</v>
      </c>
      <c r="L571" s="1" t="s">
        <v>777</v>
      </c>
      <c r="M571" s="1" t="s">
        <v>778</v>
      </c>
      <c r="N571" s="1" t="s">
        <v>787</v>
      </c>
      <c r="O571" s="6">
        <v>44775</v>
      </c>
      <c r="P571" s="6">
        <v>44772</v>
      </c>
      <c r="Q571" s="6">
        <v>44719</v>
      </c>
      <c r="R571" s="1" t="s">
        <v>779</v>
      </c>
      <c r="S571" s="1" t="s">
        <v>792</v>
      </c>
      <c r="T571" s="5">
        <v>577</v>
      </c>
      <c r="U571" s="4">
        <v>6</v>
      </c>
      <c r="V571" s="5">
        <v>192</v>
      </c>
      <c r="W571" s="6">
        <v>43710</v>
      </c>
      <c r="X571" s="6">
        <v>42572</v>
      </c>
      <c r="Y571" s="6"/>
      <c r="Z571" s="6"/>
      <c r="AA571" s="6"/>
      <c r="AB571" s="6"/>
      <c r="AC571" s="6"/>
      <c r="AD571" s="6"/>
    </row>
    <row r="572" spans="1:30">
      <c r="A572" s="1" t="s">
        <v>772</v>
      </c>
      <c r="B572" s="1" t="s">
        <v>773</v>
      </c>
      <c r="C572" s="1" t="s">
        <v>1002</v>
      </c>
      <c r="D572" s="1" t="s">
        <v>664</v>
      </c>
      <c r="E572" s="1" t="str">
        <f t="shared" si="8"/>
        <v>W06</v>
      </c>
      <c r="F572" s="4">
        <v>11.34</v>
      </c>
      <c r="G572" s="4">
        <v>9.0399999999999991</v>
      </c>
      <c r="H572" s="4">
        <v>9.0399999999999991</v>
      </c>
      <c r="I572" s="4"/>
      <c r="J572" s="1" t="s">
        <v>775</v>
      </c>
      <c r="K572" s="1" t="s">
        <v>1082</v>
      </c>
      <c r="L572" s="1" t="s">
        <v>996</v>
      </c>
      <c r="M572" s="1" t="s">
        <v>777</v>
      </c>
      <c r="N572" s="1" t="s">
        <v>788</v>
      </c>
      <c r="O572" s="6">
        <v>44956</v>
      </c>
      <c r="P572" s="6">
        <v>44951</v>
      </c>
      <c r="Q572" s="6"/>
      <c r="R572" s="1" t="s">
        <v>868</v>
      </c>
      <c r="T572" s="5">
        <v>60</v>
      </c>
      <c r="U572" s="4">
        <v>0</v>
      </c>
      <c r="V572" s="5">
        <v>13</v>
      </c>
      <c r="W572" s="6">
        <v>43747</v>
      </c>
      <c r="X572" s="6">
        <v>43665</v>
      </c>
      <c r="Y572" s="6"/>
      <c r="Z572" s="6"/>
      <c r="AA572" s="6"/>
      <c r="AB572" s="6"/>
      <c r="AC572" s="6"/>
      <c r="AD572" s="6"/>
    </row>
    <row r="573" spans="1:30">
      <c r="A573" s="1" t="s">
        <v>772</v>
      </c>
      <c r="B573" s="1" t="s">
        <v>773</v>
      </c>
      <c r="C573" s="1" t="s">
        <v>1002</v>
      </c>
      <c r="D573" s="1" t="s">
        <v>642</v>
      </c>
      <c r="E573" s="1" t="str">
        <f t="shared" si="8"/>
        <v>W06</v>
      </c>
      <c r="F573" s="4">
        <v>16.68</v>
      </c>
      <c r="G573" s="4">
        <v>13.21</v>
      </c>
      <c r="H573" s="4">
        <v>13.21</v>
      </c>
      <c r="I573" s="4"/>
      <c r="J573" s="1" t="s">
        <v>775</v>
      </c>
      <c r="K573" s="1" t="s">
        <v>776</v>
      </c>
      <c r="L573" s="1" t="s">
        <v>777</v>
      </c>
      <c r="M573" s="1" t="s">
        <v>778</v>
      </c>
      <c r="O573" s="6">
        <v>44959</v>
      </c>
      <c r="P573" s="6">
        <v>44953</v>
      </c>
      <c r="Q573" s="6">
        <v>44931</v>
      </c>
      <c r="R573" s="1" t="s">
        <v>779</v>
      </c>
      <c r="S573" s="1" t="s">
        <v>795</v>
      </c>
      <c r="T573" s="5">
        <v>577</v>
      </c>
      <c r="U573" s="4">
        <v>0</v>
      </c>
      <c r="V573" s="5">
        <v>11</v>
      </c>
      <c r="W573" s="6">
        <v>43322</v>
      </c>
      <c r="X573" s="6"/>
      <c r="Y573" s="6"/>
      <c r="Z573" s="6"/>
      <c r="AA573" s="6"/>
      <c r="AB573" s="6"/>
      <c r="AC573" s="6"/>
      <c r="AD573" s="6"/>
    </row>
    <row r="574" spans="1:30">
      <c r="A574" s="1" t="s">
        <v>772</v>
      </c>
      <c r="B574" s="1" t="s">
        <v>773</v>
      </c>
      <c r="C574" s="1" t="s">
        <v>1002</v>
      </c>
      <c r="D574" s="1" t="s">
        <v>612</v>
      </c>
      <c r="E574" s="1" t="str">
        <f t="shared" si="8"/>
        <v>W06</v>
      </c>
      <c r="F574" s="4">
        <v>12.4</v>
      </c>
      <c r="G574" s="4">
        <v>9.81</v>
      </c>
      <c r="H574" s="4">
        <v>9.81</v>
      </c>
      <c r="I574" s="4"/>
      <c r="J574" s="1" t="s">
        <v>775</v>
      </c>
      <c r="K574" s="1" t="s">
        <v>831</v>
      </c>
      <c r="L574" s="1" t="s">
        <v>777</v>
      </c>
      <c r="M574" s="1" t="s">
        <v>778</v>
      </c>
      <c r="O574" s="6">
        <v>44867</v>
      </c>
      <c r="P574" s="6">
        <v>44860</v>
      </c>
      <c r="Q574" s="6">
        <v>44830</v>
      </c>
      <c r="R574" s="1" t="s">
        <v>779</v>
      </c>
      <c r="S574" s="1" t="s">
        <v>795</v>
      </c>
      <c r="T574" s="5">
        <v>577</v>
      </c>
      <c r="U574" s="4">
        <v>3</v>
      </c>
      <c r="V574" s="5">
        <v>104</v>
      </c>
      <c r="W574" s="6">
        <v>44473</v>
      </c>
      <c r="X574" s="6"/>
      <c r="Y574" s="6"/>
      <c r="Z574" s="6"/>
      <c r="AA574" s="6"/>
      <c r="AB574" s="6"/>
      <c r="AC574" s="6"/>
      <c r="AD574" s="6"/>
    </row>
    <row r="575" spans="1:30">
      <c r="A575" s="1" t="s">
        <v>772</v>
      </c>
      <c r="B575" s="1" t="s">
        <v>773</v>
      </c>
      <c r="C575" s="1" t="s">
        <v>1002</v>
      </c>
      <c r="D575" s="1" t="s">
        <v>571</v>
      </c>
      <c r="E575" s="1" t="str">
        <f t="shared" si="8"/>
        <v>W06</v>
      </c>
      <c r="F575" s="4">
        <v>9.57</v>
      </c>
      <c r="G575" s="4">
        <v>7.51</v>
      </c>
      <c r="H575" s="4">
        <v>7.51</v>
      </c>
      <c r="I575" s="4"/>
      <c r="J575" s="1" t="s">
        <v>775</v>
      </c>
      <c r="K575" s="1" t="s">
        <v>859</v>
      </c>
      <c r="L575" s="1" t="s">
        <v>777</v>
      </c>
      <c r="M575" s="1" t="s">
        <v>778</v>
      </c>
      <c r="N575" s="1" t="s">
        <v>778</v>
      </c>
      <c r="O575" s="6">
        <v>44746</v>
      </c>
      <c r="P575" s="6">
        <v>44741</v>
      </c>
      <c r="Q575" s="6">
        <v>44699</v>
      </c>
      <c r="R575" s="1" t="s">
        <v>779</v>
      </c>
      <c r="S575" s="1" t="s">
        <v>792</v>
      </c>
      <c r="T575" s="5">
        <v>577</v>
      </c>
      <c r="U575" s="4">
        <v>7</v>
      </c>
      <c r="V575" s="5">
        <v>223</v>
      </c>
      <c r="W575" s="6">
        <v>44728</v>
      </c>
      <c r="X575" s="6">
        <v>45246</v>
      </c>
      <c r="Y575" s="6"/>
      <c r="Z575" s="6"/>
      <c r="AA575" s="6"/>
      <c r="AB575" s="6"/>
      <c r="AC575" s="6"/>
      <c r="AD575" s="6"/>
    </row>
    <row r="576" spans="1:30">
      <c r="A576" s="1" t="s">
        <v>772</v>
      </c>
      <c r="B576" s="1" t="s">
        <v>1083</v>
      </c>
      <c r="C576" s="1" t="s">
        <v>1010</v>
      </c>
      <c r="D576" s="1" t="s">
        <v>1084</v>
      </c>
      <c r="E576" s="1" t="str">
        <f t="shared" si="8"/>
        <v>W07</v>
      </c>
      <c r="F576" s="4">
        <v>17.75</v>
      </c>
      <c r="G576" s="5">
        <v>14.36</v>
      </c>
      <c r="H576" s="5">
        <v>14.36</v>
      </c>
      <c r="I576" s="5"/>
      <c r="J576" s="1" t="s">
        <v>775</v>
      </c>
      <c r="K576" s="1" t="s">
        <v>1085</v>
      </c>
      <c r="L576" s="1" t="s">
        <v>778</v>
      </c>
      <c r="M576" s="1" t="s">
        <v>777</v>
      </c>
      <c r="N576" s="1" t="s">
        <v>777</v>
      </c>
      <c r="O576" s="6">
        <v>44618</v>
      </c>
      <c r="P576" s="6">
        <v>44613</v>
      </c>
      <c r="Q576" s="6"/>
      <c r="R576" s="1" t="s">
        <v>779</v>
      </c>
      <c r="T576" s="5">
        <v>120</v>
      </c>
      <c r="U576" s="4">
        <v>11</v>
      </c>
      <c r="V576" s="5">
        <v>351</v>
      </c>
      <c r="W576" s="6">
        <v>44441</v>
      </c>
      <c r="X576" s="6">
        <v>44763</v>
      </c>
      <c r="Y576" s="6"/>
      <c r="Z576" s="6"/>
      <c r="AA576" s="6"/>
      <c r="AB576" s="6"/>
      <c r="AC576" s="6"/>
      <c r="AD576" s="6">
        <v>44608</v>
      </c>
    </row>
    <row r="577" spans="1:30">
      <c r="A577" s="1" t="s">
        <v>772</v>
      </c>
      <c r="B577" s="1" t="s">
        <v>773</v>
      </c>
      <c r="C577" s="1" t="s">
        <v>1010</v>
      </c>
      <c r="D577" s="1" t="s">
        <v>167</v>
      </c>
      <c r="E577" s="1" t="str">
        <f t="shared" si="8"/>
        <v>W07</v>
      </c>
      <c r="F577" s="4">
        <v>12.46</v>
      </c>
      <c r="G577" s="4">
        <v>10</v>
      </c>
      <c r="H577" s="4">
        <v>10</v>
      </c>
      <c r="I577" s="4"/>
      <c r="J577" s="1" t="s">
        <v>775</v>
      </c>
      <c r="K577" s="1" t="s">
        <v>798</v>
      </c>
      <c r="L577" s="1" t="s">
        <v>778</v>
      </c>
      <c r="M577" s="1" t="s">
        <v>777</v>
      </c>
      <c r="N577" s="1" t="s">
        <v>777</v>
      </c>
      <c r="O577" s="6">
        <v>44866</v>
      </c>
      <c r="P577" s="6">
        <v>44865</v>
      </c>
      <c r="Q577" s="6"/>
      <c r="R577" s="1" t="s">
        <v>779</v>
      </c>
      <c r="T577" s="5">
        <v>120</v>
      </c>
      <c r="U577" s="4">
        <v>3</v>
      </c>
      <c r="V577" s="5">
        <v>99</v>
      </c>
      <c r="W577" s="6">
        <v>43175</v>
      </c>
      <c r="X577" s="6">
        <v>43206</v>
      </c>
      <c r="Y577" s="6"/>
      <c r="Z577" s="6"/>
      <c r="AA577" s="6"/>
      <c r="AB577" s="6"/>
      <c r="AC577" s="6"/>
      <c r="AD577" s="6">
        <v>44863</v>
      </c>
    </row>
    <row r="578" spans="1:30">
      <c r="A578" s="1" t="s">
        <v>772</v>
      </c>
      <c r="B578" s="1" t="s">
        <v>773</v>
      </c>
      <c r="C578" s="1" t="s">
        <v>1010</v>
      </c>
      <c r="D578" s="1" t="s">
        <v>589</v>
      </c>
      <c r="E578" s="1" t="str">
        <f t="shared" si="8"/>
        <v>W07</v>
      </c>
      <c r="F578" s="4">
        <v>7.55</v>
      </c>
      <c r="G578" s="4">
        <v>5.94</v>
      </c>
      <c r="H578" s="4">
        <v>5.94</v>
      </c>
      <c r="I578" s="4"/>
      <c r="J578" s="1" t="s">
        <v>775</v>
      </c>
      <c r="K578" s="1" t="s">
        <v>800</v>
      </c>
      <c r="L578" s="1" t="s">
        <v>777</v>
      </c>
      <c r="M578" s="1" t="s">
        <v>778</v>
      </c>
      <c r="N578" s="1" t="s">
        <v>787</v>
      </c>
      <c r="O578" s="6">
        <v>44819</v>
      </c>
      <c r="P578" s="6">
        <v>44813</v>
      </c>
      <c r="Q578" s="6">
        <v>44799</v>
      </c>
      <c r="R578" s="1" t="s">
        <v>779</v>
      </c>
      <c r="S578" s="1" t="s">
        <v>792</v>
      </c>
      <c r="T578" s="5">
        <v>577</v>
      </c>
      <c r="U578" s="4">
        <v>4</v>
      </c>
      <c r="V578" s="5">
        <v>151</v>
      </c>
      <c r="W578" s="6">
        <v>43293</v>
      </c>
      <c r="X578" s="6">
        <v>43079</v>
      </c>
      <c r="Y578" s="6"/>
      <c r="Z578" s="6"/>
      <c r="AA578" s="6"/>
      <c r="AB578" s="6"/>
      <c r="AC578" s="6"/>
      <c r="AD578" s="6"/>
    </row>
    <row r="579" spans="1:30">
      <c r="A579" s="1" t="s">
        <v>772</v>
      </c>
      <c r="B579" s="1" t="s">
        <v>773</v>
      </c>
      <c r="C579" s="1" t="s">
        <v>1010</v>
      </c>
      <c r="D579" s="1" t="s">
        <v>539</v>
      </c>
      <c r="E579" s="1" t="str">
        <f t="shared" si="8"/>
        <v>W07</v>
      </c>
      <c r="F579" s="4">
        <v>5.88</v>
      </c>
      <c r="G579" s="4">
        <v>4.5999999999999996</v>
      </c>
      <c r="H579" s="4">
        <v>4.5999999999999996</v>
      </c>
      <c r="I579" s="4"/>
      <c r="J579" s="1" t="s">
        <v>775</v>
      </c>
      <c r="K579" s="1" t="s">
        <v>805</v>
      </c>
      <c r="L579" s="1" t="s">
        <v>777</v>
      </c>
      <c r="M579" s="1" t="s">
        <v>778</v>
      </c>
      <c r="N579" s="1" t="s">
        <v>788</v>
      </c>
      <c r="O579" s="6">
        <v>44669</v>
      </c>
      <c r="P579" s="6">
        <v>44664</v>
      </c>
      <c r="Q579" s="6">
        <v>44651</v>
      </c>
      <c r="R579" s="1" t="s">
        <v>779</v>
      </c>
      <c r="S579" s="1" t="s">
        <v>795</v>
      </c>
      <c r="T579" s="5">
        <v>577</v>
      </c>
      <c r="U579" s="4">
        <v>9</v>
      </c>
      <c r="V579" s="5">
        <v>300</v>
      </c>
      <c r="W579" s="6">
        <v>43858</v>
      </c>
      <c r="X579" s="6">
        <v>44234</v>
      </c>
      <c r="Y579" s="6"/>
      <c r="Z579" s="6"/>
      <c r="AA579" s="6"/>
      <c r="AB579" s="6"/>
      <c r="AC579" s="6"/>
      <c r="AD579" s="6"/>
    </row>
    <row r="580" spans="1:30">
      <c r="A580" s="1" t="s">
        <v>772</v>
      </c>
      <c r="B580" s="1" t="s">
        <v>773</v>
      </c>
      <c r="C580" s="1" t="s">
        <v>1010</v>
      </c>
      <c r="D580" s="1" t="s">
        <v>392</v>
      </c>
      <c r="E580" s="1" t="str">
        <f t="shared" si="8"/>
        <v>W07</v>
      </c>
      <c r="F580" s="4">
        <v>15.58</v>
      </c>
      <c r="G580" s="4">
        <v>12.38</v>
      </c>
      <c r="H580" s="4">
        <v>12.38</v>
      </c>
      <c r="I580" s="4"/>
      <c r="J580" s="1" t="s">
        <v>775</v>
      </c>
      <c r="K580" s="1" t="s">
        <v>808</v>
      </c>
      <c r="L580" s="1" t="s">
        <v>787</v>
      </c>
      <c r="M580" s="1" t="s">
        <v>788</v>
      </c>
      <c r="N580" s="1" t="s">
        <v>777</v>
      </c>
      <c r="O580" s="6">
        <v>44867</v>
      </c>
      <c r="P580" s="6">
        <v>44865</v>
      </c>
      <c r="Q580" s="6">
        <v>44307</v>
      </c>
      <c r="R580" s="1" t="s">
        <v>779</v>
      </c>
      <c r="T580" s="5">
        <v>402</v>
      </c>
      <c r="U580" s="4">
        <v>3</v>
      </c>
      <c r="V580" s="5">
        <v>99</v>
      </c>
      <c r="W580" s="6">
        <v>43072</v>
      </c>
      <c r="X580" s="6">
        <v>43138</v>
      </c>
      <c r="Y580" s="6"/>
      <c r="Z580" s="6"/>
      <c r="AA580" s="6"/>
      <c r="AB580" s="6"/>
      <c r="AC580" s="6"/>
      <c r="AD580" s="6">
        <v>44872</v>
      </c>
    </row>
    <row r="581" spans="1:30">
      <c r="A581" s="1" t="s">
        <v>772</v>
      </c>
      <c r="B581" s="1" t="s">
        <v>773</v>
      </c>
      <c r="C581" s="1" t="s">
        <v>1010</v>
      </c>
      <c r="D581" s="1" t="s">
        <v>619</v>
      </c>
      <c r="E581" s="1" t="str">
        <f t="shared" ref="E581:E644" si="9">RIGHT(C581,3)</f>
        <v>W07</v>
      </c>
      <c r="F581" s="4">
        <v>15.04</v>
      </c>
      <c r="G581" s="4">
        <v>11.93</v>
      </c>
      <c r="H581" s="4">
        <v>11.93</v>
      </c>
      <c r="I581" s="4"/>
      <c r="J581" s="1" t="s">
        <v>775</v>
      </c>
      <c r="K581" s="1" t="s">
        <v>831</v>
      </c>
      <c r="L581" s="1" t="s">
        <v>777</v>
      </c>
      <c r="M581" s="1" t="s">
        <v>778</v>
      </c>
      <c r="N581" s="1" t="s">
        <v>788</v>
      </c>
      <c r="O581" s="6">
        <v>44886</v>
      </c>
      <c r="P581" s="6">
        <v>44879</v>
      </c>
      <c r="Q581" s="6">
        <v>44847</v>
      </c>
      <c r="R581" s="1" t="s">
        <v>779</v>
      </c>
      <c r="S581" s="1" t="s">
        <v>795</v>
      </c>
      <c r="T581" s="5">
        <v>577</v>
      </c>
      <c r="U581" s="4">
        <v>2</v>
      </c>
      <c r="V581" s="5">
        <v>85</v>
      </c>
      <c r="W581" s="6">
        <v>43747</v>
      </c>
      <c r="X581" s="6">
        <v>43665</v>
      </c>
      <c r="Y581" s="6"/>
      <c r="Z581" s="6"/>
      <c r="AA581" s="6"/>
      <c r="AB581" s="6"/>
      <c r="AC581" s="6"/>
      <c r="AD581" s="6"/>
    </row>
    <row r="582" spans="1:30">
      <c r="A582" s="1" t="s">
        <v>772</v>
      </c>
      <c r="B582" s="1" t="s">
        <v>773</v>
      </c>
      <c r="C582" s="1" t="s">
        <v>1010</v>
      </c>
      <c r="D582" s="1" t="s">
        <v>77</v>
      </c>
      <c r="E582" s="1" t="str">
        <f t="shared" si="9"/>
        <v>W07</v>
      </c>
      <c r="F582" s="4">
        <v>14.58</v>
      </c>
      <c r="G582" s="4">
        <v>11.38</v>
      </c>
      <c r="H582" s="4">
        <v>11.38</v>
      </c>
      <c r="I582" s="4"/>
      <c r="J582" s="1" t="s">
        <v>775</v>
      </c>
      <c r="K582" s="1" t="s">
        <v>839</v>
      </c>
      <c r="L582" s="1" t="s">
        <v>777</v>
      </c>
      <c r="M582" s="1" t="s">
        <v>778</v>
      </c>
      <c r="N582" s="1" t="s">
        <v>787</v>
      </c>
      <c r="O582" s="6">
        <v>44775</v>
      </c>
      <c r="P582" s="6">
        <v>44772</v>
      </c>
      <c r="Q582" s="6">
        <v>44721</v>
      </c>
      <c r="R582" s="1" t="s">
        <v>779</v>
      </c>
      <c r="S582" s="1" t="s">
        <v>795</v>
      </c>
      <c r="T582" s="5">
        <v>577</v>
      </c>
      <c r="U582" s="4">
        <v>6</v>
      </c>
      <c r="V582" s="5">
        <v>192</v>
      </c>
      <c r="W582" s="6">
        <v>43710</v>
      </c>
      <c r="X582" s="6">
        <v>42572</v>
      </c>
      <c r="Y582" s="6"/>
      <c r="Z582" s="6"/>
      <c r="AA582" s="6"/>
      <c r="AB582" s="6"/>
      <c r="AC582" s="6"/>
      <c r="AD582" s="6"/>
    </row>
    <row r="583" spans="1:30">
      <c r="A583" s="1" t="s">
        <v>772</v>
      </c>
      <c r="B583" s="1" t="s">
        <v>773</v>
      </c>
      <c r="C583" s="1" t="s">
        <v>1010</v>
      </c>
      <c r="D583" s="1" t="s">
        <v>169</v>
      </c>
      <c r="E583" s="1" t="str">
        <f t="shared" si="9"/>
        <v>W07</v>
      </c>
      <c r="F583" s="4">
        <v>12</v>
      </c>
      <c r="G583" s="4">
        <v>9.3800000000000008</v>
      </c>
      <c r="H583" s="4">
        <v>9.3800000000000008</v>
      </c>
      <c r="I583" s="4"/>
      <c r="J583" s="1" t="s">
        <v>775</v>
      </c>
      <c r="K583" s="1" t="s">
        <v>776</v>
      </c>
      <c r="L583" s="1" t="s">
        <v>777</v>
      </c>
      <c r="M583" s="1" t="s">
        <v>778</v>
      </c>
      <c r="O583" s="6">
        <v>44959</v>
      </c>
      <c r="P583" s="6">
        <v>44957</v>
      </c>
      <c r="Q583" s="6">
        <v>44942</v>
      </c>
      <c r="R583" s="1" t="s">
        <v>779</v>
      </c>
      <c r="S583" s="1" t="s">
        <v>795</v>
      </c>
      <c r="T583" s="5">
        <v>577</v>
      </c>
      <c r="U583" s="4">
        <v>0</v>
      </c>
      <c r="V583" s="5">
        <v>7</v>
      </c>
      <c r="W583" s="6">
        <v>43322</v>
      </c>
      <c r="X583" s="6"/>
      <c r="Y583" s="6"/>
      <c r="Z583" s="6"/>
      <c r="AA583" s="6"/>
      <c r="AB583" s="6"/>
      <c r="AC583" s="6"/>
      <c r="AD583" s="6"/>
    </row>
    <row r="584" spans="1:30">
      <c r="A584" s="1" t="s">
        <v>772</v>
      </c>
      <c r="B584" s="1" t="s">
        <v>773</v>
      </c>
      <c r="C584" s="1" t="s">
        <v>1010</v>
      </c>
      <c r="D584" s="1" t="s">
        <v>511</v>
      </c>
      <c r="E584" s="1" t="str">
        <f t="shared" si="9"/>
        <v>W07</v>
      </c>
      <c r="F584" s="4">
        <v>12.26</v>
      </c>
      <c r="G584" s="4">
        <v>9.84</v>
      </c>
      <c r="H584" s="4">
        <v>9.84</v>
      </c>
      <c r="I584" s="4"/>
      <c r="J584" s="1" t="s">
        <v>775</v>
      </c>
      <c r="K584" s="1" t="s">
        <v>824</v>
      </c>
      <c r="L584" s="1" t="s">
        <v>777</v>
      </c>
      <c r="M584" s="1" t="s">
        <v>778</v>
      </c>
      <c r="O584" s="6">
        <v>44635</v>
      </c>
      <c r="P584" s="6">
        <v>44618</v>
      </c>
      <c r="Q584" s="6">
        <v>44596</v>
      </c>
      <c r="R584" s="1" t="s">
        <v>779</v>
      </c>
      <c r="S584" s="1" t="s">
        <v>795</v>
      </c>
      <c r="T584" s="5">
        <v>577</v>
      </c>
      <c r="U584" s="4">
        <v>11</v>
      </c>
      <c r="V584" s="5">
        <v>346</v>
      </c>
      <c r="W584" s="6"/>
      <c r="X584" s="6"/>
      <c r="Y584" s="6"/>
      <c r="Z584" s="6"/>
      <c r="AA584" s="6"/>
      <c r="AB584" s="6"/>
      <c r="AC584" s="6"/>
      <c r="AD584" s="6"/>
    </row>
    <row r="585" spans="1:30">
      <c r="A585" s="1" t="s">
        <v>772</v>
      </c>
      <c r="B585" s="1" t="s">
        <v>773</v>
      </c>
      <c r="C585" s="1" t="s">
        <v>1010</v>
      </c>
      <c r="D585" s="1" t="s">
        <v>572</v>
      </c>
      <c r="E585" s="1" t="str">
        <f t="shared" si="9"/>
        <v>W07</v>
      </c>
      <c r="F585" s="4">
        <v>11.81</v>
      </c>
      <c r="G585" s="4">
        <v>9.3800000000000008</v>
      </c>
      <c r="H585" s="4">
        <v>9.3800000000000008</v>
      </c>
      <c r="I585" s="4"/>
      <c r="J585" s="1" t="s">
        <v>775</v>
      </c>
      <c r="K585" s="1" t="s">
        <v>859</v>
      </c>
      <c r="L585" s="1" t="s">
        <v>777</v>
      </c>
      <c r="M585" s="1" t="s">
        <v>778</v>
      </c>
      <c r="O585" s="6">
        <v>44746</v>
      </c>
      <c r="P585" s="6">
        <v>44742</v>
      </c>
      <c r="Q585" s="6">
        <v>44705</v>
      </c>
      <c r="R585" s="1" t="s">
        <v>779</v>
      </c>
      <c r="S585" s="1" t="s">
        <v>792</v>
      </c>
      <c r="T585" s="5">
        <v>577</v>
      </c>
      <c r="U585" s="4">
        <v>7</v>
      </c>
      <c r="V585" s="5">
        <v>222</v>
      </c>
      <c r="W585" s="6">
        <v>45200</v>
      </c>
      <c r="X585" s="6"/>
      <c r="Y585" s="6"/>
      <c r="Z585" s="6"/>
      <c r="AA585" s="6"/>
      <c r="AB585" s="6"/>
      <c r="AC585" s="6"/>
      <c r="AD585" s="6"/>
    </row>
    <row r="586" spans="1:30">
      <c r="A586" s="1" t="s">
        <v>772</v>
      </c>
      <c r="B586" s="1" t="s">
        <v>773</v>
      </c>
      <c r="C586" s="1" t="s">
        <v>1010</v>
      </c>
      <c r="D586" s="1" t="s">
        <v>423</v>
      </c>
      <c r="E586" s="1" t="str">
        <f t="shared" si="9"/>
        <v>W07</v>
      </c>
      <c r="F586" s="4">
        <v>11.77</v>
      </c>
      <c r="G586" s="4">
        <v>9.19</v>
      </c>
      <c r="H586" s="4">
        <v>9.19</v>
      </c>
      <c r="I586" s="4"/>
      <c r="J586" s="1" t="s">
        <v>775</v>
      </c>
      <c r="K586" s="1" t="s">
        <v>833</v>
      </c>
      <c r="L586" s="1" t="s">
        <v>777</v>
      </c>
      <c r="M586" s="1" t="s">
        <v>778</v>
      </c>
      <c r="N586" s="1" t="s">
        <v>787</v>
      </c>
      <c r="O586" s="6">
        <v>44418</v>
      </c>
      <c r="P586" s="6">
        <v>44409</v>
      </c>
      <c r="Q586" s="6">
        <v>44399</v>
      </c>
      <c r="R586" s="1" t="s">
        <v>779</v>
      </c>
      <c r="S586" s="1" t="s">
        <v>795</v>
      </c>
      <c r="T586" s="5">
        <v>577</v>
      </c>
      <c r="U586" s="4">
        <v>18</v>
      </c>
      <c r="V586" s="5">
        <v>555</v>
      </c>
      <c r="W586" s="6">
        <v>43293</v>
      </c>
      <c r="X586" s="6">
        <v>43079</v>
      </c>
      <c r="Y586" s="6"/>
      <c r="Z586" s="6"/>
      <c r="AA586" s="6">
        <v>44837</v>
      </c>
      <c r="AB586" s="6"/>
      <c r="AC586" s="6"/>
      <c r="AD586" s="6"/>
    </row>
    <row r="587" spans="1:30">
      <c r="A587" s="1" t="s">
        <v>772</v>
      </c>
      <c r="B587" s="1" t="s">
        <v>773</v>
      </c>
      <c r="C587" s="1" t="s">
        <v>1010</v>
      </c>
      <c r="D587" s="1" t="s">
        <v>179</v>
      </c>
      <c r="E587" s="1" t="str">
        <f t="shared" si="9"/>
        <v>W07</v>
      </c>
      <c r="F587" s="4">
        <v>12.8</v>
      </c>
      <c r="G587" s="4">
        <v>10</v>
      </c>
      <c r="H587" s="4">
        <v>10</v>
      </c>
      <c r="I587" s="4"/>
      <c r="J587" s="1" t="s">
        <v>775</v>
      </c>
      <c r="K587" s="1" t="s">
        <v>797</v>
      </c>
      <c r="L587" s="1" t="s">
        <v>777</v>
      </c>
      <c r="M587" s="1" t="s">
        <v>778</v>
      </c>
      <c r="O587" s="6">
        <v>44865</v>
      </c>
      <c r="P587" s="6">
        <v>44849</v>
      </c>
      <c r="Q587" s="6">
        <v>44826</v>
      </c>
      <c r="R587" s="1" t="s">
        <v>779</v>
      </c>
      <c r="S587" s="1" t="s">
        <v>795</v>
      </c>
      <c r="T587" s="5">
        <v>577</v>
      </c>
      <c r="U587" s="4">
        <v>3</v>
      </c>
      <c r="V587" s="5">
        <v>115</v>
      </c>
      <c r="W587" s="6">
        <v>44473</v>
      </c>
      <c r="X587" s="6"/>
      <c r="Y587" s="6"/>
      <c r="Z587" s="6"/>
      <c r="AA587" s="6"/>
      <c r="AB587" s="6"/>
      <c r="AC587" s="6"/>
      <c r="AD587" s="6"/>
    </row>
    <row r="588" spans="1:30">
      <c r="A588" s="1" t="s">
        <v>772</v>
      </c>
      <c r="B588" s="1" t="s">
        <v>773</v>
      </c>
      <c r="C588" s="1" t="s">
        <v>1010</v>
      </c>
      <c r="D588" s="1" t="s">
        <v>596</v>
      </c>
      <c r="E588" s="1" t="str">
        <f t="shared" si="9"/>
        <v>W07</v>
      </c>
      <c r="F588" s="4">
        <v>14.12</v>
      </c>
      <c r="G588" s="4">
        <v>11.01</v>
      </c>
      <c r="H588" s="4">
        <v>11.01</v>
      </c>
      <c r="I588" s="4"/>
      <c r="J588" s="1" t="s">
        <v>775</v>
      </c>
      <c r="K588" s="1" t="s">
        <v>797</v>
      </c>
      <c r="L588" s="1" t="s">
        <v>777</v>
      </c>
      <c r="M588" s="1" t="s">
        <v>778</v>
      </c>
      <c r="N588" s="1" t="s">
        <v>787</v>
      </c>
      <c r="O588" s="6">
        <v>44838</v>
      </c>
      <c r="P588" s="6">
        <v>44833</v>
      </c>
      <c r="Q588" s="6">
        <v>44804</v>
      </c>
      <c r="R588" s="1" t="s">
        <v>779</v>
      </c>
      <c r="S588" s="1" t="s">
        <v>795</v>
      </c>
      <c r="T588" s="5">
        <v>577</v>
      </c>
      <c r="U588" s="4">
        <v>4</v>
      </c>
      <c r="V588" s="5">
        <v>131</v>
      </c>
      <c r="W588" s="6">
        <v>43710</v>
      </c>
      <c r="X588" s="6">
        <v>42572</v>
      </c>
      <c r="Y588" s="6"/>
      <c r="Z588" s="6"/>
      <c r="AA588" s="6"/>
      <c r="AB588" s="6"/>
      <c r="AC588" s="6"/>
      <c r="AD588" s="6"/>
    </row>
    <row r="589" spans="1:30">
      <c r="A589" s="1" t="s">
        <v>772</v>
      </c>
      <c r="B589" s="1" t="s">
        <v>773</v>
      </c>
      <c r="C589" s="1" t="s">
        <v>1010</v>
      </c>
      <c r="D589" s="1" t="s">
        <v>650</v>
      </c>
      <c r="E589" s="1" t="str">
        <f t="shared" si="9"/>
        <v>W07</v>
      </c>
      <c r="F589" s="4">
        <v>11.45</v>
      </c>
      <c r="G589" s="4">
        <v>9.82</v>
      </c>
      <c r="H589" s="4">
        <v>9.82</v>
      </c>
      <c r="I589" s="4"/>
      <c r="J589" s="1" t="s">
        <v>775</v>
      </c>
      <c r="K589" s="1" t="s">
        <v>1086</v>
      </c>
      <c r="L589" s="1" t="s">
        <v>828</v>
      </c>
      <c r="M589" s="1" t="s">
        <v>777</v>
      </c>
      <c r="N589" s="1" t="s">
        <v>788</v>
      </c>
      <c r="O589" s="6">
        <v>44886</v>
      </c>
      <c r="P589" s="6">
        <v>44883</v>
      </c>
      <c r="Q589" s="6"/>
      <c r="R589" s="1" t="s">
        <v>830</v>
      </c>
      <c r="T589" s="5">
        <v>60</v>
      </c>
      <c r="U589" s="4">
        <v>2</v>
      </c>
      <c r="V589" s="5">
        <v>81</v>
      </c>
      <c r="W589" s="6">
        <v>43767</v>
      </c>
      <c r="X589" s="6">
        <v>43796</v>
      </c>
      <c r="Y589" s="6"/>
      <c r="Z589" s="6"/>
      <c r="AA589" s="6"/>
      <c r="AB589" s="6"/>
      <c r="AC589" s="6"/>
      <c r="AD589" s="6"/>
    </row>
    <row r="590" spans="1:30">
      <c r="A590" s="1" t="s">
        <v>772</v>
      </c>
      <c r="B590" s="1" t="s">
        <v>773</v>
      </c>
      <c r="C590" s="1" t="s">
        <v>1010</v>
      </c>
      <c r="D590" s="1" t="s">
        <v>590</v>
      </c>
      <c r="E590" s="1" t="str">
        <f t="shared" si="9"/>
        <v>W07</v>
      </c>
      <c r="F590" s="4">
        <v>15.5</v>
      </c>
      <c r="G590" s="4">
        <v>12.16</v>
      </c>
      <c r="H590" s="4">
        <v>12.16</v>
      </c>
      <c r="I590" s="4"/>
      <c r="J590" s="1" t="s">
        <v>775</v>
      </c>
      <c r="K590" s="1" t="s">
        <v>800</v>
      </c>
      <c r="L590" s="1" t="s">
        <v>777</v>
      </c>
      <c r="M590" s="1" t="s">
        <v>778</v>
      </c>
      <c r="N590" s="1" t="s">
        <v>777</v>
      </c>
      <c r="O590" s="6">
        <v>44824</v>
      </c>
      <c r="P590" s="6">
        <v>44815</v>
      </c>
      <c r="Q590" s="6">
        <v>44799</v>
      </c>
      <c r="R590" s="1" t="s">
        <v>779</v>
      </c>
      <c r="S590" s="1" t="s">
        <v>795</v>
      </c>
      <c r="T590" s="5">
        <v>577</v>
      </c>
      <c r="U590" s="4">
        <v>4</v>
      </c>
      <c r="V590" s="5">
        <v>149</v>
      </c>
      <c r="W590" s="6">
        <v>43483</v>
      </c>
      <c r="X590" s="6">
        <v>43356</v>
      </c>
      <c r="Y590" s="6"/>
      <c r="Z590" s="6"/>
      <c r="AA590" s="6"/>
      <c r="AB590" s="6"/>
      <c r="AC590" s="6"/>
      <c r="AD590" s="6"/>
    </row>
    <row r="591" spans="1:30">
      <c r="A591" s="1" t="s">
        <v>772</v>
      </c>
      <c r="B591" s="1" t="s">
        <v>773</v>
      </c>
      <c r="C591" s="1" t="s">
        <v>1010</v>
      </c>
      <c r="D591" s="1" t="s">
        <v>229</v>
      </c>
      <c r="E591" s="1" t="str">
        <f t="shared" si="9"/>
        <v>W07</v>
      </c>
      <c r="F591" s="4">
        <v>8.67</v>
      </c>
      <c r="G591" s="4">
        <v>6.97</v>
      </c>
      <c r="H591" s="4">
        <v>6.97</v>
      </c>
      <c r="I591" s="4"/>
      <c r="J591" s="1" t="s">
        <v>775</v>
      </c>
      <c r="K591" s="1" t="s">
        <v>948</v>
      </c>
      <c r="L591" s="1" t="s">
        <v>829</v>
      </c>
      <c r="M591" s="1" t="s">
        <v>913</v>
      </c>
      <c r="N591" s="1" t="s">
        <v>787</v>
      </c>
      <c r="O591" s="6">
        <v>44960</v>
      </c>
      <c r="P591" s="6">
        <v>44949</v>
      </c>
      <c r="Q591" s="6">
        <v>44947</v>
      </c>
      <c r="R591" s="1" t="s">
        <v>830</v>
      </c>
      <c r="S591" s="1" t="s">
        <v>914</v>
      </c>
      <c r="T591" s="5">
        <v>330</v>
      </c>
      <c r="U591" s="4">
        <v>0</v>
      </c>
      <c r="V591" s="5">
        <v>15</v>
      </c>
      <c r="W591" s="6">
        <v>45030</v>
      </c>
      <c r="X591" s="6">
        <v>45062</v>
      </c>
      <c r="Y591" s="6"/>
      <c r="Z591" s="6"/>
      <c r="AA591" s="6"/>
      <c r="AB591" s="6"/>
      <c r="AC591" s="6"/>
      <c r="AD591" s="6"/>
    </row>
    <row r="592" spans="1:30">
      <c r="A592" s="1" t="s">
        <v>772</v>
      </c>
      <c r="B592" s="1" t="s">
        <v>773</v>
      </c>
      <c r="C592" s="1" t="s">
        <v>1010</v>
      </c>
      <c r="D592" s="1" t="s">
        <v>600</v>
      </c>
      <c r="E592" s="1" t="str">
        <f t="shared" si="9"/>
        <v>W07</v>
      </c>
      <c r="F592" s="4">
        <v>7.45</v>
      </c>
      <c r="G592" s="4">
        <v>5.85</v>
      </c>
      <c r="H592" s="4">
        <v>5.85</v>
      </c>
      <c r="I592" s="4"/>
      <c r="J592" s="1" t="s">
        <v>775</v>
      </c>
      <c r="K592" s="1" t="s">
        <v>797</v>
      </c>
      <c r="L592" s="1" t="s">
        <v>777</v>
      </c>
      <c r="M592" s="1" t="s">
        <v>778</v>
      </c>
      <c r="O592" s="6">
        <v>44838</v>
      </c>
      <c r="P592" s="6">
        <v>44834</v>
      </c>
      <c r="Q592" s="6">
        <v>44822</v>
      </c>
      <c r="R592" s="1" t="s">
        <v>779</v>
      </c>
      <c r="S592" s="1" t="s">
        <v>795</v>
      </c>
      <c r="T592" s="5">
        <v>577</v>
      </c>
      <c r="U592" s="4">
        <v>4</v>
      </c>
      <c r="V592" s="5">
        <v>130</v>
      </c>
      <c r="W592" s="6">
        <v>45307</v>
      </c>
      <c r="X592" s="6"/>
      <c r="Y592" s="6"/>
      <c r="Z592" s="6"/>
      <c r="AA592" s="6"/>
      <c r="AB592" s="6"/>
      <c r="AC592" s="6"/>
      <c r="AD592" s="6"/>
    </row>
    <row r="593" spans="1:30">
      <c r="A593" s="1" t="s">
        <v>772</v>
      </c>
      <c r="B593" s="1" t="s">
        <v>773</v>
      </c>
      <c r="C593" s="1" t="s">
        <v>1010</v>
      </c>
      <c r="D593" s="1" t="s">
        <v>597</v>
      </c>
      <c r="E593" s="1" t="str">
        <f t="shared" si="9"/>
        <v>W07</v>
      </c>
      <c r="F593" s="4">
        <v>13.1</v>
      </c>
      <c r="G593" s="4">
        <v>10.15</v>
      </c>
      <c r="H593" s="4">
        <v>10.15</v>
      </c>
      <c r="I593" s="4"/>
      <c r="J593" s="1" t="s">
        <v>775</v>
      </c>
      <c r="K593" s="1" t="s">
        <v>797</v>
      </c>
      <c r="L593" s="1" t="s">
        <v>777</v>
      </c>
      <c r="M593" s="1" t="s">
        <v>778</v>
      </c>
      <c r="N593" s="1" t="s">
        <v>777</v>
      </c>
      <c r="O593" s="6">
        <v>44838</v>
      </c>
      <c r="P593" s="6">
        <v>44834</v>
      </c>
      <c r="Q593" s="6">
        <v>44810</v>
      </c>
      <c r="R593" s="1" t="s">
        <v>779</v>
      </c>
      <c r="S593" s="1" t="s">
        <v>792</v>
      </c>
      <c r="T593" s="5">
        <v>577</v>
      </c>
      <c r="U593" s="4">
        <v>4</v>
      </c>
      <c r="V593" s="5">
        <v>130</v>
      </c>
      <c r="W593" s="6">
        <v>43175</v>
      </c>
      <c r="X593" s="6">
        <v>43206</v>
      </c>
      <c r="Y593" s="6"/>
      <c r="Z593" s="6"/>
      <c r="AA593" s="6"/>
      <c r="AB593" s="6"/>
      <c r="AC593" s="6"/>
      <c r="AD593" s="6"/>
    </row>
    <row r="594" spans="1:30">
      <c r="A594" s="1" t="s">
        <v>772</v>
      </c>
      <c r="B594" s="1" t="s">
        <v>773</v>
      </c>
      <c r="C594" s="1" t="s">
        <v>1010</v>
      </c>
      <c r="D594" s="1" t="s">
        <v>323</v>
      </c>
      <c r="E594" s="1" t="str">
        <f t="shared" si="9"/>
        <v>W07</v>
      </c>
      <c r="F594" s="4">
        <v>7.7</v>
      </c>
      <c r="G594" s="4">
        <v>6.14</v>
      </c>
      <c r="H594" s="4">
        <v>6.14</v>
      </c>
      <c r="I594" s="4"/>
      <c r="J594" s="1" t="s">
        <v>775</v>
      </c>
      <c r="K594" s="1" t="s">
        <v>952</v>
      </c>
      <c r="L594" s="1" t="s">
        <v>787</v>
      </c>
      <c r="M594" s="1" t="s">
        <v>788</v>
      </c>
      <c r="N594" s="1" t="s">
        <v>778</v>
      </c>
      <c r="O594" s="6">
        <v>44805</v>
      </c>
      <c r="P594" s="6">
        <v>44804</v>
      </c>
      <c r="Q594" s="6">
        <v>44218</v>
      </c>
      <c r="R594" s="1" t="s">
        <v>779</v>
      </c>
      <c r="T594" s="5">
        <v>300</v>
      </c>
      <c r="U594" s="4">
        <v>5</v>
      </c>
      <c r="V594" s="5">
        <v>160</v>
      </c>
      <c r="W594" s="6">
        <v>44351</v>
      </c>
      <c r="X594" s="6">
        <v>44663</v>
      </c>
      <c r="Y594" s="6"/>
      <c r="Z594" s="6"/>
      <c r="AA594" s="6"/>
      <c r="AB594" s="6"/>
      <c r="AC594" s="6"/>
      <c r="AD594" s="6">
        <v>44856</v>
      </c>
    </row>
    <row r="595" spans="1:30">
      <c r="A595" s="1" t="s">
        <v>772</v>
      </c>
      <c r="B595" s="1" t="s">
        <v>773</v>
      </c>
      <c r="C595" s="1" t="s">
        <v>1010</v>
      </c>
      <c r="D595" s="1" t="s">
        <v>31</v>
      </c>
      <c r="E595" s="1" t="str">
        <f t="shared" si="9"/>
        <v>W07</v>
      </c>
      <c r="F595" s="4">
        <v>9.1</v>
      </c>
      <c r="G595" s="4">
        <v>7.14</v>
      </c>
      <c r="H595" s="4">
        <v>7.14</v>
      </c>
      <c r="I595" s="4"/>
      <c r="J595" s="1" t="s">
        <v>775</v>
      </c>
      <c r="K595" s="1" t="s">
        <v>839</v>
      </c>
      <c r="L595" s="1" t="s">
        <v>777</v>
      </c>
      <c r="M595" s="1" t="s">
        <v>778</v>
      </c>
      <c r="N595" s="1" t="s">
        <v>788</v>
      </c>
      <c r="O595" s="6">
        <v>44778</v>
      </c>
      <c r="P595" s="6">
        <v>44773</v>
      </c>
      <c r="Q595" s="6">
        <v>44760</v>
      </c>
      <c r="R595" s="1" t="s">
        <v>779</v>
      </c>
      <c r="S595" s="1" t="s">
        <v>792</v>
      </c>
      <c r="T595" s="5">
        <v>577</v>
      </c>
      <c r="U595" s="4">
        <v>6</v>
      </c>
      <c r="V595" s="5">
        <v>191</v>
      </c>
      <c r="W595" s="6">
        <v>43178</v>
      </c>
      <c r="X595" s="6">
        <v>43553</v>
      </c>
      <c r="Y595" s="6"/>
      <c r="Z595" s="6"/>
      <c r="AA595" s="6"/>
      <c r="AB595" s="6"/>
      <c r="AC595" s="6"/>
      <c r="AD595" s="6"/>
    </row>
    <row r="596" spans="1:30">
      <c r="A596" s="1" t="s">
        <v>772</v>
      </c>
      <c r="B596" s="1" t="s">
        <v>773</v>
      </c>
      <c r="C596" s="1" t="s">
        <v>1010</v>
      </c>
      <c r="D596" s="1" t="s">
        <v>34</v>
      </c>
      <c r="E596" s="1" t="str">
        <f t="shared" si="9"/>
        <v>W07</v>
      </c>
      <c r="F596" s="4">
        <v>4.58</v>
      </c>
      <c r="G596" s="4">
        <v>3.58</v>
      </c>
      <c r="H596" s="4">
        <v>3.58</v>
      </c>
      <c r="I596" s="4"/>
      <c r="J596" s="1" t="s">
        <v>775</v>
      </c>
      <c r="K596" s="1" t="s">
        <v>839</v>
      </c>
      <c r="L596" s="1" t="s">
        <v>777</v>
      </c>
      <c r="M596" s="1" t="s">
        <v>778</v>
      </c>
      <c r="N596" s="1" t="s">
        <v>787</v>
      </c>
      <c r="O596" s="6">
        <v>44798</v>
      </c>
      <c r="P596" s="6">
        <v>44783</v>
      </c>
      <c r="Q596" s="6">
        <v>44765</v>
      </c>
      <c r="R596" s="1" t="s">
        <v>779</v>
      </c>
      <c r="S596" s="1" t="s">
        <v>792</v>
      </c>
      <c r="T596" s="5">
        <v>577</v>
      </c>
      <c r="U596" s="4">
        <v>5</v>
      </c>
      <c r="V596" s="5">
        <v>181</v>
      </c>
      <c r="W596" s="6">
        <v>43293</v>
      </c>
      <c r="X596" s="6">
        <v>43079</v>
      </c>
      <c r="Y596" s="6"/>
      <c r="Z596" s="6"/>
      <c r="AA596" s="6"/>
      <c r="AB596" s="6"/>
      <c r="AC596" s="6"/>
      <c r="AD596" s="6"/>
    </row>
    <row r="597" spans="1:30">
      <c r="A597" s="1" t="s">
        <v>772</v>
      </c>
      <c r="B597" s="1" t="s">
        <v>773</v>
      </c>
      <c r="C597" s="1" t="s">
        <v>1010</v>
      </c>
      <c r="D597" s="1" t="s">
        <v>635</v>
      </c>
      <c r="E597" s="1" t="str">
        <f t="shared" si="9"/>
        <v>W07</v>
      </c>
      <c r="F597" s="4">
        <v>9.9</v>
      </c>
      <c r="G597" s="4">
        <v>7.83</v>
      </c>
      <c r="H597" s="4">
        <v>7.83</v>
      </c>
      <c r="I597" s="4"/>
      <c r="J597" s="1" t="s">
        <v>775</v>
      </c>
      <c r="K597" s="1" t="s">
        <v>791</v>
      </c>
      <c r="L597" s="1" t="s">
        <v>777</v>
      </c>
      <c r="M597" s="1" t="s">
        <v>778</v>
      </c>
      <c r="N597" s="1" t="s">
        <v>788</v>
      </c>
      <c r="O597" s="6">
        <v>44929</v>
      </c>
      <c r="P597" s="6">
        <v>44926</v>
      </c>
      <c r="Q597" s="6">
        <v>44907</v>
      </c>
      <c r="R597" s="1" t="s">
        <v>779</v>
      </c>
      <c r="S597" s="1" t="s">
        <v>795</v>
      </c>
      <c r="T597" s="5">
        <v>577</v>
      </c>
      <c r="U597" s="4">
        <v>1</v>
      </c>
      <c r="V597" s="5">
        <v>38</v>
      </c>
      <c r="W597" s="6">
        <v>43747</v>
      </c>
      <c r="X597" s="6">
        <v>43665</v>
      </c>
      <c r="Y597" s="6"/>
      <c r="Z597" s="6"/>
      <c r="AA597" s="6"/>
      <c r="AB597" s="6"/>
      <c r="AC597" s="6"/>
      <c r="AD597" s="6"/>
    </row>
    <row r="598" spans="1:30">
      <c r="A598" s="1" t="s">
        <v>772</v>
      </c>
      <c r="B598" s="1" t="s">
        <v>773</v>
      </c>
      <c r="C598" s="1" t="s">
        <v>1010</v>
      </c>
      <c r="D598" s="1" t="s">
        <v>499</v>
      </c>
      <c r="E598" s="1" t="str">
        <f t="shared" si="9"/>
        <v>W07</v>
      </c>
      <c r="F598" s="4">
        <v>8.5399999999999991</v>
      </c>
      <c r="G598" s="4">
        <v>6.82</v>
      </c>
      <c r="H598" s="4">
        <v>6.82</v>
      </c>
      <c r="I598" s="4"/>
      <c r="J598" s="1" t="s">
        <v>775</v>
      </c>
      <c r="K598" s="1" t="s">
        <v>840</v>
      </c>
      <c r="L598" s="1" t="s">
        <v>777</v>
      </c>
      <c r="M598" s="1" t="s">
        <v>778</v>
      </c>
      <c r="N598" s="1" t="s">
        <v>787</v>
      </c>
      <c r="O598" s="6">
        <v>44592</v>
      </c>
      <c r="P598" s="6">
        <v>44588</v>
      </c>
      <c r="Q598" s="6">
        <v>44573</v>
      </c>
      <c r="R598" s="1" t="s">
        <v>779</v>
      </c>
      <c r="S598" s="1" t="s">
        <v>823</v>
      </c>
      <c r="T598" s="5">
        <v>457</v>
      </c>
      <c r="U598" s="4">
        <v>12</v>
      </c>
      <c r="V598" s="5">
        <v>376</v>
      </c>
      <c r="W598" s="6">
        <v>43963</v>
      </c>
      <c r="X598" s="6">
        <v>43997</v>
      </c>
      <c r="Y598" s="6"/>
      <c r="Z598" s="6"/>
      <c r="AA598" s="6">
        <v>44950</v>
      </c>
      <c r="AB598" s="6"/>
      <c r="AC598" s="6"/>
      <c r="AD598" s="6"/>
    </row>
    <row r="599" spans="1:30">
      <c r="A599" s="1" t="s">
        <v>772</v>
      </c>
      <c r="B599" s="1" t="s">
        <v>773</v>
      </c>
      <c r="C599" s="1" t="s">
        <v>1010</v>
      </c>
      <c r="D599" s="1" t="s">
        <v>504</v>
      </c>
      <c r="E599" s="1" t="str">
        <f t="shared" si="9"/>
        <v>W07</v>
      </c>
      <c r="F599" s="4">
        <v>8.32</v>
      </c>
      <c r="G599" s="4">
        <v>6.49</v>
      </c>
      <c r="H599" s="4">
        <v>6.49</v>
      </c>
      <c r="I599" s="4"/>
      <c r="J599" s="1" t="s">
        <v>775</v>
      </c>
      <c r="K599" s="1" t="s">
        <v>822</v>
      </c>
      <c r="L599" s="1" t="s">
        <v>777</v>
      </c>
      <c r="M599" s="1" t="s">
        <v>778</v>
      </c>
      <c r="N599" s="1" t="s">
        <v>787</v>
      </c>
      <c r="O599" s="6">
        <v>44617</v>
      </c>
      <c r="P599" s="6">
        <v>44604</v>
      </c>
      <c r="Q599" s="6">
        <v>44578</v>
      </c>
      <c r="R599" s="1" t="s">
        <v>779</v>
      </c>
      <c r="S599" s="1" t="s">
        <v>780</v>
      </c>
      <c r="T599" s="5">
        <v>517</v>
      </c>
      <c r="U599" s="4">
        <v>11</v>
      </c>
      <c r="V599" s="5">
        <v>360</v>
      </c>
      <c r="W599" s="6">
        <v>43963</v>
      </c>
      <c r="X599" s="6">
        <v>43997</v>
      </c>
      <c r="Y599" s="6"/>
      <c r="Z599" s="6"/>
      <c r="AA599" s="6"/>
      <c r="AB599" s="6"/>
      <c r="AC599" s="6"/>
      <c r="AD599" s="6"/>
    </row>
    <row r="600" spans="1:30">
      <c r="A600" s="1" t="s">
        <v>772</v>
      </c>
      <c r="B600" s="1" t="s">
        <v>773</v>
      </c>
      <c r="C600" s="1" t="s">
        <v>1010</v>
      </c>
      <c r="D600" s="1" t="s">
        <v>464</v>
      </c>
      <c r="E600" s="1" t="str">
        <f t="shared" si="9"/>
        <v>W07</v>
      </c>
      <c r="F600" s="4">
        <v>11.45</v>
      </c>
      <c r="G600" s="4">
        <v>9.09</v>
      </c>
      <c r="H600" s="4">
        <v>9.09</v>
      </c>
      <c r="I600" s="4"/>
      <c r="J600" s="1" t="s">
        <v>775</v>
      </c>
      <c r="K600" s="1" t="s">
        <v>872</v>
      </c>
      <c r="L600" s="1" t="s">
        <v>777</v>
      </c>
      <c r="M600" s="1" t="s">
        <v>778</v>
      </c>
      <c r="N600" s="1" t="s">
        <v>873</v>
      </c>
      <c r="O600" s="6">
        <v>44504</v>
      </c>
      <c r="P600" s="6">
        <v>44500</v>
      </c>
      <c r="Q600" s="6">
        <v>44480</v>
      </c>
      <c r="R600" s="1" t="s">
        <v>779</v>
      </c>
      <c r="S600" s="1" t="s">
        <v>795</v>
      </c>
      <c r="T600" s="5">
        <v>577</v>
      </c>
      <c r="U600" s="4">
        <v>15</v>
      </c>
      <c r="V600" s="5">
        <v>464</v>
      </c>
      <c r="W600" s="6">
        <v>43954</v>
      </c>
      <c r="X600" s="6">
        <v>43275</v>
      </c>
      <c r="Y600" s="6"/>
      <c r="Z600" s="6"/>
      <c r="AA600" s="6">
        <v>44925</v>
      </c>
      <c r="AB600" s="6"/>
      <c r="AC600" s="6"/>
      <c r="AD600" s="6"/>
    </row>
    <row r="601" spans="1:30">
      <c r="A601" s="1" t="s">
        <v>772</v>
      </c>
      <c r="B601" s="1" t="s">
        <v>773</v>
      </c>
      <c r="C601" s="1" t="s">
        <v>1010</v>
      </c>
      <c r="D601" s="1" t="s">
        <v>456</v>
      </c>
      <c r="E601" s="1" t="str">
        <f t="shared" si="9"/>
        <v>W07</v>
      </c>
      <c r="F601" s="4">
        <v>8.7200000000000006</v>
      </c>
      <c r="G601" s="4">
        <v>6.93</v>
      </c>
      <c r="H601" s="4">
        <v>6.93</v>
      </c>
      <c r="I601" s="4"/>
      <c r="J601" s="1" t="s">
        <v>775</v>
      </c>
      <c r="K601" s="1" t="s">
        <v>886</v>
      </c>
      <c r="L601" s="1" t="s">
        <v>777</v>
      </c>
      <c r="M601" s="1" t="s">
        <v>778</v>
      </c>
      <c r="N601" s="1" t="s">
        <v>788</v>
      </c>
      <c r="O601" s="6">
        <v>44490</v>
      </c>
      <c r="P601" s="6">
        <v>44484</v>
      </c>
      <c r="Q601" s="6">
        <v>44452</v>
      </c>
      <c r="R601" s="1" t="s">
        <v>779</v>
      </c>
      <c r="S601" s="1" t="s">
        <v>780</v>
      </c>
      <c r="T601" s="5">
        <v>517</v>
      </c>
      <c r="U601" s="4">
        <v>15</v>
      </c>
      <c r="V601" s="5">
        <v>480</v>
      </c>
      <c r="W601" s="6">
        <v>43983</v>
      </c>
      <c r="X601" s="6">
        <v>43411</v>
      </c>
      <c r="Y601" s="6"/>
      <c r="Z601" s="6"/>
      <c r="AA601" s="6">
        <v>44865</v>
      </c>
      <c r="AB601" s="6"/>
      <c r="AC601" s="6"/>
      <c r="AD601" s="6">
        <v>44951</v>
      </c>
    </row>
    <row r="602" spans="1:30">
      <c r="A602" s="1" t="s">
        <v>772</v>
      </c>
      <c r="B602" s="1" t="s">
        <v>773</v>
      </c>
      <c r="C602" s="1" t="s">
        <v>1010</v>
      </c>
      <c r="D602" s="1" t="s">
        <v>649</v>
      </c>
      <c r="E602" s="1" t="str">
        <f t="shared" si="9"/>
        <v>W07</v>
      </c>
      <c r="F602" s="4">
        <v>11</v>
      </c>
      <c r="G602" s="4">
        <v>8.73</v>
      </c>
      <c r="H602" s="4">
        <v>8.73</v>
      </c>
      <c r="I602" s="4"/>
      <c r="J602" s="1" t="s">
        <v>775</v>
      </c>
      <c r="K602" s="1" t="s">
        <v>988</v>
      </c>
      <c r="L602" s="1" t="s">
        <v>778</v>
      </c>
      <c r="M602" s="1" t="s">
        <v>777</v>
      </c>
      <c r="N602" s="1" t="s">
        <v>778</v>
      </c>
      <c r="O602" s="6">
        <v>44805</v>
      </c>
      <c r="P602" s="6">
        <v>44804</v>
      </c>
      <c r="Q602" s="6"/>
      <c r="R602" s="1" t="s">
        <v>779</v>
      </c>
      <c r="T602" s="5">
        <v>120</v>
      </c>
      <c r="U602" s="4">
        <v>5</v>
      </c>
      <c r="V602" s="5">
        <v>160</v>
      </c>
      <c r="W602" s="6">
        <v>44351</v>
      </c>
      <c r="X602" s="6">
        <v>44663</v>
      </c>
      <c r="Y602" s="6"/>
      <c r="Z602" s="6"/>
      <c r="AA602" s="6"/>
      <c r="AB602" s="6"/>
      <c r="AC602" s="6"/>
      <c r="AD602" s="6">
        <v>44798</v>
      </c>
    </row>
    <row r="603" spans="1:30">
      <c r="A603" s="1" t="s">
        <v>772</v>
      </c>
      <c r="B603" s="1" t="s">
        <v>773</v>
      </c>
      <c r="C603" s="1" t="s">
        <v>1010</v>
      </c>
      <c r="D603" s="1" t="s">
        <v>346</v>
      </c>
      <c r="E603" s="1" t="str">
        <f t="shared" si="9"/>
        <v>W07</v>
      </c>
      <c r="F603" s="4">
        <v>7.16</v>
      </c>
      <c r="G603" s="4">
        <v>5.62</v>
      </c>
      <c r="H603" s="4">
        <v>5.62</v>
      </c>
      <c r="I603" s="4"/>
      <c r="J603" s="1" t="s">
        <v>775</v>
      </c>
      <c r="K603" s="1" t="s">
        <v>808</v>
      </c>
      <c r="L603" s="1" t="s">
        <v>809</v>
      </c>
      <c r="M603" s="1" t="s">
        <v>788</v>
      </c>
      <c r="N603" s="1" t="s">
        <v>778</v>
      </c>
      <c r="O603" s="6">
        <v>44866</v>
      </c>
      <c r="P603" s="6">
        <v>44793</v>
      </c>
      <c r="Q603" s="6">
        <v>44258</v>
      </c>
      <c r="R603" s="1" t="s">
        <v>779</v>
      </c>
      <c r="T603" s="5">
        <v>402</v>
      </c>
      <c r="U603" s="4">
        <v>5</v>
      </c>
      <c r="V603" s="5">
        <v>171</v>
      </c>
      <c r="W603" s="6">
        <v>44351</v>
      </c>
      <c r="X603" s="6">
        <v>44663</v>
      </c>
      <c r="Y603" s="6"/>
      <c r="Z603" s="6"/>
      <c r="AA603" s="6"/>
      <c r="AB603" s="6"/>
      <c r="AC603" s="6"/>
      <c r="AD603" s="6"/>
    </row>
    <row r="604" spans="1:30">
      <c r="A604" s="1" t="s">
        <v>772</v>
      </c>
      <c r="B604" s="1" t="s">
        <v>773</v>
      </c>
      <c r="C604" s="1" t="s">
        <v>1010</v>
      </c>
      <c r="D604" s="1" t="s">
        <v>331</v>
      </c>
      <c r="E604" s="1" t="str">
        <f t="shared" si="9"/>
        <v>W07</v>
      </c>
      <c r="F604" s="4">
        <v>17.3</v>
      </c>
      <c r="G604" s="4">
        <v>13.66</v>
      </c>
      <c r="H604" s="4">
        <v>13.66</v>
      </c>
      <c r="I604" s="4"/>
      <c r="J604" s="1" t="s">
        <v>775</v>
      </c>
      <c r="K604" s="1" t="s">
        <v>952</v>
      </c>
      <c r="L604" s="1" t="s">
        <v>787</v>
      </c>
      <c r="M604" s="1" t="s">
        <v>788</v>
      </c>
      <c r="O604" s="6">
        <v>44805</v>
      </c>
      <c r="P604" s="6">
        <v>44782</v>
      </c>
      <c r="Q604" s="6">
        <v>44222</v>
      </c>
      <c r="R604" s="1" t="s">
        <v>779</v>
      </c>
      <c r="T604" s="5">
        <v>300</v>
      </c>
      <c r="U604" s="4">
        <v>5</v>
      </c>
      <c r="V604" s="5">
        <v>182</v>
      </c>
      <c r="W604" s="6"/>
      <c r="X604" s="6"/>
      <c r="Y604" s="6"/>
      <c r="Z604" s="6"/>
      <c r="AA604" s="6"/>
      <c r="AB604" s="6"/>
      <c r="AC604" s="6"/>
      <c r="AD604" s="6">
        <v>44853</v>
      </c>
    </row>
    <row r="605" spans="1:30">
      <c r="A605" s="1" t="s">
        <v>772</v>
      </c>
      <c r="B605" s="1" t="s">
        <v>773</v>
      </c>
      <c r="C605" s="1" t="s">
        <v>1010</v>
      </c>
      <c r="D605" s="1" t="s">
        <v>324</v>
      </c>
      <c r="E605" s="1" t="str">
        <f t="shared" si="9"/>
        <v>W07</v>
      </c>
      <c r="F605" s="4">
        <v>12.87</v>
      </c>
      <c r="G605" s="4">
        <v>10.16</v>
      </c>
      <c r="H605" s="4">
        <v>10.16</v>
      </c>
      <c r="I605" s="4"/>
      <c r="J605" s="1" t="s">
        <v>775</v>
      </c>
      <c r="K605" s="1" t="s">
        <v>793</v>
      </c>
      <c r="L605" s="1" t="s">
        <v>787</v>
      </c>
      <c r="M605" s="1" t="s">
        <v>788</v>
      </c>
      <c r="N605" s="1" t="s">
        <v>778</v>
      </c>
      <c r="O605" s="6">
        <v>44774</v>
      </c>
      <c r="P605" s="6">
        <v>44773</v>
      </c>
      <c r="Q605" s="6">
        <v>44222</v>
      </c>
      <c r="R605" s="1" t="s">
        <v>779</v>
      </c>
      <c r="T605" s="5">
        <v>402</v>
      </c>
      <c r="U605" s="4">
        <v>6</v>
      </c>
      <c r="V605" s="5">
        <v>191</v>
      </c>
      <c r="W605" s="6">
        <v>44351</v>
      </c>
      <c r="X605" s="6">
        <v>44663</v>
      </c>
      <c r="Y605" s="6"/>
      <c r="Z605" s="6"/>
      <c r="AA605" s="6"/>
      <c r="AB605" s="6"/>
      <c r="AC605" s="6"/>
      <c r="AD605" s="6">
        <v>44771</v>
      </c>
    </row>
    <row r="606" spans="1:30">
      <c r="A606" s="1" t="s">
        <v>772</v>
      </c>
      <c r="B606" s="1" t="s">
        <v>773</v>
      </c>
      <c r="C606" s="1" t="s">
        <v>1010</v>
      </c>
      <c r="D606" s="1" t="s">
        <v>314</v>
      </c>
      <c r="E606" s="1" t="str">
        <f t="shared" si="9"/>
        <v>W07</v>
      </c>
      <c r="F606" s="4">
        <v>11.4</v>
      </c>
      <c r="G606" s="4">
        <v>8.92</v>
      </c>
      <c r="H606" s="4">
        <v>8.92</v>
      </c>
      <c r="I606" s="4"/>
      <c r="J606" s="1" t="s">
        <v>775</v>
      </c>
      <c r="K606" s="1" t="s">
        <v>793</v>
      </c>
      <c r="L606" s="1" t="s">
        <v>787</v>
      </c>
      <c r="M606" s="1" t="s">
        <v>788</v>
      </c>
      <c r="N606" s="1" t="s">
        <v>777</v>
      </c>
      <c r="O606" s="6">
        <v>44804</v>
      </c>
      <c r="P606" s="6">
        <v>44783</v>
      </c>
      <c r="Q606" s="6">
        <v>44161</v>
      </c>
      <c r="R606" s="1" t="s">
        <v>779</v>
      </c>
      <c r="T606" s="5">
        <v>402</v>
      </c>
      <c r="U606" s="4">
        <v>5</v>
      </c>
      <c r="V606" s="5">
        <v>181</v>
      </c>
      <c r="W606" s="6">
        <v>43175</v>
      </c>
      <c r="X606" s="6">
        <v>43206</v>
      </c>
      <c r="Y606" s="6"/>
      <c r="Z606" s="6"/>
      <c r="AA606" s="6"/>
      <c r="AB606" s="6"/>
      <c r="AC606" s="6"/>
      <c r="AD606" s="6">
        <v>44811</v>
      </c>
    </row>
    <row r="607" spans="1:30">
      <c r="A607" s="1" t="s">
        <v>772</v>
      </c>
      <c r="B607" s="1" t="s">
        <v>773</v>
      </c>
      <c r="C607" s="1" t="s">
        <v>1010</v>
      </c>
      <c r="D607" s="1" t="s">
        <v>191</v>
      </c>
      <c r="E607" s="1" t="str">
        <f t="shared" si="9"/>
        <v>W07</v>
      </c>
      <c r="F607" s="4">
        <v>9.7100000000000009</v>
      </c>
      <c r="G607" s="4">
        <v>7.56</v>
      </c>
      <c r="H607" s="4">
        <v>7.56</v>
      </c>
      <c r="I607" s="4"/>
      <c r="J607" s="1" t="s">
        <v>775</v>
      </c>
      <c r="K607" s="1" t="s">
        <v>800</v>
      </c>
      <c r="L607" s="1" t="s">
        <v>777</v>
      </c>
      <c r="M607" s="1" t="s">
        <v>778</v>
      </c>
      <c r="O607" s="6">
        <v>44806</v>
      </c>
      <c r="P607" s="6">
        <v>44790</v>
      </c>
      <c r="Q607" s="6">
        <v>44780</v>
      </c>
      <c r="R607" s="1" t="s">
        <v>779</v>
      </c>
      <c r="S607" s="1" t="s">
        <v>795</v>
      </c>
      <c r="T607" s="5">
        <v>577</v>
      </c>
      <c r="U607" s="4">
        <v>5</v>
      </c>
      <c r="V607" s="5">
        <v>174</v>
      </c>
      <c r="W607" s="6">
        <v>44383</v>
      </c>
      <c r="X607" s="6"/>
      <c r="Y607" s="6"/>
      <c r="Z607" s="6"/>
      <c r="AA607" s="6"/>
      <c r="AB607" s="6"/>
      <c r="AC607" s="6"/>
      <c r="AD607" s="6"/>
    </row>
    <row r="608" spans="1:30">
      <c r="A608" s="1" t="s">
        <v>772</v>
      </c>
      <c r="B608" s="1" t="s">
        <v>773</v>
      </c>
      <c r="C608" s="1" t="s">
        <v>1010</v>
      </c>
      <c r="D608" s="1" t="s">
        <v>208</v>
      </c>
      <c r="E608" s="1" t="str">
        <f t="shared" si="9"/>
        <v>W07</v>
      </c>
      <c r="F608" s="4">
        <v>14.18</v>
      </c>
      <c r="G608" s="4">
        <v>11.25</v>
      </c>
      <c r="H608" s="4">
        <v>11.25</v>
      </c>
      <c r="I608" s="4"/>
      <c r="J608" s="1" t="s">
        <v>775</v>
      </c>
      <c r="K608" s="1" t="s">
        <v>888</v>
      </c>
      <c r="L608" s="1" t="s">
        <v>778</v>
      </c>
      <c r="M608" s="1" t="s">
        <v>777</v>
      </c>
      <c r="N608" s="1" t="s">
        <v>788</v>
      </c>
      <c r="O608" s="6">
        <v>44862</v>
      </c>
      <c r="P608" s="6">
        <v>44848</v>
      </c>
      <c r="Q608" s="6"/>
      <c r="R608" s="1" t="s">
        <v>779</v>
      </c>
      <c r="T608" s="5">
        <v>120</v>
      </c>
      <c r="U608" s="4">
        <v>3</v>
      </c>
      <c r="V608" s="5">
        <v>116</v>
      </c>
      <c r="W608" s="6">
        <v>44453</v>
      </c>
      <c r="X608" s="6">
        <v>44608</v>
      </c>
      <c r="Y608" s="6"/>
      <c r="Z608" s="6"/>
      <c r="AA608" s="6"/>
      <c r="AB608" s="6"/>
      <c r="AC608" s="6"/>
      <c r="AD608" s="6"/>
    </row>
    <row r="609" spans="1:30">
      <c r="A609" s="1" t="s">
        <v>772</v>
      </c>
      <c r="B609" s="1" t="s">
        <v>773</v>
      </c>
      <c r="C609" s="1" t="s">
        <v>1002</v>
      </c>
      <c r="D609" s="1" t="s">
        <v>227</v>
      </c>
      <c r="E609" s="1" t="str">
        <f t="shared" si="9"/>
        <v>W06</v>
      </c>
      <c r="F609" s="4">
        <v>8.16</v>
      </c>
      <c r="G609" s="4">
        <v>6.46</v>
      </c>
      <c r="H609" s="4">
        <v>6.46</v>
      </c>
      <c r="I609" s="4"/>
      <c r="J609" s="1" t="s">
        <v>775</v>
      </c>
      <c r="K609" s="1" t="s">
        <v>831</v>
      </c>
      <c r="L609" s="1" t="s">
        <v>777</v>
      </c>
      <c r="M609" s="1" t="s">
        <v>778</v>
      </c>
      <c r="N609" s="1" t="s">
        <v>788</v>
      </c>
      <c r="O609" s="6">
        <v>44886</v>
      </c>
      <c r="P609" s="6">
        <v>44870</v>
      </c>
      <c r="Q609" s="6">
        <v>44854</v>
      </c>
      <c r="R609" s="1" t="s">
        <v>779</v>
      </c>
      <c r="S609" s="1" t="s">
        <v>792</v>
      </c>
      <c r="T609" s="5">
        <v>577</v>
      </c>
      <c r="U609" s="4">
        <v>3</v>
      </c>
      <c r="V609" s="5">
        <v>94</v>
      </c>
      <c r="W609" s="6">
        <v>43747</v>
      </c>
      <c r="X609" s="6">
        <v>43665</v>
      </c>
      <c r="Y609" s="6"/>
      <c r="Z609" s="6"/>
      <c r="AA609" s="6"/>
      <c r="AB609" s="6"/>
      <c r="AC609" s="6"/>
      <c r="AD609" s="6"/>
    </row>
    <row r="610" spans="1:30">
      <c r="A610" s="1" t="s">
        <v>772</v>
      </c>
      <c r="B610" s="1" t="s">
        <v>773</v>
      </c>
      <c r="C610" s="1" t="s">
        <v>1002</v>
      </c>
      <c r="D610" s="1" t="s">
        <v>633</v>
      </c>
      <c r="E610" s="1" t="str">
        <f t="shared" si="9"/>
        <v>W06</v>
      </c>
      <c r="F610" s="4">
        <v>5.4</v>
      </c>
      <c r="G610" s="4">
        <v>4.3</v>
      </c>
      <c r="H610" s="4">
        <v>4.3</v>
      </c>
      <c r="I610" s="4"/>
      <c r="J610" s="1" t="s">
        <v>775</v>
      </c>
      <c r="K610" s="1" t="s">
        <v>791</v>
      </c>
      <c r="L610" s="1" t="s">
        <v>777</v>
      </c>
      <c r="M610" s="1" t="s">
        <v>778</v>
      </c>
      <c r="N610" s="1" t="s">
        <v>787</v>
      </c>
      <c r="O610" s="6">
        <v>44928</v>
      </c>
      <c r="P610" s="6">
        <v>44919</v>
      </c>
      <c r="Q610" s="6">
        <v>44894</v>
      </c>
      <c r="R610" s="1" t="s">
        <v>779</v>
      </c>
      <c r="S610" s="1" t="s">
        <v>823</v>
      </c>
      <c r="T610" s="5">
        <v>457</v>
      </c>
      <c r="U610" s="4">
        <v>1</v>
      </c>
      <c r="V610" s="5">
        <v>45</v>
      </c>
      <c r="W610" s="6">
        <v>43373</v>
      </c>
      <c r="X610" s="6">
        <v>42702</v>
      </c>
      <c r="Y610" s="6"/>
      <c r="Z610" s="6"/>
      <c r="AA610" s="6"/>
      <c r="AB610" s="6"/>
      <c r="AC610" s="6"/>
      <c r="AD610" s="6"/>
    </row>
    <row r="611" spans="1:30">
      <c r="A611" s="1" t="s">
        <v>772</v>
      </c>
      <c r="B611" s="1" t="s">
        <v>773</v>
      </c>
      <c r="C611" s="1" t="s">
        <v>1002</v>
      </c>
      <c r="D611" s="1" t="s">
        <v>653</v>
      </c>
      <c r="E611" s="1" t="str">
        <f t="shared" si="9"/>
        <v>W06</v>
      </c>
      <c r="F611" s="4">
        <v>10.1</v>
      </c>
      <c r="G611" s="4">
        <v>8.15</v>
      </c>
      <c r="H611" s="4">
        <v>8.15</v>
      </c>
      <c r="I611" s="4"/>
      <c r="J611" s="1" t="s">
        <v>775</v>
      </c>
      <c r="K611" s="1" t="s">
        <v>827</v>
      </c>
      <c r="L611" s="1" t="s">
        <v>946</v>
      </c>
      <c r="M611" s="1" t="s">
        <v>777</v>
      </c>
      <c r="O611" s="6">
        <v>44909</v>
      </c>
      <c r="P611" s="6">
        <v>44865</v>
      </c>
      <c r="Q611" s="6"/>
      <c r="R611" s="1" t="s">
        <v>830</v>
      </c>
      <c r="T611" s="5">
        <v>60</v>
      </c>
      <c r="U611" s="4">
        <v>3</v>
      </c>
      <c r="V611" s="5">
        <v>99</v>
      </c>
      <c r="W611" s="6">
        <v>44473</v>
      </c>
      <c r="X611" s="6"/>
      <c r="Y611" s="6"/>
      <c r="Z611" s="6"/>
      <c r="AA611" s="6"/>
      <c r="AB611" s="6"/>
      <c r="AC611" s="6"/>
      <c r="AD611" s="6"/>
    </row>
    <row r="612" spans="1:30">
      <c r="A612" s="1" t="s">
        <v>772</v>
      </c>
      <c r="B612" s="1" t="s">
        <v>773</v>
      </c>
      <c r="C612" s="1" t="s">
        <v>774</v>
      </c>
      <c r="D612" s="1" t="s">
        <v>1087</v>
      </c>
      <c r="E612" s="1" t="str">
        <f t="shared" si="9"/>
        <v>W01</v>
      </c>
      <c r="F612" s="4">
        <v>0</v>
      </c>
      <c r="G612" s="4">
        <v>0</v>
      </c>
      <c r="H612" s="4">
        <v>0</v>
      </c>
      <c r="I612" s="4"/>
      <c r="J612" s="1" t="s">
        <v>775</v>
      </c>
      <c r="K612" s="1" t="s">
        <v>1004</v>
      </c>
      <c r="O612" s="6">
        <v>44559</v>
      </c>
      <c r="P612" s="6">
        <v>44531</v>
      </c>
      <c r="Q612" s="6"/>
      <c r="R612" s="1" t="s">
        <v>1005</v>
      </c>
      <c r="T612" s="5">
        <v>0</v>
      </c>
      <c r="U612" s="4">
        <v>14</v>
      </c>
      <c r="V612" s="5">
        <v>433</v>
      </c>
      <c r="W612" s="6"/>
      <c r="X612" s="6"/>
      <c r="Y612" s="6"/>
      <c r="Z612" s="6"/>
      <c r="AA612" s="6"/>
      <c r="AB612" s="6"/>
      <c r="AC612" s="6"/>
      <c r="AD612" s="6"/>
    </row>
    <row r="613" spans="1:30">
      <c r="A613" s="1" t="s">
        <v>772</v>
      </c>
      <c r="B613" s="1" t="s">
        <v>773</v>
      </c>
      <c r="C613" s="1" t="s">
        <v>774</v>
      </c>
      <c r="D613" s="1" t="s">
        <v>1088</v>
      </c>
      <c r="E613" s="1" t="str">
        <f t="shared" si="9"/>
        <v>W01</v>
      </c>
      <c r="F613" s="4">
        <v>0</v>
      </c>
      <c r="G613" s="4">
        <v>0</v>
      </c>
      <c r="H613" s="4">
        <v>0</v>
      </c>
      <c r="I613" s="4"/>
      <c r="J613" s="1" t="s">
        <v>775</v>
      </c>
      <c r="K613" s="1" t="s">
        <v>1004</v>
      </c>
      <c r="O613" s="6">
        <v>44559</v>
      </c>
      <c r="P613" s="6">
        <v>44531</v>
      </c>
      <c r="Q613" s="6"/>
      <c r="R613" s="1" t="s">
        <v>1005</v>
      </c>
      <c r="T613" s="5">
        <v>0</v>
      </c>
      <c r="U613" s="4">
        <v>14</v>
      </c>
      <c r="V613" s="5">
        <v>433</v>
      </c>
      <c r="W613" s="6"/>
      <c r="X613" s="6"/>
      <c r="Y613" s="6"/>
      <c r="Z613" s="6"/>
      <c r="AA613" s="6"/>
      <c r="AB613" s="6"/>
      <c r="AC613" s="6"/>
      <c r="AD613" s="6"/>
    </row>
    <row r="614" spans="1:30">
      <c r="A614" s="1" t="s">
        <v>772</v>
      </c>
      <c r="B614" s="1" t="s">
        <v>917</v>
      </c>
      <c r="C614" s="1" t="s">
        <v>858</v>
      </c>
      <c r="D614" s="1" t="s">
        <v>1089</v>
      </c>
      <c r="E614" s="1" t="str">
        <f t="shared" si="9"/>
        <v>W04</v>
      </c>
      <c r="F614" s="4">
        <v>0</v>
      </c>
      <c r="G614" s="4">
        <v>0</v>
      </c>
      <c r="H614" s="4">
        <v>13.7</v>
      </c>
      <c r="I614" s="4"/>
      <c r="J614" s="1" t="s">
        <v>775</v>
      </c>
      <c r="K614" s="1" t="s">
        <v>1090</v>
      </c>
      <c r="O614" s="6">
        <v>42937</v>
      </c>
      <c r="P614" s="6">
        <v>42937</v>
      </c>
      <c r="Q614" s="6">
        <v>42917</v>
      </c>
      <c r="R614" s="1" t="s">
        <v>1091</v>
      </c>
      <c r="T614" s="5">
        <v>0</v>
      </c>
      <c r="U614" s="4">
        <v>66</v>
      </c>
      <c r="V614" s="5">
        <v>2027</v>
      </c>
      <c r="W614" s="6"/>
      <c r="X614" s="6"/>
      <c r="Y614" s="6"/>
      <c r="Z614" s="6"/>
      <c r="AA614" s="6"/>
      <c r="AB614" s="6"/>
      <c r="AC614" s="6"/>
      <c r="AD614" s="6">
        <v>43126</v>
      </c>
    </row>
    <row r="615" spans="1:30">
      <c r="A615" s="1" t="s">
        <v>772</v>
      </c>
      <c r="B615" s="1" t="s">
        <v>917</v>
      </c>
      <c r="C615" s="1" t="s">
        <v>858</v>
      </c>
      <c r="D615" s="1" t="s">
        <v>1092</v>
      </c>
      <c r="E615" s="1" t="str">
        <f t="shared" si="9"/>
        <v>W04</v>
      </c>
      <c r="F615" s="4">
        <v>0</v>
      </c>
      <c r="G615" s="4">
        <v>0</v>
      </c>
      <c r="H615" s="4">
        <v>11.5</v>
      </c>
      <c r="I615" s="4"/>
      <c r="J615" s="1" t="s">
        <v>775</v>
      </c>
      <c r="K615" s="1" t="s">
        <v>1090</v>
      </c>
      <c r="O615" s="6">
        <v>42933</v>
      </c>
      <c r="P615" s="6">
        <v>42933</v>
      </c>
      <c r="Q615" s="6">
        <v>42917</v>
      </c>
      <c r="R615" s="1" t="s">
        <v>1091</v>
      </c>
      <c r="T615" s="5">
        <v>0</v>
      </c>
      <c r="U615" s="4">
        <v>66</v>
      </c>
      <c r="V615" s="5">
        <v>2031</v>
      </c>
      <c r="W615" s="6"/>
      <c r="X615" s="6"/>
      <c r="Y615" s="6"/>
      <c r="Z615" s="6"/>
      <c r="AA615" s="6"/>
      <c r="AB615" s="6"/>
      <c r="AC615" s="6"/>
      <c r="AD615" s="6">
        <v>43006</v>
      </c>
    </row>
    <row r="616" spans="1:30">
      <c r="A616" s="1" t="s">
        <v>772</v>
      </c>
      <c r="B616" s="1" t="s">
        <v>917</v>
      </c>
      <c r="C616" s="1" t="s">
        <v>858</v>
      </c>
      <c r="D616" s="1" t="s">
        <v>1093</v>
      </c>
      <c r="E616" s="1" t="str">
        <f t="shared" si="9"/>
        <v>W04</v>
      </c>
      <c r="F616" s="4">
        <v>0</v>
      </c>
      <c r="G616" s="4">
        <v>0</v>
      </c>
      <c r="H616" s="4">
        <v>12.73</v>
      </c>
      <c r="I616" s="4"/>
      <c r="J616" s="1" t="s">
        <v>775</v>
      </c>
      <c r="K616" s="1" t="s">
        <v>1090</v>
      </c>
      <c r="O616" s="6">
        <v>42937</v>
      </c>
      <c r="P616" s="6">
        <v>42937</v>
      </c>
      <c r="Q616" s="6">
        <v>42917</v>
      </c>
      <c r="R616" s="1" t="s">
        <v>1091</v>
      </c>
      <c r="T616" s="5">
        <v>0</v>
      </c>
      <c r="U616" s="4">
        <v>66</v>
      </c>
      <c r="V616" s="5">
        <v>2027</v>
      </c>
      <c r="W616" s="6"/>
      <c r="X616" s="6"/>
      <c r="Y616" s="6"/>
      <c r="Z616" s="6"/>
      <c r="AA616" s="6"/>
      <c r="AB616" s="6"/>
      <c r="AC616" s="6"/>
      <c r="AD616" s="6"/>
    </row>
    <row r="617" spans="1:30">
      <c r="A617" s="1" t="s">
        <v>772</v>
      </c>
      <c r="B617" s="1" t="s">
        <v>917</v>
      </c>
      <c r="C617" s="1" t="s">
        <v>858</v>
      </c>
      <c r="D617" s="1" t="s">
        <v>1094</v>
      </c>
      <c r="E617" s="1" t="str">
        <f t="shared" si="9"/>
        <v>W04</v>
      </c>
      <c r="F617" s="4">
        <v>0</v>
      </c>
      <c r="G617" s="4">
        <v>0</v>
      </c>
      <c r="H617" s="4">
        <v>4.6900000000000004</v>
      </c>
      <c r="I617" s="4"/>
      <c r="J617" s="1" t="s">
        <v>775</v>
      </c>
      <c r="K617" s="1" t="s">
        <v>1095</v>
      </c>
      <c r="O617" s="6">
        <v>42902</v>
      </c>
      <c r="P617" s="6">
        <v>42902</v>
      </c>
      <c r="Q617" s="6">
        <v>42887</v>
      </c>
      <c r="R617" s="1" t="s">
        <v>1091</v>
      </c>
      <c r="T617" s="5">
        <v>0</v>
      </c>
      <c r="U617" s="4">
        <v>67</v>
      </c>
      <c r="V617" s="5">
        <v>2062</v>
      </c>
      <c r="W617" s="6"/>
      <c r="X617" s="6"/>
      <c r="Y617" s="6"/>
      <c r="Z617" s="6"/>
      <c r="AA617" s="6"/>
      <c r="AB617" s="6"/>
      <c r="AC617" s="6"/>
      <c r="AD617" s="6">
        <v>42927</v>
      </c>
    </row>
    <row r="618" spans="1:30">
      <c r="A618" s="1" t="s">
        <v>772</v>
      </c>
      <c r="B618" s="1" t="s">
        <v>917</v>
      </c>
      <c r="C618" s="1" t="s">
        <v>858</v>
      </c>
      <c r="D618" s="1" t="s">
        <v>1096</v>
      </c>
      <c r="E618" s="1" t="str">
        <f t="shared" si="9"/>
        <v>W04</v>
      </c>
      <c r="F618" s="5">
        <v>0</v>
      </c>
      <c r="G618" s="5">
        <v>0</v>
      </c>
      <c r="H618" s="5">
        <v>18.670000000000002</v>
      </c>
      <c r="I618" s="5"/>
      <c r="J618" s="1" t="s">
        <v>775</v>
      </c>
      <c r="K618" s="1" t="s">
        <v>1095</v>
      </c>
      <c r="O618" s="6">
        <v>42902</v>
      </c>
      <c r="P618" s="6">
        <v>42902</v>
      </c>
      <c r="Q618" s="6">
        <v>42887</v>
      </c>
      <c r="R618" s="1" t="s">
        <v>1091</v>
      </c>
      <c r="T618" s="5">
        <v>0</v>
      </c>
      <c r="U618" s="4">
        <v>67</v>
      </c>
      <c r="V618" s="5">
        <v>2062</v>
      </c>
      <c r="W618" s="6"/>
      <c r="X618" s="6"/>
      <c r="Y618" s="6"/>
      <c r="Z618" s="6"/>
      <c r="AA618" s="6"/>
      <c r="AB618" s="6"/>
      <c r="AC618" s="6"/>
      <c r="AD618" s="6">
        <v>42921</v>
      </c>
    </row>
    <row r="619" spans="1:30">
      <c r="A619" s="1" t="s">
        <v>772</v>
      </c>
      <c r="B619" s="1" t="s">
        <v>917</v>
      </c>
      <c r="C619" s="1" t="s">
        <v>858</v>
      </c>
      <c r="D619" s="1" t="s">
        <v>1097</v>
      </c>
      <c r="E619" s="1" t="str">
        <f t="shared" si="9"/>
        <v>W04</v>
      </c>
      <c r="F619" s="4">
        <v>0</v>
      </c>
      <c r="G619" s="4">
        <v>0</v>
      </c>
      <c r="H619" s="4">
        <v>12.83</v>
      </c>
      <c r="I619" s="4"/>
      <c r="J619" s="1" t="s">
        <v>775</v>
      </c>
      <c r="K619" s="1" t="s">
        <v>1095</v>
      </c>
      <c r="O619" s="6">
        <v>42902</v>
      </c>
      <c r="P619" s="6">
        <v>42902</v>
      </c>
      <c r="Q619" s="6">
        <v>42887</v>
      </c>
      <c r="R619" s="1" t="s">
        <v>1091</v>
      </c>
      <c r="T619" s="5">
        <v>0</v>
      </c>
      <c r="U619" s="4">
        <v>67</v>
      </c>
      <c r="V619" s="5">
        <v>2062</v>
      </c>
      <c r="W619" s="6"/>
      <c r="X619" s="6"/>
      <c r="Y619" s="6"/>
      <c r="Z619" s="6"/>
      <c r="AA619" s="6"/>
      <c r="AB619" s="6"/>
      <c r="AC619" s="6"/>
      <c r="AD619" s="6">
        <v>42921</v>
      </c>
    </row>
    <row r="620" spans="1:30">
      <c r="A620" s="1" t="s">
        <v>772</v>
      </c>
      <c r="B620" s="1" t="s">
        <v>917</v>
      </c>
      <c r="C620" s="1" t="s">
        <v>858</v>
      </c>
      <c r="D620" s="1" t="s">
        <v>1098</v>
      </c>
      <c r="E620" s="1" t="str">
        <f t="shared" si="9"/>
        <v>W04</v>
      </c>
      <c r="F620" s="4">
        <v>0</v>
      </c>
      <c r="G620" s="4">
        <v>0</v>
      </c>
      <c r="H620" s="4">
        <v>2.59</v>
      </c>
      <c r="I620" s="4"/>
      <c r="J620" s="1" t="s">
        <v>775</v>
      </c>
      <c r="K620" s="1" t="s">
        <v>1090</v>
      </c>
      <c r="O620" s="6">
        <v>42937</v>
      </c>
      <c r="P620" s="6">
        <v>42937</v>
      </c>
      <c r="Q620" s="6">
        <v>42917</v>
      </c>
      <c r="R620" s="1" t="s">
        <v>1091</v>
      </c>
      <c r="T620" s="5">
        <v>0</v>
      </c>
      <c r="U620" s="4">
        <v>66</v>
      </c>
      <c r="V620" s="5">
        <v>2027</v>
      </c>
      <c r="W620" s="6"/>
      <c r="X620" s="6"/>
      <c r="Y620" s="6"/>
      <c r="Z620" s="6"/>
      <c r="AA620" s="6"/>
      <c r="AB620" s="6"/>
      <c r="AC620" s="6"/>
      <c r="AD620" s="6">
        <v>43369</v>
      </c>
    </row>
    <row r="621" spans="1:30">
      <c r="A621" s="1" t="s">
        <v>772</v>
      </c>
      <c r="B621" s="1" t="s">
        <v>917</v>
      </c>
      <c r="C621" s="1" t="s">
        <v>858</v>
      </c>
      <c r="D621" s="1" t="s">
        <v>1099</v>
      </c>
      <c r="E621" s="1" t="str">
        <f t="shared" si="9"/>
        <v>W04</v>
      </c>
      <c r="F621" s="4">
        <v>0</v>
      </c>
      <c r="G621" s="4">
        <v>0</v>
      </c>
      <c r="H621" s="4">
        <v>8.9700000000000006</v>
      </c>
      <c r="I621" s="4"/>
      <c r="J621" s="1" t="s">
        <v>775</v>
      </c>
      <c r="K621" s="1" t="s">
        <v>1090</v>
      </c>
      <c r="O621" s="6">
        <v>42934</v>
      </c>
      <c r="P621" s="6">
        <v>42934</v>
      </c>
      <c r="Q621" s="6">
        <v>42917</v>
      </c>
      <c r="R621" s="1" t="s">
        <v>1091</v>
      </c>
      <c r="S621" s="1" t="s">
        <v>1100</v>
      </c>
      <c r="T621" s="5">
        <v>0</v>
      </c>
      <c r="U621" s="4">
        <v>66</v>
      </c>
      <c r="V621" s="5">
        <v>2030</v>
      </c>
      <c r="W621" s="6"/>
      <c r="X621" s="6"/>
      <c r="Y621" s="6"/>
      <c r="Z621" s="6"/>
      <c r="AA621" s="6"/>
      <c r="AB621" s="6"/>
      <c r="AC621" s="6"/>
      <c r="AD621" s="6">
        <v>43046</v>
      </c>
    </row>
    <row r="622" spans="1:30">
      <c r="A622" s="1" t="s">
        <v>772</v>
      </c>
      <c r="B622" s="1" t="s">
        <v>917</v>
      </c>
      <c r="C622" s="1" t="s">
        <v>858</v>
      </c>
      <c r="D622" s="1" t="s">
        <v>1101</v>
      </c>
      <c r="E622" s="1" t="str">
        <f t="shared" si="9"/>
        <v>W04</v>
      </c>
      <c r="F622" s="4">
        <v>0</v>
      </c>
      <c r="G622" s="4">
        <v>0</v>
      </c>
      <c r="H622" s="4">
        <v>23.52</v>
      </c>
      <c r="I622" s="4"/>
      <c r="J622" s="1" t="s">
        <v>775</v>
      </c>
      <c r="K622" s="1" t="s">
        <v>1090</v>
      </c>
      <c r="O622" s="6">
        <v>42937</v>
      </c>
      <c r="P622" s="6">
        <v>42937</v>
      </c>
      <c r="Q622" s="6">
        <v>42917</v>
      </c>
      <c r="R622" s="1" t="s">
        <v>1091</v>
      </c>
      <c r="T622" s="5">
        <v>0</v>
      </c>
      <c r="U622" s="4">
        <v>66</v>
      </c>
      <c r="V622" s="5">
        <v>2027</v>
      </c>
      <c r="W622" s="6"/>
      <c r="X622" s="6"/>
      <c r="Y622" s="6"/>
      <c r="Z622" s="6"/>
      <c r="AA622" s="6"/>
      <c r="AB622" s="6"/>
      <c r="AC622" s="6"/>
      <c r="AD622" s="6">
        <v>43634</v>
      </c>
    </row>
    <row r="623" spans="1:30">
      <c r="A623" s="1" t="s">
        <v>772</v>
      </c>
      <c r="B623" s="1" t="s">
        <v>917</v>
      </c>
      <c r="C623" s="1" t="s">
        <v>858</v>
      </c>
      <c r="D623" s="1" t="s">
        <v>1102</v>
      </c>
      <c r="E623" s="1" t="str">
        <f t="shared" si="9"/>
        <v>W04</v>
      </c>
      <c r="F623" s="4">
        <v>0</v>
      </c>
      <c r="G623" s="4">
        <v>0</v>
      </c>
      <c r="H623" s="4">
        <v>12.83</v>
      </c>
      <c r="I623" s="4"/>
      <c r="J623" s="1" t="s">
        <v>775</v>
      </c>
      <c r="K623" s="1" t="s">
        <v>1095</v>
      </c>
      <c r="O623" s="6">
        <v>42902</v>
      </c>
      <c r="P623" s="6">
        <v>42902</v>
      </c>
      <c r="Q623" s="6">
        <v>42887</v>
      </c>
      <c r="R623" s="1" t="s">
        <v>1091</v>
      </c>
      <c r="T623" s="5">
        <v>0</v>
      </c>
      <c r="U623" s="4">
        <v>67</v>
      </c>
      <c r="V623" s="5">
        <v>2062</v>
      </c>
      <c r="W623" s="6"/>
      <c r="X623" s="6"/>
      <c r="Y623" s="6"/>
      <c r="Z623" s="6"/>
      <c r="AA623" s="6"/>
      <c r="AB623" s="6"/>
      <c r="AC623" s="6"/>
      <c r="AD623" s="6">
        <v>42997</v>
      </c>
    </row>
    <row r="624" spans="1:30">
      <c r="A624" s="1" t="s">
        <v>772</v>
      </c>
      <c r="B624" s="1" t="s">
        <v>917</v>
      </c>
      <c r="C624" s="1" t="s">
        <v>858</v>
      </c>
      <c r="D624" s="1" t="s">
        <v>1103</v>
      </c>
      <c r="E624" s="1" t="str">
        <f t="shared" si="9"/>
        <v>W04</v>
      </c>
      <c r="F624" s="4">
        <v>0</v>
      </c>
      <c r="G624" s="4">
        <v>0</v>
      </c>
      <c r="H624" s="4">
        <v>8.3699999999999992</v>
      </c>
      <c r="I624" s="4"/>
      <c r="J624" s="1" t="s">
        <v>775</v>
      </c>
      <c r="K624" s="1" t="s">
        <v>1095</v>
      </c>
      <c r="O624" s="6">
        <v>42902</v>
      </c>
      <c r="P624" s="6">
        <v>42902</v>
      </c>
      <c r="Q624" s="6">
        <v>42887</v>
      </c>
      <c r="R624" s="1" t="s">
        <v>1091</v>
      </c>
      <c r="T624" s="5">
        <v>0</v>
      </c>
      <c r="U624" s="4">
        <v>67</v>
      </c>
      <c r="V624" s="5">
        <v>2062</v>
      </c>
      <c r="W624" s="6"/>
      <c r="X624" s="6"/>
      <c r="Y624" s="6"/>
      <c r="Z624" s="6"/>
      <c r="AA624" s="6"/>
      <c r="AB624" s="6"/>
      <c r="AC624" s="6"/>
      <c r="AD624" s="6">
        <v>42986</v>
      </c>
    </row>
    <row r="625" spans="1:30">
      <c r="A625" s="1" t="s">
        <v>772</v>
      </c>
      <c r="B625" s="1" t="s">
        <v>917</v>
      </c>
      <c r="C625" s="1" t="s">
        <v>858</v>
      </c>
      <c r="D625" s="1" t="s">
        <v>1104</v>
      </c>
      <c r="E625" s="1" t="str">
        <f t="shared" si="9"/>
        <v>W04</v>
      </c>
      <c r="F625" s="4">
        <v>0</v>
      </c>
      <c r="G625" s="4">
        <v>0</v>
      </c>
      <c r="H625" s="4">
        <v>14.82</v>
      </c>
      <c r="I625" s="4"/>
      <c r="J625" s="1" t="s">
        <v>775</v>
      </c>
      <c r="K625" s="1" t="s">
        <v>1095</v>
      </c>
      <c r="O625" s="6">
        <v>42902</v>
      </c>
      <c r="P625" s="6">
        <v>42902</v>
      </c>
      <c r="Q625" s="6">
        <v>42887</v>
      </c>
      <c r="R625" s="1" t="s">
        <v>1091</v>
      </c>
      <c r="T625" s="5">
        <v>0</v>
      </c>
      <c r="U625" s="4">
        <v>67</v>
      </c>
      <c r="V625" s="5">
        <v>2062</v>
      </c>
      <c r="W625" s="6"/>
      <c r="X625" s="6"/>
      <c r="Y625" s="6"/>
      <c r="Z625" s="6"/>
      <c r="AA625" s="6"/>
      <c r="AB625" s="6"/>
      <c r="AC625" s="6"/>
      <c r="AD625" s="6">
        <v>42991</v>
      </c>
    </row>
    <row r="626" spans="1:30">
      <c r="A626" s="1" t="s">
        <v>772</v>
      </c>
      <c r="B626" s="1" t="s">
        <v>917</v>
      </c>
      <c r="C626" s="1" t="s">
        <v>858</v>
      </c>
      <c r="D626" s="1" t="s">
        <v>1105</v>
      </c>
      <c r="E626" s="1" t="str">
        <f t="shared" si="9"/>
        <v>W04</v>
      </c>
      <c r="F626" s="4">
        <v>0</v>
      </c>
      <c r="G626" s="4">
        <v>0</v>
      </c>
      <c r="H626" s="4">
        <v>25.96</v>
      </c>
      <c r="I626" s="4"/>
      <c r="J626" s="1" t="s">
        <v>775</v>
      </c>
      <c r="K626" s="1" t="s">
        <v>1090</v>
      </c>
      <c r="O626" s="6">
        <v>42937</v>
      </c>
      <c r="P626" s="6">
        <v>42937</v>
      </c>
      <c r="Q626" s="6">
        <v>42917</v>
      </c>
      <c r="R626" s="1" t="s">
        <v>1091</v>
      </c>
      <c r="T626" s="5">
        <v>0</v>
      </c>
      <c r="U626" s="4">
        <v>66</v>
      </c>
      <c r="V626" s="5">
        <v>2027</v>
      </c>
      <c r="W626" s="6"/>
      <c r="X626" s="6"/>
      <c r="Y626" s="6"/>
      <c r="Z626" s="6"/>
      <c r="AA626" s="6"/>
      <c r="AB626" s="6"/>
      <c r="AC626" s="6"/>
      <c r="AD626" s="6">
        <v>43314</v>
      </c>
    </row>
    <row r="627" spans="1:30">
      <c r="A627" s="1" t="s">
        <v>772</v>
      </c>
      <c r="B627" s="1" t="s">
        <v>917</v>
      </c>
      <c r="C627" s="1" t="s">
        <v>858</v>
      </c>
      <c r="D627" s="1" t="s">
        <v>1106</v>
      </c>
      <c r="E627" s="1" t="str">
        <f t="shared" si="9"/>
        <v>W04</v>
      </c>
      <c r="F627" s="4">
        <v>0</v>
      </c>
      <c r="G627" s="4">
        <v>0</v>
      </c>
      <c r="H627" s="4">
        <v>6.58</v>
      </c>
      <c r="I627" s="4"/>
      <c r="J627" s="1" t="s">
        <v>775</v>
      </c>
      <c r="K627" s="1" t="s">
        <v>1095</v>
      </c>
      <c r="O627" s="6">
        <v>42902</v>
      </c>
      <c r="P627" s="6">
        <v>42902</v>
      </c>
      <c r="Q627" s="6">
        <v>42887</v>
      </c>
      <c r="R627" s="1" t="s">
        <v>1091</v>
      </c>
      <c r="T627" s="5">
        <v>0</v>
      </c>
      <c r="U627" s="4">
        <v>67</v>
      </c>
      <c r="V627" s="5">
        <v>2062</v>
      </c>
      <c r="W627" s="6"/>
      <c r="X627" s="6"/>
      <c r="Y627" s="6"/>
      <c r="Z627" s="6"/>
      <c r="AA627" s="6"/>
      <c r="AB627" s="6"/>
      <c r="AC627" s="6"/>
      <c r="AD627" s="6">
        <v>42922</v>
      </c>
    </row>
    <row r="628" spans="1:30">
      <c r="A628" s="1" t="s">
        <v>772</v>
      </c>
      <c r="B628" s="1" t="s">
        <v>917</v>
      </c>
      <c r="C628" s="1" t="s">
        <v>858</v>
      </c>
      <c r="D628" s="1" t="s">
        <v>1107</v>
      </c>
      <c r="E628" s="1" t="str">
        <f t="shared" si="9"/>
        <v>W04</v>
      </c>
      <c r="F628" s="4">
        <v>0</v>
      </c>
      <c r="G628" s="4">
        <v>0</v>
      </c>
      <c r="H628" s="4">
        <v>7.15</v>
      </c>
      <c r="I628" s="4"/>
      <c r="J628" s="1" t="s">
        <v>775</v>
      </c>
      <c r="K628" s="1" t="s">
        <v>1095</v>
      </c>
      <c r="O628" s="6">
        <v>42902</v>
      </c>
      <c r="P628" s="6">
        <v>42902</v>
      </c>
      <c r="Q628" s="6">
        <v>42887</v>
      </c>
      <c r="R628" s="1" t="s">
        <v>1091</v>
      </c>
      <c r="T628" s="5">
        <v>0</v>
      </c>
      <c r="U628" s="4">
        <v>67</v>
      </c>
      <c r="V628" s="5">
        <v>2062</v>
      </c>
      <c r="W628" s="6"/>
      <c r="X628" s="6"/>
      <c r="Y628" s="6"/>
      <c r="Z628" s="6"/>
      <c r="AA628" s="6"/>
      <c r="AB628" s="6"/>
      <c r="AC628" s="6"/>
      <c r="AD628" s="6">
        <v>42920</v>
      </c>
    </row>
    <row r="629" spans="1:30">
      <c r="A629" s="1" t="s">
        <v>772</v>
      </c>
      <c r="B629" s="1" t="s">
        <v>917</v>
      </c>
      <c r="C629" s="1" t="s">
        <v>858</v>
      </c>
      <c r="D629" s="1" t="s">
        <v>1108</v>
      </c>
      <c r="E629" s="1" t="str">
        <f t="shared" si="9"/>
        <v>W04</v>
      </c>
      <c r="F629" s="4">
        <v>0</v>
      </c>
      <c r="G629" s="4">
        <v>0</v>
      </c>
      <c r="H629" s="4">
        <v>10.8</v>
      </c>
      <c r="I629" s="4"/>
      <c r="J629" s="1" t="s">
        <v>775</v>
      </c>
      <c r="K629" s="1" t="s">
        <v>1095</v>
      </c>
      <c r="O629" s="6">
        <v>42902</v>
      </c>
      <c r="P629" s="6">
        <v>42902</v>
      </c>
      <c r="Q629" s="6">
        <v>42887</v>
      </c>
      <c r="R629" s="1" t="s">
        <v>1091</v>
      </c>
      <c r="T629" s="5">
        <v>0</v>
      </c>
      <c r="U629" s="4">
        <v>67</v>
      </c>
      <c r="V629" s="5">
        <v>2062</v>
      </c>
      <c r="W629" s="6"/>
      <c r="X629" s="6"/>
      <c r="Y629" s="6"/>
      <c r="Z629" s="6"/>
      <c r="AA629" s="6"/>
      <c r="AB629" s="6"/>
      <c r="AC629" s="6"/>
      <c r="AD629" s="6">
        <v>43013</v>
      </c>
    </row>
    <row r="630" spans="1:30">
      <c r="A630" s="1" t="s">
        <v>772</v>
      </c>
      <c r="B630" s="1" t="s">
        <v>917</v>
      </c>
      <c r="C630" s="1" t="s">
        <v>858</v>
      </c>
      <c r="D630" s="1" t="s">
        <v>1109</v>
      </c>
      <c r="E630" s="1" t="str">
        <f t="shared" si="9"/>
        <v>W04</v>
      </c>
      <c r="F630" s="4">
        <v>0</v>
      </c>
      <c r="G630" s="4">
        <v>0</v>
      </c>
      <c r="H630" s="4">
        <v>5.31</v>
      </c>
      <c r="I630" s="4"/>
      <c r="J630" s="1" t="s">
        <v>775</v>
      </c>
      <c r="K630" s="1" t="s">
        <v>1095</v>
      </c>
      <c r="O630" s="6">
        <v>42902</v>
      </c>
      <c r="P630" s="6">
        <v>42902</v>
      </c>
      <c r="Q630" s="6">
        <v>42887</v>
      </c>
      <c r="R630" s="1" t="s">
        <v>1091</v>
      </c>
      <c r="T630" s="5">
        <v>0</v>
      </c>
      <c r="U630" s="4">
        <v>67</v>
      </c>
      <c r="V630" s="5">
        <v>2062</v>
      </c>
      <c r="W630" s="6"/>
      <c r="X630" s="6"/>
      <c r="Y630" s="6"/>
      <c r="Z630" s="6"/>
      <c r="AA630" s="6"/>
      <c r="AB630" s="6"/>
      <c r="AC630" s="6"/>
      <c r="AD630" s="6">
        <v>42993</v>
      </c>
    </row>
    <row r="631" spans="1:30">
      <c r="A631" s="1" t="s">
        <v>772</v>
      </c>
      <c r="B631" s="1" t="s">
        <v>917</v>
      </c>
      <c r="C631" s="1" t="s">
        <v>858</v>
      </c>
      <c r="D631" s="1" t="s">
        <v>1110</v>
      </c>
      <c r="E631" s="1" t="str">
        <f t="shared" si="9"/>
        <v>W04</v>
      </c>
      <c r="F631" s="4">
        <v>99</v>
      </c>
      <c r="G631" s="4">
        <v>99</v>
      </c>
      <c r="H631" s="4">
        <v>99</v>
      </c>
      <c r="I631" s="4"/>
      <c r="J631" s="1" t="s">
        <v>775</v>
      </c>
      <c r="K631" s="1" t="s">
        <v>1111</v>
      </c>
      <c r="O631" s="6">
        <v>42431</v>
      </c>
      <c r="P631" s="6">
        <v>42430</v>
      </c>
      <c r="Q631" s="6">
        <v>42430</v>
      </c>
      <c r="R631" s="1" t="s">
        <v>1112</v>
      </c>
      <c r="T631" s="5">
        <v>0</v>
      </c>
      <c r="U631" s="4">
        <v>83</v>
      </c>
      <c r="V631" s="5">
        <v>2534</v>
      </c>
      <c r="W631" s="6"/>
      <c r="X631" s="6"/>
      <c r="Y631" s="6"/>
      <c r="Z631" s="6"/>
      <c r="AA631" s="6"/>
      <c r="AB631" s="6"/>
      <c r="AC631" s="6"/>
      <c r="AD631" s="6"/>
    </row>
    <row r="632" spans="1:30">
      <c r="A632" s="1" t="s">
        <v>772</v>
      </c>
      <c r="B632" s="1" t="s">
        <v>917</v>
      </c>
      <c r="C632" s="1" t="s">
        <v>858</v>
      </c>
      <c r="D632" s="1" t="s">
        <v>1113</v>
      </c>
      <c r="E632" s="1" t="str">
        <f t="shared" si="9"/>
        <v>W04</v>
      </c>
      <c r="F632" s="4">
        <v>99</v>
      </c>
      <c r="G632" s="4">
        <v>99</v>
      </c>
      <c r="H632" s="4">
        <v>99</v>
      </c>
      <c r="I632" s="4"/>
      <c r="J632" s="1" t="s">
        <v>775</v>
      </c>
      <c r="K632" s="1" t="s">
        <v>1114</v>
      </c>
      <c r="O632" s="6">
        <v>42737</v>
      </c>
      <c r="P632" s="6">
        <v>42737</v>
      </c>
      <c r="Q632" s="6">
        <v>42737</v>
      </c>
      <c r="R632" s="1" t="s">
        <v>1112</v>
      </c>
      <c r="T632" s="5">
        <v>0</v>
      </c>
      <c r="U632" s="4">
        <v>73</v>
      </c>
      <c r="V632" s="5">
        <v>2227</v>
      </c>
      <c r="W632" s="6"/>
      <c r="X632" s="6"/>
      <c r="Y632" s="6"/>
      <c r="Z632" s="6"/>
      <c r="AA632" s="6"/>
      <c r="AB632" s="6"/>
      <c r="AC632" s="6"/>
      <c r="AD632" s="6"/>
    </row>
    <row r="633" spans="1:30">
      <c r="A633" s="1" t="s">
        <v>772</v>
      </c>
      <c r="B633" s="1" t="s">
        <v>917</v>
      </c>
      <c r="C633" s="1" t="s">
        <v>858</v>
      </c>
      <c r="D633" s="1" t="s">
        <v>1115</v>
      </c>
      <c r="E633" s="1" t="str">
        <f t="shared" si="9"/>
        <v>W04</v>
      </c>
      <c r="F633" s="4">
        <v>99</v>
      </c>
      <c r="G633" s="4">
        <v>99</v>
      </c>
      <c r="H633" s="4">
        <v>99</v>
      </c>
      <c r="I633" s="4"/>
      <c r="J633" s="1" t="s">
        <v>775</v>
      </c>
      <c r="K633" s="1" t="s">
        <v>1116</v>
      </c>
      <c r="O633" s="6">
        <v>42431</v>
      </c>
      <c r="P633" s="6">
        <v>42430</v>
      </c>
      <c r="Q633" s="6">
        <v>42430</v>
      </c>
      <c r="R633" s="1" t="s">
        <v>1112</v>
      </c>
      <c r="T633" s="5">
        <v>0</v>
      </c>
      <c r="U633" s="4">
        <v>83</v>
      </c>
      <c r="V633" s="5">
        <v>2534</v>
      </c>
      <c r="W633" s="6"/>
      <c r="X633" s="6"/>
      <c r="Y633" s="6"/>
      <c r="Z633" s="6"/>
      <c r="AA633" s="6"/>
      <c r="AB633" s="6"/>
      <c r="AC633" s="6"/>
      <c r="AD633" s="6"/>
    </row>
    <row r="634" spans="1:30">
      <c r="A634" s="1" t="s">
        <v>772</v>
      </c>
      <c r="B634" s="1" t="s">
        <v>917</v>
      </c>
      <c r="C634" s="1" t="s">
        <v>858</v>
      </c>
      <c r="D634" s="1" t="s">
        <v>1117</v>
      </c>
      <c r="E634" s="1" t="str">
        <f t="shared" si="9"/>
        <v>W04</v>
      </c>
      <c r="F634" s="4">
        <v>99</v>
      </c>
      <c r="G634" s="4">
        <v>99</v>
      </c>
      <c r="H634" s="4">
        <v>99</v>
      </c>
      <c r="I634" s="4"/>
      <c r="J634" s="1" t="s">
        <v>775</v>
      </c>
      <c r="K634" s="1" t="s">
        <v>1118</v>
      </c>
      <c r="O634" s="6">
        <v>42702</v>
      </c>
      <c r="P634" s="6">
        <v>42675</v>
      </c>
      <c r="Q634" s="6">
        <v>42675</v>
      </c>
      <c r="R634" s="1" t="s">
        <v>1112</v>
      </c>
      <c r="T634" s="5">
        <v>0</v>
      </c>
      <c r="U634" s="4">
        <v>75</v>
      </c>
      <c r="V634" s="5">
        <v>2289</v>
      </c>
      <c r="W634" s="6"/>
      <c r="X634" s="6"/>
      <c r="Y634" s="6"/>
      <c r="Z634" s="6"/>
      <c r="AA634" s="6"/>
      <c r="AB634" s="6"/>
      <c r="AC634" s="6"/>
      <c r="AD634" s="6">
        <v>43210</v>
      </c>
    </row>
    <row r="635" spans="1:30">
      <c r="A635" s="1" t="s">
        <v>772</v>
      </c>
      <c r="B635" s="1" t="s">
        <v>917</v>
      </c>
      <c r="C635" s="1" t="s">
        <v>858</v>
      </c>
      <c r="D635" s="1" t="s">
        <v>1119</v>
      </c>
      <c r="E635" s="1" t="str">
        <f t="shared" si="9"/>
        <v>W04</v>
      </c>
      <c r="F635" s="4">
        <v>99</v>
      </c>
      <c r="G635" s="4">
        <v>99</v>
      </c>
      <c r="H635" s="4">
        <v>99</v>
      </c>
      <c r="I635" s="4"/>
      <c r="J635" s="1" t="s">
        <v>775</v>
      </c>
      <c r="K635" s="1" t="s">
        <v>1120</v>
      </c>
      <c r="O635" s="6">
        <v>42663</v>
      </c>
      <c r="P635" s="6">
        <v>42614</v>
      </c>
      <c r="Q635" s="6">
        <v>42614</v>
      </c>
      <c r="R635" s="1" t="s">
        <v>1112</v>
      </c>
      <c r="T635" s="5">
        <v>0</v>
      </c>
      <c r="U635" s="4">
        <v>77</v>
      </c>
      <c r="V635" s="5">
        <v>2350</v>
      </c>
      <c r="W635" s="6"/>
      <c r="X635" s="6"/>
      <c r="Y635" s="6"/>
      <c r="Z635" s="6"/>
      <c r="AA635" s="6"/>
      <c r="AB635" s="6"/>
      <c r="AC635" s="6"/>
      <c r="AD635" s="6">
        <v>42802</v>
      </c>
    </row>
    <row r="636" spans="1:30">
      <c r="A636" s="1" t="s">
        <v>772</v>
      </c>
      <c r="B636" s="1" t="s">
        <v>917</v>
      </c>
      <c r="C636" s="1" t="s">
        <v>858</v>
      </c>
      <c r="D636" s="1" t="s">
        <v>1121</v>
      </c>
      <c r="E636" s="1" t="str">
        <f t="shared" si="9"/>
        <v>W04</v>
      </c>
      <c r="F636" s="4">
        <v>99</v>
      </c>
      <c r="G636" s="4">
        <v>99</v>
      </c>
      <c r="H636" s="4">
        <v>99</v>
      </c>
      <c r="I636" s="4"/>
      <c r="J636" s="1" t="s">
        <v>775</v>
      </c>
      <c r="K636" s="1" t="s">
        <v>1122</v>
      </c>
      <c r="O636" s="6">
        <v>42753</v>
      </c>
      <c r="P636" s="6">
        <v>42750</v>
      </c>
      <c r="Q636" s="6">
        <v>42750</v>
      </c>
      <c r="R636" s="1" t="s">
        <v>1112</v>
      </c>
      <c r="T636" s="5">
        <v>0</v>
      </c>
      <c r="U636" s="4">
        <v>72</v>
      </c>
      <c r="V636" s="5">
        <v>2214</v>
      </c>
      <c r="W636" s="6"/>
      <c r="X636" s="6"/>
      <c r="Y636" s="6"/>
      <c r="Z636" s="6"/>
      <c r="AA636" s="6"/>
      <c r="AB636" s="6"/>
      <c r="AC636" s="6"/>
      <c r="AD636" s="6"/>
    </row>
    <row r="637" spans="1:30">
      <c r="A637" s="1" t="s">
        <v>772</v>
      </c>
      <c r="B637" s="1" t="s">
        <v>917</v>
      </c>
      <c r="C637" s="1" t="s">
        <v>858</v>
      </c>
      <c r="D637" s="1" t="s">
        <v>1123</v>
      </c>
      <c r="E637" s="1" t="str">
        <f t="shared" si="9"/>
        <v>W04</v>
      </c>
      <c r="F637" s="4">
        <v>99</v>
      </c>
      <c r="G637" s="4">
        <v>99</v>
      </c>
      <c r="H637" s="4">
        <v>99</v>
      </c>
      <c r="I637" s="4"/>
      <c r="J637" s="1" t="s">
        <v>775</v>
      </c>
      <c r="K637" s="1" t="s">
        <v>1111</v>
      </c>
      <c r="O637" s="6">
        <v>42432</v>
      </c>
      <c r="P637" s="6">
        <v>42430</v>
      </c>
      <c r="Q637" s="6">
        <v>42430</v>
      </c>
      <c r="R637" s="1" t="s">
        <v>1112</v>
      </c>
      <c r="T637" s="5">
        <v>0</v>
      </c>
      <c r="U637" s="4">
        <v>83</v>
      </c>
      <c r="V637" s="5">
        <v>2534</v>
      </c>
      <c r="W637" s="6"/>
      <c r="X637" s="6"/>
      <c r="Y637" s="6"/>
      <c r="Z637" s="6"/>
      <c r="AA637" s="6"/>
      <c r="AB637" s="6"/>
      <c r="AC637" s="6"/>
      <c r="AD637" s="6">
        <v>42587</v>
      </c>
    </row>
    <row r="638" spans="1:30">
      <c r="A638" s="1" t="s">
        <v>772</v>
      </c>
      <c r="B638" s="1" t="s">
        <v>917</v>
      </c>
      <c r="C638" s="1" t="s">
        <v>858</v>
      </c>
      <c r="D638" s="1" t="s">
        <v>1124</v>
      </c>
      <c r="E638" s="1" t="str">
        <f t="shared" si="9"/>
        <v>W04</v>
      </c>
      <c r="F638" s="4">
        <v>99</v>
      </c>
      <c r="G638" s="4">
        <v>99</v>
      </c>
      <c r="H638" s="4">
        <v>99</v>
      </c>
      <c r="I638" s="4"/>
      <c r="J638" s="1" t="s">
        <v>775</v>
      </c>
      <c r="K638" s="1" t="s">
        <v>1125</v>
      </c>
      <c r="O638" s="6">
        <v>42467</v>
      </c>
      <c r="P638" s="6">
        <v>42467</v>
      </c>
      <c r="Q638" s="6">
        <v>42461</v>
      </c>
      <c r="R638" s="1" t="s">
        <v>1112</v>
      </c>
      <c r="T638" s="5">
        <v>0</v>
      </c>
      <c r="U638" s="4">
        <v>82</v>
      </c>
      <c r="V638" s="5">
        <v>2497</v>
      </c>
      <c r="W638" s="6"/>
      <c r="X638" s="6"/>
      <c r="Y638" s="6"/>
      <c r="Z638" s="6"/>
      <c r="AA638" s="6"/>
      <c r="AB638" s="6"/>
      <c r="AC638" s="6"/>
      <c r="AD638" s="6">
        <v>42641</v>
      </c>
    </row>
    <row r="639" spans="1:30">
      <c r="A639" s="1" t="s">
        <v>772</v>
      </c>
      <c r="B639" s="1" t="s">
        <v>917</v>
      </c>
      <c r="C639" s="1" t="s">
        <v>858</v>
      </c>
      <c r="D639" s="1" t="s">
        <v>1126</v>
      </c>
      <c r="E639" s="1" t="str">
        <f t="shared" si="9"/>
        <v>W04</v>
      </c>
      <c r="F639" s="4">
        <v>99</v>
      </c>
      <c r="G639" s="5">
        <v>99</v>
      </c>
      <c r="H639" s="5">
        <v>99</v>
      </c>
      <c r="I639" s="5"/>
      <c r="J639" s="1" t="s">
        <v>775</v>
      </c>
      <c r="K639" s="1" t="s">
        <v>1127</v>
      </c>
      <c r="O639" s="6">
        <v>42492</v>
      </c>
      <c r="P639" s="6">
        <v>42491</v>
      </c>
      <c r="Q639" s="6">
        <v>42491</v>
      </c>
      <c r="R639" s="1" t="s">
        <v>1112</v>
      </c>
      <c r="T639" s="5">
        <v>0</v>
      </c>
      <c r="U639" s="4">
        <v>81</v>
      </c>
      <c r="V639" s="5">
        <v>2473</v>
      </c>
      <c r="W639" s="6"/>
      <c r="X639" s="6"/>
      <c r="Y639" s="6"/>
      <c r="Z639" s="6"/>
      <c r="AA639" s="6"/>
      <c r="AB639" s="6"/>
      <c r="AC639" s="6"/>
      <c r="AD639" s="6">
        <v>42664</v>
      </c>
    </row>
    <row r="640" spans="1:30">
      <c r="A640" s="1" t="s">
        <v>772</v>
      </c>
      <c r="B640" s="1" t="s">
        <v>917</v>
      </c>
      <c r="C640" s="1" t="s">
        <v>858</v>
      </c>
      <c r="D640" s="1" t="s">
        <v>1128</v>
      </c>
      <c r="E640" s="1" t="str">
        <f t="shared" si="9"/>
        <v>W04</v>
      </c>
      <c r="F640" s="4">
        <v>99</v>
      </c>
      <c r="G640" s="4">
        <v>99</v>
      </c>
      <c r="H640" s="4">
        <v>99</v>
      </c>
      <c r="I640" s="4"/>
      <c r="J640" s="1" t="s">
        <v>775</v>
      </c>
      <c r="K640" s="1" t="s">
        <v>1129</v>
      </c>
      <c r="O640" s="6">
        <v>42522</v>
      </c>
      <c r="P640" s="6">
        <v>42522</v>
      </c>
      <c r="Q640" s="6">
        <v>42491</v>
      </c>
      <c r="R640" s="1" t="s">
        <v>1112</v>
      </c>
      <c r="T640" s="5">
        <v>0</v>
      </c>
      <c r="U640" s="4">
        <v>80</v>
      </c>
      <c r="V640" s="5">
        <v>2442</v>
      </c>
      <c r="W640" s="6"/>
      <c r="X640" s="6"/>
      <c r="Y640" s="6"/>
      <c r="Z640" s="6"/>
      <c r="AA640" s="6"/>
      <c r="AB640" s="6"/>
      <c r="AC640" s="6"/>
      <c r="AD640" s="6">
        <v>42692</v>
      </c>
    </row>
    <row r="641" spans="1:30">
      <c r="A641" s="1" t="s">
        <v>772</v>
      </c>
      <c r="B641" s="1" t="s">
        <v>917</v>
      </c>
      <c r="C641" s="1" t="s">
        <v>858</v>
      </c>
      <c r="D641" s="1" t="s">
        <v>1130</v>
      </c>
      <c r="E641" s="1" t="str">
        <f t="shared" si="9"/>
        <v>W04</v>
      </c>
      <c r="F641" s="4">
        <v>99</v>
      </c>
      <c r="G641" s="4">
        <v>99</v>
      </c>
      <c r="H641" s="4">
        <v>99</v>
      </c>
      <c r="I641" s="4"/>
      <c r="J641" s="1" t="s">
        <v>775</v>
      </c>
      <c r="K641" s="1" t="s">
        <v>1131</v>
      </c>
      <c r="O641" s="6">
        <v>42565</v>
      </c>
      <c r="P641" s="6">
        <v>42552</v>
      </c>
      <c r="Q641" s="6">
        <v>42552</v>
      </c>
      <c r="R641" s="1" t="s">
        <v>1112</v>
      </c>
      <c r="T641" s="5">
        <v>0</v>
      </c>
      <c r="U641" s="4">
        <v>79</v>
      </c>
      <c r="V641" s="5">
        <v>2412</v>
      </c>
      <c r="W641" s="6"/>
      <c r="X641" s="6"/>
      <c r="Y641" s="6"/>
      <c r="Z641" s="6"/>
      <c r="AA641" s="6"/>
      <c r="AB641" s="6"/>
      <c r="AC641" s="6"/>
      <c r="AD641" s="6">
        <v>42705</v>
      </c>
    </row>
    <row r="642" spans="1:30">
      <c r="A642" s="1" t="s">
        <v>772</v>
      </c>
      <c r="B642" s="1" t="s">
        <v>917</v>
      </c>
      <c r="C642" s="1" t="s">
        <v>858</v>
      </c>
      <c r="D642" s="1" t="s">
        <v>1132</v>
      </c>
      <c r="E642" s="1" t="str">
        <f t="shared" si="9"/>
        <v>W04</v>
      </c>
      <c r="F642" s="4">
        <v>99</v>
      </c>
      <c r="G642" s="4">
        <v>99</v>
      </c>
      <c r="H642" s="4">
        <v>99</v>
      </c>
      <c r="I642" s="4"/>
      <c r="J642" s="1" t="s">
        <v>775</v>
      </c>
      <c r="K642" s="1" t="s">
        <v>1133</v>
      </c>
      <c r="O642" s="6">
        <v>42585</v>
      </c>
      <c r="P642" s="6">
        <v>42583</v>
      </c>
      <c r="Q642" s="6">
        <v>42583</v>
      </c>
      <c r="R642" s="1" t="s">
        <v>1112</v>
      </c>
      <c r="T642" s="5">
        <v>0</v>
      </c>
      <c r="U642" s="4">
        <v>78</v>
      </c>
      <c r="V642" s="5">
        <v>2381</v>
      </c>
      <c r="W642" s="6"/>
      <c r="X642" s="6"/>
      <c r="Y642" s="6"/>
      <c r="Z642" s="6"/>
      <c r="AA642" s="6"/>
      <c r="AB642" s="6"/>
      <c r="AC642" s="6"/>
      <c r="AD642" s="6"/>
    </row>
    <row r="643" spans="1:30">
      <c r="A643" s="1" t="s">
        <v>772</v>
      </c>
      <c r="B643" s="1" t="s">
        <v>917</v>
      </c>
      <c r="C643" s="1" t="s">
        <v>858</v>
      </c>
      <c r="D643" s="1" t="s">
        <v>1134</v>
      </c>
      <c r="E643" s="1" t="str">
        <f t="shared" si="9"/>
        <v>W04</v>
      </c>
      <c r="F643" s="4">
        <v>99</v>
      </c>
      <c r="G643" s="4">
        <v>99</v>
      </c>
      <c r="H643" s="4">
        <v>99</v>
      </c>
      <c r="I643" s="4"/>
      <c r="J643" s="1" t="s">
        <v>775</v>
      </c>
      <c r="K643" s="1" t="s">
        <v>1135</v>
      </c>
      <c r="O643" s="6">
        <v>42647</v>
      </c>
      <c r="P643" s="6">
        <v>42644</v>
      </c>
      <c r="Q643" s="6">
        <v>42644</v>
      </c>
      <c r="R643" s="1" t="s">
        <v>1112</v>
      </c>
      <c r="T643" s="5">
        <v>0</v>
      </c>
      <c r="U643" s="4">
        <v>76</v>
      </c>
      <c r="V643" s="5">
        <v>2320</v>
      </c>
      <c r="W643" s="6"/>
      <c r="X643" s="6"/>
      <c r="Y643" s="6"/>
      <c r="Z643" s="6"/>
      <c r="AA643" s="6"/>
      <c r="AB643" s="6"/>
      <c r="AC643" s="6"/>
      <c r="AD643" s="6"/>
    </row>
    <row r="644" spans="1:30">
      <c r="A644" s="1" t="s">
        <v>772</v>
      </c>
      <c r="B644" s="1" t="s">
        <v>917</v>
      </c>
      <c r="C644" s="1" t="s">
        <v>858</v>
      </c>
      <c r="D644" s="1" t="s">
        <v>1136</v>
      </c>
      <c r="E644" s="1" t="str">
        <f t="shared" si="9"/>
        <v>W04</v>
      </c>
      <c r="F644" s="4">
        <v>99</v>
      </c>
      <c r="G644" s="4">
        <v>99</v>
      </c>
      <c r="H644" s="4">
        <v>99</v>
      </c>
      <c r="I644" s="4"/>
      <c r="J644" s="1" t="s">
        <v>775</v>
      </c>
      <c r="K644" s="1" t="s">
        <v>1137</v>
      </c>
      <c r="O644" s="6">
        <v>42695</v>
      </c>
      <c r="P644" s="6">
        <v>42675</v>
      </c>
      <c r="Q644" s="6">
        <v>42675</v>
      </c>
      <c r="R644" s="1" t="s">
        <v>1112</v>
      </c>
      <c r="T644" s="5">
        <v>0</v>
      </c>
      <c r="U644" s="4">
        <v>75</v>
      </c>
      <c r="V644" s="5">
        <v>2289</v>
      </c>
      <c r="W644" s="6"/>
      <c r="X644" s="6"/>
      <c r="Y644" s="6"/>
      <c r="Z644" s="6"/>
      <c r="AA644" s="6"/>
      <c r="AB644" s="6"/>
      <c r="AC644" s="6"/>
      <c r="AD644" s="6"/>
    </row>
    <row r="645" spans="1:30">
      <c r="A645" s="1" t="s">
        <v>772</v>
      </c>
      <c r="B645" s="1" t="s">
        <v>917</v>
      </c>
      <c r="C645" s="1" t="s">
        <v>989</v>
      </c>
      <c r="D645" s="1" t="s">
        <v>1138</v>
      </c>
      <c r="E645" s="1" t="str">
        <f t="shared" ref="E645:E708" si="10">RIGHT(C645,3)</f>
        <v>W05</v>
      </c>
      <c r="F645" s="4">
        <v>99</v>
      </c>
      <c r="G645" s="4">
        <v>99</v>
      </c>
      <c r="H645" s="4">
        <v>99</v>
      </c>
      <c r="I645" s="4"/>
      <c r="J645" s="1" t="s">
        <v>775</v>
      </c>
      <c r="K645" s="1" t="s">
        <v>1139</v>
      </c>
      <c r="O645" s="6">
        <v>42431</v>
      </c>
      <c r="P645" s="6">
        <v>42430</v>
      </c>
      <c r="Q645" s="6">
        <v>42430</v>
      </c>
      <c r="R645" s="1" t="s">
        <v>1017</v>
      </c>
      <c r="T645" s="5">
        <v>0</v>
      </c>
      <c r="U645" s="4">
        <v>83</v>
      </c>
      <c r="V645" s="5">
        <v>2534</v>
      </c>
      <c r="W645" s="6"/>
      <c r="X645" s="6"/>
      <c r="Y645" s="6"/>
      <c r="Z645" s="6"/>
      <c r="AA645" s="6"/>
      <c r="AB645" s="6"/>
      <c r="AC645" s="6"/>
      <c r="AD645" s="6"/>
    </row>
    <row r="646" spans="1:30">
      <c r="A646" s="1" t="s">
        <v>772</v>
      </c>
      <c r="B646" s="1" t="s">
        <v>773</v>
      </c>
      <c r="D646" s="1" t="s">
        <v>1140</v>
      </c>
      <c r="E646" s="1" t="str">
        <f t="shared" si="10"/>
        <v/>
      </c>
      <c r="F646" s="4">
        <v>99</v>
      </c>
      <c r="G646" s="4">
        <v>99</v>
      </c>
      <c r="H646" s="4">
        <v>99</v>
      </c>
      <c r="I646" s="4"/>
      <c r="J646" s="1" t="s">
        <v>775</v>
      </c>
      <c r="K646" s="1" t="s">
        <v>1141</v>
      </c>
      <c r="O646" s="6">
        <v>40575</v>
      </c>
      <c r="P646" s="6"/>
      <c r="Q646" s="6"/>
      <c r="R646" s="1" t="s">
        <v>868</v>
      </c>
      <c r="T646" s="5">
        <v>0</v>
      </c>
      <c r="U646" s="4">
        <v>0</v>
      </c>
      <c r="V646" s="5">
        <v>0</v>
      </c>
      <c r="W646" s="6"/>
      <c r="X646" s="6"/>
      <c r="Y646" s="6"/>
      <c r="Z646" s="6"/>
      <c r="AA646" s="6"/>
      <c r="AB646" s="6"/>
      <c r="AC646" s="6"/>
      <c r="AD646" s="6"/>
    </row>
    <row r="647" spans="1:30">
      <c r="A647" s="1" t="s">
        <v>772</v>
      </c>
      <c r="B647" s="1" t="s">
        <v>773</v>
      </c>
      <c r="D647" s="1" t="s">
        <v>1142</v>
      </c>
      <c r="E647" s="1" t="str">
        <f t="shared" si="10"/>
        <v/>
      </c>
      <c r="F647" s="4">
        <v>99</v>
      </c>
      <c r="G647" s="4">
        <v>99</v>
      </c>
      <c r="H647" s="4">
        <v>99</v>
      </c>
      <c r="I647" s="4"/>
      <c r="J647" s="1" t="s">
        <v>775</v>
      </c>
      <c r="K647" s="1" t="s">
        <v>1143</v>
      </c>
      <c r="O647" s="6">
        <v>41116</v>
      </c>
      <c r="P647" s="6"/>
      <c r="Q647" s="6"/>
      <c r="R647" s="1" t="s">
        <v>1144</v>
      </c>
      <c r="T647" s="5">
        <v>0</v>
      </c>
      <c r="U647" s="4">
        <v>0</v>
      </c>
      <c r="V647" s="5">
        <v>0</v>
      </c>
      <c r="W647" s="6"/>
      <c r="X647" s="6"/>
      <c r="Y647" s="6"/>
      <c r="Z647" s="6"/>
      <c r="AA647" s="6"/>
      <c r="AB647" s="6"/>
      <c r="AC647" s="6"/>
      <c r="AD647" s="6"/>
    </row>
    <row r="648" spans="1:30">
      <c r="A648" s="1" t="s">
        <v>772</v>
      </c>
      <c r="B648" s="1" t="s">
        <v>773</v>
      </c>
      <c r="D648" s="1" t="s">
        <v>1145</v>
      </c>
      <c r="E648" s="1" t="str">
        <f t="shared" si="10"/>
        <v/>
      </c>
      <c r="F648" s="4">
        <v>99</v>
      </c>
      <c r="G648" s="4">
        <v>99</v>
      </c>
      <c r="H648" s="4">
        <v>99</v>
      </c>
      <c r="I648" s="4"/>
      <c r="J648" s="1" t="s">
        <v>775</v>
      </c>
      <c r="K648" s="1" t="s">
        <v>1146</v>
      </c>
      <c r="O648" s="6">
        <v>40575</v>
      </c>
      <c r="P648" s="6"/>
      <c r="Q648" s="6"/>
      <c r="R648" s="1" t="s">
        <v>1144</v>
      </c>
      <c r="T648" s="5">
        <v>0</v>
      </c>
      <c r="U648" s="4">
        <v>0</v>
      </c>
      <c r="V648" s="5">
        <v>0</v>
      </c>
      <c r="W648" s="6"/>
      <c r="X648" s="6"/>
      <c r="Y648" s="6"/>
      <c r="Z648" s="6"/>
      <c r="AA648" s="6"/>
      <c r="AB648" s="6"/>
      <c r="AC648" s="6"/>
      <c r="AD648" s="6"/>
    </row>
    <row r="649" spans="1:30">
      <c r="A649" s="1" t="s">
        <v>772</v>
      </c>
      <c r="B649" s="1" t="s">
        <v>773</v>
      </c>
      <c r="D649" s="1" t="s">
        <v>1147</v>
      </c>
      <c r="E649" s="1" t="str">
        <f t="shared" si="10"/>
        <v/>
      </c>
      <c r="F649" s="4">
        <v>99</v>
      </c>
      <c r="G649" s="4">
        <v>99</v>
      </c>
      <c r="H649" s="4">
        <v>99</v>
      </c>
      <c r="I649" s="4"/>
      <c r="J649" s="1" t="s">
        <v>775</v>
      </c>
      <c r="K649" s="1" t="s">
        <v>1148</v>
      </c>
      <c r="O649" s="6">
        <v>40575</v>
      </c>
      <c r="P649" s="6"/>
      <c r="Q649" s="6"/>
      <c r="R649" s="1" t="s">
        <v>1144</v>
      </c>
      <c r="T649" s="5">
        <v>0</v>
      </c>
      <c r="U649" s="4">
        <v>0</v>
      </c>
      <c r="V649" s="5">
        <v>0</v>
      </c>
      <c r="W649" s="6"/>
      <c r="X649" s="6"/>
      <c r="Y649" s="6"/>
      <c r="Z649" s="6"/>
      <c r="AA649" s="6"/>
      <c r="AB649" s="6"/>
      <c r="AC649" s="6"/>
      <c r="AD649" s="6"/>
    </row>
    <row r="650" spans="1:30">
      <c r="A650" s="1" t="s">
        <v>772</v>
      </c>
      <c r="B650" s="1" t="s">
        <v>773</v>
      </c>
      <c r="C650" s="1" t="s">
        <v>989</v>
      </c>
      <c r="D650" s="1" t="s">
        <v>1149</v>
      </c>
      <c r="E650" s="1" t="str">
        <f t="shared" si="10"/>
        <v>W05</v>
      </c>
      <c r="F650" s="4">
        <v>99</v>
      </c>
      <c r="G650" s="4">
        <v>99</v>
      </c>
      <c r="H650" s="4">
        <v>99</v>
      </c>
      <c r="I650" s="4"/>
      <c r="J650" s="1" t="s">
        <v>775</v>
      </c>
      <c r="K650" s="1" t="s">
        <v>1150</v>
      </c>
      <c r="O650" s="6">
        <v>42823</v>
      </c>
      <c r="P650" s="6">
        <v>42795</v>
      </c>
      <c r="Q650" s="6">
        <v>42795</v>
      </c>
      <c r="R650" s="1" t="s">
        <v>1017</v>
      </c>
      <c r="T650" s="5">
        <v>0</v>
      </c>
      <c r="U650" s="4">
        <v>71</v>
      </c>
      <c r="V650" s="5">
        <v>2169</v>
      </c>
      <c r="W650" s="6"/>
      <c r="X650" s="6"/>
      <c r="Y650" s="6"/>
      <c r="Z650" s="6"/>
      <c r="AA650" s="6"/>
      <c r="AB650" s="6"/>
      <c r="AC650" s="6"/>
      <c r="AD650" s="6"/>
    </row>
    <row r="651" spans="1:30">
      <c r="A651" s="1" t="s">
        <v>772</v>
      </c>
      <c r="B651" s="1" t="s">
        <v>773</v>
      </c>
      <c r="D651" s="1" t="s">
        <v>1151</v>
      </c>
      <c r="E651" s="1" t="str">
        <f t="shared" si="10"/>
        <v/>
      </c>
      <c r="F651" s="4">
        <v>99</v>
      </c>
      <c r="G651" s="4">
        <v>99</v>
      </c>
      <c r="H651" s="4">
        <v>99</v>
      </c>
      <c r="I651" s="4"/>
      <c r="J651" s="1" t="s">
        <v>775</v>
      </c>
      <c r="K651" s="1" t="s">
        <v>1152</v>
      </c>
      <c r="O651" s="6">
        <v>40575</v>
      </c>
      <c r="P651" s="6"/>
      <c r="Q651" s="6"/>
      <c r="R651" s="1" t="s">
        <v>1144</v>
      </c>
      <c r="T651" s="5">
        <v>0</v>
      </c>
      <c r="U651" s="4">
        <v>0</v>
      </c>
      <c r="V651" s="5">
        <v>0</v>
      </c>
      <c r="W651" s="6"/>
      <c r="X651" s="6"/>
      <c r="Y651" s="6"/>
      <c r="Z651" s="6"/>
      <c r="AA651" s="6"/>
      <c r="AB651" s="6"/>
      <c r="AC651" s="6"/>
      <c r="AD651" s="6"/>
    </row>
    <row r="652" spans="1:30">
      <c r="A652" s="1" t="s">
        <v>772</v>
      </c>
      <c r="B652" s="1" t="s">
        <v>773</v>
      </c>
      <c r="D652" s="1" t="s">
        <v>1153</v>
      </c>
      <c r="E652" s="1" t="str">
        <f t="shared" si="10"/>
        <v/>
      </c>
      <c r="F652" s="4">
        <v>99</v>
      </c>
      <c r="G652" s="4">
        <v>99</v>
      </c>
      <c r="H652" s="4">
        <v>99</v>
      </c>
      <c r="I652" s="4"/>
      <c r="J652" s="1" t="s">
        <v>775</v>
      </c>
      <c r="K652" s="1" t="s">
        <v>1154</v>
      </c>
      <c r="O652" s="6">
        <v>40575</v>
      </c>
      <c r="P652" s="6"/>
      <c r="Q652" s="6"/>
      <c r="R652" s="1" t="s">
        <v>1144</v>
      </c>
      <c r="T652" s="5">
        <v>0</v>
      </c>
      <c r="U652" s="4">
        <v>0</v>
      </c>
      <c r="V652" s="5">
        <v>0</v>
      </c>
      <c r="W652" s="6"/>
      <c r="X652" s="6"/>
      <c r="Y652" s="6"/>
      <c r="Z652" s="6"/>
      <c r="AA652" s="6"/>
      <c r="AB652" s="6"/>
      <c r="AC652" s="6"/>
      <c r="AD652" s="6"/>
    </row>
    <row r="653" spans="1:30">
      <c r="A653" s="1" t="s">
        <v>772</v>
      </c>
      <c r="B653" s="1" t="s">
        <v>773</v>
      </c>
      <c r="D653" s="1" t="s">
        <v>1155</v>
      </c>
      <c r="E653" s="1" t="str">
        <f t="shared" si="10"/>
        <v/>
      </c>
      <c r="F653" s="4">
        <v>99</v>
      </c>
      <c r="G653" s="4">
        <v>99</v>
      </c>
      <c r="H653" s="4">
        <v>99</v>
      </c>
      <c r="I653" s="4"/>
      <c r="J653" s="1" t="s">
        <v>775</v>
      </c>
      <c r="K653" s="1" t="s">
        <v>1154</v>
      </c>
      <c r="O653" s="6">
        <v>40575</v>
      </c>
      <c r="P653" s="6"/>
      <c r="Q653" s="6"/>
      <c r="R653" s="1" t="s">
        <v>1144</v>
      </c>
      <c r="T653" s="5">
        <v>0</v>
      </c>
      <c r="U653" s="4">
        <v>0</v>
      </c>
      <c r="V653" s="5">
        <v>0</v>
      </c>
      <c r="W653" s="6"/>
      <c r="X653" s="6"/>
      <c r="Y653" s="6"/>
      <c r="Z653" s="6"/>
      <c r="AA653" s="6"/>
      <c r="AB653" s="6"/>
      <c r="AC653" s="6"/>
      <c r="AD653" s="6"/>
    </row>
    <row r="654" spans="1:30">
      <c r="A654" s="1" t="s">
        <v>772</v>
      </c>
      <c r="B654" s="1" t="s">
        <v>773</v>
      </c>
      <c r="D654" s="1" t="s">
        <v>1156</v>
      </c>
      <c r="E654" s="1" t="str">
        <f t="shared" si="10"/>
        <v/>
      </c>
      <c r="F654" s="4">
        <v>0</v>
      </c>
      <c r="G654" s="4">
        <v>0</v>
      </c>
      <c r="H654" s="4">
        <v>0</v>
      </c>
      <c r="I654" s="4"/>
      <c r="J654" s="1" t="s">
        <v>775</v>
      </c>
      <c r="K654" s="1" t="s">
        <v>1157</v>
      </c>
      <c r="L654" s="1" t="s">
        <v>1158</v>
      </c>
      <c r="O654" s="6">
        <v>43741</v>
      </c>
      <c r="P654" s="6">
        <v>43739</v>
      </c>
      <c r="Q654" s="6">
        <v>43739</v>
      </c>
      <c r="R654" s="1" t="s">
        <v>1159</v>
      </c>
      <c r="T654" s="5">
        <v>0</v>
      </c>
      <c r="U654" s="4">
        <v>40</v>
      </c>
      <c r="V654" s="5">
        <v>1225</v>
      </c>
      <c r="W654" s="6"/>
      <c r="X654" s="6"/>
      <c r="Y654" s="6"/>
      <c r="Z654" s="6"/>
      <c r="AA654" s="6"/>
      <c r="AB654" s="6"/>
      <c r="AC654" s="6"/>
      <c r="AD654" s="6"/>
    </row>
    <row r="655" spans="1:30">
      <c r="A655" s="1" t="s">
        <v>772</v>
      </c>
      <c r="B655" s="1" t="s">
        <v>773</v>
      </c>
      <c r="D655" s="1" t="s">
        <v>1160</v>
      </c>
      <c r="E655" s="1" t="str">
        <f t="shared" si="10"/>
        <v/>
      </c>
      <c r="F655" s="4">
        <v>99</v>
      </c>
      <c r="G655" s="4">
        <v>99</v>
      </c>
      <c r="H655" s="4">
        <v>99</v>
      </c>
      <c r="I655" s="4"/>
      <c r="J655" s="1" t="s">
        <v>775</v>
      </c>
      <c r="K655" s="1" t="s">
        <v>1161</v>
      </c>
      <c r="O655" s="6">
        <v>40575</v>
      </c>
      <c r="P655" s="6"/>
      <c r="Q655" s="6"/>
      <c r="R655" s="1" t="s">
        <v>1144</v>
      </c>
      <c r="T655" s="5">
        <v>0</v>
      </c>
      <c r="U655" s="4">
        <v>0</v>
      </c>
      <c r="V655" s="5">
        <v>0</v>
      </c>
      <c r="W655" s="6"/>
      <c r="X655" s="6"/>
      <c r="Y655" s="6"/>
      <c r="Z655" s="6"/>
      <c r="AA655" s="6"/>
      <c r="AB655" s="6"/>
      <c r="AC655" s="6"/>
      <c r="AD655" s="6"/>
    </row>
    <row r="656" spans="1:30">
      <c r="A656" s="1" t="s">
        <v>772</v>
      </c>
      <c r="B656" s="1" t="s">
        <v>773</v>
      </c>
      <c r="D656" s="1" t="s">
        <v>1162</v>
      </c>
      <c r="E656" s="1" t="str">
        <f t="shared" si="10"/>
        <v/>
      </c>
      <c r="F656" s="4">
        <v>99</v>
      </c>
      <c r="G656" s="4">
        <v>99</v>
      </c>
      <c r="H656" s="4">
        <v>99</v>
      </c>
      <c r="I656" s="4"/>
      <c r="J656" s="1" t="s">
        <v>775</v>
      </c>
      <c r="K656" s="1" t="s">
        <v>1146</v>
      </c>
      <c r="O656" s="6">
        <v>40575</v>
      </c>
      <c r="P656" s="6"/>
      <c r="Q656" s="6"/>
      <c r="R656" s="1" t="s">
        <v>1144</v>
      </c>
      <c r="T656" s="5">
        <v>0</v>
      </c>
      <c r="U656" s="4">
        <v>0</v>
      </c>
      <c r="V656" s="5">
        <v>0</v>
      </c>
      <c r="W656" s="6"/>
      <c r="X656" s="6"/>
      <c r="Y656" s="6"/>
      <c r="Z656" s="6"/>
      <c r="AA656" s="6"/>
      <c r="AB656" s="6"/>
      <c r="AC656" s="6"/>
      <c r="AD656" s="6"/>
    </row>
    <row r="657" spans="1:30">
      <c r="A657" s="1" t="s">
        <v>772</v>
      </c>
      <c r="B657" s="1" t="s">
        <v>773</v>
      </c>
      <c r="D657" s="1" t="s">
        <v>1163</v>
      </c>
      <c r="E657" s="1" t="str">
        <f t="shared" si="10"/>
        <v/>
      </c>
      <c r="F657" s="4">
        <v>99</v>
      </c>
      <c r="G657" s="4">
        <v>99</v>
      </c>
      <c r="H657" s="4">
        <v>99</v>
      </c>
      <c r="I657" s="4"/>
      <c r="J657" s="1" t="s">
        <v>775</v>
      </c>
      <c r="K657" s="1" t="s">
        <v>1146</v>
      </c>
      <c r="O657" s="6">
        <v>40575</v>
      </c>
      <c r="P657" s="6"/>
      <c r="Q657" s="6"/>
      <c r="R657" s="1" t="s">
        <v>1144</v>
      </c>
      <c r="T657" s="5">
        <v>0</v>
      </c>
      <c r="U657" s="4">
        <v>0</v>
      </c>
      <c r="V657" s="5">
        <v>0</v>
      </c>
      <c r="W657" s="6"/>
      <c r="X657" s="6"/>
      <c r="Y657" s="6"/>
      <c r="Z657" s="6"/>
      <c r="AA657" s="6"/>
      <c r="AB657" s="6"/>
      <c r="AC657" s="6"/>
      <c r="AD657" s="6"/>
    </row>
    <row r="658" spans="1:30">
      <c r="A658" s="1" t="s">
        <v>772</v>
      </c>
      <c r="B658" s="1" t="s">
        <v>773</v>
      </c>
      <c r="D658" s="1" t="s">
        <v>1164</v>
      </c>
      <c r="E658" s="1" t="str">
        <f t="shared" si="10"/>
        <v/>
      </c>
      <c r="F658" s="4">
        <v>99</v>
      </c>
      <c r="G658" s="4">
        <v>99</v>
      </c>
      <c r="H658" s="4">
        <v>99</v>
      </c>
      <c r="I658" s="4"/>
      <c r="J658" s="1" t="s">
        <v>775</v>
      </c>
      <c r="K658" s="1" t="s">
        <v>1165</v>
      </c>
      <c r="O658" s="6">
        <v>42163</v>
      </c>
      <c r="P658" s="6">
        <v>42156</v>
      </c>
      <c r="Q658" s="6"/>
      <c r="R658" s="1" t="s">
        <v>1144</v>
      </c>
      <c r="T658" s="5">
        <v>0</v>
      </c>
      <c r="U658" s="4">
        <v>92</v>
      </c>
      <c r="V658" s="5">
        <v>2808</v>
      </c>
      <c r="W658" s="6"/>
      <c r="X658" s="6"/>
      <c r="Y658" s="6"/>
      <c r="Z658" s="6"/>
      <c r="AA658" s="6"/>
      <c r="AB658" s="6"/>
      <c r="AC658" s="6"/>
      <c r="AD658" s="6"/>
    </row>
    <row r="659" spans="1:30">
      <c r="A659" s="1" t="s">
        <v>772</v>
      </c>
      <c r="B659" s="1" t="s">
        <v>773</v>
      </c>
      <c r="D659" s="1" t="s">
        <v>1166</v>
      </c>
      <c r="E659" s="1" t="str">
        <f t="shared" si="10"/>
        <v/>
      </c>
      <c r="F659" s="4">
        <v>99</v>
      </c>
      <c r="G659" s="4">
        <v>99</v>
      </c>
      <c r="H659" s="4">
        <v>99</v>
      </c>
      <c r="I659" s="4"/>
      <c r="J659" s="1" t="s">
        <v>775</v>
      </c>
      <c r="K659" s="1" t="s">
        <v>1167</v>
      </c>
      <c r="O659" s="6">
        <v>41122</v>
      </c>
      <c r="P659" s="6"/>
      <c r="Q659" s="6"/>
      <c r="R659" s="1" t="s">
        <v>1144</v>
      </c>
      <c r="T659" s="5">
        <v>0</v>
      </c>
      <c r="U659" s="4">
        <v>0</v>
      </c>
      <c r="V659" s="5">
        <v>0</v>
      </c>
      <c r="W659" s="6"/>
      <c r="X659" s="6"/>
      <c r="Y659" s="6"/>
      <c r="Z659" s="6"/>
      <c r="AA659" s="6"/>
      <c r="AB659" s="6"/>
      <c r="AC659" s="6"/>
      <c r="AD659" s="6"/>
    </row>
    <row r="660" spans="1:30">
      <c r="A660" s="1" t="s">
        <v>772</v>
      </c>
      <c r="B660" s="1" t="s">
        <v>773</v>
      </c>
      <c r="D660" s="1" t="s">
        <v>1168</v>
      </c>
      <c r="E660" s="1" t="str">
        <f t="shared" si="10"/>
        <v/>
      </c>
      <c r="F660" s="4">
        <v>0</v>
      </c>
      <c r="G660" s="4">
        <v>0</v>
      </c>
      <c r="H660" s="4">
        <v>99</v>
      </c>
      <c r="I660" s="4"/>
      <c r="J660" s="1" t="s">
        <v>775</v>
      </c>
      <c r="K660" s="1" t="s">
        <v>1169</v>
      </c>
      <c r="L660" s="1" t="s">
        <v>787</v>
      </c>
      <c r="M660" s="1" t="s">
        <v>778</v>
      </c>
      <c r="O660" s="6">
        <v>43062</v>
      </c>
      <c r="P660" s="6">
        <v>43062</v>
      </c>
      <c r="Q660" s="6">
        <v>43040</v>
      </c>
      <c r="R660" s="1" t="s">
        <v>1170</v>
      </c>
      <c r="S660" s="1" t="s">
        <v>1171</v>
      </c>
      <c r="T660" s="5">
        <v>510</v>
      </c>
      <c r="U660" s="4">
        <v>62</v>
      </c>
      <c r="V660" s="5">
        <v>1902</v>
      </c>
      <c r="W660" s="6">
        <v>43572</v>
      </c>
      <c r="X660" s="6"/>
      <c r="Y660" s="6"/>
      <c r="Z660" s="6"/>
      <c r="AA660" s="6"/>
      <c r="AB660" s="6"/>
      <c r="AC660" s="6"/>
      <c r="AD660" s="6"/>
    </row>
    <row r="661" spans="1:30">
      <c r="A661" s="1" t="s">
        <v>772</v>
      </c>
      <c r="B661" s="1" t="s">
        <v>773</v>
      </c>
      <c r="D661" s="1" t="s">
        <v>1172</v>
      </c>
      <c r="E661" s="1" t="str">
        <f t="shared" si="10"/>
        <v/>
      </c>
      <c r="F661" s="4">
        <v>99</v>
      </c>
      <c r="G661" s="4">
        <v>99</v>
      </c>
      <c r="H661" s="4">
        <v>99</v>
      </c>
      <c r="I661" s="4"/>
      <c r="J661" s="1" t="s">
        <v>775</v>
      </c>
      <c r="K661" s="1" t="s">
        <v>1173</v>
      </c>
      <c r="O661" s="6">
        <v>41983</v>
      </c>
      <c r="P661" s="6">
        <v>41983</v>
      </c>
      <c r="Q661" s="6">
        <v>41983</v>
      </c>
      <c r="R661" s="1" t="s">
        <v>1144</v>
      </c>
      <c r="T661" s="5">
        <v>0</v>
      </c>
      <c r="U661" s="4">
        <v>98</v>
      </c>
      <c r="V661" s="5">
        <v>2981</v>
      </c>
      <c r="W661" s="6"/>
      <c r="X661" s="6"/>
      <c r="Y661" s="6"/>
      <c r="Z661" s="6"/>
      <c r="AA661" s="6"/>
      <c r="AB661" s="6"/>
      <c r="AC661" s="6"/>
      <c r="AD661" s="6"/>
    </row>
    <row r="662" spans="1:30">
      <c r="A662" s="1" t="s">
        <v>772</v>
      </c>
      <c r="B662" s="1" t="s">
        <v>917</v>
      </c>
      <c r="C662" s="1" t="s">
        <v>858</v>
      </c>
      <c r="D662" s="1" t="s">
        <v>1174</v>
      </c>
      <c r="E662" s="1" t="str">
        <f t="shared" si="10"/>
        <v>W04</v>
      </c>
      <c r="F662" s="4">
        <v>99</v>
      </c>
      <c r="G662" s="4">
        <v>99</v>
      </c>
      <c r="H662" s="4">
        <v>99</v>
      </c>
      <c r="I662" s="4"/>
      <c r="J662" s="1" t="s">
        <v>775</v>
      </c>
      <c r="K662" s="1" t="s">
        <v>1175</v>
      </c>
      <c r="O662" s="6">
        <v>42857</v>
      </c>
      <c r="P662" s="6">
        <v>42857</v>
      </c>
      <c r="Q662" s="6">
        <v>42826</v>
      </c>
      <c r="R662" s="1" t="s">
        <v>1091</v>
      </c>
      <c r="T662" s="5">
        <v>0</v>
      </c>
      <c r="U662" s="4">
        <v>69</v>
      </c>
      <c r="V662" s="5">
        <v>2107</v>
      </c>
      <c r="W662" s="6"/>
      <c r="X662" s="6"/>
      <c r="Y662" s="6"/>
      <c r="Z662" s="6"/>
      <c r="AA662" s="6"/>
      <c r="AB662" s="6"/>
      <c r="AC662" s="6"/>
      <c r="AD662" s="6">
        <v>42865</v>
      </c>
    </row>
    <row r="663" spans="1:30">
      <c r="A663" s="1" t="s">
        <v>772</v>
      </c>
      <c r="B663" s="1" t="s">
        <v>773</v>
      </c>
      <c r="D663" s="1" t="s">
        <v>1176</v>
      </c>
      <c r="E663" s="1" t="str">
        <f t="shared" si="10"/>
        <v/>
      </c>
      <c r="F663" s="4">
        <v>0</v>
      </c>
      <c r="G663" s="4">
        <v>0</v>
      </c>
      <c r="H663" s="4">
        <v>99</v>
      </c>
      <c r="I663" s="4"/>
      <c r="J663" s="1" t="s">
        <v>775</v>
      </c>
      <c r="K663" s="1" t="s">
        <v>1169</v>
      </c>
      <c r="O663" s="6">
        <v>43049</v>
      </c>
      <c r="P663" s="6">
        <v>43049</v>
      </c>
      <c r="Q663" s="6">
        <v>43040</v>
      </c>
      <c r="R663" s="1" t="s">
        <v>1170</v>
      </c>
      <c r="S663" s="1" t="s">
        <v>1171</v>
      </c>
      <c r="T663" s="5">
        <v>510</v>
      </c>
      <c r="U663" s="4">
        <v>62</v>
      </c>
      <c r="V663" s="5">
        <v>1915</v>
      </c>
      <c r="W663" s="6">
        <v>43559</v>
      </c>
      <c r="X663" s="6"/>
      <c r="Y663" s="6"/>
      <c r="Z663" s="6"/>
      <c r="AA663" s="6"/>
      <c r="AB663" s="6"/>
      <c r="AC663" s="6"/>
      <c r="AD663" s="6"/>
    </row>
    <row r="664" spans="1:30">
      <c r="A664" s="1" t="s">
        <v>772</v>
      </c>
      <c r="B664" s="1" t="s">
        <v>773</v>
      </c>
      <c r="D664" s="1" t="s">
        <v>1177</v>
      </c>
      <c r="E664" s="1" t="str">
        <f t="shared" si="10"/>
        <v/>
      </c>
      <c r="F664" s="4">
        <v>99</v>
      </c>
      <c r="G664" s="4">
        <v>99</v>
      </c>
      <c r="H664" s="4">
        <v>99</v>
      </c>
      <c r="I664" s="4"/>
      <c r="J664" s="1" t="s">
        <v>775</v>
      </c>
      <c r="K664" s="1" t="s">
        <v>1178</v>
      </c>
      <c r="L664" s="1" t="s">
        <v>1179</v>
      </c>
      <c r="O664" s="6">
        <v>43738</v>
      </c>
      <c r="P664" s="6">
        <v>43738</v>
      </c>
      <c r="Q664" s="6">
        <v>43738</v>
      </c>
      <c r="R664" s="1" t="s">
        <v>1144</v>
      </c>
      <c r="T664" s="5">
        <v>0</v>
      </c>
      <c r="U664" s="4">
        <v>40</v>
      </c>
      <c r="V664" s="5">
        <v>1226</v>
      </c>
      <c r="W664" s="6"/>
      <c r="X664" s="6"/>
      <c r="Y664" s="6"/>
      <c r="Z664" s="6"/>
      <c r="AA664" s="6"/>
      <c r="AB664" s="6"/>
      <c r="AC664" s="6"/>
      <c r="AD664" s="6"/>
    </row>
    <row r="665" spans="1:30">
      <c r="A665" s="1" t="s">
        <v>772</v>
      </c>
      <c r="B665" s="1" t="s">
        <v>773</v>
      </c>
      <c r="D665" s="1" t="s">
        <v>1180</v>
      </c>
      <c r="E665" s="1" t="str">
        <f t="shared" si="10"/>
        <v/>
      </c>
      <c r="F665" s="4">
        <v>99</v>
      </c>
      <c r="G665" s="4">
        <v>99</v>
      </c>
      <c r="H665" s="4">
        <v>99</v>
      </c>
      <c r="I665" s="4"/>
      <c r="J665" s="1" t="s">
        <v>775</v>
      </c>
      <c r="K665" s="1" t="s">
        <v>1143</v>
      </c>
      <c r="O665" s="6"/>
      <c r="P665" s="6"/>
      <c r="Q665" s="6"/>
      <c r="R665" s="1" t="s">
        <v>1144</v>
      </c>
      <c r="T665" s="5">
        <v>0</v>
      </c>
      <c r="U665" s="4">
        <v>0</v>
      </c>
      <c r="V665" s="5">
        <v>0</v>
      </c>
      <c r="W665" s="6"/>
      <c r="X665" s="6"/>
      <c r="Y665" s="6"/>
      <c r="Z665" s="6"/>
      <c r="AA665" s="6"/>
      <c r="AB665" s="6"/>
      <c r="AC665" s="6"/>
      <c r="AD665" s="6"/>
    </row>
    <row r="666" spans="1:30">
      <c r="A666" s="1" t="s">
        <v>772</v>
      </c>
      <c r="B666" s="1" t="s">
        <v>773</v>
      </c>
      <c r="D666" s="1" t="s">
        <v>1181</v>
      </c>
      <c r="E666" s="1" t="str">
        <f t="shared" si="10"/>
        <v/>
      </c>
      <c r="F666" s="4">
        <v>99</v>
      </c>
      <c r="G666" s="4">
        <v>99</v>
      </c>
      <c r="H666" s="4">
        <v>99</v>
      </c>
      <c r="I666" s="4"/>
      <c r="J666" s="1" t="s">
        <v>775</v>
      </c>
      <c r="K666" s="1" t="s">
        <v>1143</v>
      </c>
      <c r="O666" s="6">
        <v>41109</v>
      </c>
      <c r="P666" s="6"/>
      <c r="Q666" s="6"/>
      <c r="R666" s="1" t="s">
        <v>1144</v>
      </c>
      <c r="T666" s="5">
        <v>0</v>
      </c>
      <c r="U666" s="4">
        <v>0</v>
      </c>
      <c r="V666" s="5">
        <v>0</v>
      </c>
      <c r="W666" s="6"/>
      <c r="X666" s="6"/>
      <c r="Y666" s="6"/>
      <c r="Z666" s="6"/>
      <c r="AA666" s="6"/>
      <c r="AB666" s="6"/>
      <c r="AC666" s="6"/>
      <c r="AD666" s="6"/>
    </row>
    <row r="667" spans="1:30">
      <c r="A667" s="1" t="s">
        <v>772</v>
      </c>
      <c r="B667" s="1" t="s">
        <v>773</v>
      </c>
      <c r="D667" s="1" t="s">
        <v>1182</v>
      </c>
      <c r="E667" s="1" t="str">
        <f t="shared" si="10"/>
        <v/>
      </c>
      <c r="F667" s="4">
        <v>99</v>
      </c>
      <c r="G667" s="4">
        <v>99</v>
      </c>
      <c r="H667" s="4">
        <v>99</v>
      </c>
      <c r="I667" s="4"/>
      <c r="J667" s="1" t="s">
        <v>775</v>
      </c>
      <c r="K667" s="1" t="s">
        <v>1146</v>
      </c>
      <c r="O667" s="6">
        <v>40575</v>
      </c>
      <c r="P667" s="6"/>
      <c r="Q667" s="6"/>
      <c r="R667" s="1" t="s">
        <v>1144</v>
      </c>
      <c r="T667" s="5">
        <v>0</v>
      </c>
      <c r="U667" s="4">
        <v>0</v>
      </c>
      <c r="V667" s="5">
        <v>0</v>
      </c>
      <c r="W667" s="6"/>
      <c r="X667" s="6"/>
      <c r="Y667" s="6"/>
      <c r="Z667" s="6"/>
      <c r="AA667" s="6"/>
      <c r="AB667" s="6"/>
      <c r="AC667" s="6"/>
      <c r="AD667" s="6"/>
    </row>
    <row r="668" spans="1:30">
      <c r="A668" s="1" t="s">
        <v>772</v>
      </c>
      <c r="B668" s="1" t="s">
        <v>773</v>
      </c>
      <c r="D668" s="1" t="s">
        <v>1183</v>
      </c>
      <c r="E668" s="1" t="str">
        <f t="shared" si="10"/>
        <v/>
      </c>
      <c r="F668" s="4">
        <v>99</v>
      </c>
      <c r="G668" s="4">
        <v>99</v>
      </c>
      <c r="H668" s="4">
        <v>99</v>
      </c>
      <c r="I668" s="4"/>
      <c r="J668" s="1" t="s">
        <v>775</v>
      </c>
      <c r="K668" s="1" t="s">
        <v>1146</v>
      </c>
      <c r="O668" s="6">
        <v>40575</v>
      </c>
      <c r="P668" s="6"/>
      <c r="Q668" s="6"/>
      <c r="R668" s="1" t="s">
        <v>1144</v>
      </c>
      <c r="T668" s="5">
        <v>0</v>
      </c>
      <c r="U668" s="4">
        <v>0</v>
      </c>
      <c r="V668" s="5">
        <v>0</v>
      </c>
      <c r="W668" s="6"/>
      <c r="X668" s="6"/>
      <c r="Y668" s="6"/>
      <c r="Z668" s="6"/>
      <c r="AA668" s="6"/>
      <c r="AB668" s="6"/>
      <c r="AC668" s="6"/>
      <c r="AD668" s="6"/>
    </row>
    <row r="669" spans="1:30">
      <c r="A669" s="1" t="s">
        <v>772</v>
      </c>
      <c r="B669" s="1" t="s">
        <v>773</v>
      </c>
      <c r="D669" s="1" t="s">
        <v>1184</v>
      </c>
      <c r="E669" s="1" t="str">
        <f t="shared" si="10"/>
        <v/>
      </c>
      <c r="F669" s="4">
        <v>99</v>
      </c>
      <c r="G669" s="4">
        <v>99</v>
      </c>
      <c r="H669" s="4">
        <v>99</v>
      </c>
      <c r="I669" s="4"/>
      <c r="J669" s="1" t="s">
        <v>775</v>
      </c>
      <c r="K669" s="1" t="s">
        <v>1146</v>
      </c>
      <c r="O669" s="6">
        <v>40575</v>
      </c>
      <c r="P669" s="6"/>
      <c r="Q669" s="6"/>
      <c r="R669" s="1" t="s">
        <v>1144</v>
      </c>
      <c r="T669" s="5">
        <v>0</v>
      </c>
      <c r="U669" s="4">
        <v>0</v>
      </c>
      <c r="V669" s="5">
        <v>0</v>
      </c>
      <c r="W669" s="6"/>
      <c r="X669" s="6"/>
      <c r="Y669" s="6"/>
      <c r="Z669" s="6"/>
      <c r="AA669" s="6"/>
      <c r="AB669" s="6"/>
      <c r="AC669" s="6"/>
      <c r="AD669" s="6"/>
    </row>
    <row r="670" spans="1:30">
      <c r="A670" s="1" t="s">
        <v>772</v>
      </c>
      <c r="B670" s="1" t="s">
        <v>773</v>
      </c>
      <c r="D670" s="1" t="s">
        <v>1185</v>
      </c>
      <c r="E670" s="1" t="str">
        <f t="shared" si="10"/>
        <v/>
      </c>
      <c r="F670" s="4">
        <v>99</v>
      </c>
      <c r="G670" s="4">
        <v>99</v>
      </c>
      <c r="H670" s="4">
        <v>99</v>
      </c>
      <c r="I670" s="4"/>
      <c r="J670" s="1" t="s">
        <v>775</v>
      </c>
      <c r="K670" s="1" t="s">
        <v>1186</v>
      </c>
      <c r="O670" s="6">
        <v>41110</v>
      </c>
      <c r="P670" s="6"/>
      <c r="Q670" s="6"/>
      <c r="R670" s="1" t="s">
        <v>1144</v>
      </c>
      <c r="T670" s="5">
        <v>0</v>
      </c>
      <c r="U670" s="4">
        <v>0</v>
      </c>
      <c r="V670" s="5">
        <v>0</v>
      </c>
      <c r="W670" s="6"/>
      <c r="X670" s="6"/>
      <c r="Y670" s="6"/>
      <c r="Z670" s="6"/>
      <c r="AA670" s="6"/>
      <c r="AB670" s="6"/>
      <c r="AC670" s="6"/>
      <c r="AD670" s="6"/>
    </row>
    <row r="671" spans="1:30">
      <c r="A671" s="1" t="s">
        <v>772</v>
      </c>
      <c r="B671" s="1" t="s">
        <v>773</v>
      </c>
      <c r="D671" s="1" t="s">
        <v>1187</v>
      </c>
      <c r="E671" s="1" t="str">
        <f t="shared" si="10"/>
        <v/>
      </c>
      <c r="F671" s="4">
        <v>99</v>
      </c>
      <c r="G671" s="4">
        <v>99</v>
      </c>
      <c r="H671" s="4">
        <v>99</v>
      </c>
      <c r="I671" s="4"/>
      <c r="J671" s="1" t="s">
        <v>775</v>
      </c>
      <c r="K671" s="1" t="s">
        <v>1146</v>
      </c>
      <c r="O671" s="6">
        <v>40575</v>
      </c>
      <c r="P671" s="6"/>
      <c r="Q671" s="6"/>
      <c r="R671" s="1" t="s">
        <v>1144</v>
      </c>
      <c r="T671" s="5">
        <v>0</v>
      </c>
      <c r="U671" s="4">
        <v>0</v>
      </c>
      <c r="V671" s="5">
        <v>0</v>
      </c>
      <c r="W671" s="6"/>
      <c r="X671" s="6"/>
      <c r="Y671" s="6"/>
      <c r="Z671" s="6"/>
      <c r="AA671" s="6"/>
      <c r="AB671" s="6"/>
      <c r="AC671" s="6"/>
      <c r="AD671" s="6"/>
    </row>
    <row r="672" spans="1:30">
      <c r="A672" s="1" t="s">
        <v>772</v>
      </c>
      <c r="B672" s="1" t="s">
        <v>773</v>
      </c>
      <c r="C672" s="1" t="s">
        <v>989</v>
      </c>
      <c r="D672" s="1" t="s">
        <v>1188</v>
      </c>
      <c r="E672" s="1" t="str">
        <f t="shared" si="10"/>
        <v>W05</v>
      </c>
      <c r="F672" s="4">
        <v>0</v>
      </c>
      <c r="G672" s="4">
        <v>0</v>
      </c>
      <c r="H672" s="4">
        <v>0</v>
      </c>
      <c r="I672" s="4"/>
      <c r="J672" s="1" t="s">
        <v>775</v>
      </c>
      <c r="K672" s="1" t="s">
        <v>822</v>
      </c>
      <c r="L672" s="1" t="s">
        <v>777</v>
      </c>
      <c r="M672" s="1" t="s">
        <v>778</v>
      </c>
      <c r="N672" s="1" t="s">
        <v>777</v>
      </c>
      <c r="O672" s="6">
        <v>44617</v>
      </c>
      <c r="P672" s="6">
        <v>44607</v>
      </c>
      <c r="Q672" s="6">
        <v>44581</v>
      </c>
      <c r="R672" s="1" t="s">
        <v>779</v>
      </c>
      <c r="S672" s="1" t="s">
        <v>795</v>
      </c>
      <c r="T672" s="5">
        <v>577</v>
      </c>
      <c r="U672" s="4">
        <v>6</v>
      </c>
      <c r="V672" s="5">
        <v>188</v>
      </c>
      <c r="W672" s="6">
        <v>44045</v>
      </c>
      <c r="X672" s="6">
        <v>43292</v>
      </c>
      <c r="Y672" s="6"/>
      <c r="Z672" s="6"/>
      <c r="AA672" s="6"/>
      <c r="AB672" s="6"/>
      <c r="AC672" s="6"/>
      <c r="AD672" s="6"/>
    </row>
    <row r="673" spans="1:30">
      <c r="A673" s="1" t="s">
        <v>772</v>
      </c>
      <c r="B673" s="1" t="s">
        <v>773</v>
      </c>
      <c r="C673" s="1" t="s">
        <v>989</v>
      </c>
      <c r="D673" s="1" t="s">
        <v>1189</v>
      </c>
      <c r="E673" s="1" t="str">
        <f t="shared" si="10"/>
        <v>W05</v>
      </c>
      <c r="F673" s="5">
        <v>0</v>
      </c>
      <c r="G673" s="4">
        <v>0</v>
      </c>
      <c r="H673" s="4">
        <v>0</v>
      </c>
      <c r="I673" s="4"/>
      <c r="J673" s="1" t="s">
        <v>775</v>
      </c>
      <c r="K673" s="1" t="s">
        <v>840</v>
      </c>
      <c r="L673" s="1" t="s">
        <v>777</v>
      </c>
      <c r="M673" s="1" t="s">
        <v>778</v>
      </c>
      <c r="N673" s="1" t="s">
        <v>79</v>
      </c>
      <c r="O673" s="6">
        <v>44589</v>
      </c>
      <c r="P673" s="6">
        <v>44582</v>
      </c>
      <c r="Q673" s="6">
        <v>44557</v>
      </c>
      <c r="R673" s="1" t="s">
        <v>779</v>
      </c>
      <c r="S673" s="1" t="s">
        <v>780</v>
      </c>
      <c r="T673" s="5">
        <v>517</v>
      </c>
      <c r="U673" s="4">
        <v>7</v>
      </c>
      <c r="V673" s="5">
        <v>213</v>
      </c>
      <c r="W673" s="6">
        <v>44098</v>
      </c>
      <c r="X673" s="6"/>
      <c r="Y673" s="6"/>
      <c r="Z673" s="6"/>
      <c r="AA673" s="6"/>
      <c r="AB673" s="6"/>
      <c r="AC673" s="6"/>
      <c r="AD673" s="6"/>
    </row>
    <row r="674" spans="1:30">
      <c r="A674" s="1" t="s">
        <v>772</v>
      </c>
      <c r="B674" s="1" t="s">
        <v>773</v>
      </c>
      <c r="C674" s="1" t="s">
        <v>989</v>
      </c>
      <c r="D674" s="1" t="s">
        <v>1190</v>
      </c>
      <c r="E674" s="1" t="str">
        <f t="shared" si="10"/>
        <v>W05</v>
      </c>
      <c r="F674" s="4">
        <v>0</v>
      </c>
      <c r="G674" s="4">
        <v>0</v>
      </c>
      <c r="H674" s="4">
        <v>0</v>
      </c>
      <c r="I674" s="4"/>
      <c r="J674" s="1" t="s">
        <v>775</v>
      </c>
      <c r="K674" s="1" t="s">
        <v>881</v>
      </c>
      <c r="L674" s="1" t="s">
        <v>777</v>
      </c>
      <c r="M674" s="1" t="s">
        <v>778</v>
      </c>
      <c r="N674" s="1" t="s">
        <v>787</v>
      </c>
      <c r="O674" s="6">
        <v>44531</v>
      </c>
      <c r="P674" s="6">
        <v>44521</v>
      </c>
      <c r="Q674" s="6">
        <v>44507</v>
      </c>
      <c r="R674" s="1" t="s">
        <v>779</v>
      </c>
      <c r="S674" s="1" t="s">
        <v>795</v>
      </c>
      <c r="T674" s="5">
        <v>577</v>
      </c>
      <c r="U674" s="4">
        <v>9</v>
      </c>
      <c r="V674" s="5">
        <v>274</v>
      </c>
      <c r="W674" s="6">
        <v>43373</v>
      </c>
      <c r="X674" s="6">
        <v>42702</v>
      </c>
      <c r="Y674" s="6"/>
      <c r="Z674" s="6"/>
      <c r="AA674" s="6"/>
      <c r="AB674" s="6"/>
      <c r="AC674" s="6"/>
      <c r="AD674" s="6"/>
    </row>
    <row r="675" spans="1:30">
      <c r="A675" s="1" t="s">
        <v>772</v>
      </c>
      <c r="B675" s="1" t="s">
        <v>773</v>
      </c>
      <c r="C675" s="1" t="s">
        <v>989</v>
      </c>
      <c r="D675" s="1" t="s">
        <v>1191</v>
      </c>
      <c r="E675" s="1" t="str">
        <f t="shared" si="10"/>
        <v>W05</v>
      </c>
      <c r="F675" s="4">
        <v>0</v>
      </c>
      <c r="G675" s="4">
        <v>0</v>
      </c>
      <c r="H675" s="4">
        <v>0</v>
      </c>
      <c r="I675" s="4"/>
      <c r="J675" s="1" t="s">
        <v>775</v>
      </c>
      <c r="K675" s="1" t="s">
        <v>987</v>
      </c>
      <c r="L675" s="1" t="s">
        <v>778</v>
      </c>
      <c r="M675" s="1" t="s">
        <v>777</v>
      </c>
      <c r="N675" s="1" t="s">
        <v>788</v>
      </c>
      <c r="O675" s="6">
        <v>44795</v>
      </c>
      <c r="P675" s="6">
        <v>44785</v>
      </c>
      <c r="Q675" s="6"/>
      <c r="R675" s="1" t="s">
        <v>779</v>
      </c>
      <c r="S675" s="1" t="s">
        <v>79</v>
      </c>
      <c r="T675" s="5">
        <v>120</v>
      </c>
      <c r="U675" s="4">
        <v>0</v>
      </c>
      <c r="V675" s="5">
        <v>10</v>
      </c>
      <c r="W675" s="6">
        <v>43677</v>
      </c>
      <c r="X675" s="6">
        <v>43616</v>
      </c>
      <c r="Y675" s="6"/>
      <c r="Z675" s="6"/>
      <c r="AA675" s="6"/>
      <c r="AB675" s="6"/>
      <c r="AC675" s="6"/>
      <c r="AD675" s="6"/>
    </row>
    <row r="676" spans="1:30">
      <c r="A676" s="1" t="s">
        <v>772</v>
      </c>
      <c r="B676" s="1" t="s">
        <v>773</v>
      </c>
      <c r="C676" s="1" t="s">
        <v>989</v>
      </c>
      <c r="D676" s="1" t="s">
        <v>1192</v>
      </c>
      <c r="E676" s="1" t="str">
        <f t="shared" si="10"/>
        <v>W05</v>
      </c>
      <c r="F676" s="4">
        <v>0</v>
      </c>
      <c r="G676" s="4">
        <v>0</v>
      </c>
      <c r="H676" s="4">
        <v>0</v>
      </c>
      <c r="I676" s="4"/>
      <c r="J676" s="1" t="s">
        <v>775</v>
      </c>
      <c r="K676" s="1" t="s">
        <v>987</v>
      </c>
      <c r="L676" s="1" t="s">
        <v>778</v>
      </c>
      <c r="M676" s="1" t="s">
        <v>777</v>
      </c>
      <c r="N676" s="1" t="s">
        <v>788</v>
      </c>
      <c r="O676" s="6">
        <v>44795</v>
      </c>
      <c r="P676" s="6">
        <v>44786</v>
      </c>
      <c r="Q676" s="6"/>
      <c r="R676" s="1" t="s">
        <v>779</v>
      </c>
      <c r="S676" s="1" t="s">
        <v>79</v>
      </c>
      <c r="T676" s="5">
        <v>120</v>
      </c>
      <c r="U676" s="4">
        <v>0</v>
      </c>
      <c r="V676" s="5">
        <v>9</v>
      </c>
      <c r="W676" s="6">
        <v>43677</v>
      </c>
      <c r="X676" s="6">
        <v>43616</v>
      </c>
      <c r="Y676" s="6"/>
      <c r="Z676" s="6"/>
      <c r="AA676" s="6"/>
      <c r="AB676" s="6"/>
      <c r="AC676" s="6"/>
      <c r="AD676" s="6"/>
    </row>
    <row r="677" spans="1:30">
      <c r="A677" s="1" t="s">
        <v>772</v>
      </c>
      <c r="B677" s="1" t="s">
        <v>773</v>
      </c>
      <c r="C677" s="1" t="s">
        <v>989</v>
      </c>
      <c r="D677" s="1" t="s">
        <v>1193</v>
      </c>
      <c r="E677" s="1" t="str">
        <f t="shared" si="10"/>
        <v>W05</v>
      </c>
      <c r="F677" s="4">
        <v>0</v>
      </c>
      <c r="G677" s="4">
        <v>0</v>
      </c>
      <c r="H677" s="4">
        <v>0</v>
      </c>
      <c r="I677" s="4"/>
      <c r="J677" s="1" t="s">
        <v>775</v>
      </c>
      <c r="K677" s="1" t="s">
        <v>839</v>
      </c>
      <c r="L677" s="1" t="s">
        <v>777</v>
      </c>
      <c r="M677" s="1" t="s">
        <v>778</v>
      </c>
      <c r="N677" s="1" t="s">
        <v>788</v>
      </c>
      <c r="O677" s="6">
        <v>44778</v>
      </c>
      <c r="P677" s="6">
        <v>44773</v>
      </c>
      <c r="Q677" s="6">
        <v>44754</v>
      </c>
      <c r="R677" s="1" t="s">
        <v>779</v>
      </c>
      <c r="S677" s="1" t="s">
        <v>795</v>
      </c>
      <c r="T677" s="5">
        <v>577</v>
      </c>
      <c r="U677" s="4">
        <v>0</v>
      </c>
      <c r="V677" s="5">
        <v>22</v>
      </c>
      <c r="W677" s="6">
        <v>43178</v>
      </c>
      <c r="X677" s="6">
        <v>43553</v>
      </c>
      <c r="Y677" s="6"/>
      <c r="Z677" s="6"/>
      <c r="AA677" s="6"/>
      <c r="AB677" s="6"/>
      <c r="AC677" s="6"/>
      <c r="AD677" s="6"/>
    </row>
    <row r="678" spans="1:30">
      <c r="A678" s="1" t="s">
        <v>772</v>
      </c>
      <c r="B678" s="1" t="s">
        <v>773</v>
      </c>
      <c r="C678" s="1" t="s">
        <v>989</v>
      </c>
      <c r="D678" s="1" t="s">
        <v>1194</v>
      </c>
      <c r="E678" s="1" t="str">
        <f t="shared" si="10"/>
        <v>W05</v>
      </c>
      <c r="F678" s="4">
        <v>0</v>
      </c>
      <c r="G678" s="4">
        <v>0</v>
      </c>
      <c r="H678" s="4">
        <v>0</v>
      </c>
      <c r="I678" s="4"/>
      <c r="J678" s="1" t="s">
        <v>775</v>
      </c>
      <c r="K678" s="1" t="s">
        <v>1195</v>
      </c>
      <c r="L678" s="1" t="s">
        <v>788</v>
      </c>
      <c r="M678" s="1" t="s">
        <v>787</v>
      </c>
      <c r="N678" s="1" t="s">
        <v>787</v>
      </c>
      <c r="O678" s="6">
        <v>44748</v>
      </c>
      <c r="P678" s="6">
        <v>44746</v>
      </c>
      <c r="Q678" s="6">
        <v>44750</v>
      </c>
      <c r="R678" s="1" t="s">
        <v>779</v>
      </c>
      <c r="S678" s="1" t="s">
        <v>79</v>
      </c>
      <c r="T678" s="5">
        <v>30</v>
      </c>
      <c r="U678" s="4">
        <v>1</v>
      </c>
      <c r="V678" s="5">
        <v>49</v>
      </c>
      <c r="W678" s="6">
        <v>43293</v>
      </c>
      <c r="X678" s="6">
        <v>43079</v>
      </c>
      <c r="Y678" s="6"/>
      <c r="Z678" s="6"/>
      <c r="AA678" s="6"/>
      <c r="AB678" s="6"/>
      <c r="AC678" s="6"/>
      <c r="AD678" s="6"/>
    </row>
    <row r="679" spans="1:30">
      <c r="A679" s="1" t="s">
        <v>772</v>
      </c>
      <c r="B679" s="1" t="s">
        <v>773</v>
      </c>
      <c r="C679" s="1" t="s">
        <v>989</v>
      </c>
      <c r="D679" s="1" t="s">
        <v>1196</v>
      </c>
      <c r="E679" s="1" t="str">
        <f t="shared" si="10"/>
        <v>W05</v>
      </c>
      <c r="F679" s="4">
        <v>0</v>
      </c>
      <c r="G679" s="4">
        <v>0</v>
      </c>
      <c r="H679" s="4">
        <v>0</v>
      </c>
      <c r="I679" s="4"/>
      <c r="J679" s="1" t="s">
        <v>775</v>
      </c>
      <c r="K679" s="1" t="s">
        <v>1197</v>
      </c>
      <c r="L679" s="1" t="s">
        <v>79</v>
      </c>
      <c r="M679" s="1" t="s">
        <v>79</v>
      </c>
      <c r="N679" s="1" t="s">
        <v>79</v>
      </c>
      <c r="O679" s="6">
        <v>44260</v>
      </c>
      <c r="P679" s="6">
        <v>44256</v>
      </c>
      <c r="Q679" s="6">
        <v>44256</v>
      </c>
      <c r="R679" s="1" t="s">
        <v>1076</v>
      </c>
      <c r="S679" s="1" t="s">
        <v>79</v>
      </c>
      <c r="T679" s="5">
        <v>1154</v>
      </c>
      <c r="U679" s="4">
        <v>17</v>
      </c>
      <c r="V679" s="5">
        <v>539</v>
      </c>
      <c r="W679" s="6"/>
      <c r="X679" s="6"/>
      <c r="Y679" s="6"/>
      <c r="Z679" s="6"/>
      <c r="AA679" s="6"/>
      <c r="AB679" s="6"/>
      <c r="AC679" s="6"/>
      <c r="AD679" s="6">
        <v>44779</v>
      </c>
    </row>
    <row r="680" spans="1:30">
      <c r="A680" s="1" t="s">
        <v>772</v>
      </c>
      <c r="B680" s="1" t="s">
        <v>773</v>
      </c>
      <c r="C680" s="1" t="s">
        <v>989</v>
      </c>
      <c r="D680" s="1" t="s">
        <v>1198</v>
      </c>
      <c r="E680" s="1" t="str">
        <f t="shared" si="10"/>
        <v>W05</v>
      </c>
      <c r="F680" s="4">
        <v>0</v>
      </c>
      <c r="G680" s="4">
        <v>0</v>
      </c>
      <c r="H680" s="4">
        <v>0</v>
      </c>
      <c r="I680" s="4"/>
      <c r="J680" s="1" t="s">
        <v>775</v>
      </c>
      <c r="K680" s="1" t="s">
        <v>1197</v>
      </c>
      <c r="L680" s="1" t="s">
        <v>79</v>
      </c>
      <c r="M680" s="1" t="s">
        <v>79</v>
      </c>
      <c r="N680" s="1" t="s">
        <v>79</v>
      </c>
      <c r="O680" s="6">
        <v>44260</v>
      </c>
      <c r="P680" s="6">
        <v>44256</v>
      </c>
      <c r="Q680" s="6">
        <v>44256</v>
      </c>
      <c r="R680" s="1" t="s">
        <v>1076</v>
      </c>
      <c r="S680" s="1" t="s">
        <v>79</v>
      </c>
      <c r="T680" s="5">
        <v>1154</v>
      </c>
      <c r="U680" s="4">
        <v>17</v>
      </c>
      <c r="V680" s="5">
        <v>539</v>
      </c>
      <c r="W680" s="6"/>
      <c r="X680" s="6"/>
      <c r="Y680" s="6"/>
      <c r="Z680" s="6"/>
      <c r="AA680" s="6"/>
      <c r="AB680" s="6"/>
      <c r="AC680" s="6"/>
      <c r="AD680" s="6"/>
    </row>
    <row r="681" spans="1:30">
      <c r="A681" s="1" t="s">
        <v>772</v>
      </c>
      <c r="B681" s="1" t="s">
        <v>773</v>
      </c>
      <c r="C681" s="1" t="s">
        <v>989</v>
      </c>
      <c r="D681" s="1" t="s">
        <v>1199</v>
      </c>
      <c r="E681" s="1" t="str">
        <f t="shared" si="10"/>
        <v>W05</v>
      </c>
      <c r="F681" s="4">
        <v>0</v>
      </c>
      <c r="G681" s="4">
        <v>0</v>
      </c>
      <c r="H681" s="4">
        <v>0</v>
      </c>
      <c r="I681" s="4"/>
      <c r="J681" s="1" t="s">
        <v>775</v>
      </c>
      <c r="K681" s="1" t="s">
        <v>825</v>
      </c>
      <c r="L681" s="1" t="s">
        <v>787</v>
      </c>
      <c r="M681" s="1" t="s">
        <v>788</v>
      </c>
      <c r="N681" s="1" t="s">
        <v>788</v>
      </c>
      <c r="O681" s="6">
        <v>44653</v>
      </c>
      <c r="P681" s="6">
        <v>44651</v>
      </c>
      <c r="Q681" s="6">
        <v>44098</v>
      </c>
      <c r="R681" s="1" t="s">
        <v>779</v>
      </c>
      <c r="S681" s="1" t="s">
        <v>79</v>
      </c>
      <c r="T681" s="5">
        <v>402</v>
      </c>
      <c r="U681" s="4">
        <v>4</v>
      </c>
      <c r="V681" s="5">
        <v>144</v>
      </c>
      <c r="W681" s="6">
        <v>43432</v>
      </c>
      <c r="X681" s="6">
        <v>43807</v>
      </c>
      <c r="Y681" s="6"/>
      <c r="Z681" s="6"/>
      <c r="AA681" s="6"/>
      <c r="AB681" s="6"/>
      <c r="AC681" s="6"/>
      <c r="AD681" s="6">
        <v>44652</v>
      </c>
    </row>
    <row r="682" spans="1:30">
      <c r="A682" s="1" t="s">
        <v>772</v>
      </c>
      <c r="B682" s="1" t="s">
        <v>773</v>
      </c>
      <c r="C682" s="1" t="s">
        <v>989</v>
      </c>
      <c r="D682" s="1" t="s">
        <v>1200</v>
      </c>
      <c r="E682" s="1" t="str">
        <f t="shared" si="10"/>
        <v>W05</v>
      </c>
      <c r="F682" s="4">
        <v>0</v>
      </c>
      <c r="G682" s="4">
        <v>0</v>
      </c>
      <c r="H682" s="4">
        <v>0</v>
      </c>
      <c r="I682" s="4"/>
      <c r="J682" s="1" t="s">
        <v>775</v>
      </c>
      <c r="K682" s="1" t="s">
        <v>898</v>
      </c>
      <c r="L682" s="1" t="s">
        <v>787</v>
      </c>
      <c r="M682" s="1" t="s">
        <v>788</v>
      </c>
      <c r="N682" s="1" t="s">
        <v>835</v>
      </c>
      <c r="O682" s="6">
        <v>44715</v>
      </c>
      <c r="P682" s="6">
        <v>44702</v>
      </c>
      <c r="Q682" s="6">
        <v>44148</v>
      </c>
      <c r="R682" s="1" t="s">
        <v>779</v>
      </c>
      <c r="S682" s="1" t="s">
        <v>79</v>
      </c>
      <c r="T682" s="5">
        <v>402</v>
      </c>
      <c r="U682" s="4">
        <v>3</v>
      </c>
      <c r="V682" s="5">
        <v>93</v>
      </c>
      <c r="W682" s="6">
        <v>43545</v>
      </c>
      <c r="X682" s="6">
        <v>43932</v>
      </c>
      <c r="Y682" s="6"/>
      <c r="Z682" s="6"/>
      <c r="AA682" s="6"/>
      <c r="AB682" s="6"/>
      <c r="AC682" s="6"/>
      <c r="AD682" s="6">
        <v>44713</v>
      </c>
    </row>
    <row r="683" spans="1:30">
      <c r="A683" s="1" t="s">
        <v>772</v>
      </c>
      <c r="B683" s="1" t="s">
        <v>773</v>
      </c>
      <c r="C683" s="1" t="s">
        <v>989</v>
      </c>
      <c r="D683" s="1" t="s">
        <v>1201</v>
      </c>
      <c r="E683" s="1" t="str">
        <f t="shared" si="10"/>
        <v>W05</v>
      </c>
      <c r="F683" s="4">
        <v>0</v>
      </c>
      <c r="G683" s="4">
        <v>0</v>
      </c>
      <c r="H683" s="4">
        <v>0</v>
      </c>
      <c r="I683" s="4"/>
      <c r="J683" s="1" t="s">
        <v>775</v>
      </c>
      <c r="K683" s="1" t="s">
        <v>825</v>
      </c>
      <c r="L683" s="1" t="s">
        <v>787</v>
      </c>
      <c r="M683" s="1" t="s">
        <v>788</v>
      </c>
      <c r="N683" s="1" t="s">
        <v>79</v>
      </c>
      <c r="O683" s="6">
        <v>44680</v>
      </c>
      <c r="P683" s="6">
        <v>44680</v>
      </c>
      <c r="Q683" s="6">
        <v>44142</v>
      </c>
      <c r="R683" s="1" t="s">
        <v>779</v>
      </c>
      <c r="S683" s="1" t="s">
        <v>79</v>
      </c>
      <c r="T683" s="5">
        <v>402</v>
      </c>
      <c r="U683" s="4">
        <v>3</v>
      </c>
      <c r="V683" s="5">
        <v>115</v>
      </c>
      <c r="W683" s="6">
        <v>44098</v>
      </c>
      <c r="X683" s="6"/>
      <c r="Y683" s="6"/>
      <c r="Z683" s="6"/>
      <c r="AA683" s="6"/>
      <c r="AB683" s="6"/>
      <c r="AC683" s="6"/>
      <c r="AD683" s="6">
        <v>44692</v>
      </c>
    </row>
    <row r="684" spans="1:30">
      <c r="A684" s="1" t="s">
        <v>772</v>
      </c>
      <c r="B684" s="1" t="s">
        <v>773</v>
      </c>
      <c r="C684" s="1" t="s">
        <v>989</v>
      </c>
      <c r="D684" s="1" t="s">
        <v>1202</v>
      </c>
      <c r="E684" s="1" t="str">
        <f t="shared" si="10"/>
        <v>W05</v>
      </c>
      <c r="F684" s="4">
        <v>0</v>
      </c>
      <c r="G684" s="4">
        <v>0</v>
      </c>
      <c r="H684" s="4">
        <v>0</v>
      </c>
      <c r="I684" s="4"/>
      <c r="J684" s="1" t="s">
        <v>775</v>
      </c>
      <c r="K684" s="1" t="s">
        <v>898</v>
      </c>
      <c r="L684" s="1" t="s">
        <v>787</v>
      </c>
      <c r="M684" s="1" t="s">
        <v>788</v>
      </c>
      <c r="N684" s="1" t="s">
        <v>835</v>
      </c>
      <c r="O684" s="6">
        <v>44715</v>
      </c>
      <c r="P684" s="6">
        <v>44701</v>
      </c>
      <c r="Q684" s="6">
        <v>44147</v>
      </c>
      <c r="R684" s="1" t="s">
        <v>779</v>
      </c>
      <c r="S684" s="1" t="s">
        <v>79</v>
      </c>
      <c r="T684" s="5">
        <v>402</v>
      </c>
      <c r="U684" s="4">
        <v>3</v>
      </c>
      <c r="V684" s="5">
        <v>94</v>
      </c>
      <c r="W684" s="6">
        <v>43545</v>
      </c>
      <c r="X684" s="6">
        <v>43932</v>
      </c>
      <c r="Y684" s="6"/>
      <c r="Z684" s="6"/>
      <c r="AA684" s="6"/>
      <c r="AB684" s="6"/>
      <c r="AC684" s="6"/>
      <c r="AD684" s="6">
        <v>44720</v>
      </c>
    </row>
    <row r="685" spans="1:30">
      <c r="A685" s="1" t="s">
        <v>772</v>
      </c>
      <c r="B685" s="1" t="s">
        <v>773</v>
      </c>
      <c r="C685" s="1" t="s">
        <v>989</v>
      </c>
      <c r="D685" s="1" t="s">
        <v>1203</v>
      </c>
      <c r="E685" s="1" t="str">
        <f t="shared" si="10"/>
        <v>W05</v>
      </c>
      <c r="F685" s="4">
        <v>0</v>
      </c>
      <c r="G685" s="4">
        <v>0</v>
      </c>
      <c r="H685" s="4">
        <v>0</v>
      </c>
      <c r="I685" s="4"/>
      <c r="J685" s="1" t="s">
        <v>775</v>
      </c>
      <c r="K685" s="1" t="s">
        <v>840</v>
      </c>
      <c r="L685" s="1" t="s">
        <v>777</v>
      </c>
      <c r="M685" s="1" t="s">
        <v>778</v>
      </c>
      <c r="N685" s="1" t="s">
        <v>79</v>
      </c>
      <c r="O685" s="6">
        <v>44579</v>
      </c>
      <c r="P685" s="6">
        <v>44570</v>
      </c>
      <c r="Q685" s="6">
        <v>44529</v>
      </c>
      <c r="R685" s="1" t="s">
        <v>779</v>
      </c>
      <c r="S685" s="1" t="s">
        <v>795</v>
      </c>
      <c r="T685" s="5">
        <v>577</v>
      </c>
      <c r="U685" s="4">
        <v>7</v>
      </c>
      <c r="V685" s="5">
        <v>225</v>
      </c>
      <c r="W685" s="6">
        <v>43863</v>
      </c>
      <c r="X685" s="6"/>
      <c r="Y685" s="6"/>
      <c r="Z685" s="6"/>
      <c r="AA685" s="6"/>
      <c r="AB685" s="6"/>
      <c r="AC685" s="6"/>
      <c r="AD685" s="6"/>
    </row>
    <row r="686" spans="1:30">
      <c r="A686" s="1" t="s">
        <v>772</v>
      </c>
      <c r="B686" s="1" t="s">
        <v>773</v>
      </c>
      <c r="C686" s="1" t="s">
        <v>989</v>
      </c>
      <c r="D686" s="1" t="s">
        <v>1204</v>
      </c>
      <c r="E686" s="1" t="str">
        <f t="shared" si="10"/>
        <v>W05</v>
      </c>
      <c r="F686" s="4">
        <v>0</v>
      </c>
      <c r="G686" s="4">
        <v>0</v>
      </c>
      <c r="H686" s="4">
        <v>0</v>
      </c>
      <c r="I686" s="4"/>
      <c r="J686" s="1" t="s">
        <v>775</v>
      </c>
      <c r="K686" s="1" t="s">
        <v>881</v>
      </c>
      <c r="L686" s="1" t="s">
        <v>777</v>
      </c>
      <c r="M686" s="1" t="s">
        <v>778</v>
      </c>
      <c r="N686" s="1" t="s">
        <v>787</v>
      </c>
      <c r="O686" s="6">
        <v>44537</v>
      </c>
      <c r="P686" s="6">
        <v>44530</v>
      </c>
      <c r="Q686" s="6">
        <v>44517</v>
      </c>
      <c r="R686" s="1" t="s">
        <v>779</v>
      </c>
      <c r="S686" s="1" t="s">
        <v>795</v>
      </c>
      <c r="T686" s="5">
        <v>577</v>
      </c>
      <c r="U686" s="4">
        <v>8</v>
      </c>
      <c r="V686" s="5">
        <v>265</v>
      </c>
      <c r="W686" s="6">
        <v>43535</v>
      </c>
      <c r="X686" s="6">
        <v>43566</v>
      </c>
      <c r="Y686" s="6"/>
      <c r="Z686" s="6"/>
      <c r="AA686" s="6"/>
      <c r="AB686" s="6"/>
      <c r="AC686" s="6"/>
      <c r="AD686" s="6"/>
    </row>
    <row r="687" spans="1:30">
      <c r="A687" s="1" t="s">
        <v>772</v>
      </c>
      <c r="B687" s="1" t="s">
        <v>773</v>
      </c>
      <c r="C687" s="1" t="s">
        <v>989</v>
      </c>
      <c r="D687" s="1" t="s">
        <v>1205</v>
      </c>
      <c r="E687" s="1" t="str">
        <f t="shared" si="10"/>
        <v>W05</v>
      </c>
      <c r="F687" s="4">
        <v>0</v>
      </c>
      <c r="G687" s="4">
        <v>0</v>
      </c>
      <c r="H687" s="4">
        <v>0</v>
      </c>
      <c r="I687" s="4"/>
      <c r="J687" s="1" t="s">
        <v>775</v>
      </c>
      <c r="K687" s="1" t="s">
        <v>1206</v>
      </c>
      <c r="L687" s="1" t="s">
        <v>829</v>
      </c>
      <c r="M687" s="1" t="s">
        <v>913</v>
      </c>
      <c r="N687" s="1" t="s">
        <v>787</v>
      </c>
      <c r="O687" s="6">
        <v>44538</v>
      </c>
      <c r="P687" s="6">
        <v>44532</v>
      </c>
      <c r="Q687" s="6">
        <v>44531</v>
      </c>
      <c r="R687" s="1" t="s">
        <v>830</v>
      </c>
      <c r="S687" s="1" t="s">
        <v>914</v>
      </c>
      <c r="T687" s="5">
        <v>330</v>
      </c>
      <c r="U687" s="4">
        <v>8</v>
      </c>
      <c r="V687" s="5">
        <v>263</v>
      </c>
      <c r="W687" s="6">
        <v>43620</v>
      </c>
      <c r="X687" s="6">
        <v>42472</v>
      </c>
      <c r="Y687" s="6"/>
      <c r="Z687" s="6"/>
      <c r="AA687" s="6"/>
      <c r="AB687" s="6"/>
      <c r="AC687" s="6"/>
      <c r="AD687" s="6">
        <v>44768</v>
      </c>
    </row>
    <row r="688" spans="1:30">
      <c r="A688" s="1" t="s">
        <v>772</v>
      </c>
      <c r="B688" s="1" t="s">
        <v>773</v>
      </c>
      <c r="C688" s="1" t="s">
        <v>989</v>
      </c>
      <c r="D688" s="1" t="s">
        <v>1207</v>
      </c>
      <c r="E688" s="1" t="str">
        <f t="shared" si="10"/>
        <v>W05</v>
      </c>
      <c r="F688" s="4">
        <v>0</v>
      </c>
      <c r="G688" s="4">
        <v>0</v>
      </c>
      <c r="H688" s="4">
        <v>0</v>
      </c>
      <c r="I688" s="4"/>
      <c r="J688" s="1" t="s">
        <v>775</v>
      </c>
      <c r="K688" s="1" t="s">
        <v>898</v>
      </c>
      <c r="L688" s="1" t="s">
        <v>787</v>
      </c>
      <c r="M688" s="1" t="s">
        <v>788</v>
      </c>
      <c r="N688" s="1" t="s">
        <v>777</v>
      </c>
      <c r="O688" s="6">
        <v>44714</v>
      </c>
      <c r="P688" s="6">
        <v>44702</v>
      </c>
      <c r="Q688" s="6">
        <v>44172</v>
      </c>
      <c r="R688" s="1" t="s">
        <v>779</v>
      </c>
      <c r="S688" s="1" t="s">
        <v>79</v>
      </c>
      <c r="T688" s="5">
        <v>402</v>
      </c>
      <c r="U688" s="4">
        <v>3</v>
      </c>
      <c r="V688" s="5">
        <v>93</v>
      </c>
      <c r="W688" s="6">
        <v>43678</v>
      </c>
      <c r="X688" s="6">
        <v>43637</v>
      </c>
      <c r="Y688" s="6"/>
      <c r="Z688" s="6"/>
      <c r="AA688" s="6"/>
      <c r="AB688" s="6"/>
      <c r="AC688" s="6"/>
      <c r="AD688" s="6"/>
    </row>
    <row r="689" spans="1:30">
      <c r="A689" s="1" t="s">
        <v>772</v>
      </c>
      <c r="B689" s="1" t="s">
        <v>773</v>
      </c>
      <c r="C689" s="1" t="s">
        <v>989</v>
      </c>
      <c r="D689" s="1" t="s">
        <v>1208</v>
      </c>
      <c r="E689" s="1" t="str">
        <f t="shared" si="10"/>
        <v>W05</v>
      </c>
      <c r="F689" s="4">
        <v>0</v>
      </c>
      <c r="G689" s="4">
        <v>0</v>
      </c>
      <c r="H689" s="4">
        <v>0</v>
      </c>
      <c r="I689" s="4"/>
      <c r="J689" s="1" t="s">
        <v>775</v>
      </c>
      <c r="K689" s="1" t="s">
        <v>1209</v>
      </c>
      <c r="L689" s="1" t="s">
        <v>1210</v>
      </c>
      <c r="M689" s="1" t="s">
        <v>79</v>
      </c>
      <c r="N689" s="1" t="s">
        <v>79</v>
      </c>
      <c r="O689" s="6">
        <v>44753</v>
      </c>
      <c r="P689" s="6">
        <v>44749</v>
      </c>
      <c r="Q689" s="6">
        <v>44256</v>
      </c>
      <c r="R689" s="1" t="s">
        <v>1076</v>
      </c>
      <c r="S689" s="1" t="s">
        <v>79</v>
      </c>
      <c r="T689" s="5">
        <v>0</v>
      </c>
      <c r="U689" s="4">
        <v>1</v>
      </c>
      <c r="V689" s="5">
        <v>46</v>
      </c>
      <c r="W689" s="6"/>
      <c r="X689" s="6"/>
      <c r="Y689" s="6"/>
      <c r="Z689" s="6"/>
      <c r="AA689" s="6"/>
      <c r="AB689" s="6"/>
      <c r="AC689" s="6"/>
      <c r="AD689" s="6"/>
    </row>
    <row r="690" spans="1:30">
      <c r="A690" s="1" t="s">
        <v>772</v>
      </c>
      <c r="B690" s="1" t="s">
        <v>773</v>
      </c>
      <c r="C690" s="1" t="s">
        <v>989</v>
      </c>
      <c r="D690" s="1" t="s">
        <v>1211</v>
      </c>
      <c r="E690" s="1" t="str">
        <f t="shared" si="10"/>
        <v>W05</v>
      </c>
      <c r="F690" s="4">
        <v>0</v>
      </c>
      <c r="G690" s="4">
        <v>0</v>
      </c>
      <c r="H690" s="4">
        <v>0</v>
      </c>
      <c r="I690" s="4"/>
      <c r="J690" s="1" t="s">
        <v>775</v>
      </c>
      <c r="K690" s="1" t="s">
        <v>1209</v>
      </c>
      <c r="L690" s="1" t="s">
        <v>1210</v>
      </c>
      <c r="M690" s="1" t="s">
        <v>79</v>
      </c>
      <c r="N690" s="1" t="s">
        <v>79</v>
      </c>
      <c r="O690" s="6">
        <v>44753</v>
      </c>
      <c r="P690" s="6">
        <v>44749</v>
      </c>
      <c r="Q690" s="6">
        <v>44256</v>
      </c>
      <c r="R690" s="1" t="s">
        <v>1076</v>
      </c>
      <c r="S690" s="1" t="s">
        <v>79</v>
      </c>
      <c r="T690" s="5">
        <v>0</v>
      </c>
      <c r="U690" s="4">
        <v>1</v>
      </c>
      <c r="V690" s="5">
        <v>46</v>
      </c>
      <c r="W690" s="6"/>
      <c r="X690" s="6"/>
      <c r="Y690" s="6"/>
      <c r="Z690" s="6"/>
      <c r="AA690" s="6"/>
      <c r="AB690" s="6"/>
      <c r="AC690" s="6"/>
      <c r="AD690" s="6"/>
    </row>
    <row r="691" spans="1:30">
      <c r="A691" s="1" t="s">
        <v>772</v>
      </c>
      <c r="B691" s="1" t="s">
        <v>773</v>
      </c>
      <c r="C691" s="1" t="s">
        <v>989</v>
      </c>
      <c r="D691" s="1" t="s">
        <v>1212</v>
      </c>
      <c r="E691" s="1" t="str">
        <f t="shared" si="10"/>
        <v>W05</v>
      </c>
      <c r="F691" s="4">
        <v>0</v>
      </c>
      <c r="G691" s="4">
        <v>0</v>
      </c>
      <c r="H691" s="4">
        <v>0</v>
      </c>
      <c r="I691" s="4"/>
      <c r="J691" s="1" t="s">
        <v>775</v>
      </c>
      <c r="K691" s="1" t="s">
        <v>825</v>
      </c>
      <c r="L691" s="1" t="s">
        <v>787</v>
      </c>
      <c r="M691" s="1" t="s">
        <v>788</v>
      </c>
      <c r="N691" s="1" t="s">
        <v>787</v>
      </c>
      <c r="O691" s="6">
        <v>44653</v>
      </c>
      <c r="P691" s="6">
        <v>44640</v>
      </c>
      <c r="Q691" s="6">
        <v>44103</v>
      </c>
      <c r="R691" s="1" t="s">
        <v>779</v>
      </c>
      <c r="S691" s="1" t="s">
        <v>79</v>
      </c>
      <c r="T691" s="5">
        <v>402</v>
      </c>
      <c r="U691" s="4">
        <v>5</v>
      </c>
      <c r="V691" s="5">
        <v>155</v>
      </c>
      <c r="W691" s="6">
        <v>43471</v>
      </c>
      <c r="X691" s="6">
        <v>43327</v>
      </c>
      <c r="Y691" s="6"/>
      <c r="Z691" s="6"/>
      <c r="AA691" s="6"/>
      <c r="AB691" s="6"/>
      <c r="AC691" s="6"/>
      <c r="AD691" s="6">
        <v>44657</v>
      </c>
    </row>
    <row r="692" spans="1:30">
      <c r="A692" s="1" t="s">
        <v>772</v>
      </c>
      <c r="B692" s="1" t="s">
        <v>773</v>
      </c>
      <c r="C692" s="1" t="s">
        <v>989</v>
      </c>
      <c r="D692" s="1" t="s">
        <v>1213</v>
      </c>
      <c r="E692" s="1" t="str">
        <f t="shared" si="10"/>
        <v>W05</v>
      </c>
      <c r="F692" s="4">
        <v>0</v>
      </c>
      <c r="G692" s="4">
        <v>0</v>
      </c>
      <c r="H692" s="4">
        <v>0</v>
      </c>
      <c r="I692" s="4"/>
      <c r="J692" s="1" t="s">
        <v>775</v>
      </c>
      <c r="K692" s="1" t="s">
        <v>825</v>
      </c>
      <c r="L692" s="1" t="s">
        <v>787</v>
      </c>
      <c r="M692" s="1" t="s">
        <v>788</v>
      </c>
      <c r="N692" s="1" t="s">
        <v>79</v>
      </c>
      <c r="O692" s="6">
        <v>44653</v>
      </c>
      <c r="P692" s="6">
        <v>44651</v>
      </c>
      <c r="Q692" s="6">
        <v>44105</v>
      </c>
      <c r="R692" s="1" t="s">
        <v>779</v>
      </c>
      <c r="S692" s="1" t="s">
        <v>79</v>
      </c>
      <c r="T692" s="5">
        <v>402</v>
      </c>
      <c r="U692" s="4">
        <v>4</v>
      </c>
      <c r="V692" s="5">
        <v>144</v>
      </c>
      <c r="W692" s="6">
        <v>44523</v>
      </c>
      <c r="X692" s="6"/>
      <c r="Y692" s="6"/>
      <c r="Z692" s="6"/>
      <c r="AA692" s="6"/>
      <c r="AB692" s="6"/>
      <c r="AC692" s="6"/>
      <c r="AD692" s="6">
        <v>44657</v>
      </c>
    </row>
    <row r="693" spans="1:30">
      <c r="A693" s="1" t="s">
        <v>772</v>
      </c>
      <c r="B693" s="1" t="s">
        <v>773</v>
      </c>
      <c r="C693" s="1" t="s">
        <v>989</v>
      </c>
      <c r="D693" s="1" t="s">
        <v>1214</v>
      </c>
      <c r="E693" s="1" t="str">
        <f t="shared" si="10"/>
        <v>W05</v>
      </c>
      <c r="F693" s="4">
        <v>0</v>
      </c>
      <c r="G693" s="4">
        <v>0</v>
      </c>
      <c r="H693" s="4">
        <v>0</v>
      </c>
      <c r="I693" s="4"/>
      <c r="J693" s="1" t="s">
        <v>775</v>
      </c>
      <c r="K693" s="1" t="s">
        <v>898</v>
      </c>
      <c r="L693" s="1" t="s">
        <v>787</v>
      </c>
      <c r="M693" s="1" t="s">
        <v>788</v>
      </c>
      <c r="N693" s="1" t="s">
        <v>835</v>
      </c>
      <c r="O693" s="6">
        <v>44715</v>
      </c>
      <c r="P693" s="6">
        <v>44700</v>
      </c>
      <c r="Q693" s="6">
        <v>44149</v>
      </c>
      <c r="R693" s="1" t="s">
        <v>779</v>
      </c>
      <c r="S693" s="1" t="s">
        <v>79</v>
      </c>
      <c r="T693" s="5">
        <v>402</v>
      </c>
      <c r="U693" s="4">
        <v>3</v>
      </c>
      <c r="V693" s="5">
        <v>95</v>
      </c>
      <c r="W693" s="6">
        <v>43545</v>
      </c>
      <c r="X693" s="6">
        <v>43932</v>
      </c>
      <c r="Y693" s="6"/>
      <c r="Z693" s="6"/>
      <c r="AA693" s="6"/>
      <c r="AB693" s="6"/>
      <c r="AC693" s="6"/>
      <c r="AD693" s="6"/>
    </row>
    <row r="694" spans="1:30">
      <c r="A694" s="1" t="s">
        <v>772</v>
      </c>
      <c r="B694" s="1" t="s">
        <v>773</v>
      </c>
      <c r="C694" s="1" t="s">
        <v>989</v>
      </c>
      <c r="D694" s="1" t="s">
        <v>1215</v>
      </c>
      <c r="E694" s="1" t="str">
        <f t="shared" si="10"/>
        <v>W05</v>
      </c>
      <c r="F694" s="4">
        <v>0</v>
      </c>
      <c r="G694" s="4">
        <v>0</v>
      </c>
      <c r="H694" s="4">
        <v>0</v>
      </c>
      <c r="I694" s="4"/>
      <c r="J694" s="1" t="s">
        <v>775</v>
      </c>
      <c r="K694" s="1" t="s">
        <v>796</v>
      </c>
      <c r="L694" s="1" t="s">
        <v>787</v>
      </c>
      <c r="M694" s="1" t="s">
        <v>788</v>
      </c>
      <c r="N694" s="1" t="s">
        <v>787</v>
      </c>
      <c r="O694" s="6">
        <v>44744</v>
      </c>
      <c r="P694" s="6">
        <v>44722</v>
      </c>
      <c r="Q694" s="6">
        <v>44151</v>
      </c>
      <c r="R694" s="1" t="s">
        <v>779</v>
      </c>
      <c r="S694" s="1" t="s">
        <v>79</v>
      </c>
      <c r="T694" s="5">
        <v>402</v>
      </c>
      <c r="U694" s="4">
        <v>2</v>
      </c>
      <c r="V694" s="5">
        <v>73</v>
      </c>
      <c r="W694" s="6">
        <v>43373</v>
      </c>
      <c r="X694" s="6">
        <v>42702</v>
      </c>
      <c r="Y694" s="6"/>
      <c r="Z694" s="6"/>
      <c r="AA694" s="6"/>
      <c r="AB694" s="6"/>
      <c r="AC694" s="6"/>
      <c r="AD694" s="6">
        <v>44714</v>
      </c>
    </row>
    <row r="695" spans="1:30">
      <c r="A695" s="1" t="s">
        <v>772</v>
      </c>
      <c r="B695" s="1" t="s">
        <v>773</v>
      </c>
      <c r="C695" s="1" t="s">
        <v>989</v>
      </c>
      <c r="D695" s="1" t="s">
        <v>1216</v>
      </c>
      <c r="E695" s="1" t="str">
        <f t="shared" si="10"/>
        <v>W05</v>
      </c>
      <c r="F695" s="4">
        <v>0</v>
      </c>
      <c r="G695" s="4">
        <v>0</v>
      </c>
      <c r="H695" s="4">
        <v>0</v>
      </c>
      <c r="I695" s="4"/>
      <c r="J695" s="1" t="s">
        <v>775</v>
      </c>
      <c r="K695" s="1" t="s">
        <v>825</v>
      </c>
      <c r="L695" s="1" t="s">
        <v>787</v>
      </c>
      <c r="M695" s="1" t="s">
        <v>788</v>
      </c>
      <c r="N695" s="1" t="s">
        <v>79</v>
      </c>
      <c r="O695" s="6">
        <v>44653</v>
      </c>
      <c r="P695" s="6">
        <v>44643</v>
      </c>
      <c r="Q695" s="6">
        <v>44098</v>
      </c>
      <c r="R695" s="1" t="s">
        <v>779</v>
      </c>
      <c r="S695" s="1" t="s">
        <v>79</v>
      </c>
      <c r="T695" s="5">
        <v>402</v>
      </c>
      <c r="U695" s="4">
        <v>5</v>
      </c>
      <c r="V695" s="5">
        <v>152</v>
      </c>
      <c r="W695" s="6">
        <v>44523</v>
      </c>
      <c r="X695" s="6"/>
      <c r="Y695" s="6"/>
      <c r="Z695" s="6"/>
      <c r="AA695" s="6"/>
      <c r="AB695" s="6"/>
      <c r="AC695" s="6"/>
      <c r="AD695" s="6">
        <v>44653</v>
      </c>
    </row>
    <row r="696" spans="1:30">
      <c r="A696" s="1" t="s">
        <v>772</v>
      </c>
      <c r="B696" s="1" t="s">
        <v>773</v>
      </c>
      <c r="C696" s="1" t="s">
        <v>989</v>
      </c>
      <c r="D696" s="1" t="s">
        <v>1217</v>
      </c>
      <c r="E696" s="1" t="str">
        <f t="shared" si="10"/>
        <v>W05</v>
      </c>
      <c r="F696" s="5">
        <v>0</v>
      </c>
      <c r="G696" s="4">
        <v>0</v>
      </c>
      <c r="H696" s="4">
        <v>0</v>
      </c>
      <c r="I696" s="4"/>
      <c r="J696" s="1" t="s">
        <v>775</v>
      </c>
      <c r="K696" s="1" t="s">
        <v>833</v>
      </c>
      <c r="L696" s="1" t="s">
        <v>777</v>
      </c>
      <c r="M696" s="1" t="s">
        <v>778</v>
      </c>
      <c r="N696" s="1" t="s">
        <v>787</v>
      </c>
      <c r="O696" s="6">
        <v>44418</v>
      </c>
      <c r="P696" s="6">
        <v>44391</v>
      </c>
      <c r="Q696" s="6">
        <v>44366</v>
      </c>
      <c r="R696" s="1" t="s">
        <v>779</v>
      </c>
      <c r="S696" s="1" t="s">
        <v>823</v>
      </c>
      <c r="T696" s="5">
        <v>457</v>
      </c>
      <c r="U696" s="4">
        <v>13</v>
      </c>
      <c r="V696" s="5">
        <v>404</v>
      </c>
      <c r="W696" s="6">
        <v>43560</v>
      </c>
      <c r="X696" s="6">
        <v>42472</v>
      </c>
      <c r="Y696" s="6"/>
      <c r="Z696" s="6"/>
      <c r="AA696" s="6">
        <v>44719</v>
      </c>
      <c r="AB696" s="6"/>
      <c r="AC696" s="6"/>
      <c r="AD696" s="6"/>
    </row>
    <row r="697" spans="1:30">
      <c r="A697" s="1" t="s">
        <v>772</v>
      </c>
      <c r="B697" s="1" t="s">
        <v>773</v>
      </c>
      <c r="C697" s="1" t="s">
        <v>989</v>
      </c>
      <c r="D697" s="1" t="s">
        <v>1218</v>
      </c>
      <c r="E697" s="1" t="str">
        <f t="shared" si="10"/>
        <v>W05</v>
      </c>
      <c r="F697" s="4">
        <v>0</v>
      </c>
      <c r="G697" s="4">
        <v>0</v>
      </c>
      <c r="H697" s="4">
        <v>0</v>
      </c>
      <c r="I697" s="4"/>
      <c r="J697" s="1" t="s">
        <v>775</v>
      </c>
      <c r="K697" s="1" t="s">
        <v>793</v>
      </c>
      <c r="L697" s="1" t="s">
        <v>787</v>
      </c>
      <c r="M697" s="1" t="s">
        <v>788</v>
      </c>
      <c r="N697" s="1" t="s">
        <v>778</v>
      </c>
      <c r="O697" s="6">
        <v>44774</v>
      </c>
      <c r="P697" s="6">
        <v>44759</v>
      </c>
      <c r="Q697" s="6">
        <v>44176</v>
      </c>
      <c r="R697" s="1" t="s">
        <v>779</v>
      </c>
      <c r="S697" s="1" t="s">
        <v>79</v>
      </c>
      <c r="T697" s="5">
        <v>402</v>
      </c>
      <c r="U697" s="4">
        <v>1</v>
      </c>
      <c r="V697" s="5">
        <v>36</v>
      </c>
      <c r="W697" s="6">
        <v>44351</v>
      </c>
      <c r="X697" s="6">
        <v>44663</v>
      </c>
      <c r="Y697" s="6"/>
      <c r="Z697" s="6"/>
      <c r="AA697" s="6"/>
      <c r="AB697" s="6"/>
      <c r="AC697" s="6"/>
      <c r="AD697" s="6"/>
    </row>
    <row r="698" spans="1:30">
      <c r="A698" s="1" t="s">
        <v>772</v>
      </c>
      <c r="B698" s="1" t="s">
        <v>773</v>
      </c>
      <c r="C698" s="1" t="s">
        <v>989</v>
      </c>
      <c r="D698" s="1" t="s">
        <v>1219</v>
      </c>
      <c r="E698" s="1" t="str">
        <f t="shared" si="10"/>
        <v>W05</v>
      </c>
      <c r="F698" s="4">
        <v>0</v>
      </c>
      <c r="G698" s="4">
        <v>0</v>
      </c>
      <c r="H698" s="4">
        <v>0</v>
      </c>
      <c r="I698" s="4"/>
      <c r="J698" s="1" t="s">
        <v>775</v>
      </c>
      <c r="K698" s="1" t="s">
        <v>825</v>
      </c>
      <c r="L698" s="1" t="s">
        <v>787</v>
      </c>
      <c r="M698" s="1" t="s">
        <v>788</v>
      </c>
      <c r="N698" s="1" t="s">
        <v>79</v>
      </c>
      <c r="O698" s="6">
        <v>44653</v>
      </c>
      <c r="P698" s="6">
        <v>44651</v>
      </c>
      <c r="Q698" s="6">
        <v>44104</v>
      </c>
      <c r="R698" s="1" t="s">
        <v>779</v>
      </c>
      <c r="S698" s="1" t="s">
        <v>79</v>
      </c>
      <c r="T698" s="5">
        <v>402</v>
      </c>
      <c r="U698" s="4">
        <v>4</v>
      </c>
      <c r="V698" s="5">
        <v>144</v>
      </c>
      <c r="W698" s="6">
        <v>44523</v>
      </c>
      <c r="X698" s="6"/>
      <c r="Y698" s="6"/>
      <c r="Z698" s="6"/>
      <c r="AA698" s="6"/>
      <c r="AB698" s="6"/>
      <c r="AC698" s="6"/>
      <c r="AD698" s="6">
        <v>44659</v>
      </c>
    </row>
    <row r="699" spans="1:30">
      <c r="A699" s="1" t="s">
        <v>772</v>
      </c>
      <c r="B699" s="1" t="s">
        <v>773</v>
      </c>
      <c r="C699" s="1" t="s">
        <v>989</v>
      </c>
      <c r="D699" s="1" t="s">
        <v>1220</v>
      </c>
      <c r="E699" s="1" t="str">
        <f t="shared" si="10"/>
        <v>W05</v>
      </c>
      <c r="F699" s="4">
        <v>0</v>
      </c>
      <c r="G699" s="4">
        <v>0</v>
      </c>
      <c r="H699" s="4">
        <v>0</v>
      </c>
      <c r="I699" s="4"/>
      <c r="J699" s="1" t="s">
        <v>775</v>
      </c>
      <c r="K699" s="1" t="s">
        <v>825</v>
      </c>
      <c r="L699" s="1" t="s">
        <v>787</v>
      </c>
      <c r="M699" s="1" t="s">
        <v>788</v>
      </c>
      <c r="N699" s="1" t="s">
        <v>79</v>
      </c>
      <c r="O699" s="6">
        <v>44653</v>
      </c>
      <c r="P699" s="6">
        <v>44651</v>
      </c>
      <c r="Q699" s="6">
        <v>44101</v>
      </c>
      <c r="R699" s="1" t="s">
        <v>779</v>
      </c>
      <c r="S699" s="1" t="s">
        <v>79</v>
      </c>
      <c r="T699" s="5">
        <v>402</v>
      </c>
      <c r="U699" s="4">
        <v>4</v>
      </c>
      <c r="V699" s="5">
        <v>144</v>
      </c>
      <c r="W699" s="6">
        <v>44523</v>
      </c>
      <c r="X699" s="6"/>
      <c r="Y699" s="6"/>
      <c r="Z699" s="6"/>
      <c r="AA699" s="6"/>
      <c r="AB699" s="6"/>
      <c r="AC699" s="6"/>
      <c r="AD699" s="6">
        <v>44661</v>
      </c>
    </row>
    <row r="700" spans="1:30">
      <c r="A700" s="1" t="s">
        <v>772</v>
      </c>
      <c r="B700" s="1" t="s">
        <v>773</v>
      </c>
      <c r="C700" s="1" t="s">
        <v>989</v>
      </c>
      <c r="D700" s="1" t="s">
        <v>1221</v>
      </c>
      <c r="E700" s="1" t="str">
        <f t="shared" si="10"/>
        <v>W05</v>
      </c>
      <c r="F700" s="4">
        <v>0</v>
      </c>
      <c r="G700" s="4">
        <v>0</v>
      </c>
      <c r="H700" s="4">
        <v>0</v>
      </c>
      <c r="I700" s="4"/>
      <c r="J700" s="1" t="s">
        <v>775</v>
      </c>
      <c r="K700" s="1" t="s">
        <v>962</v>
      </c>
      <c r="L700" s="1" t="s">
        <v>778</v>
      </c>
      <c r="M700" s="1" t="s">
        <v>777</v>
      </c>
      <c r="N700" s="1" t="s">
        <v>79</v>
      </c>
      <c r="O700" s="6">
        <v>44744</v>
      </c>
      <c r="P700" s="6">
        <v>44737</v>
      </c>
      <c r="Q700" s="6"/>
      <c r="R700" s="1" t="s">
        <v>779</v>
      </c>
      <c r="S700" s="1" t="s">
        <v>79</v>
      </c>
      <c r="T700" s="5">
        <v>120</v>
      </c>
      <c r="U700" s="4">
        <v>1</v>
      </c>
      <c r="V700" s="5">
        <v>58</v>
      </c>
      <c r="W700" s="6">
        <v>43720</v>
      </c>
      <c r="X700" s="6"/>
      <c r="Y700" s="6"/>
      <c r="Z700" s="6"/>
      <c r="AA700" s="6"/>
      <c r="AB700" s="6"/>
      <c r="AC700" s="6"/>
      <c r="AD700" s="6"/>
    </row>
    <row r="701" spans="1:30">
      <c r="A701" s="1" t="s">
        <v>772</v>
      </c>
      <c r="B701" s="1" t="s">
        <v>773</v>
      </c>
      <c r="C701" s="1" t="s">
        <v>989</v>
      </c>
      <c r="D701" s="1" t="s">
        <v>1222</v>
      </c>
      <c r="E701" s="1" t="str">
        <f t="shared" si="10"/>
        <v>W05</v>
      </c>
      <c r="F701" s="4">
        <v>0</v>
      </c>
      <c r="G701" s="4">
        <v>0</v>
      </c>
      <c r="H701" s="4">
        <v>0</v>
      </c>
      <c r="I701" s="4"/>
      <c r="J701" s="1" t="s">
        <v>775</v>
      </c>
      <c r="K701" s="1" t="s">
        <v>962</v>
      </c>
      <c r="L701" s="1" t="s">
        <v>778</v>
      </c>
      <c r="M701" s="1" t="s">
        <v>777</v>
      </c>
      <c r="N701" s="1" t="s">
        <v>79</v>
      </c>
      <c r="O701" s="6">
        <v>44744</v>
      </c>
      <c r="P701" s="6">
        <v>44737</v>
      </c>
      <c r="Q701" s="6"/>
      <c r="R701" s="1" t="s">
        <v>779</v>
      </c>
      <c r="S701" s="1" t="s">
        <v>79</v>
      </c>
      <c r="T701" s="5">
        <v>120</v>
      </c>
      <c r="U701" s="4">
        <v>1</v>
      </c>
      <c r="V701" s="5">
        <v>58</v>
      </c>
      <c r="W701" s="6">
        <v>43720</v>
      </c>
      <c r="X701" s="6"/>
      <c r="Y701" s="6"/>
      <c r="Z701" s="6"/>
      <c r="AA701" s="6"/>
      <c r="AB701" s="6"/>
      <c r="AC701" s="6"/>
      <c r="AD701" s="6"/>
    </row>
    <row r="702" spans="1:30">
      <c r="A702" s="1" t="s">
        <v>772</v>
      </c>
      <c r="B702" s="1" t="s">
        <v>773</v>
      </c>
      <c r="C702" s="1" t="s">
        <v>989</v>
      </c>
      <c r="D702" s="1" t="s">
        <v>1223</v>
      </c>
      <c r="E702" s="1" t="str">
        <f t="shared" si="10"/>
        <v>W05</v>
      </c>
      <c r="F702" s="4">
        <v>0</v>
      </c>
      <c r="G702" s="4">
        <v>0</v>
      </c>
      <c r="H702" s="4">
        <v>0</v>
      </c>
      <c r="I702" s="4"/>
      <c r="J702" s="1" t="s">
        <v>775</v>
      </c>
      <c r="K702" s="1" t="s">
        <v>1209</v>
      </c>
      <c r="L702" s="1" t="s">
        <v>1210</v>
      </c>
      <c r="M702" s="1" t="s">
        <v>79</v>
      </c>
      <c r="N702" s="1" t="s">
        <v>79</v>
      </c>
      <c r="O702" s="6">
        <v>44753</v>
      </c>
      <c r="P702" s="6">
        <v>44749</v>
      </c>
      <c r="Q702" s="6">
        <v>44256</v>
      </c>
      <c r="R702" s="1" t="s">
        <v>1076</v>
      </c>
      <c r="S702" s="1" t="s">
        <v>79</v>
      </c>
      <c r="T702" s="5">
        <v>0</v>
      </c>
      <c r="U702" s="4">
        <v>1</v>
      </c>
      <c r="V702" s="5">
        <v>46</v>
      </c>
      <c r="W702" s="6"/>
      <c r="X702" s="6"/>
      <c r="Y702" s="6"/>
      <c r="Z702" s="6"/>
      <c r="AA702" s="6"/>
      <c r="AB702" s="6"/>
      <c r="AC702" s="6"/>
      <c r="AD702" s="6"/>
    </row>
    <row r="703" spans="1:30">
      <c r="A703" s="1" t="s">
        <v>772</v>
      </c>
      <c r="B703" s="1" t="s">
        <v>773</v>
      </c>
      <c r="C703" s="1" t="s">
        <v>989</v>
      </c>
      <c r="D703" s="1" t="s">
        <v>1224</v>
      </c>
      <c r="E703" s="1" t="str">
        <f t="shared" si="10"/>
        <v>W05</v>
      </c>
      <c r="F703" s="4">
        <v>0</v>
      </c>
      <c r="G703" s="4">
        <v>0</v>
      </c>
      <c r="H703" s="4">
        <v>0</v>
      </c>
      <c r="I703" s="4"/>
      <c r="J703" s="1" t="s">
        <v>775</v>
      </c>
      <c r="K703" s="1" t="s">
        <v>839</v>
      </c>
      <c r="L703" s="1" t="s">
        <v>777</v>
      </c>
      <c r="M703" s="1" t="s">
        <v>778</v>
      </c>
      <c r="N703" s="1" t="s">
        <v>788</v>
      </c>
      <c r="O703" s="6">
        <v>44775</v>
      </c>
      <c r="P703" s="6">
        <v>44749</v>
      </c>
      <c r="Q703" s="6">
        <v>44694</v>
      </c>
      <c r="R703" s="1" t="s">
        <v>779</v>
      </c>
      <c r="S703" s="1" t="s">
        <v>841</v>
      </c>
      <c r="T703" s="5">
        <v>577</v>
      </c>
      <c r="U703" s="4">
        <v>1</v>
      </c>
      <c r="V703" s="5">
        <v>46</v>
      </c>
      <c r="W703" s="6">
        <v>43178</v>
      </c>
      <c r="X703" s="6">
        <v>43553</v>
      </c>
      <c r="Y703" s="6"/>
      <c r="Z703" s="6"/>
      <c r="AA703" s="6"/>
      <c r="AB703" s="6"/>
      <c r="AC703" s="6"/>
      <c r="AD703" s="6"/>
    </row>
    <row r="704" spans="1:30">
      <c r="A704" s="1" t="s">
        <v>772</v>
      </c>
      <c r="B704" s="1" t="s">
        <v>773</v>
      </c>
      <c r="C704" s="1" t="s">
        <v>989</v>
      </c>
      <c r="D704" s="1" t="s">
        <v>1225</v>
      </c>
      <c r="E704" s="1" t="str">
        <f t="shared" si="10"/>
        <v>W05</v>
      </c>
      <c r="F704" s="4">
        <v>0</v>
      </c>
      <c r="G704" s="4">
        <v>0</v>
      </c>
      <c r="H704" s="4">
        <v>0</v>
      </c>
      <c r="I704" s="4"/>
      <c r="J704" s="1" t="s">
        <v>775</v>
      </c>
      <c r="K704" s="1" t="s">
        <v>859</v>
      </c>
      <c r="L704" s="1" t="s">
        <v>777</v>
      </c>
      <c r="M704" s="1" t="s">
        <v>778</v>
      </c>
      <c r="N704" s="1" t="s">
        <v>778</v>
      </c>
      <c r="O704" s="6">
        <v>44746</v>
      </c>
      <c r="P704" s="6">
        <v>44737</v>
      </c>
      <c r="Q704" s="6">
        <v>44695</v>
      </c>
      <c r="R704" s="1" t="s">
        <v>779</v>
      </c>
      <c r="S704" s="1" t="s">
        <v>795</v>
      </c>
      <c r="T704" s="5">
        <v>577</v>
      </c>
      <c r="U704" s="4">
        <v>1</v>
      </c>
      <c r="V704" s="5">
        <v>58</v>
      </c>
      <c r="W704" s="6">
        <v>44728</v>
      </c>
      <c r="X704" s="6">
        <v>45246</v>
      </c>
      <c r="Y704" s="6"/>
      <c r="Z704" s="6"/>
      <c r="AA704" s="6"/>
      <c r="AB704" s="6"/>
      <c r="AC704" s="6"/>
      <c r="AD704" s="6"/>
    </row>
    <row r="705" spans="1:30">
      <c r="A705" s="1" t="s">
        <v>772</v>
      </c>
      <c r="B705" s="1" t="s">
        <v>917</v>
      </c>
      <c r="C705" s="1" t="s">
        <v>858</v>
      </c>
      <c r="D705" s="1" t="s">
        <v>1226</v>
      </c>
      <c r="E705" s="1" t="str">
        <f t="shared" si="10"/>
        <v>W04</v>
      </c>
      <c r="F705" s="4">
        <v>0</v>
      </c>
      <c r="G705" s="4">
        <v>0</v>
      </c>
      <c r="H705" s="4">
        <v>0</v>
      </c>
      <c r="I705" s="4"/>
      <c r="J705" s="1" t="s">
        <v>775</v>
      </c>
      <c r="K705" s="1" t="s">
        <v>805</v>
      </c>
      <c r="L705" s="1" t="s">
        <v>777</v>
      </c>
      <c r="M705" s="1" t="s">
        <v>778</v>
      </c>
      <c r="N705" s="1" t="s">
        <v>787</v>
      </c>
      <c r="O705" s="6">
        <v>44680</v>
      </c>
      <c r="P705" s="6">
        <v>44678</v>
      </c>
      <c r="Q705" s="6">
        <v>44664</v>
      </c>
      <c r="R705" s="1" t="s">
        <v>779</v>
      </c>
      <c r="S705" s="1" t="s">
        <v>823</v>
      </c>
      <c r="T705" s="5">
        <v>457</v>
      </c>
      <c r="U705" s="4">
        <v>3</v>
      </c>
      <c r="V705" s="5">
        <v>117</v>
      </c>
      <c r="W705" s="6">
        <v>43293</v>
      </c>
      <c r="X705" s="6">
        <v>43079</v>
      </c>
      <c r="Y705" s="6"/>
      <c r="Z705" s="6"/>
      <c r="AA705" s="6"/>
      <c r="AB705" s="6"/>
      <c r="AC705" s="6"/>
      <c r="AD705" s="6"/>
    </row>
    <row r="706" spans="1:30">
      <c r="A706" s="1" t="s">
        <v>772</v>
      </c>
      <c r="B706" s="1" t="s">
        <v>917</v>
      </c>
      <c r="C706" s="1" t="s">
        <v>858</v>
      </c>
      <c r="D706" s="1" t="s">
        <v>1227</v>
      </c>
      <c r="E706" s="1" t="str">
        <f t="shared" si="10"/>
        <v>W04</v>
      </c>
      <c r="F706" s="4">
        <v>0</v>
      </c>
      <c r="G706" s="4">
        <v>0</v>
      </c>
      <c r="H706" s="4">
        <v>0</v>
      </c>
      <c r="I706" s="4"/>
      <c r="J706" s="1" t="s">
        <v>775</v>
      </c>
      <c r="K706" s="1" t="s">
        <v>881</v>
      </c>
      <c r="L706" s="1" t="s">
        <v>777</v>
      </c>
      <c r="M706" s="1" t="s">
        <v>778</v>
      </c>
      <c r="N706" s="1" t="s">
        <v>777</v>
      </c>
      <c r="O706" s="6">
        <v>44537</v>
      </c>
      <c r="P706" s="6">
        <v>44530</v>
      </c>
      <c r="Q706" s="6">
        <v>44487</v>
      </c>
      <c r="R706" s="1" t="s">
        <v>779</v>
      </c>
      <c r="S706" s="1" t="s">
        <v>841</v>
      </c>
      <c r="T706" s="5">
        <v>577</v>
      </c>
      <c r="U706" s="4">
        <v>8</v>
      </c>
      <c r="V706" s="5">
        <v>265</v>
      </c>
      <c r="W706" s="6">
        <v>43895</v>
      </c>
      <c r="X706" s="6">
        <v>42898</v>
      </c>
      <c r="Y706" s="6"/>
      <c r="Z706" s="6"/>
      <c r="AA706" s="6"/>
      <c r="AB706" s="6"/>
      <c r="AC706" s="6"/>
      <c r="AD706" s="6"/>
    </row>
    <row r="707" spans="1:30">
      <c r="A707" s="1" t="s">
        <v>772</v>
      </c>
      <c r="B707" s="1" t="s">
        <v>917</v>
      </c>
      <c r="C707" s="1" t="s">
        <v>858</v>
      </c>
      <c r="D707" s="1" t="s">
        <v>1228</v>
      </c>
      <c r="E707" s="1" t="str">
        <f t="shared" si="10"/>
        <v>W04</v>
      </c>
      <c r="F707" s="4">
        <v>0</v>
      </c>
      <c r="G707" s="4">
        <v>0</v>
      </c>
      <c r="H707" s="4">
        <v>0</v>
      </c>
      <c r="I707" s="4"/>
      <c r="J707" s="1" t="s">
        <v>775</v>
      </c>
      <c r="K707" s="1" t="s">
        <v>1229</v>
      </c>
      <c r="L707" s="1" t="s">
        <v>787</v>
      </c>
      <c r="M707" s="1" t="s">
        <v>788</v>
      </c>
      <c r="N707" s="1" t="s">
        <v>787</v>
      </c>
      <c r="O707" s="6">
        <v>44525</v>
      </c>
      <c r="P707" s="6">
        <v>44508</v>
      </c>
      <c r="Q707" s="6">
        <v>44063</v>
      </c>
      <c r="R707" s="1" t="s">
        <v>779</v>
      </c>
      <c r="S707" s="1" t="s">
        <v>79</v>
      </c>
      <c r="T707" s="5">
        <v>402</v>
      </c>
      <c r="U707" s="4">
        <v>9</v>
      </c>
      <c r="V707" s="5">
        <v>287</v>
      </c>
      <c r="W707" s="6">
        <v>43471</v>
      </c>
      <c r="X707" s="6">
        <v>43327</v>
      </c>
      <c r="Y707" s="6"/>
      <c r="Z707" s="6"/>
      <c r="AA707" s="6">
        <v>44781</v>
      </c>
      <c r="AB707" s="6"/>
      <c r="AC707" s="6"/>
      <c r="AD707" s="6"/>
    </row>
    <row r="708" spans="1:30">
      <c r="A708" s="1" t="s">
        <v>772</v>
      </c>
      <c r="B708" s="1" t="s">
        <v>773</v>
      </c>
      <c r="C708" s="1" t="s">
        <v>989</v>
      </c>
      <c r="D708" s="1" t="s">
        <v>1230</v>
      </c>
      <c r="E708" s="1" t="str">
        <f t="shared" si="10"/>
        <v>W05</v>
      </c>
      <c r="F708" s="4">
        <v>0</v>
      </c>
      <c r="G708" s="4">
        <v>0</v>
      </c>
      <c r="H708" s="4">
        <v>0</v>
      </c>
      <c r="I708" s="4"/>
      <c r="J708" s="1" t="s">
        <v>775</v>
      </c>
      <c r="K708" s="1" t="s">
        <v>1231</v>
      </c>
      <c r="L708" s="1" t="s">
        <v>809</v>
      </c>
      <c r="M708" s="1" t="s">
        <v>788</v>
      </c>
      <c r="N708" s="1" t="s">
        <v>787</v>
      </c>
      <c r="O708" s="6">
        <v>44471</v>
      </c>
      <c r="P708" s="6">
        <v>44373</v>
      </c>
      <c r="Q708" s="6">
        <v>43929</v>
      </c>
      <c r="R708" s="1" t="s">
        <v>779</v>
      </c>
      <c r="S708" s="1" t="s">
        <v>79</v>
      </c>
      <c r="T708" s="5">
        <v>402</v>
      </c>
      <c r="U708" s="4">
        <v>13</v>
      </c>
      <c r="V708" s="5">
        <v>422</v>
      </c>
      <c r="W708" s="6">
        <v>43963</v>
      </c>
      <c r="X708" s="6">
        <v>43997</v>
      </c>
      <c r="Y708" s="6"/>
      <c r="Z708" s="6"/>
      <c r="AA708" s="6">
        <v>44632</v>
      </c>
      <c r="AB708" s="6"/>
      <c r="AC708" s="6"/>
      <c r="AD708" s="6">
        <v>44778</v>
      </c>
    </row>
    <row r="709" spans="1:30">
      <c r="A709" s="1" t="s">
        <v>772</v>
      </c>
      <c r="B709" s="1" t="s">
        <v>773</v>
      </c>
      <c r="C709" s="1" t="s">
        <v>989</v>
      </c>
      <c r="D709" s="1" t="s">
        <v>1232</v>
      </c>
      <c r="E709" s="1" t="str">
        <f t="shared" ref="E709:E772" si="11">RIGHT(C709,3)</f>
        <v>W05</v>
      </c>
      <c r="F709" s="4">
        <v>0</v>
      </c>
      <c r="G709" s="4">
        <v>0</v>
      </c>
      <c r="H709" s="4">
        <v>0</v>
      </c>
      <c r="I709" s="4"/>
      <c r="J709" s="1" t="s">
        <v>775</v>
      </c>
      <c r="K709" s="1" t="s">
        <v>834</v>
      </c>
      <c r="L709" s="1" t="s">
        <v>787</v>
      </c>
      <c r="M709" s="1" t="s">
        <v>788</v>
      </c>
      <c r="N709" s="1" t="s">
        <v>79</v>
      </c>
      <c r="O709" s="6">
        <v>44653</v>
      </c>
      <c r="P709" s="6">
        <v>44640</v>
      </c>
      <c r="Q709" s="6">
        <v>44068</v>
      </c>
      <c r="R709" s="1" t="s">
        <v>779</v>
      </c>
      <c r="S709" s="1" t="s">
        <v>79</v>
      </c>
      <c r="T709" s="5">
        <v>300</v>
      </c>
      <c r="U709" s="4">
        <v>5</v>
      </c>
      <c r="V709" s="5">
        <v>155</v>
      </c>
      <c r="W709" s="6">
        <v>44523</v>
      </c>
      <c r="X709" s="6"/>
      <c r="Y709" s="6"/>
      <c r="Z709" s="6"/>
      <c r="AA709" s="6"/>
      <c r="AB709" s="6"/>
      <c r="AC709" s="6"/>
      <c r="AD709" s="6">
        <v>44721</v>
      </c>
    </row>
    <row r="710" spans="1:30">
      <c r="A710" s="1" t="s">
        <v>772</v>
      </c>
      <c r="B710" s="1" t="s">
        <v>773</v>
      </c>
      <c r="C710" s="1" t="s">
        <v>989</v>
      </c>
      <c r="D710" s="1" t="s">
        <v>1233</v>
      </c>
      <c r="E710" s="1" t="str">
        <f t="shared" si="11"/>
        <v>W05</v>
      </c>
      <c r="F710" s="4">
        <v>0</v>
      </c>
      <c r="G710" s="4">
        <v>0</v>
      </c>
      <c r="H710" s="4">
        <v>0</v>
      </c>
      <c r="I710" s="4"/>
      <c r="J710" s="1" t="s">
        <v>775</v>
      </c>
      <c r="K710" s="1" t="s">
        <v>1234</v>
      </c>
      <c r="L710" s="1" t="s">
        <v>788</v>
      </c>
      <c r="M710" s="1" t="s">
        <v>777</v>
      </c>
      <c r="N710" s="1" t="s">
        <v>788</v>
      </c>
      <c r="O710" s="6">
        <v>44028</v>
      </c>
      <c r="P710" s="6">
        <v>43862</v>
      </c>
      <c r="Q710" s="6">
        <v>43862</v>
      </c>
      <c r="R710" s="1" t="s">
        <v>1235</v>
      </c>
      <c r="S710" s="1" t="s">
        <v>79</v>
      </c>
      <c r="T710" s="5">
        <v>0</v>
      </c>
      <c r="U710" s="4">
        <v>30</v>
      </c>
      <c r="V710" s="5">
        <v>933</v>
      </c>
      <c r="W710" s="6">
        <v>43645</v>
      </c>
      <c r="X710" s="6">
        <v>43646</v>
      </c>
      <c r="Y710" s="6"/>
      <c r="Z710" s="6"/>
      <c r="AA710" s="6"/>
      <c r="AB710" s="6"/>
      <c r="AC710" s="6"/>
      <c r="AD710" s="6"/>
    </row>
    <row r="711" spans="1:30">
      <c r="A711" s="1" t="s">
        <v>772</v>
      </c>
      <c r="B711" s="1" t="s">
        <v>773</v>
      </c>
      <c r="C711" s="1" t="s">
        <v>989</v>
      </c>
      <c r="D711" s="1" t="s">
        <v>1236</v>
      </c>
      <c r="E711" s="1" t="str">
        <f t="shared" si="11"/>
        <v>W05</v>
      </c>
      <c r="F711" s="5">
        <v>0</v>
      </c>
      <c r="G711" s="5">
        <v>0</v>
      </c>
      <c r="H711" s="5">
        <v>0</v>
      </c>
      <c r="I711" s="5"/>
      <c r="J711" s="1" t="s">
        <v>775</v>
      </c>
      <c r="K711" s="1" t="s">
        <v>1197</v>
      </c>
      <c r="L711" s="1" t="s">
        <v>79</v>
      </c>
      <c r="M711" s="1" t="s">
        <v>79</v>
      </c>
      <c r="N711" s="1" t="s">
        <v>79</v>
      </c>
      <c r="O711" s="6">
        <v>44260</v>
      </c>
      <c r="P711" s="6">
        <v>44256</v>
      </c>
      <c r="Q711" s="6">
        <v>44256</v>
      </c>
      <c r="R711" s="1" t="s">
        <v>1076</v>
      </c>
      <c r="S711" s="1" t="s">
        <v>79</v>
      </c>
      <c r="T711" s="5">
        <v>1154</v>
      </c>
      <c r="U711" s="4">
        <v>17</v>
      </c>
      <c r="V711" s="5">
        <v>539</v>
      </c>
      <c r="W711" s="6"/>
      <c r="X711" s="6"/>
      <c r="Y711" s="6"/>
      <c r="Z711" s="6"/>
      <c r="AA711" s="6"/>
      <c r="AB711" s="6"/>
      <c r="AC711" s="6"/>
      <c r="AD711" s="6">
        <v>44370</v>
      </c>
    </row>
    <row r="712" spans="1:30">
      <c r="A712" s="1" t="s">
        <v>772</v>
      </c>
      <c r="B712" s="1" t="s">
        <v>773</v>
      </c>
      <c r="C712" s="1" t="s">
        <v>989</v>
      </c>
      <c r="D712" s="1" t="s">
        <v>1237</v>
      </c>
      <c r="E712" s="1" t="str">
        <f t="shared" si="11"/>
        <v>W05</v>
      </c>
      <c r="F712" s="4">
        <v>0</v>
      </c>
      <c r="G712" s="4">
        <v>0</v>
      </c>
      <c r="H712" s="4">
        <v>0</v>
      </c>
      <c r="I712" s="4"/>
      <c r="J712" s="1" t="s">
        <v>775</v>
      </c>
      <c r="K712" s="1" t="s">
        <v>1238</v>
      </c>
      <c r="L712" s="1" t="s">
        <v>829</v>
      </c>
      <c r="M712" s="1" t="s">
        <v>913</v>
      </c>
      <c r="N712" s="1" t="s">
        <v>79</v>
      </c>
      <c r="O712" s="6">
        <v>44524</v>
      </c>
      <c r="P712" s="6">
        <v>44512</v>
      </c>
      <c r="Q712" s="6">
        <v>44506</v>
      </c>
      <c r="R712" s="1" t="s">
        <v>830</v>
      </c>
      <c r="S712" s="1" t="s">
        <v>914</v>
      </c>
      <c r="T712" s="5">
        <v>330</v>
      </c>
      <c r="U712" s="4">
        <v>9</v>
      </c>
      <c r="V712" s="5">
        <v>283</v>
      </c>
      <c r="W712" s="6">
        <v>43388</v>
      </c>
      <c r="X712" s="6"/>
      <c r="Y712" s="6"/>
      <c r="Z712" s="6"/>
      <c r="AA712" s="6"/>
      <c r="AB712" s="6"/>
      <c r="AC712" s="6"/>
      <c r="AD712" s="6"/>
    </row>
    <row r="713" spans="1:30">
      <c r="A713" s="1" t="s">
        <v>772</v>
      </c>
      <c r="B713" s="1" t="s">
        <v>773</v>
      </c>
      <c r="C713" s="1" t="s">
        <v>1010</v>
      </c>
      <c r="D713" s="1" t="s">
        <v>1239</v>
      </c>
      <c r="E713" s="1" t="str">
        <f t="shared" si="11"/>
        <v>W07</v>
      </c>
      <c r="F713" s="4">
        <v>2.63</v>
      </c>
      <c r="G713" s="4">
        <v>2.44</v>
      </c>
      <c r="H713" s="4">
        <v>2.44</v>
      </c>
      <c r="I713" s="4"/>
      <c r="J713" s="1" t="s">
        <v>775</v>
      </c>
      <c r="K713" s="1" t="s">
        <v>1240</v>
      </c>
      <c r="L713" s="1" t="s">
        <v>829</v>
      </c>
      <c r="M713" s="1" t="s">
        <v>913</v>
      </c>
      <c r="N713" s="1" t="s">
        <v>777</v>
      </c>
      <c r="O713" s="6">
        <v>44662</v>
      </c>
      <c r="P713" s="6">
        <v>44612</v>
      </c>
      <c r="Q713" s="6">
        <v>44608</v>
      </c>
      <c r="R713" s="1" t="s">
        <v>830</v>
      </c>
      <c r="S713" s="1" t="s">
        <v>914</v>
      </c>
      <c r="T713" s="5">
        <v>330</v>
      </c>
      <c r="U713" s="4">
        <v>6</v>
      </c>
      <c r="V713" s="5">
        <v>183</v>
      </c>
      <c r="W713" s="6">
        <v>43678</v>
      </c>
      <c r="X713" s="6">
        <v>43637</v>
      </c>
      <c r="Y713" s="6"/>
      <c r="Z713" s="6"/>
      <c r="AA713" s="6"/>
      <c r="AB713" s="6"/>
      <c r="AC713" s="6"/>
      <c r="AD713" s="6"/>
    </row>
    <row r="714" spans="1:30">
      <c r="A714" s="1" t="s">
        <v>772</v>
      </c>
      <c r="B714" s="1" t="s">
        <v>773</v>
      </c>
      <c r="C714" s="1" t="s">
        <v>989</v>
      </c>
      <c r="D714" s="1" t="s">
        <v>1241</v>
      </c>
      <c r="E714" s="1" t="str">
        <f t="shared" si="11"/>
        <v>W05</v>
      </c>
      <c r="F714" s="4">
        <v>0</v>
      </c>
      <c r="G714" s="4">
        <v>0</v>
      </c>
      <c r="H714" s="4">
        <v>0</v>
      </c>
      <c r="I714" s="4"/>
      <c r="J714" s="1" t="s">
        <v>775</v>
      </c>
      <c r="K714" s="1" t="s">
        <v>1231</v>
      </c>
      <c r="L714" s="1" t="s">
        <v>787</v>
      </c>
      <c r="M714" s="1" t="s">
        <v>788</v>
      </c>
      <c r="N714" s="1" t="s">
        <v>777</v>
      </c>
      <c r="O714" s="6">
        <v>44473</v>
      </c>
      <c r="P714" s="6">
        <v>44459</v>
      </c>
      <c r="Q714" s="6">
        <v>44055</v>
      </c>
      <c r="R714" s="1" t="s">
        <v>779</v>
      </c>
      <c r="S714" s="1" t="s">
        <v>79</v>
      </c>
      <c r="T714" s="5">
        <v>402</v>
      </c>
      <c r="U714" s="4">
        <v>11</v>
      </c>
      <c r="V714" s="5">
        <v>336</v>
      </c>
      <c r="W714" s="6">
        <v>43175</v>
      </c>
      <c r="X714" s="6">
        <v>43206</v>
      </c>
      <c r="Y714" s="6"/>
      <c r="Z714" s="6"/>
      <c r="AA714" s="6">
        <v>44706</v>
      </c>
      <c r="AB714" s="6"/>
      <c r="AC714" s="6"/>
      <c r="AD714" s="6">
        <v>44485</v>
      </c>
    </row>
    <row r="715" spans="1:30">
      <c r="A715" s="1" t="s">
        <v>772</v>
      </c>
      <c r="B715" s="1" t="s">
        <v>773</v>
      </c>
      <c r="C715" s="1" t="s">
        <v>989</v>
      </c>
      <c r="D715" s="1" t="s">
        <v>1242</v>
      </c>
      <c r="E715" s="1" t="str">
        <f t="shared" si="11"/>
        <v>W05</v>
      </c>
      <c r="F715" s="4">
        <v>0</v>
      </c>
      <c r="G715" s="4">
        <v>0</v>
      </c>
      <c r="H715" s="4">
        <v>0</v>
      </c>
      <c r="I715" s="4"/>
      <c r="J715" s="1" t="s">
        <v>775</v>
      </c>
      <c r="K715" s="1" t="s">
        <v>1243</v>
      </c>
      <c r="L715" s="1" t="s">
        <v>787</v>
      </c>
      <c r="M715" s="1" t="s">
        <v>788</v>
      </c>
      <c r="N715" s="1" t="s">
        <v>777</v>
      </c>
      <c r="O715" s="6">
        <v>44532</v>
      </c>
      <c r="P715" s="6">
        <v>44530</v>
      </c>
      <c r="Q715" s="6">
        <v>44058</v>
      </c>
      <c r="R715" s="1" t="s">
        <v>779</v>
      </c>
      <c r="S715" s="1" t="s">
        <v>79</v>
      </c>
      <c r="T715" s="5">
        <v>402</v>
      </c>
      <c r="U715" s="4">
        <v>8</v>
      </c>
      <c r="V715" s="5">
        <v>265</v>
      </c>
      <c r="W715" s="6">
        <v>44925</v>
      </c>
      <c r="X715" s="6">
        <v>44956</v>
      </c>
      <c r="Y715" s="6"/>
      <c r="Z715" s="6"/>
      <c r="AA715" s="6">
        <v>44791</v>
      </c>
      <c r="AB715" s="6"/>
      <c r="AC715" s="6"/>
      <c r="AD715" s="6">
        <v>44533</v>
      </c>
    </row>
    <row r="716" spans="1:30">
      <c r="A716" s="1" t="s">
        <v>772</v>
      </c>
      <c r="B716" s="1" t="s">
        <v>773</v>
      </c>
      <c r="C716" s="1" t="s">
        <v>1010</v>
      </c>
      <c r="D716" s="1" t="s">
        <v>1244</v>
      </c>
      <c r="E716" s="1" t="str">
        <f t="shared" si="11"/>
        <v>W07</v>
      </c>
      <c r="F716" s="4">
        <v>0.78</v>
      </c>
      <c r="G716" s="4">
        <v>0.78</v>
      </c>
      <c r="H716" s="4">
        <v>0.78</v>
      </c>
      <c r="I716" s="4"/>
      <c r="J716" s="1" t="s">
        <v>775</v>
      </c>
      <c r="K716" s="1" t="s">
        <v>796</v>
      </c>
      <c r="L716" s="1" t="s">
        <v>787</v>
      </c>
      <c r="M716" s="1" t="s">
        <v>788</v>
      </c>
      <c r="N716" s="1" t="s">
        <v>79</v>
      </c>
      <c r="O716" s="6">
        <v>44746</v>
      </c>
      <c r="P716" s="6">
        <v>44721</v>
      </c>
      <c r="Q716" s="6">
        <v>44135</v>
      </c>
      <c r="R716" s="1" t="s">
        <v>779</v>
      </c>
      <c r="S716" s="1" t="s">
        <v>79</v>
      </c>
      <c r="T716" s="5">
        <v>402</v>
      </c>
      <c r="U716" s="4">
        <v>2</v>
      </c>
      <c r="V716" s="5">
        <v>74</v>
      </c>
      <c r="W716" s="6">
        <v>43016</v>
      </c>
      <c r="X716" s="6"/>
      <c r="Y716" s="6"/>
      <c r="Z716" s="6"/>
      <c r="AA716" s="6"/>
      <c r="AB716" s="6"/>
      <c r="AC716" s="6"/>
      <c r="AD716" s="6">
        <v>44713</v>
      </c>
    </row>
    <row r="717" spans="1:30">
      <c r="A717" s="1" t="s">
        <v>772</v>
      </c>
      <c r="B717" s="1" t="s">
        <v>773</v>
      </c>
      <c r="C717" s="1" t="s">
        <v>989</v>
      </c>
      <c r="D717" s="1" t="s">
        <v>1245</v>
      </c>
      <c r="E717" s="1" t="str">
        <f t="shared" si="11"/>
        <v>W05</v>
      </c>
      <c r="F717" s="4">
        <v>0</v>
      </c>
      <c r="G717" s="4">
        <v>0</v>
      </c>
      <c r="H717" s="4">
        <v>0</v>
      </c>
      <c r="I717" s="4"/>
      <c r="J717" s="1" t="s">
        <v>775</v>
      </c>
      <c r="K717" s="1" t="s">
        <v>1009</v>
      </c>
      <c r="L717" s="1" t="s">
        <v>829</v>
      </c>
      <c r="M717" s="1" t="s">
        <v>913</v>
      </c>
      <c r="N717" s="1" t="s">
        <v>787</v>
      </c>
      <c r="O717" s="6">
        <v>44718</v>
      </c>
      <c r="P717" s="6">
        <v>44713</v>
      </c>
      <c r="Q717" s="6">
        <v>44706</v>
      </c>
      <c r="R717" s="1" t="s">
        <v>830</v>
      </c>
      <c r="S717" s="1" t="s">
        <v>914</v>
      </c>
      <c r="T717" s="5">
        <v>330</v>
      </c>
      <c r="U717" s="4">
        <v>2</v>
      </c>
      <c r="V717" s="5">
        <v>82</v>
      </c>
      <c r="W717" s="6">
        <v>43293</v>
      </c>
      <c r="X717" s="6">
        <v>43079</v>
      </c>
      <c r="Y717" s="6"/>
      <c r="Z717" s="6"/>
      <c r="AA717" s="6"/>
      <c r="AB717" s="6"/>
      <c r="AC717" s="6"/>
      <c r="AD717" s="6"/>
    </row>
    <row r="718" spans="1:30">
      <c r="A718" s="1" t="s">
        <v>772</v>
      </c>
      <c r="B718" s="1" t="s">
        <v>773</v>
      </c>
      <c r="C718" s="1" t="s">
        <v>989</v>
      </c>
      <c r="D718" s="1" t="s">
        <v>1246</v>
      </c>
      <c r="E718" s="1" t="str">
        <f t="shared" si="11"/>
        <v>W05</v>
      </c>
      <c r="F718" s="4">
        <v>0</v>
      </c>
      <c r="G718" s="5">
        <v>0</v>
      </c>
      <c r="H718" s="5">
        <v>0</v>
      </c>
      <c r="I718" s="5"/>
      <c r="J718" s="1" t="s">
        <v>775</v>
      </c>
      <c r="K718" s="1" t="s">
        <v>1247</v>
      </c>
      <c r="L718" s="1" t="s">
        <v>778</v>
      </c>
      <c r="M718" s="1" t="s">
        <v>777</v>
      </c>
      <c r="N718" s="1" t="s">
        <v>79</v>
      </c>
      <c r="O718" s="6">
        <v>44727</v>
      </c>
      <c r="P718" s="6">
        <v>44721</v>
      </c>
      <c r="Q718" s="6"/>
      <c r="R718" s="1" t="s">
        <v>779</v>
      </c>
      <c r="S718" s="1" t="s">
        <v>79</v>
      </c>
      <c r="T718" s="5">
        <v>120</v>
      </c>
      <c r="U718" s="4">
        <v>2</v>
      </c>
      <c r="V718" s="5">
        <v>74</v>
      </c>
      <c r="W718" s="6">
        <v>43720</v>
      </c>
      <c r="X718" s="6"/>
      <c r="Y718" s="6"/>
      <c r="Z718" s="6"/>
      <c r="AA718" s="6"/>
      <c r="AB718" s="6"/>
      <c r="AC718" s="6"/>
      <c r="AD718" s="6">
        <v>44713</v>
      </c>
    </row>
    <row r="719" spans="1:30">
      <c r="A719" s="1" t="s">
        <v>772</v>
      </c>
      <c r="B719" s="1" t="s">
        <v>773</v>
      </c>
      <c r="C719" s="1" t="s">
        <v>989</v>
      </c>
      <c r="D719" s="1" t="s">
        <v>1248</v>
      </c>
      <c r="E719" s="1" t="str">
        <f t="shared" si="11"/>
        <v>W05</v>
      </c>
      <c r="F719" s="4">
        <v>0</v>
      </c>
      <c r="G719" s="4">
        <v>0</v>
      </c>
      <c r="H719" s="4">
        <v>0</v>
      </c>
      <c r="I719" s="4"/>
      <c r="J719" s="1" t="s">
        <v>775</v>
      </c>
      <c r="K719" s="1" t="s">
        <v>1197</v>
      </c>
      <c r="L719" s="1" t="s">
        <v>79</v>
      </c>
      <c r="M719" s="1" t="s">
        <v>79</v>
      </c>
      <c r="N719" s="1" t="s">
        <v>79</v>
      </c>
      <c r="O719" s="6">
        <v>44260</v>
      </c>
      <c r="P719" s="6">
        <v>44256</v>
      </c>
      <c r="Q719" s="6">
        <v>44256</v>
      </c>
      <c r="R719" s="1" t="s">
        <v>1076</v>
      </c>
      <c r="S719" s="1" t="s">
        <v>79</v>
      </c>
      <c r="T719" s="5">
        <v>1154</v>
      </c>
      <c r="U719" s="4">
        <v>17</v>
      </c>
      <c r="V719" s="5">
        <v>539</v>
      </c>
      <c r="W719" s="6"/>
      <c r="X719" s="6"/>
      <c r="Y719" s="6"/>
      <c r="Z719" s="6"/>
      <c r="AA719" s="6"/>
      <c r="AB719" s="6"/>
      <c r="AC719" s="6"/>
      <c r="AD719" s="6"/>
    </row>
    <row r="720" spans="1:30">
      <c r="A720" s="1" t="s">
        <v>772</v>
      </c>
      <c r="B720" s="1" t="s">
        <v>773</v>
      </c>
      <c r="C720" s="1" t="s">
        <v>989</v>
      </c>
      <c r="D720" s="1" t="s">
        <v>741</v>
      </c>
      <c r="E720" s="1" t="str">
        <f t="shared" si="11"/>
        <v>W05</v>
      </c>
      <c r="F720" s="4">
        <v>3.66</v>
      </c>
      <c r="G720" s="4">
        <v>3.5</v>
      </c>
      <c r="H720" s="4">
        <v>3.5</v>
      </c>
      <c r="I720" s="4"/>
      <c r="J720" s="1" t="s">
        <v>775</v>
      </c>
      <c r="K720" s="1" t="s">
        <v>1014</v>
      </c>
      <c r="L720" s="1" t="s">
        <v>1015</v>
      </c>
      <c r="M720" s="1" t="s">
        <v>1016</v>
      </c>
      <c r="N720" s="1" t="s">
        <v>79</v>
      </c>
      <c r="O720" s="6">
        <v>42480</v>
      </c>
      <c r="P720" s="6">
        <v>42476</v>
      </c>
      <c r="Q720" s="6"/>
      <c r="R720" s="1" t="s">
        <v>1017</v>
      </c>
      <c r="S720" s="1" t="s">
        <v>79</v>
      </c>
      <c r="T720" s="5">
        <v>0</v>
      </c>
      <c r="U720" s="4">
        <v>76</v>
      </c>
      <c r="V720" s="5">
        <v>2319</v>
      </c>
      <c r="W720" s="6">
        <v>42041</v>
      </c>
      <c r="X720" s="6"/>
      <c r="Y720" s="6"/>
      <c r="Z720" s="6"/>
      <c r="AA720" s="6"/>
      <c r="AB720" s="6"/>
      <c r="AC720" s="6"/>
      <c r="AD720" s="6"/>
    </row>
    <row r="721" spans="1:30">
      <c r="A721" s="1" t="s">
        <v>772</v>
      </c>
      <c r="B721" s="1" t="s">
        <v>773</v>
      </c>
      <c r="C721" s="1" t="s">
        <v>1010</v>
      </c>
      <c r="D721" s="1" t="s">
        <v>586</v>
      </c>
      <c r="E721" s="1" t="str">
        <f t="shared" si="11"/>
        <v>W07</v>
      </c>
      <c r="F721" s="4">
        <v>8.98</v>
      </c>
      <c r="G721" s="4">
        <v>7.07</v>
      </c>
      <c r="H721" s="4">
        <v>7.07</v>
      </c>
      <c r="I721" s="4"/>
      <c r="J721" s="1" t="s">
        <v>775</v>
      </c>
      <c r="K721" s="1" t="s">
        <v>1019</v>
      </c>
      <c r="L721" s="1" t="s">
        <v>79</v>
      </c>
      <c r="M721" s="1" t="s">
        <v>79</v>
      </c>
      <c r="N721" s="1" t="s">
        <v>79</v>
      </c>
      <c r="O721" s="6">
        <v>42535</v>
      </c>
      <c r="P721" s="6">
        <v>42522</v>
      </c>
      <c r="Q721" s="6">
        <v>42522</v>
      </c>
      <c r="R721" s="1" t="s">
        <v>1017</v>
      </c>
      <c r="S721" s="1" t="s">
        <v>79</v>
      </c>
      <c r="T721" s="5">
        <v>0</v>
      </c>
      <c r="U721" s="4">
        <v>74</v>
      </c>
      <c r="V721" s="5">
        <v>2273</v>
      </c>
      <c r="W721" s="6"/>
      <c r="X721" s="6"/>
      <c r="Y721" s="6"/>
      <c r="Z721" s="6"/>
      <c r="AA721" s="6"/>
      <c r="AB721" s="6"/>
      <c r="AC721" s="6"/>
      <c r="AD721" s="6"/>
    </row>
    <row r="722" spans="1:30">
      <c r="A722" s="1" t="s">
        <v>772</v>
      </c>
      <c r="B722" s="1" t="s">
        <v>773</v>
      </c>
      <c r="C722" s="1" t="s">
        <v>989</v>
      </c>
      <c r="D722" s="1" t="s">
        <v>1249</v>
      </c>
      <c r="E722" s="1" t="str">
        <f t="shared" si="11"/>
        <v>W05</v>
      </c>
      <c r="F722" s="4">
        <v>0</v>
      </c>
      <c r="G722" s="4">
        <v>0</v>
      </c>
      <c r="H722" s="4">
        <v>0</v>
      </c>
      <c r="I722" s="4"/>
      <c r="J722" s="1" t="s">
        <v>775</v>
      </c>
      <c r="K722" s="1" t="s">
        <v>1014</v>
      </c>
      <c r="L722" s="1" t="s">
        <v>1015</v>
      </c>
      <c r="M722" s="1" t="s">
        <v>1016</v>
      </c>
      <c r="N722" s="1" t="s">
        <v>79</v>
      </c>
      <c r="O722" s="6">
        <v>42472</v>
      </c>
      <c r="P722" s="6">
        <v>42472</v>
      </c>
      <c r="Q722" s="6"/>
      <c r="R722" s="1" t="s">
        <v>1017</v>
      </c>
      <c r="S722" s="1" t="s">
        <v>79</v>
      </c>
      <c r="T722" s="5">
        <v>0</v>
      </c>
      <c r="U722" s="4">
        <v>76</v>
      </c>
      <c r="V722" s="5">
        <v>2323</v>
      </c>
      <c r="W722" s="6">
        <v>42041</v>
      </c>
      <c r="X722" s="6"/>
      <c r="Y722" s="6"/>
      <c r="Z722" s="6"/>
      <c r="AA722" s="6"/>
      <c r="AB722" s="6"/>
      <c r="AC722" s="6"/>
      <c r="AD722" s="6">
        <v>43153</v>
      </c>
    </row>
    <row r="723" spans="1:30">
      <c r="A723" s="1" t="s">
        <v>772</v>
      </c>
      <c r="B723" s="1" t="s">
        <v>773</v>
      </c>
      <c r="C723" s="1" t="s">
        <v>989</v>
      </c>
      <c r="D723" s="1" t="s">
        <v>1250</v>
      </c>
      <c r="E723" s="1" t="str">
        <f t="shared" si="11"/>
        <v>W05</v>
      </c>
      <c r="F723" s="4">
        <v>0</v>
      </c>
      <c r="G723" s="4">
        <v>0</v>
      </c>
      <c r="H723" s="4">
        <v>0</v>
      </c>
      <c r="I723" s="4"/>
      <c r="J723" s="1" t="s">
        <v>775</v>
      </c>
      <c r="K723" s="1" t="s">
        <v>1022</v>
      </c>
      <c r="L723" s="1" t="s">
        <v>1023</v>
      </c>
      <c r="M723" s="1" t="s">
        <v>1016</v>
      </c>
      <c r="N723" s="1" t="s">
        <v>79</v>
      </c>
      <c r="O723" s="6">
        <v>42707</v>
      </c>
      <c r="P723" s="6">
        <v>42705</v>
      </c>
      <c r="Q723" s="6">
        <v>42705</v>
      </c>
      <c r="R723" s="1" t="s">
        <v>1017</v>
      </c>
      <c r="S723" s="1" t="s">
        <v>79</v>
      </c>
      <c r="T723" s="5">
        <v>0</v>
      </c>
      <c r="U723" s="4">
        <v>68</v>
      </c>
      <c r="V723" s="5">
        <v>2090</v>
      </c>
      <c r="W723" s="6"/>
      <c r="X723" s="6"/>
      <c r="Y723" s="6"/>
      <c r="Z723" s="6"/>
      <c r="AA723" s="6"/>
      <c r="AB723" s="6"/>
      <c r="AC723" s="6"/>
      <c r="AD723" s="6">
        <v>43128</v>
      </c>
    </row>
    <row r="724" spans="1:30">
      <c r="A724" s="1" t="s">
        <v>772</v>
      </c>
      <c r="B724" s="1" t="s">
        <v>773</v>
      </c>
      <c r="C724" s="1" t="s">
        <v>989</v>
      </c>
      <c r="D724" s="1" t="s">
        <v>1251</v>
      </c>
      <c r="E724" s="1" t="str">
        <f t="shared" si="11"/>
        <v>W05</v>
      </c>
      <c r="F724" s="4">
        <v>0</v>
      </c>
      <c r="G724" s="4">
        <v>0</v>
      </c>
      <c r="H724" s="4">
        <v>0</v>
      </c>
      <c r="I724" s="4"/>
      <c r="J724" s="1" t="s">
        <v>775</v>
      </c>
      <c r="K724" s="1" t="s">
        <v>1022</v>
      </c>
      <c r="L724" s="1" t="s">
        <v>1023</v>
      </c>
      <c r="M724" s="1" t="s">
        <v>1016</v>
      </c>
      <c r="N724" s="1" t="s">
        <v>79</v>
      </c>
      <c r="O724" s="6">
        <v>42707</v>
      </c>
      <c r="P724" s="6">
        <v>42705</v>
      </c>
      <c r="Q724" s="6">
        <v>42705</v>
      </c>
      <c r="R724" s="1" t="s">
        <v>1017</v>
      </c>
      <c r="S724" s="1" t="s">
        <v>79</v>
      </c>
      <c r="T724" s="5">
        <v>0</v>
      </c>
      <c r="U724" s="4">
        <v>68</v>
      </c>
      <c r="V724" s="5">
        <v>2090</v>
      </c>
      <c r="W724" s="6"/>
      <c r="X724" s="6"/>
      <c r="Y724" s="6"/>
      <c r="Z724" s="6"/>
      <c r="AA724" s="6"/>
      <c r="AB724" s="6"/>
      <c r="AC724" s="6"/>
      <c r="AD724" s="6">
        <v>43137</v>
      </c>
    </row>
    <row r="725" spans="1:30">
      <c r="A725" s="1" t="s">
        <v>772</v>
      </c>
      <c r="B725" s="1" t="s">
        <v>773</v>
      </c>
      <c r="C725" s="1" t="s">
        <v>989</v>
      </c>
      <c r="D725" s="1" t="s">
        <v>1252</v>
      </c>
      <c r="E725" s="1" t="str">
        <f t="shared" si="11"/>
        <v>W05</v>
      </c>
      <c r="F725" s="4">
        <v>0</v>
      </c>
      <c r="G725" s="4">
        <v>0</v>
      </c>
      <c r="H725" s="4">
        <v>0</v>
      </c>
      <c r="I725" s="4"/>
      <c r="J725" s="1" t="s">
        <v>775</v>
      </c>
      <c r="K725" s="1" t="s">
        <v>1022</v>
      </c>
      <c r="L725" s="1" t="s">
        <v>1023</v>
      </c>
      <c r="M725" s="1" t="s">
        <v>1016</v>
      </c>
      <c r="N725" s="1" t="s">
        <v>79</v>
      </c>
      <c r="O725" s="6">
        <v>42707</v>
      </c>
      <c r="P725" s="6">
        <v>42705</v>
      </c>
      <c r="Q725" s="6">
        <v>42705</v>
      </c>
      <c r="R725" s="1" t="s">
        <v>1017</v>
      </c>
      <c r="S725" s="1" t="s">
        <v>79</v>
      </c>
      <c r="T725" s="5">
        <v>0</v>
      </c>
      <c r="U725" s="4">
        <v>68</v>
      </c>
      <c r="V725" s="5">
        <v>2090</v>
      </c>
      <c r="W725" s="6"/>
      <c r="X725" s="6"/>
      <c r="Y725" s="6"/>
      <c r="Z725" s="6"/>
      <c r="AA725" s="6"/>
      <c r="AB725" s="6"/>
      <c r="AC725" s="6"/>
      <c r="AD725" s="6">
        <v>43128</v>
      </c>
    </row>
    <row r="726" spans="1:30">
      <c r="A726" s="1" t="s">
        <v>772</v>
      </c>
      <c r="B726" s="1" t="s">
        <v>773</v>
      </c>
      <c r="C726" s="1" t="s">
        <v>989</v>
      </c>
      <c r="D726" s="1" t="s">
        <v>1253</v>
      </c>
      <c r="E726" s="1" t="str">
        <f t="shared" si="11"/>
        <v>W05</v>
      </c>
      <c r="F726" s="4">
        <v>0</v>
      </c>
      <c r="G726" s="4">
        <v>0</v>
      </c>
      <c r="H726" s="4">
        <v>0</v>
      </c>
      <c r="I726" s="4"/>
      <c r="J726" s="1" t="s">
        <v>775</v>
      </c>
      <c r="K726" s="1" t="s">
        <v>1027</v>
      </c>
      <c r="L726" s="1" t="s">
        <v>1015</v>
      </c>
      <c r="M726" s="1" t="s">
        <v>1016</v>
      </c>
      <c r="N726" s="1" t="s">
        <v>79</v>
      </c>
      <c r="O726" s="6">
        <v>42521</v>
      </c>
      <c r="P726" s="6">
        <v>42521</v>
      </c>
      <c r="Q726" s="6"/>
      <c r="R726" s="1" t="s">
        <v>1017</v>
      </c>
      <c r="S726" s="1" t="s">
        <v>79</v>
      </c>
      <c r="T726" s="5">
        <v>0</v>
      </c>
      <c r="U726" s="4">
        <v>74</v>
      </c>
      <c r="V726" s="5">
        <v>2274</v>
      </c>
      <c r="W726" s="6"/>
      <c r="X726" s="6"/>
      <c r="Y726" s="6"/>
      <c r="Z726" s="6"/>
      <c r="AA726" s="6"/>
      <c r="AB726" s="6"/>
      <c r="AC726" s="6"/>
      <c r="AD726" s="6"/>
    </row>
    <row r="727" spans="1:30">
      <c r="A727" s="1" t="s">
        <v>772</v>
      </c>
      <c r="B727" s="1" t="s">
        <v>773</v>
      </c>
      <c r="C727" s="1" t="s">
        <v>989</v>
      </c>
      <c r="D727" s="1" t="s">
        <v>1254</v>
      </c>
      <c r="E727" s="1" t="str">
        <f t="shared" si="11"/>
        <v>W05</v>
      </c>
      <c r="F727" s="4">
        <v>0</v>
      </c>
      <c r="G727" s="4">
        <v>0</v>
      </c>
      <c r="H727" s="4">
        <v>0</v>
      </c>
      <c r="I727" s="4"/>
      <c r="J727" s="1" t="s">
        <v>775</v>
      </c>
      <c r="K727" s="1" t="s">
        <v>1022</v>
      </c>
      <c r="L727" s="1" t="s">
        <v>1023</v>
      </c>
      <c r="M727" s="1" t="s">
        <v>1016</v>
      </c>
      <c r="N727" s="1" t="s">
        <v>79</v>
      </c>
      <c r="O727" s="6">
        <v>42707</v>
      </c>
      <c r="P727" s="6">
        <v>42705</v>
      </c>
      <c r="Q727" s="6">
        <v>42705</v>
      </c>
      <c r="R727" s="1" t="s">
        <v>1017</v>
      </c>
      <c r="S727" s="1" t="s">
        <v>79</v>
      </c>
      <c r="T727" s="5">
        <v>0</v>
      </c>
      <c r="U727" s="4">
        <v>68</v>
      </c>
      <c r="V727" s="5">
        <v>2090</v>
      </c>
      <c r="W727" s="6"/>
      <c r="X727" s="6"/>
      <c r="Y727" s="6"/>
      <c r="Z727" s="6"/>
      <c r="AA727" s="6"/>
      <c r="AB727" s="6"/>
      <c r="AC727" s="6"/>
      <c r="AD727" s="6"/>
    </row>
    <row r="728" spans="1:30">
      <c r="A728" s="1" t="s">
        <v>772</v>
      </c>
      <c r="B728" s="1" t="s">
        <v>773</v>
      </c>
      <c r="C728" s="1" t="s">
        <v>989</v>
      </c>
      <c r="D728" s="1" t="s">
        <v>1255</v>
      </c>
      <c r="E728" s="1" t="str">
        <f t="shared" si="11"/>
        <v>W05</v>
      </c>
      <c r="F728" s="4">
        <v>0</v>
      </c>
      <c r="G728" s="4">
        <v>0</v>
      </c>
      <c r="H728" s="4">
        <v>0</v>
      </c>
      <c r="I728" s="4"/>
      <c r="J728" s="1" t="s">
        <v>775</v>
      </c>
      <c r="K728" s="1" t="s">
        <v>1022</v>
      </c>
      <c r="L728" s="1" t="s">
        <v>1023</v>
      </c>
      <c r="M728" s="1" t="s">
        <v>1016</v>
      </c>
      <c r="N728" s="1" t="s">
        <v>79</v>
      </c>
      <c r="O728" s="6">
        <v>42707</v>
      </c>
      <c r="P728" s="6">
        <v>42705</v>
      </c>
      <c r="Q728" s="6">
        <v>42705</v>
      </c>
      <c r="R728" s="1" t="s">
        <v>1017</v>
      </c>
      <c r="S728" s="1" t="s">
        <v>79</v>
      </c>
      <c r="T728" s="5">
        <v>0</v>
      </c>
      <c r="U728" s="4">
        <v>68</v>
      </c>
      <c r="V728" s="5">
        <v>2090</v>
      </c>
      <c r="W728" s="6"/>
      <c r="X728" s="6"/>
      <c r="Y728" s="6"/>
      <c r="Z728" s="6"/>
      <c r="AA728" s="6"/>
      <c r="AB728" s="6"/>
      <c r="AC728" s="6"/>
      <c r="AD728" s="6">
        <v>43136</v>
      </c>
    </row>
    <row r="729" spans="1:30">
      <c r="A729" s="1" t="s">
        <v>772</v>
      </c>
      <c r="B729" s="1" t="s">
        <v>773</v>
      </c>
      <c r="C729" s="1" t="s">
        <v>989</v>
      </c>
      <c r="D729" s="1" t="s">
        <v>1256</v>
      </c>
      <c r="E729" s="1" t="str">
        <f t="shared" si="11"/>
        <v>W05</v>
      </c>
      <c r="F729" s="4">
        <v>0</v>
      </c>
      <c r="G729" s="4">
        <v>0</v>
      </c>
      <c r="H729" s="4">
        <v>0</v>
      </c>
      <c r="I729" s="4"/>
      <c r="J729" s="1" t="s">
        <v>775</v>
      </c>
      <c r="K729" s="1" t="s">
        <v>1022</v>
      </c>
      <c r="L729" s="1" t="s">
        <v>1023</v>
      </c>
      <c r="M729" s="1" t="s">
        <v>1016</v>
      </c>
      <c r="N729" s="1" t="s">
        <v>79</v>
      </c>
      <c r="O729" s="6">
        <v>42707</v>
      </c>
      <c r="P729" s="6">
        <v>42705</v>
      </c>
      <c r="Q729" s="6">
        <v>42705</v>
      </c>
      <c r="R729" s="1" t="s">
        <v>1017</v>
      </c>
      <c r="S729" s="1" t="s">
        <v>79</v>
      </c>
      <c r="T729" s="5">
        <v>0</v>
      </c>
      <c r="U729" s="4">
        <v>68</v>
      </c>
      <c r="V729" s="5">
        <v>2090</v>
      </c>
      <c r="W729" s="6"/>
      <c r="X729" s="6"/>
      <c r="Y729" s="6"/>
      <c r="Z729" s="6"/>
      <c r="AA729" s="6"/>
      <c r="AB729" s="6"/>
      <c r="AC729" s="6"/>
      <c r="AD729" s="6">
        <v>43128</v>
      </c>
    </row>
    <row r="730" spans="1:30">
      <c r="A730" s="1" t="s">
        <v>772</v>
      </c>
      <c r="B730" s="1" t="s">
        <v>773</v>
      </c>
      <c r="C730" s="1" t="s">
        <v>989</v>
      </c>
      <c r="D730" s="1" t="s">
        <v>1257</v>
      </c>
      <c r="E730" s="1" t="str">
        <f t="shared" si="11"/>
        <v>W05</v>
      </c>
      <c r="F730" s="4">
        <v>0</v>
      </c>
      <c r="G730" s="4">
        <v>0</v>
      </c>
      <c r="H730" s="4">
        <v>0</v>
      </c>
      <c r="I730" s="4"/>
      <c r="J730" s="1" t="s">
        <v>775</v>
      </c>
      <c r="K730" s="1" t="s">
        <v>1027</v>
      </c>
      <c r="L730" s="1" t="s">
        <v>1015</v>
      </c>
      <c r="M730" s="1" t="s">
        <v>1016</v>
      </c>
      <c r="N730" s="1" t="s">
        <v>79</v>
      </c>
      <c r="O730" s="6">
        <v>42521</v>
      </c>
      <c r="P730" s="6">
        <v>42521</v>
      </c>
      <c r="Q730" s="6"/>
      <c r="R730" s="1" t="s">
        <v>1017</v>
      </c>
      <c r="S730" s="1" t="s">
        <v>79</v>
      </c>
      <c r="T730" s="5">
        <v>0</v>
      </c>
      <c r="U730" s="4">
        <v>74</v>
      </c>
      <c r="V730" s="5">
        <v>2274</v>
      </c>
      <c r="W730" s="6"/>
      <c r="X730" s="6"/>
      <c r="Y730" s="6"/>
      <c r="Z730" s="6"/>
      <c r="AA730" s="6"/>
      <c r="AB730" s="6"/>
      <c r="AC730" s="6"/>
      <c r="AD730" s="6">
        <v>43314</v>
      </c>
    </row>
    <row r="731" spans="1:30">
      <c r="A731" s="1" t="s">
        <v>772</v>
      </c>
      <c r="B731" s="1" t="s">
        <v>773</v>
      </c>
      <c r="C731" s="1" t="s">
        <v>989</v>
      </c>
      <c r="D731" s="1" t="s">
        <v>1258</v>
      </c>
      <c r="E731" s="1" t="str">
        <f t="shared" si="11"/>
        <v>W05</v>
      </c>
      <c r="F731" s="4">
        <v>0</v>
      </c>
      <c r="G731" s="4">
        <v>0</v>
      </c>
      <c r="H731" s="4">
        <v>0</v>
      </c>
      <c r="I731" s="4"/>
      <c r="J731" s="1" t="s">
        <v>775</v>
      </c>
      <c r="K731" s="1" t="s">
        <v>1022</v>
      </c>
      <c r="L731" s="1" t="s">
        <v>1023</v>
      </c>
      <c r="M731" s="1" t="s">
        <v>1016</v>
      </c>
      <c r="N731" s="1" t="s">
        <v>79</v>
      </c>
      <c r="O731" s="6">
        <v>42707</v>
      </c>
      <c r="P731" s="6">
        <v>42705</v>
      </c>
      <c r="Q731" s="6">
        <v>42705</v>
      </c>
      <c r="R731" s="1" t="s">
        <v>1017</v>
      </c>
      <c r="S731" s="1" t="s">
        <v>79</v>
      </c>
      <c r="T731" s="5">
        <v>0</v>
      </c>
      <c r="U731" s="4">
        <v>68</v>
      </c>
      <c r="V731" s="5">
        <v>2090</v>
      </c>
      <c r="W731" s="6"/>
      <c r="X731" s="6"/>
      <c r="Y731" s="6"/>
      <c r="Z731" s="6"/>
      <c r="AA731" s="6"/>
      <c r="AB731" s="6"/>
      <c r="AC731" s="6"/>
      <c r="AD731" s="6"/>
    </row>
    <row r="732" spans="1:30">
      <c r="A732" s="1" t="s">
        <v>772</v>
      </c>
      <c r="B732" s="1" t="s">
        <v>773</v>
      </c>
      <c r="C732" s="1" t="s">
        <v>989</v>
      </c>
      <c r="D732" s="1" t="s">
        <v>1259</v>
      </c>
      <c r="E732" s="1" t="str">
        <f t="shared" si="11"/>
        <v>W05</v>
      </c>
      <c r="F732" s="4">
        <v>0</v>
      </c>
      <c r="G732" s="4">
        <v>0</v>
      </c>
      <c r="H732" s="4">
        <v>0</v>
      </c>
      <c r="I732" s="4"/>
      <c r="J732" s="1" t="s">
        <v>775</v>
      </c>
      <c r="K732" s="1" t="s">
        <v>1022</v>
      </c>
      <c r="L732" s="1" t="s">
        <v>1023</v>
      </c>
      <c r="M732" s="1" t="s">
        <v>1016</v>
      </c>
      <c r="N732" s="1" t="s">
        <v>79</v>
      </c>
      <c r="O732" s="6">
        <v>42707</v>
      </c>
      <c r="P732" s="6">
        <v>42705</v>
      </c>
      <c r="Q732" s="6">
        <v>42705</v>
      </c>
      <c r="R732" s="1" t="s">
        <v>1017</v>
      </c>
      <c r="S732" s="1" t="s">
        <v>79</v>
      </c>
      <c r="T732" s="5">
        <v>0</v>
      </c>
      <c r="U732" s="4">
        <v>68</v>
      </c>
      <c r="V732" s="5">
        <v>2090</v>
      </c>
      <c r="W732" s="6"/>
      <c r="X732" s="6"/>
      <c r="Y732" s="6"/>
      <c r="Z732" s="6"/>
      <c r="AA732" s="6"/>
      <c r="AB732" s="6"/>
      <c r="AC732" s="6"/>
      <c r="AD732" s="6">
        <v>43136</v>
      </c>
    </row>
    <row r="733" spans="1:30">
      <c r="A733" s="1" t="s">
        <v>772</v>
      </c>
      <c r="B733" s="1" t="s">
        <v>773</v>
      </c>
      <c r="C733" s="1" t="s">
        <v>989</v>
      </c>
      <c r="D733" s="1" t="s">
        <v>1260</v>
      </c>
      <c r="E733" s="1" t="str">
        <f t="shared" si="11"/>
        <v>W05</v>
      </c>
      <c r="F733" s="4">
        <v>0</v>
      </c>
      <c r="G733" s="4">
        <v>0</v>
      </c>
      <c r="H733" s="4">
        <v>0</v>
      </c>
      <c r="I733" s="4"/>
      <c r="J733" s="1" t="s">
        <v>775</v>
      </c>
      <c r="K733" s="1" t="s">
        <v>1022</v>
      </c>
      <c r="L733" s="1" t="s">
        <v>1023</v>
      </c>
      <c r="M733" s="1" t="s">
        <v>1016</v>
      </c>
      <c r="N733" s="1" t="s">
        <v>79</v>
      </c>
      <c r="O733" s="6">
        <v>42707</v>
      </c>
      <c r="P733" s="6">
        <v>42705</v>
      </c>
      <c r="Q733" s="6">
        <v>42705</v>
      </c>
      <c r="R733" s="1" t="s">
        <v>1017</v>
      </c>
      <c r="S733" s="1" t="s">
        <v>79</v>
      </c>
      <c r="T733" s="5">
        <v>0</v>
      </c>
      <c r="U733" s="4">
        <v>68</v>
      </c>
      <c r="V733" s="5">
        <v>2090</v>
      </c>
      <c r="W733" s="6"/>
      <c r="X733" s="6"/>
      <c r="Y733" s="6"/>
      <c r="Z733" s="6"/>
      <c r="AA733" s="6"/>
      <c r="AB733" s="6"/>
      <c r="AC733" s="6"/>
      <c r="AD733" s="6">
        <v>43128</v>
      </c>
    </row>
    <row r="734" spans="1:30">
      <c r="A734" s="1" t="s">
        <v>772</v>
      </c>
      <c r="B734" s="1" t="s">
        <v>773</v>
      </c>
      <c r="C734" s="1" t="s">
        <v>989</v>
      </c>
      <c r="D734" s="1" t="s">
        <v>1261</v>
      </c>
      <c r="E734" s="1" t="str">
        <f t="shared" si="11"/>
        <v>W05</v>
      </c>
      <c r="F734" s="4">
        <v>0</v>
      </c>
      <c r="G734" s="4">
        <v>0</v>
      </c>
      <c r="H734" s="4">
        <v>0</v>
      </c>
      <c r="I734" s="4"/>
      <c r="J734" s="1" t="s">
        <v>775</v>
      </c>
      <c r="K734" s="1" t="s">
        <v>1036</v>
      </c>
      <c r="L734" s="1" t="s">
        <v>79</v>
      </c>
      <c r="M734" s="1" t="s">
        <v>1016</v>
      </c>
      <c r="N734" s="1" t="s">
        <v>79</v>
      </c>
      <c r="O734" s="6">
        <v>42405</v>
      </c>
      <c r="P734" s="6">
        <v>42405</v>
      </c>
      <c r="Q734" s="6"/>
      <c r="R734" s="1" t="s">
        <v>1017</v>
      </c>
      <c r="S734" s="1" t="s">
        <v>79</v>
      </c>
      <c r="T734" s="5">
        <v>0</v>
      </c>
      <c r="U734" s="4">
        <v>78</v>
      </c>
      <c r="V734" s="5">
        <v>2390</v>
      </c>
      <c r="W734" s="6"/>
      <c r="X734" s="6"/>
      <c r="Y734" s="6"/>
      <c r="Z734" s="6"/>
      <c r="AA734" s="6"/>
      <c r="AB734" s="6"/>
      <c r="AC734" s="6"/>
      <c r="AD734" s="6">
        <v>43128</v>
      </c>
    </row>
    <row r="735" spans="1:30">
      <c r="A735" s="1" t="s">
        <v>772</v>
      </c>
      <c r="B735" s="1" t="s">
        <v>773</v>
      </c>
      <c r="C735" s="1" t="s">
        <v>989</v>
      </c>
      <c r="D735" s="1" t="s">
        <v>1262</v>
      </c>
      <c r="E735" s="1" t="str">
        <f t="shared" si="11"/>
        <v>W05</v>
      </c>
      <c r="F735" s="5">
        <v>0</v>
      </c>
      <c r="G735" s="5">
        <v>0</v>
      </c>
      <c r="H735" s="5">
        <v>0</v>
      </c>
      <c r="I735" s="5"/>
      <c r="J735" s="1" t="s">
        <v>775</v>
      </c>
      <c r="K735" s="1" t="s">
        <v>1263</v>
      </c>
      <c r="L735" s="1" t="s">
        <v>79</v>
      </c>
      <c r="M735" s="1" t="s">
        <v>79</v>
      </c>
      <c r="N735" s="1" t="s">
        <v>79</v>
      </c>
      <c r="O735" s="6">
        <v>43257</v>
      </c>
      <c r="P735" s="6">
        <v>43252</v>
      </c>
      <c r="Q735" s="6"/>
      <c r="R735" s="1" t="s">
        <v>784</v>
      </c>
      <c r="S735" s="1" t="s">
        <v>79</v>
      </c>
      <c r="T735" s="5">
        <v>180</v>
      </c>
      <c r="U735" s="4">
        <v>50</v>
      </c>
      <c r="V735" s="5">
        <v>1543</v>
      </c>
      <c r="W735" s="6"/>
      <c r="X735" s="6"/>
      <c r="Y735" s="6"/>
      <c r="Z735" s="6"/>
      <c r="AA735" s="6"/>
      <c r="AB735" s="6"/>
      <c r="AC735" s="6"/>
      <c r="AD735" s="6">
        <v>43336</v>
      </c>
    </row>
    <row r="736" spans="1:30">
      <c r="A736" s="1" t="s">
        <v>772</v>
      </c>
      <c r="B736" s="1" t="s">
        <v>773</v>
      </c>
      <c r="C736" s="1" t="s">
        <v>989</v>
      </c>
      <c r="D736" s="1" t="s">
        <v>1264</v>
      </c>
      <c r="E736" s="1" t="str">
        <f t="shared" si="11"/>
        <v>W05</v>
      </c>
      <c r="F736" s="5">
        <v>0</v>
      </c>
      <c r="G736" s="5">
        <v>0</v>
      </c>
      <c r="H736" s="5">
        <v>0</v>
      </c>
      <c r="I736" s="5"/>
      <c r="J736" s="1" t="s">
        <v>775</v>
      </c>
      <c r="K736" s="1" t="s">
        <v>1263</v>
      </c>
      <c r="L736" s="1" t="s">
        <v>79</v>
      </c>
      <c r="M736" s="1" t="s">
        <v>79</v>
      </c>
      <c r="N736" s="1" t="s">
        <v>79</v>
      </c>
      <c r="O736" s="6">
        <v>43257</v>
      </c>
      <c r="P736" s="6">
        <v>43398</v>
      </c>
      <c r="Q736" s="6"/>
      <c r="R736" s="1" t="s">
        <v>784</v>
      </c>
      <c r="S736" s="1" t="s">
        <v>79</v>
      </c>
      <c r="T736" s="5">
        <v>0</v>
      </c>
      <c r="U736" s="4">
        <v>45</v>
      </c>
      <c r="V736" s="5">
        <v>1397</v>
      </c>
      <c r="W736" s="6"/>
      <c r="X736" s="6"/>
      <c r="Y736" s="6"/>
      <c r="Z736" s="6"/>
      <c r="AA736" s="6"/>
      <c r="AB736" s="6"/>
      <c r="AC736" s="6"/>
      <c r="AD736" s="6">
        <v>43452</v>
      </c>
    </row>
    <row r="737" spans="1:30">
      <c r="A737" s="1" t="s">
        <v>772</v>
      </c>
      <c r="B737" s="1" t="s">
        <v>773</v>
      </c>
      <c r="C737" s="1" t="s">
        <v>989</v>
      </c>
      <c r="D737" s="1" t="s">
        <v>1265</v>
      </c>
      <c r="E737" s="1" t="str">
        <f t="shared" si="11"/>
        <v>W05</v>
      </c>
      <c r="F737" s="5">
        <v>0</v>
      </c>
      <c r="G737" s="5">
        <v>0</v>
      </c>
      <c r="H737" s="5">
        <v>0</v>
      </c>
      <c r="I737" s="5"/>
      <c r="J737" s="1" t="s">
        <v>775</v>
      </c>
      <c r="K737" s="1" t="s">
        <v>1263</v>
      </c>
      <c r="L737" s="1" t="s">
        <v>79</v>
      </c>
      <c r="M737" s="1" t="s">
        <v>79</v>
      </c>
      <c r="N737" s="1" t="s">
        <v>79</v>
      </c>
      <c r="O737" s="6">
        <v>43257</v>
      </c>
      <c r="P737" s="6">
        <v>43399</v>
      </c>
      <c r="Q737" s="6"/>
      <c r="R737" s="1" t="s">
        <v>784</v>
      </c>
      <c r="S737" s="1" t="s">
        <v>79</v>
      </c>
      <c r="T737" s="5">
        <v>0</v>
      </c>
      <c r="U737" s="4">
        <v>45</v>
      </c>
      <c r="V737" s="5">
        <v>1396</v>
      </c>
      <c r="W737" s="6"/>
      <c r="X737" s="6"/>
      <c r="Y737" s="6"/>
      <c r="Z737" s="6"/>
      <c r="AA737" s="6"/>
      <c r="AB737" s="6"/>
      <c r="AC737" s="6"/>
      <c r="AD737" s="6">
        <v>43454</v>
      </c>
    </row>
    <row r="738" spans="1:30">
      <c r="A738" s="1" t="s">
        <v>772</v>
      </c>
      <c r="B738" s="1" t="s">
        <v>773</v>
      </c>
      <c r="C738" s="1" t="s">
        <v>989</v>
      </c>
      <c r="D738" s="1" t="s">
        <v>1266</v>
      </c>
      <c r="E738" s="1" t="str">
        <f t="shared" si="11"/>
        <v>W05</v>
      </c>
      <c r="F738" s="5">
        <v>0</v>
      </c>
      <c r="G738" s="5">
        <v>0</v>
      </c>
      <c r="H738" s="5">
        <v>0</v>
      </c>
      <c r="I738" s="5"/>
      <c r="J738" s="1" t="s">
        <v>775</v>
      </c>
      <c r="K738" s="1" t="s">
        <v>1263</v>
      </c>
      <c r="L738" s="1" t="s">
        <v>79</v>
      </c>
      <c r="M738" s="1" t="s">
        <v>79</v>
      </c>
      <c r="N738" s="1" t="s">
        <v>79</v>
      </c>
      <c r="O738" s="6">
        <v>43257</v>
      </c>
      <c r="P738" s="6">
        <v>43400</v>
      </c>
      <c r="Q738" s="6"/>
      <c r="R738" s="1" t="s">
        <v>784</v>
      </c>
      <c r="S738" s="1" t="s">
        <v>79</v>
      </c>
      <c r="T738" s="5">
        <v>0</v>
      </c>
      <c r="U738" s="4">
        <v>45</v>
      </c>
      <c r="V738" s="5">
        <v>1395</v>
      </c>
      <c r="W738" s="6"/>
      <c r="X738" s="6"/>
      <c r="Y738" s="6"/>
      <c r="Z738" s="6"/>
      <c r="AA738" s="6"/>
      <c r="AB738" s="6"/>
      <c r="AC738" s="6"/>
      <c r="AD738" s="6">
        <v>43461</v>
      </c>
    </row>
    <row r="739" spans="1:30">
      <c r="A739" s="1" t="s">
        <v>772</v>
      </c>
      <c r="B739" s="1" t="s">
        <v>773</v>
      </c>
      <c r="C739" s="1" t="s">
        <v>989</v>
      </c>
      <c r="D739" s="1" t="s">
        <v>1267</v>
      </c>
      <c r="E739" s="1" t="str">
        <f t="shared" si="11"/>
        <v>W05</v>
      </c>
      <c r="F739" s="5">
        <v>0</v>
      </c>
      <c r="G739" s="5">
        <v>0</v>
      </c>
      <c r="H739" s="5">
        <v>0</v>
      </c>
      <c r="I739" s="5"/>
      <c r="J739" s="1" t="s">
        <v>775</v>
      </c>
      <c r="K739" s="1" t="s">
        <v>1263</v>
      </c>
      <c r="L739" s="1" t="s">
        <v>79</v>
      </c>
      <c r="M739" s="1" t="s">
        <v>79</v>
      </c>
      <c r="N739" s="1" t="s">
        <v>79</v>
      </c>
      <c r="O739" s="6">
        <v>43257</v>
      </c>
      <c r="P739" s="6">
        <v>43252</v>
      </c>
      <c r="Q739" s="6"/>
      <c r="R739" s="1" t="s">
        <v>784</v>
      </c>
      <c r="S739" s="1" t="s">
        <v>79</v>
      </c>
      <c r="T739" s="5">
        <v>180</v>
      </c>
      <c r="U739" s="4">
        <v>50</v>
      </c>
      <c r="V739" s="5">
        <v>1543</v>
      </c>
      <c r="W739" s="6"/>
      <c r="X739" s="6"/>
      <c r="Y739" s="6"/>
      <c r="Z739" s="6"/>
      <c r="AA739" s="6"/>
      <c r="AB739" s="6"/>
      <c r="AC739" s="6"/>
      <c r="AD739" s="6">
        <v>43325</v>
      </c>
    </row>
    <row r="740" spans="1:30">
      <c r="A740" s="1" t="s">
        <v>772</v>
      </c>
      <c r="B740" s="1" t="s">
        <v>773</v>
      </c>
      <c r="C740" s="1" t="s">
        <v>989</v>
      </c>
      <c r="D740" s="1" t="s">
        <v>1268</v>
      </c>
      <c r="E740" s="1" t="str">
        <f t="shared" si="11"/>
        <v>W05</v>
      </c>
      <c r="F740" s="5">
        <v>0</v>
      </c>
      <c r="G740" s="5">
        <v>0</v>
      </c>
      <c r="H740" s="5">
        <v>0</v>
      </c>
      <c r="I740" s="5"/>
      <c r="J740" s="1" t="s">
        <v>775</v>
      </c>
      <c r="K740" s="1" t="s">
        <v>1263</v>
      </c>
      <c r="L740" s="1" t="s">
        <v>79</v>
      </c>
      <c r="M740" s="1" t="s">
        <v>79</v>
      </c>
      <c r="N740" s="1" t="s">
        <v>79</v>
      </c>
      <c r="O740" s="6">
        <v>43257</v>
      </c>
      <c r="P740" s="6">
        <v>43402</v>
      </c>
      <c r="Q740" s="6"/>
      <c r="R740" s="1" t="s">
        <v>784</v>
      </c>
      <c r="S740" s="1" t="s">
        <v>79</v>
      </c>
      <c r="T740" s="5">
        <v>0</v>
      </c>
      <c r="U740" s="4">
        <v>45</v>
      </c>
      <c r="V740" s="5">
        <v>1393</v>
      </c>
      <c r="W740" s="6"/>
      <c r="X740" s="6"/>
      <c r="Y740" s="6"/>
      <c r="Z740" s="6"/>
      <c r="AA740" s="6"/>
      <c r="AB740" s="6"/>
      <c r="AC740" s="6"/>
      <c r="AD740" s="6">
        <v>43469</v>
      </c>
    </row>
    <row r="741" spans="1:30">
      <c r="A741" s="1" t="s">
        <v>772</v>
      </c>
      <c r="B741" s="1" t="s">
        <v>773</v>
      </c>
      <c r="C741" s="1" t="s">
        <v>989</v>
      </c>
      <c r="D741" s="1" t="s">
        <v>1269</v>
      </c>
      <c r="E741" s="1" t="str">
        <f t="shared" si="11"/>
        <v>W05</v>
      </c>
      <c r="F741" s="5">
        <v>0</v>
      </c>
      <c r="G741" s="5">
        <v>0</v>
      </c>
      <c r="H741" s="5">
        <v>0</v>
      </c>
      <c r="I741" s="5"/>
      <c r="J741" s="1" t="s">
        <v>775</v>
      </c>
      <c r="K741" s="1" t="s">
        <v>1263</v>
      </c>
      <c r="L741" s="1" t="s">
        <v>79</v>
      </c>
      <c r="M741" s="1" t="s">
        <v>79</v>
      </c>
      <c r="N741" s="1" t="s">
        <v>79</v>
      </c>
      <c r="O741" s="6">
        <v>43257</v>
      </c>
      <c r="P741" s="6">
        <v>43404</v>
      </c>
      <c r="Q741" s="6"/>
      <c r="R741" s="1" t="s">
        <v>784</v>
      </c>
      <c r="S741" s="1" t="s">
        <v>79</v>
      </c>
      <c r="T741" s="5">
        <v>0</v>
      </c>
      <c r="U741" s="4">
        <v>45</v>
      </c>
      <c r="V741" s="5">
        <v>1391</v>
      </c>
      <c r="W741" s="6"/>
      <c r="X741" s="6"/>
      <c r="Y741" s="6"/>
      <c r="Z741" s="6"/>
      <c r="AA741" s="6"/>
      <c r="AB741" s="6"/>
      <c r="AC741" s="6"/>
      <c r="AD741" s="6">
        <v>43448</v>
      </c>
    </row>
    <row r="742" spans="1:30">
      <c r="A742" s="1" t="s">
        <v>772</v>
      </c>
      <c r="B742" s="1" t="s">
        <v>773</v>
      </c>
      <c r="C742" s="1" t="s">
        <v>989</v>
      </c>
      <c r="D742" s="1" t="s">
        <v>1270</v>
      </c>
      <c r="E742" s="1" t="str">
        <f t="shared" si="11"/>
        <v>W05</v>
      </c>
      <c r="F742" s="5">
        <v>0</v>
      </c>
      <c r="G742" s="5">
        <v>0</v>
      </c>
      <c r="H742" s="5">
        <v>0</v>
      </c>
      <c r="I742" s="5"/>
      <c r="J742" s="1" t="s">
        <v>775</v>
      </c>
      <c r="K742" s="1" t="s">
        <v>1263</v>
      </c>
      <c r="L742" s="1" t="s">
        <v>79</v>
      </c>
      <c r="M742" s="1" t="s">
        <v>79</v>
      </c>
      <c r="N742" s="1" t="s">
        <v>79</v>
      </c>
      <c r="O742" s="6">
        <v>43257</v>
      </c>
      <c r="P742" s="6">
        <v>43449</v>
      </c>
      <c r="Q742" s="6"/>
      <c r="R742" s="1" t="s">
        <v>784</v>
      </c>
      <c r="S742" s="1" t="s">
        <v>79</v>
      </c>
      <c r="T742" s="5">
        <v>0</v>
      </c>
      <c r="U742" s="4">
        <v>44</v>
      </c>
      <c r="V742" s="5">
        <v>1346</v>
      </c>
      <c r="W742" s="6"/>
      <c r="X742" s="6"/>
      <c r="Y742" s="6"/>
      <c r="Z742" s="6"/>
      <c r="AA742" s="6"/>
      <c r="AB742" s="6"/>
      <c r="AC742" s="6"/>
      <c r="AD742" s="6">
        <v>43490</v>
      </c>
    </row>
    <row r="743" spans="1:30">
      <c r="A743" s="1" t="s">
        <v>772</v>
      </c>
      <c r="B743" s="1" t="s">
        <v>773</v>
      </c>
      <c r="C743" s="1" t="s">
        <v>989</v>
      </c>
      <c r="D743" s="1" t="s">
        <v>1271</v>
      </c>
      <c r="E743" s="1" t="str">
        <f t="shared" si="11"/>
        <v>W05</v>
      </c>
      <c r="F743" s="5">
        <v>0</v>
      </c>
      <c r="G743" s="5">
        <v>0</v>
      </c>
      <c r="H743" s="5">
        <v>0</v>
      </c>
      <c r="I743" s="5"/>
      <c r="J743" s="1" t="s">
        <v>775</v>
      </c>
      <c r="K743" s="1" t="s">
        <v>1263</v>
      </c>
      <c r="L743" s="1" t="s">
        <v>79</v>
      </c>
      <c r="M743" s="1" t="s">
        <v>79</v>
      </c>
      <c r="N743" s="1" t="s">
        <v>79</v>
      </c>
      <c r="O743" s="6">
        <v>43257</v>
      </c>
      <c r="P743" s="6">
        <v>43252</v>
      </c>
      <c r="Q743" s="6"/>
      <c r="R743" s="1" t="s">
        <v>784</v>
      </c>
      <c r="S743" s="1" t="s">
        <v>79</v>
      </c>
      <c r="T743" s="5">
        <v>180</v>
      </c>
      <c r="U743" s="4">
        <v>50</v>
      </c>
      <c r="V743" s="5">
        <v>1543</v>
      </c>
      <c r="W743" s="6"/>
      <c r="X743" s="6"/>
      <c r="Y743" s="6"/>
      <c r="Z743" s="6"/>
      <c r="AA743" s="6"/>
      <c r="AB743" s="6"/>
      <c r="AC743" s="6"/>
      <c r="AD743" s="6">
        <v>43336</v>
      </c>
    </row>
    <row r="744" spans="1:30">
      <c r="A744" s="1" t="s">
        <v>772</v>
      </c>
      <c r="B744" s="1" t="s">
        <v>773</v>
      </c>
      <c r="C744" s="1" t="s">
        <v>989</v>
      </c>
      <c r="D744" s="1" t="s">
        <v>1272</v>
      </c>
      <c r="E744" s="1" t="str">
        <f t="shared" si="11"/>
        <v>W05</v>
      </c>
      <c r="F744" s="5">
        <v>0</v>
      </c>
      <c r="G744" s="5">
        <v>0</v>
      </c>
      <c r="H744" s="5">
        <v>0</v>
      </c>
      <c r="I744" s="5"/>
      <c r="J744" s="1" t="s">
        <v>775</v>
      </c>
      <c r="K744" s="1" t="s">
        <v>1263</v>
      </c>
      <c r="L744" s="1" t="s">
        <v>79</v>
      </c>
      <c r="M744" s="1" t="s">
        <v>79</v>
      </c>
      <c r="N744" s="1" t="s">
        <v>79</v>
      </c>
      <c r="O744" s="6">
        <v>43257</v>
      </c>
      <c r="P744" s="6">
        <v>43446</v>
      </c>
      <c r="Q744" s="6"/>
      <c r="R744" s="1" t="s">
        <v>784</v>
      </c>
      <c r="S744" s="1" t="s">
        <v>79</v>
      </c>
      <c r="T744" s="5">
        <v>0</v>
      </c>
      <c r="U744" s="4">
        <v>44</v>
      </c>
      <c r="V744" s="5">
        <v>1349</v>
      </c>
      <c r="W744" s="6"/>
      <c r="X744" s="6"/>
      <c r="Y744" s="6"/>
      <c r="Z744" s="6"/>
      <c r="AA744" s="6"/>
      <c r="AB744" s="6"/>
      <c r="AC744" s="6"/>
      <c r="AD744" s="6">
        <v>43502</v>
      </c>
    </row>
    <row r="745" spans="1:30">
      <c r="A745" s="1" t="s">
        <v>772</v>
      </c>
      <c r="B745" s="1" t="s">
        <v>773</v>
      </c>
      <c r="C745" s="1" t="s">
        <v>989</v>
      </c>
      <c r="D745" s="1" t="s">
        <v>1273</v>
      </c>
      <c r="E745" s="1" t="str">
        <f t="shared" si="11"/>
        <v>W05</v>
      </c>
      <c r="F745" s="5">
        <v>0</v>
      </c>
      <c r="G745" s="5">
        <v>0</v>
      </c>
      <c r="H745" s="5">
        <v>0</v>
      </c>
      <c r="I745" s="5"/>
      <c r="J745" s="1" t="s">
        <v>775</v>
      </c>
      <c r="K745" s="1" t="s">
        <v>1263</v>
      </c>
      <c r="L745" s="1" t="s">
        <v>79</v>
      </c>
      <c r="M745" s="1" t="s">
        <v>79</v>
      </c>
      <c r="N745" s="1" t="s">
        <v>79</v>
      </c>
      <c r="O745" s="6">
        <v>43257</v>
      </c>
      <c r="P745" s="6">
        <v>43171</v>
      </c>
      <c r="Q745" s="6"/>
      <c r="R745" s="1" t="s">
        <v>784</v>
      </c>
      <c r="S745" s="1" t="s">
        <v>79</v>
      </c>
      <c r="T745" s="5">
        <v>0</v>
      </c>
      <c r="U745" s="4">
        <v>53</v>
      </c>
      <c r="V745" s="5">
        <v>1624</v>
      </c>
      <c r="W745" s="6"/>
      <c r="X745" s="6"/>
      <c r="Y745" s="6"/>
      <c r="Z745" s="6"/>
      <c r="AA745" s="6"/>
      <c r="AB745" s="6"/>
      <c r="AC745" s="6"/>
      <c r="AD745" s="6">
        <v>43526</v>
      </c>
    </row>
    <row r="746" spans="1:30">
      <c r="A746" s="1" t="s">
        <v>772</v>
      </c>
      <c r="B746" s="1" t="s">
        <v>773</v>
      </c>
      <c r="C746" s="1" t="s">
        <v>989</v>
      </c>
      <c r="D746" s="1" t="s">
        <v>1274</v>
      </c>
      <c r="E746" s="1" t="str">
        <f t="shared" si="11"/>
        <v>W05</v>
      </c>
      <c r="F746" s="5">
        <v>0</v>
      </c>
      <c r="G746" s="5">
        <v>0</v>
      </c>
      <c r="H746" s="5">
        <v>0</v>
      </c>
      <c r="I746" s="5"/>
      <c r="J746" s="1" t="s">
        <v>775</v>
      </c>
      <c r="K746" s="1" t="s">
        <v>1263</v>
      </c>
      <c r="L746" s="1" t="s">
        <v>79</v>
      </c>
      <c r="M746" s="1" t="s">
        <v>79</v>
      </c>
      <c r="N746" s="1" t="s">
        <v>79</v>
      </c>
      <c r="O746" s="6">
        <v>43257</v>
      </c>
      <c r="P746" s="6">
        <v>43252</v>
      </c>
      <c r="Q746" s="6"/>
      <c r="R746" s="1" t="s">
        <v>784</v>
      </c>
      <c r="S746" s="1" t="s">
        <v>79</v>
      </c>
      <c r="T746" s="5">
        <v>0</v>
      </c>
      <c r="U746" s="4">
        <v>50</v>
      </c>
      <c r="V746" s="5">
        <v>1543</v>
      </c>
      <c r="W746" s="6"/>
      <c r="X746" s="6"/>
      <c r="Y746" s="6"/>
      <c r="Z746" s="6"/>
      <c r="AA746" s="6"/>
      <c r="AB746" s="6"/>
      <c r="AC746" s="6"/>
      <c r="AD746" s="6"/>
    </row>
    <row r="747" spans="1:30">
      <c r="A747" s="1" t="s">
        <v>772</v>
      </c>
      <c r="B747" s="1" t="s">
        <v>773</v>
      </c>
      <c r="C747" s="1" t="s">
        <v>989</v>
      </c>
      <c r="D747" s="1" t="s">
        <v>1275</v>
      </c>
      <c r="E747" s="1" t="str">
        <f t="shared" si="11"/>
        <v>W05</v>
      </c>
      <c r="F747" s="5">
        <v>0</v>
      </c>
      <c r="G747" s="5">
        <v>0</v>
      </c>
      <c r="H747" s="5">
        <v>0</v>
      </c>
      <c r="I747" s="5"/>
      <c r="J747" s="1" t="s">
        <v>775</v>
      </c>
      <c r="K747" s="1" t="s">
        <v>1263</v>
      </c>
      <c r="L747" s="1" t="s">
        <v>79</v>
      </c>
      <c r="M747" s="1" t="s">
        <v>79</v>
      </c>
      <c r="N747" s="1" t="s">
        <v>79</v>
      </c>
      <c r="O747" s="6">
        <v>43257</v>
      </c>
      <c r="P747" s="6">
        <v>43252</v>
      </c>
      <c r="Q747" s="6"/>
      <c r="R747" s="1" t="s">
        <v>784</v>
      </c>
      <c r="S747" s="1" t="s">
        <v>79</v>
      </c>
      <c r="T747" s="5">
        <v>180</v>
      </c>
      <c r="U747" s="4">
        <v>50</v>
      </c>
      <c r="V747" s="5">
        <v>1543</v>
      </c>
      <c r="W747" s="6"/>
      <c r="X747" s="6"/>
      <c r="Y747" s="6"/>
      <c r="Z747" s="6"/>
      <c r="AA747" s="6"/>
      <c r="AB747" s="6"/>
      <c r="AC747" s="6"/>
      <c r="AD747" s="6">
        <v>43326</v>
      </c>
    </row>
    <row r="748" spans="1:30">
      <c r="A748" s="1" t="s">
        <v>772</v>
      </c>
      <c r="B748" s="1" t="s">
        <v>773</v>
      </c>
      <c r="C748" s="1" t="s">
        <v>989</v>
      </c>
      <c r="D748" s="1" t="s">
        <v>1276</v>
      </c>
      <c r="E748" s="1" t="str">
        <f t="shared" si="11"/>
        <v>W05</v>
      </c>
      <c r="F748" s="5">
        <v>0</v>
      </c>
      <c r="G748" s="5">
        <v>0</v>
      </c>
      <c r="H748" s="5">
        <v>0</v>
      </c>
      <c r="I748" s="5"/>
      <c r="J748" s="1" t="s">
        <v>775</v>
      </c>
      <c r="K748" s="1" t="s">
        <v>1263</v>
      </c>
      <c r="L748" s="1" t="s">
        <v>79</v>
      </c>
      <c r="M748" s="1" t="s">
        <v>79</v>
      </c>
      <c r="N748" s="1" t="s">
        <v>79</v>
      </c>
      <c r="O748" s="6">
        <v>43257</v>
      </c>
      <c r="P748" s="6">
        <v>43252</v>
      </c>
      <c r="Q748" s="6"/>
      <c r="R748" s="1" t="s">
        <v>784</v>
      </c>
      <c r="S748" s="1" t="s">
        <v>79</v>
      </c>
      <c r="T748" s="5">
        <v>180</v>
      </c>
      <c r="U748" s="4">
        <v>50</v>
      </c>
      <c r="V748" s="5">
        <v>1543</v>
      </c>
      <c r="W748" s="6"/>
      <c r="X748" s="6"/>
      <c r="Y748" s="6"/>
      <c r="Z748" s="6"/>
      <c r="AA748" s="6"/>
      <c r="AB748" s="6"/>
      <c r="AC748" s="6"/>
      <c r="AD748" s="6"/>
    </row>
    <row r="749" spans="1:30">
      <c r="A749" s="1" t="s">
        <v>772</v>
      </c>
      <c r="B749" s="1" t="s">
        <v>773</v>
      </c>
      <c r="C749" s="1" t="s">
        <v>989</v>
      </c>
      <c r="D749" s="1" t="s">
        <v>1277</v>
      </c>
      <c r="E749" s="1" t="str">
        <f t="shared" si="11"/>
        <v>W05</v>
      </c>
      <c r="F749" s="5">
        <v>0</v>
      </c>
      <c r="G749" s="5">
        <v>0</v>
      </c>
      <c r="H749" s="5">
        <v>0</v>
      </c>
      <c r="I749" s="5"/>
      <c r="J749" s="1" t="s">
        <v>775</v>
      </c>
      <c r="K749" s="1" t="s">
        <v>1263</v>
      </c>
      <c r="L749" s="1" t="s">
        <v>79</v>
      </c>
      <c r="M749" s="1" t="s">
        <v>79</v>
      </c>
      <c r="N749" s="1" t="s">
        <v>79</v>
      </c>
      <c r="O749" s="6">
        <v>43257</v>
      </c>
      <c r="P749" s="6">
        <v>43252</v>
      </c>
      <c r="Q749" s="6"/>
      <c r="R749" s="1" t="s">
        <v>784</v>
      </c>
      <c r="S749" s="1" t="s">
        <v>79</v>
      </c>
      <c r="T749" s="5">
        <v>180</v>
      </c>
      <c r="U749" s="4">
        <v>50</v>
      </c>
      <c r="V749" s="5">
        <v>1543</v>
      </c>
      <c r="W749" s="6"/>
      <c r="X749" s="6"/>
      <c r="Y749" s="6"/>
      <c r="Z749" s="6"/>
      <c r="AA749" s="6"/>
      <c r="AB749" s="6"/>
      <c r="AC749" s="6"/>
      <c r="AD749" s="6">
        <v>43602</v>
      </c>
    </row>
    <row r="750" spans="1:30">
      <c r="A750" s="1" t="s">
        <v>772</v>
      </c>
      <c r="B750" s="1" t="s">
        <v>773</v>
      </c>
      <c r="C750" s="1" t="s">
        <v>989</v>
      </c>
      <c r="D750" s="1" t="s">
        <v>1278</v>
      </c>
      <c r="E750" s="1" t="str">
        <f t="shared" si="11"/>
        <v>W05</v>
      </c>
      <c r="F750" s="5">
        <v>0</v>
      </c>
      <c r="G750" s="5">
        <v>0</v>
      </c>
      <c r="H750" s="5">
        <v>0</v>
      </c>
      <c r="I750" s="5"/>
      <c r="J750" s="1" t="s">
        <v>775</v>
      </c>
      <c r="K750" s="1" t="s">
        <v>1263</v>
      </c>
      <c r="L750" s="1" t="s">
        <v>79</v>
      </c>
      <c r="M750" s="1" t="s">
        <v>79</v>
      </c>
      <c r="N750" s="1" t="s">
        <v>79</v>
      </c>
      <c r="O750" s="6">
        <v>43257</v>
      </c>
      <c r="P750" s="6">
        <v>43252</v>
      </c>
      <c r="Q750" s="6"/>
      <c r="R750" s="1" t="s">
        <v>784</v>
      </c>
      <c r="S750" s="1" t="s">
        <v>79</v>
      </c>
      <c r="T750" s="5">
        <v>180</v>
      </c>
      <c r="U750" s="4">
        <v>50</v>
      </c>
      <c r="V750" s="5">
        <v>1543</v>
      </c>
      <c r="W750" s="6"/>
      <c r="X750" s="6"/>
      <c r="Y750" s="6"/>
      <c r="Z750" s="6"/>
      <c r="AA750" s="6"/>
      <c r="AB750" s="6"/>
      <c r="AC750" s="6"/>
      <c r="AD750" s="6">
        <v>43634</v>
      </c>
    </row>
    <row r="751" spans="1:30">
      <c r="A751" s="1" t="s">
        <v>772</v>
      </c>
      <c r="B751" s="1" t="s">
        <v>773</v>
      </c>
      <c r="C751" s="1" t="s">
        <v>989</v>
      </c>
      <c r="D751" s="1" t="s">
        <v>1279</v>
      </c>
      <c r="E751" s="1" t="str">
        <f t="shared" si="11"/>
        <v>W05</v>
      </c>
      <c r="F751" s="5">
        <v>0</v>
      </c>
      <c r="G751" s="5">
        <v>0</v>
      </c>
      <c r="H751" s="5">
        <v>0</v>
      </c>
      <c r="I751" s="5"/>
      <c r="J751" s="1" t="s">
        <v>775</v>
      </c>
      <c r="K751" s="1" t="s">
        <v>1263</v>
      </c>
      <c r="L751" s="1" t="s">
        <v>79</v>
      </c>
      <c r="M751" s="1" t="s">
        <v>79</v>
      </c>
      <c r="N751" s="1" t="s">
        <v>79</v>
      </c>
      <c r="O751" s="6">
        <v>43257</v>
      </c>
      <c r="P751" s="6">
        <v>43252</v>
      </c>
      <c r="Q751" s="6"/>
      <c r="R751" s="1" t="s">
        <v>784</v>
      </c>
      <c r="S751" s="1" t="s">
        <v>79</v>
      </c>
      <c r="T751" s="5">
        <v>180</v>
      </c>
      <c r="U751" s="4">
        <v>50</v>
      </c>
      <c r="V751" s="5">
        <v>1543</v>
      </c>
      <c r="W751" s="6"/>
      <c r="X751" s="6"/>
      <c r="Y751" s="6"/>
      <c r="Z751" s="6"/>
      <c r="AA751" s="6"/>
      <c r="AB751" s="6"/>
      <c r="AC751" s="6"/>
      <c r="AD751" s="6">
        <v>43314</v>
      </c>
    </row>
    <row r="752" spans="1:30">
      <c r="A752" s="1" t="s">
        <v>772</v>
      </c>
      <c r="B752" s="1" t="s">
        <v>773</v>
      </c>
      <c r="C752" s="1" t="s">
        <v>989</v>
      </c>
      <c r="D752" s="1" t="s">
        <v>1280</v>
      </c>
      <c r="E752" s="1" t="str">
        <f t="shared" si="11"/>
        <v>W05</v>
      </c>
      <c r="F752" s="5">
        <v>0</v>
      </c>
      <c r="G752" s="5">
        <v>0</v>
      </c>
      <c r="H752" s="5">
        <v>0</v>
      </c>
      <c r="I752" s="5"/>
      <c r="J752" s="1" t="s">
        <v>775</v>
      </c>
      <c r="K752" s="1" t="s">
        <v>1263</v>
      </c>
      <c r="L752" s="1" t="s">
        <v>79</v>
      </c>
      <c r="M752" s="1" t="s">
        <v>79</v>
      </c>
      <c r="N752" s="1" t="s">
        <v>79</v>
      </c>
      <c r="O752" s="6">
        <v>43257</v>
      </c>
      <c r="P752" s="6">
        <v>43439</v>
      </c>
      <c r="Q752" s="6"/>
      <c r="R752" s="1" t="s">
        <v>784</v>
      </c>
      <c r="S752" s="1" t="s">
        <v>79</v>
      </c>
      <c r="T752" s="5">
        <v>180</v>
      </c>
      <c r="U752" s="4">
        <v>44</v>
      </c>
      <c r="V752" s="5">
        <v>1356</v>
      </c>
      <c r="W752" s="6"/>
      <c r="X752" s="6"/>
      <c r="Y752" s="6"/>
      <c r="Z752" s="6"/>
      <c r="AA752" s="6"/>
      <c r="AB752" s="6"/>
      <c r="AC752" s="6"/>
      <c r="AD752" s="6">
        <v>43480</v>
      </c>
    </row>
    <row r="753" spans="1:30">
      <c r="A753" s="1" t="s">
        <v>772</v>
      </c>
      <c r="B753" s="1" t="s">
        <v>773</v>
      </c>
      <c r="C753" s="1" t="s">
        <v>989</v>
      </c>
      <c r="D753" s="1" t="s">
        <v>1281</v>
      </c>
      <c r="E753" s="1" t="str">
        <f t="shared" si="11"/>
        <v>W05</v>
      </c>
      <c r="F753" s="5">
        <v>0</v>
      </c>
      <c r="G753" s="5">
        <v>0</v>
      </c>
      <c r="H753" s="5">
        <v>0</v>
      </c>
      <c r="I753" s="5"/>
      <c r="J753" s="1" t="s">
        <v>775</v>
      </c>
      <c r="K753" s="1" t="s">
        <v>1263</v>
      </c>
      <c r="L753" s="1" t="s">
        <v>79</v>
      </c>
      <c r="M753" s="1" t="s">
        <v>79</v>
      </c>
      <c r="N753" s="1" t="s">
        <v>79</v>
      </c>
      <c r="O753" s="6">
        <v>43257</v>
      </c>
      <c r="P753" s="6">
        <v>43252</v>
      </c>
      <c r="Q753" s="6"/>
      <c r="R753" s="1" t="s">
        <v>784</v>
      </c>
      <c r="S753" s="1" t="s">
        <v>79</v>
      </c>
      <c r="T753" s="5">
        <v>180</v>
      </c>
      <c r="U753" s="4">
        <v>50</v>
      </c>
      <c r="V753" s="5">
        <v>1543</v>
      </c>
      <c r="W753" s="6"/>
      <c r="X753" s="6"/>
      <c r="Y753" s="6"/>
      <c r="Z753" s="6"/>
      <c r="AA753" s="6"/>
      <c r="AB753" s="6"/>
      <c r="AC753" s="6"/>
      <c r="AD753" s="6">
        <v>43638</v>
      </c>
    </row>
    <row r="754" spans="1:30">
      <c r="A754" s="1" t="s">
        <v>772</v>
      </c>
      <c r="B754" s="1" t="s">
        <v>773</v>
      </c>
      <c r="C754" s="1" t="s">
        <v>989</v>
      </c>
      <c r="D754" s="1" t="s">
        <v>1282</v>
      </c>
      <c r="E754" s="1" t="str">
        <f t="shared" si="11"/>
        <v>W05</v>
      </c>
      <c r="F754" s="5">
        <v>0</v>
      </c>
      <c r="G754" s="5">
        <v>0</v>
      </c>
      <c r="H754" s="5">
        <v>0</v>
      </c>
      <c r="I754" s="5"/>
      <c r="J754" s="1" t="s">
        <v>775</v>
      </c>
      <c r="K754" s="1" t="s">
        <v>1263</v>
      </c>
      <c r="L754" s="1" t="s">
        <v>79</v>
      </c>
      <c r="M754" s="1" t="s">
        <v>79</v>
      </c>
      <c r="N754" s="1" t="s">
        <v>79</v>
      </c>
      <c r="O754" s="6">
        <v>43257</v>
      </c>
      <c r="P754" s="6">
        <v>43252</v>
      </c>
      <c r="Q754" s="6"/>
      <c r="R754" s="1" t="s">
        <v>784</v>
      </c>
      <c r="S754" s="1" t="s">
        <v>79</v>
      </c>
      <c r="T754" s="5">
        <v>180</v>
      </c>
      <c r="U754" s="4">
        <v>50</v>
      </c>
      <c r="V754" s="5">
        <v>1543</v>
      </c>
      <c r="W754" s="6"/>
      <c r="X754" s="6"/>
      <c r="Y754" s="6"/>
      <c r="Z754" s="6"/>
      <c r="AA754" s="6"/>
      <c r="AB754" s="6"/>
      <c r="AC754" s="6"/>
      <c r="AD754" s="6">
        <v>43658</v>
      </c>
    </row>
    <row r="755" spans="1:30">
      <c r="A755" s="1" t="s">
        <v>772</v>
      </c>
      <c r="B755" s="1" t="s">
        <v>773</v>
      </c>
      <c r="C755" s="1" t="s">
        <v>989</v>
      </c>
      <c r="D755" s="1" t="s">
        <v>1283</v>
      </c>
      <c r="E755" s="1" t="str">
        <f t="shared" si="11"/>
        <v>W05</v>
      </c>
      <c r="F755" s="5">
        <v>0</v>
      </c>
      <c r="G755" s="5">
        <v>0</v>
      </c>
      <c r="H755" s="5">
        <v>0</v>
      </c>
      <c r="I755" s="5"/>
      <c r="J755" s="1" t="s">
        <v>775</v>
      </c>
      <c r="K755" s="1" t="s">
        <v>1263</v>
      </c>
      <c r="L755" s="1" t="s">
        <v>79</v>
      </c>
      <c r="M755" s="1" t="s">
        <v>79</v>
      </c>
      <c r="N755" s="1" t="s">
        <v>79</v>
      </c>
      <c r="O755" s="6">
        <v>43257</v>
      </c>
      <c r="P755" s="6">
        <v>43252</v>
      </c>
      <c r="Q755" s="6"/>
      <c r="R755" s="1" t="s">
        <v>784</v>
      </c>
      <c r="S755" s="1" t="s">
        <v>79</v>
      </c>
      <c r="T755" s="5">
        <v>180</v>
      </c>
      <c r="U755" s="4">
        <v>50</v>
      </c>
      <c r="V755" s="5">
        <v>1543</v>
      </c>
      <c r="W755" s="6"/>
      <c r="X755" s="6"/>
      <c r="Y755" s="6"/>
      <c r="Z755" s="6"/>
      <c r="AA755" s="6"/>
      <c r="AB755" s="6"/>
      <c r="AC755" s="6"/>
      <c r="AD755" s="6">
        <v>43343</v>
      </c>
    </row>
    <row r="756" spans="1:30">
      <c r="A756" s="1" t="s">
        <v>772</v>
      </c>
      <c r="B756" s="1" t="s">
        <v>773</v>
      </c>
      <c r="C756" s="1" t="s">
        <v>989</v>
      </c>
      <c r="D756" s="1" t="s">
        <v>1284</v>
      </c>
      <c r="E756" s="1" t="str">
        <f t="shared" si="11"/>
        <v>W05</v>
      </c>
      <c r="F756" s="5">
        <v>0</v>
      </c>
      <c r="G756" s="5">
        <v>0</v>
      </c>
      <c r="H756" s="5">
        <v>0</v>
      </c>
      <c r="I756" s="5"/>
      <c r="J756" s="1" t="s">
        <v>775</v>
      </c>
      <c r="K756" s="1" t="s">
        <v>1263</v>
      </c>
      <c r="L756" s="1" t="s">
        <v>79</v>
      </c>
      <c r="M756" s="1" t="s">
        <v>79</v>
      </c>
      <c r="N756" s="1" t="s">
        <v>79</v>
      </c>
      <c r="O756" s="6">
        <v>43257</v>
      </c>
      <c r="P756" s="6">
        <v>43427</v>
      </c>
      <c r="Q756" s="6"/>
      <c r="R756" s="1" t="s">
        <v>784</v>
      </c>
      <c r="S756" s="1" t="s">
        <v>79</v>
      </c>
      <c r="T756" s="5">
        <v>180</v>
      </c>
      <c r="U756" s="4">
        <v>45</v>
      </c>
      <c r="V756" s="5">
        <v>1368</v>
      </c>
      <c r="W756" s="6"/>
      <c r="X756" s="6"/>
      <c r="Y756" s="6"/>
      <c r="Z756" s="6"/>
      <c r="AA756" s="6"/>
      <c r="AB756" s="6"/>
      <c r="AC756" s="6"/>
      <c r="AD756" s="6">
        <v>43473</v>
      </c>
    </row>
    <row r="757" spans="1:30">
      <c r="A757" s="1" t="s">
        <v>772</v>
      </c>
      <c r="B757" s="1" t="s">
        <v>773</v>
      </c>
      <c r="C757" s="1" t="s">
        <v>989</v>
      </c>
      <c r="D757" s="1" t="s">
        <v>1285</v>
      </c>
      <c r="E757" s="1" t="str">
        <f t="shared" si="11"/>
        <v>W05</v>
      </c>
      <c r="F757" s="5">
        <v>0</v>
      </c>
      <c r="G757" s="5">
        <v>0</v>
      </c>
      <c r="H757" s="5">
        <v>0</v>
      </c>
      <c r="I757" s="5"/>
      <c r="J757" s="1" t="s">
        <v>775</v>
      </c>
      <c r="K757" s="1" t="s">
        <v>1263</v>
      </c>
      <c r="L757" s="1" t="s">
        <v>79</v>
      </c>
      <c r="M757" s="1" t="s">
        <v>79</v>
      </c>
      <c r="N757" s="1" t="s">
        <v>79</v>
      </c>
      <c r="O757" s="6">
        <v>43257</v>
      </c>
      <c r="P757" s="6">
        <v>43252</v>
      </c>
      <c r="Q757" s="6"/>
      <c r="R757" s="1" t="s">
        <v>784</v>
      </c>
      <c r="S757" s="1" t="s">
        <v>79</v>
      </c>
      <c r="T757" s="5">
        <v>180</v>
      </c>
      <c r="U757" s="4">
        <v>50</v>
      </c>
      <c r="V757" s="5">
        <v>1543</v>
      </c>
      <c r="W757" s="6"/>
      <c r="X757" s="6"/>
      <c r="Y757" s="6"/>
      <c r="Z757" s="6"/>
      <c r="AA757" s="6"/>
      <c r="AB757" s="6"/>
      <c r="AC757" s="6"/>
      <c r="AD757" s="6">
        <v>43616</v>
      </c>
    </row>
    <row r="758" spans="1:30">
      <c r="A758" s="1" t="s">
        <v>772</v>
      </c>
      <c r="B758" s="1" t="s">
        <v>773</v>
      </c>
      <c r="C758" s="1" t="s">
        <v>989</v>
      </c>
      <c r="D758" s="1" t="s">
        <v>1286</v>
      </c>
      <c r="E758" s="1" t="str">
        <f t="shared" si="11"/>
        <v>W05</v>
      </c>
      <c r="F758" s="5">
        <v>0</v>
      </c>
      <c r="G758" s="5">
        <v>0</v>
      </c>
      <c r="H758" s="5">
        <v>0</v>
      </c>
      <c r="I758" s="5"/>
      <c r="J758" s="1" t="s">
        <v>775</v>
      </c>
      <c r="K758" s="1" t="s">
        <v>1263</v>
      </c>
      <c r="L758" s="1" t="s">
        <v>79</v>
      </c>
      <c r="M758" s="1" t="s">
        <v>79</v>
      </c>
      <c r="N758" s="1" t="s">
        <v>79</v>
      </c>
      <c r="O758" s="6">
        <v>43257</v>
      </c>
      <c r="P758" s="6">
        <v>43252</v>
      </c>
      <c r="Q758" s="6"/>
      <c r="R758" s="1" t="s">
        <v>784</v>
      </c>
      <c r="S758" s="1" t="s">
        <v>79</v>
      </c>
      <c r="T758" s="5">
        <v>180</v>
      </c>
      <c r="U758" s="4">
        <v>50</v>
      </c>
      <c r="V758" s="5">
        <v>1543</v>
      </c>
      <c r="W758" s="6"/>
      <c r="X758" s="6"/>
      <c r="Y758" s="6"/>
      <c r="Z758" s="6"/>
      <c r="AA758" s="6"/>
      <c r="AB758" s="6"/>
      <c r="AC758" s="6"/>
      <c r="AD758" s="6">
        <v>43656</v>
      </c>
    </row>
    <row r="759" spans="1:30">
      <c r="A759" s="1" t="s">
        <v>772</v>
      </c>
      <c r="B759" s="1" t="s">
        <v>773</v>
      </c>
      <c r="C759" s="1" t="s">
        <v>989</v>
      </c>
      <c r="D759" s="1" t="s">
        <v>1287</v>
      </c>
      <c r="E759" s="1" t="str">
        <f t="shared" si="11"/>
        <v>W05</v>
      </c>
      <c r="F759" s="5">
        <v>0</v>
      </c>
      <c r="G759" s="5">
        <v>0</v>
      </c>
      <c r="H759" s="5">
        <v>0</v>
      </c>
      <c r="I759" s="5"/>
      <c r="J759" s="1" t="s">
        <v>775</v>
      </c>
      <c r="K759" s="1" t="s">
        <v>1263</v>
      </c>
      <c r="L759" s="1" t="s">
        <v>79</v>
      </c>
      <c r="M759" s="1" t="s">
        <v>79</v>
      </c>
      <c r="N759" s="1" t="s">
        <v>79</v>
      </c>
      <c r="O759" s="6">
        <v>43257</v>
      </c>
      <c r="P759" s="6">
        <v>43252</v>
      </c>
      <c r="Q759" s="6"/>
      <c r="R759" s="1" t="s">
        <v>784</v>
      </c>
      <c r="S759" s="1" t="s">
        <v>79</v>
      </c>
      <c r="T759" s="5">
        <v>180</v>
      </c>
      <c r="U759" s="4">
        <v>50</v>
      </c>
      <c r="V759" s="5">
        <v>1543</v>
      </c>
      <c r="W759" s="6"/>
      <c r="X759" s="6"/>
      <c r="Y759" s="6"/>
      <c r="Z759" s="6"/>
      <c r="AA759" s="6"/>
      <c r="AB759" s="6"/>
      <c r="AC759" s="6"/>
      <c r="AD759" s="6">
        <v>43343</v>
      </c>
    </row>
    <row r="760" spans="1:30">
      <c r="A760" s="1" t="s">
        <v>772</v>
      </c>
      <c r="B760" s="1" t="s">
        <v>773</v>
      </c>
      <c r="C760" s="1" t="s">
        <v>989</v>
      </c>
      <c r="D760" s="1" t="s">
        <v>1288</v>
      </c>
      <c r="E760" s="1" t="str">
        <f t="shared" si="11"/>
        <v>W05</v>
      </c>
      <c r="F760" s="5">
        <v>0</v>
      </c>
      <c r="G760" s="5">
        <v>0</v>
      </c>
      <c r="H760" s="5">
        <v>0</v>
      </c>
      <c r="I760" s="5"/>
      <c r="J760" s="1" t="s">
        <v>775</v>
      </c>
      <c r="K760" s="1" t="s">
        <v>1263</v>
      </c>
      <c r="L760" s="1" t="s">
        <v>79</v>
      </c>
      <c r="M760" s="1" t="s">
        <v>79</v>
      </c>
      <c r="N760" s="1" t="s">
        <v>79</v>
      </c>
      <c r="O760" s="6">
        <v>43257</v>
      </c>
      <c r="P760" s="6">
        <v>43381</v>
      </c>
      <c r="Q760" s="6"/>
      <c r="R760" s="1" t="s">
        <v>784</v>
      </c>
      <c r="S760" s="1" t="s">
        <v>79</v>
      </c>
      <c r="T760" s="5">
        <v>180</v>
      </c>
      <c r="U760" s="4">
        <v>46</v>
      </c>
      <c r="V760" s="5">
        <v>1414</v>
      </c>
      <c r="W760" s="6"/>
      <c r="X760" s="6"/>
      <c r="Y760" s="6"/>
      <c r="Z760" s="6"/>
      <c r="AA760" s="6"/>
      <c r="AB760" s="6"/>
      <c r="AC760" s="6"/>
      <c r="AD760" s="6">
        <v>43420</v>
      </c>
    </row>
    <row r="761" spans="1:30">
      <c r="A761" s="1" t="s">
        <v>772</v>
      </c>
      <c r="B761" s="1" t="s">
        <v>773</v>
      </c>
      <c r="C761" s="1" t="s">
        <v>989</v>
      </c>
      <c r="D761" s="1" t="s">
        <v>1289</v>
      </c>
      <c r="E761" s="1" t="str">
        <f t="shared" si="11"/>
        <v>W05</v>
      </c>
      <c r="F761" s="5">
        <v>0</v>
      </c>
      <c r="G761" s="5">
        <v>0</v>
      </c>
      <c r="H761" s="5">
        <v>0</v>
      </c>
      <c r="I761" s="5"/>
      <c r="J761" s="1" t="s">
        <v>775</v>
      </c>
      <c r="K761" s="1" t="s">
        <v>1263</v>
      </c>
      <c r="L761" s="1" t="s">
        <v>79</v>
      </c>
      <c r="M761" s="1" t="s">
        <v>79</v>
      </c>
      <c r="N761" s="1" t="s">
        <v>79</v>
      </c>
      <c r="O761" s="6">
        <v>43257</v>
      </c>
      <c r="P761" s="6">
        <v>43252</v>
      </c>
      <c r="Q761" s="6"/>
      <c r="R761" s="1" t="s">
        <v>784</v>
      </c>
      <c r="S761" s="1" t="s">
        <v>79</v>
      </c>
      <c r="T761" s="5">
        <v>180</v>
      </c>
      <c r="U761" s="4">
        <v>50</v>
      </c>
      <c r="V761" s="5">
        <v>1543</v>
      </c>
      <c r="W761" s="6"/>
      <c r="X761" s="6"/>
      <c r="Y761" s="6"/>
      <c r="Z761" s="6"/>
      <c r="AA761" s="6"/>
      <c r="AB761" s="6"/>
      <c r="AC761" s="6"/>
      <c r="AD761" s="6">
        <v>43564</v>
      </c>
    </row>
    <row r="762" spans="1:30">
      <c r="A762" s="1" t="s">
        <v>772</v>
      </c>
      <c r="B762" s="1" t="s">
        <v>773</v>
      </c>
      <c r="C762" s="1" t="s">
        <v>989</v>
      </c>
      <c r="D762" s="1" t="s">
        <v>1290</v>
      </c>
      <c r="E762" s="1" t="str">
        <f t="shared" si="11"/>
        <v>W05</v>
      </c>
      <c r="F762" s="5">
        <v>0</v>
      </c>
      <c r="G762" s="5">
        <v>0</v>
      </c>
      <c r="H762" s="5">
        <v>0</v>
      </c>
      <c r="I762" s="5"/>
      <c r="J762" s="1" t="s">
        <v>775</v>
      </c>
      <c r="K762" s="1" t="s">
        <v>1263</v>
      </c>
      <c r="L762" s="1" t="s">
        <v>79</v>
      </c>
      <c r="M762" s="1" t="s">
        <v>79</v>
      </c>
      <c r="N762" s="1" t="s">
        <v>79</v>
      </c>
      <c r="O762" s="6">
        <v>43257</v>
      </c>
      <c r="P762" s="6">
        <v>43252</v>
      </c>
      <c r="Q762" s="6"/>
      <c r="R762" s="1" t="s">
        <v>784</v>
      </c>
      <c r="S762" s="1" t="s">
        <v>79</v>
      </c>
      <c r="T762" s="5">
        <v>180</v>
      </c>
      <c r="U762" s="4">
        <v>50</v>
      </c>
      <c r="V762" s="5">
        <v>1543</v>
      </c>
      <c r="W762" s="6"/>
      <c r="X762" s="6"/>
      <c r="Y762" s="6"/>
      <c r="Z762" s="6"/>
      <c r="AA762" s="6"/>
      <c r="AB762" s="6"/>
      <c r="AC762" s="6"/>
      <c r="AD762" s="6">
        <v>43675</v>
      </c>
    </row>
    <row r="763" spans="1:30">
      <c r="A763" s="1" t="s">
        <v>772</v>
      </c>
      <c r="B763" s="1" t="s">
        <v>773</v>
      </c>
      <c r="C763" s="1" t="s">
        <v>989</v>
      </c>
      <c r="D763" s="1" t="s">
        <v>1291</v>
      </c>
      <c r="E763" s="1" t="str">
        <f t="shared" si="11"/>
        <v>W05</v>
      </c>
      <c r="F763" s="4">
        <v>0</v>
      </c>
      <c r="G763" s="4">
        <v>0</v>
      </c>
      <c r="H763" s="4">
        <v>0</v>
      </c>
      <c r="I763" s="4"/>
      <c r="J763" s="1" t="s">
        <v>775</v>
      </c>
      <c r="K763" s="1" t="s">
        <v>1022</v>
      </c>
      <c r="L763" s="1" t="s">
        <v>1023</v>
      </c>
      <c r="M763" s="1" t="s">
        <v>1016</v>
      </c>
      <c r="N763" s="1" t="s">
        <v>79</v>
      </c>
      <c r="O763" s="6">
        <v>42707</v>
      </c>
      <c r="P763" s="6">
        <v>42705</v>
      </c>
      <c r="Q763" s="6">
        <v>42705</v>
      </c>
      <c r="R763" s="1" t="s">
        <v>1017</v>
      </c>
      <c r="S763" s="1" t="s">
        <v>79</v>
      </c>
      <c r="T763" s="5">
        <v>0</v>
      </c>
      <c r="U763" s="4">
        <v>68</v>
      </c>
      <c r="V763" s="5">
        <v>2090</v>
      </c>
      <c r="W763" s="6"/>
      <c r="X763" s="6"/>
      <c r="Y763" s="6"/>
      <c r="Z763" s="6"/>
      <c r="AA763" s="6"/>
      <c r="AB763" s="6"/>
      <c r="AC763" s="6"/>
      <c r="AD763" s="6">
        <v>43156</v>
      </c>
    </row>
    <row r="764" spans="1:30">
      <c r="A764" s="1" t="s">
        <v>772</v>
      </c>
      <c r="B764" s="1" t="s">
        <v>773</v>
      </c>
      <c r="C764" s="1" t="s">
        <v>989</v>
      </c>
      <c r="D764" s="1" t="s">
        <v>1292</v>
      </c>
      <c r="E764" s="1" t="str">
        <f t="shared" si="11"/>
        <v>W05</v>
      </c>
      <c r="F764" s="4">
        <v>0</v>
      </c>
      <c r="G764" s="4">
        <v>0</v>
      </c>
      <c r="H764" s="4">
        <v>0</v>
      </c>
      <c r="I764" s="4"/>
      <c r="J764" s="1" t="s">
        <v>775</v>
      </c>
      <c r="K764" s="1" t="s">
        <v>1036</v>
      </c>
      <c r="L764" s="1" t="s">
        <v>79</v>
      </c>
      <c r="M764" s="1" t="s">
        <v>1016</v>
      </c>
      <c r="N764" s="1" t="s">
        <v>79</v>
      </c>
      <c r="O764" s="6">
        <v>42405</v>
      </c>
      <c r="P764" s="6">
        <v>42405</v>
      </c>
      <c r="Q764" s="6"/>
      <c r="R764" s="1" t="s">
        <v>1017</v>
      </c>
      <c r="S764" s="1" t="s">
        <v>79</v>
      </c>
      <c r="T764" s="5">
        <v>0</v>
      </c>
      <c r="U764" s="4">
        <v>78</v>
      </c>
      <c r="V764" s="5">
        <v>2390</v>
      </c>
      <c r="W764" s="6"/>
      <c r="X764" s="6"/>
      <c r="Y764" s="6"/>
      <c r="Z764" s="6"/>
      <c r="AA764" s="6"/>
      <c r="AB764" s="6"/>
      <c r="AC764" s="6"/>
      <c r="AD764" s="6">
        <v>43128</v>
      </c>
    </row>
    <row r="765" spans="1:30">
      <c r="A765" s="1" t="s">
        <v>772</v>
      </c>
      <c r="B765" s="1" t="s">
        <v>773</v>
      </c>
      <c r="C765" s="1" t="s">
        <v>989</v>
      </c>
      <c r="D765" s="1" t="s">
        <v>1293</v>
      </c>
      <c r="E765" s="1" t="str">
        <f t="shared" si="11"/>
        <v>W05</v>
      </c>
      <c r="F765" s="5">
        <v>0</v>
      </c>
      <c r="G765" s="5">
        <v>0</v>
      </c>
      <c r="H765" s="5">
        <v>0</v>
      </c>
      <c r="I765" s="5"/>
      <c r="J765" s="1" t="s">
        <v>775</v>
      </c>
      <c r="K765" s="1" t="s">
        <v>1263</v>
      </c>
      <c r="L765" s="1" t="s">
        <v>79</v>
      </c>
      <c r="M765" s="1" t="s">
        <v>79</v>
      </c>
      <c r="N765" s="1" t="s">
        <v>79</v>
      </c>
      <c r="O765" s="6">
        <v>43257</v>
      </c>
      <c r="P765" s="6">
        <v>43252</v>
      </c>
      <c r="Q765" s="6"/>
      <c r="R765" s="1" t="s">
        <v>784</v>
      </c>
      <c r="S765" s="1" t="s">
        <v>79</v>
      </c>
      <c r="T765" s="5">
        <v>180</v>
      </c>
      <c r="U765" s="4">
        <v>50</v>
      </c>
      <c r="V765" s="5">
        <v>1543</v>
      </c>
      <c r="W765" s="6">
        <v>43257</v>
      </c>
      <c r="X765" s="6"/>
      <c r="Y765" s="6"/>
      <c r="Z765" s="6"/>
      <c r="AA765" s="6"/>
      <c r="AB765" s="6"/>
      <c r="AC765" s="6"/>
      <c r="AD765" s="6">
        <v>43390</v>
      </c>
    </row>
    <row r="766" spans="1:30">
      <c r="A766" s="1" t="s">
        <v>772</v>
      </c>
      <c r="B766" s="1" t="s">
        <v>773</v>
      </c>
      <c r="C766" s="1" t="s">
        <v>989</v>
      </c>
      <c r="D766" s="1" t="s">
        <v>1294</v>
      </c>
      <c r="E766" s="1" t="str">
        <f t="shared" si="11"/>
        <v>W05</v>
      </c>
      <c r="F766" s="5">
        <v>0</v>
      </c>
      <c r="G766" s="5">
        <v>0</v>
      </c>
      <c r="H766" s="5">
        <v>0</v>
      </c>
      <c r="I766" s="5"/>
      <c r="J766" s="1" t="s">
        <v>775</v>
      </c>
      <c r="K766" s="1" t="s">
        <v>1263</v>
      </c>
      <c r="L766" s="1" t="s">
        <v>79</v>
      </c>
      <c r="M766" s="1" t="s">
        <v>79</v>
      </c>
      <c r="N766" s="1" t="s">
        <v>79</v>
      </c>
      <c r="O766" s="6">
        <v>43257</v>
      </c>
      <c r="P766" s="6">
        <v>43252</v>
      </c>
      <c r="Q766" s="6"/>
      <c r="R766" s="1" t="s">
        <v>784</v>
      </c>
      <c r="S766" s="1" t="s">
        <v>79</v>
      </c>
      <c r="T766" s="5">
        <v>180</v>
      </c>
      <c r="U766" s="4">
        <v>50</v>
      </c>
      <c r="V766" s="5">
        <v>1543</v>
      </c>
      <c r="W766" s="6">
        <v>43257</v>
      </c>
      <c r="X766" s="6"/>
      <c r="Y766" s="6"/>
      <c r="Z766" s="6"/>
      <c r="AA766" s="6"/>
      <c r="AB766" s="6"/>
      <c r="AC766" s="6"/>
      <c r="AD766" s="6">
        <v>43403</v>
      </c>
    </row>
    <row r="767" spans="1:30">
      <c r="A767" s="1" t="s">
        <v>772</v>
      </c>
      <c r="B767" s="1" t="s">
        <v>773</v>
      </c>
      <c r="C767" s="1" t="s">
        <v>989</v>
      </c>
      <c r="D767" s="1" t="s">
        <v>1295</v>
      </c>
      <c r="E767" s="1" t="str">
        <f t="shared" si="11"/>
        <v>W05</v>
      </c>
      <c r="F767" s="5">
        <v>0</v>
      </c>
      <c r="G767" s="5">
        <v>0</v>
      </c>
      <c r="H767" s="5">
        <v>0</v>
      </c>
      <c r="I767" s="5"/>
      <c r="J767" s="1" t="s">
        <v>775</v>
      </c>
      <c r="K767" s="1" t="s">
        <v>1263</v>
      </c>
      <c r="L767" s="1" t="s">
        <v>79</v>
      </c>
      <c r="M767" s="1" t="s">
        <v>79</v>
      </c>
      <c r="N767" s="1" t="s">
        <v>79</v>
      </c>
      <c r="O767" s="6">
        <v>43257</v>
      </c>
      <c r="P767" s="6">
        <v>43252</v>
      </c>
      <c r="Q767" s="6"/>
      <c r="R767" s="1" t="s">
        <v>784</v>
      </c>
      <c r="S767" s="1" t="s">
        <v>79</v>
      </c>
      <c r="T767" s="5">
        <v>180</v>
      </c>
      <c r="U767" s="4">
        <v>50</v>
      </c>
      <c r="V767" s="5">
        <v>1543</v>
      </c>
      <c r="W767" s="6"/>
      <c r="X767" s="6"/>
      <c r="Y767" s="6"/>
      <c r="Z767" s="6"/>
      <c r="AA767" s="6"/>
      <c r="AB767" s="6"/>
      <c r="AC767" s="6"/>
      <c r="AD767" s="6">
        <v>43339</v>
      </c>
    </row>
    <row r="768" spans="1:30">
      <c r="A768" s="1" t="s">
        <v>772</v>
      </c>
      <c r="B768" s="1" t="s">
        <v>773</v>
      </c>
      <c r="C768" s="1" t="s">
        <v>989</v>
      </c>
      <c r="D768" s="1" t="s">
        <v>1296</v>
      </c>
      <c r="E768" s="1" t="str">
        <f t="shared" si="11"/>
        <v>W05</v>
      </c>
      <c r="F768" s="5">
        <v>0</v>
      </c>
      <c r="G768" s="5">
        <v>0</v>
      </c>
      <c r="H768" s="5">
        <v>0</v>
      </c>
      <c r="I768" s="5"/>
      <c r="J768" s="1" t="s">
        <v>775</v>
      </c>
      <c r="K768" s="1" t="s">
        <v>1263</v>
      </c>
      <c r="L768" s="1" t="s">
        <v>79</v>
      </c>
      <c r="M768" s="1" t="s">
        <v>79</v>
      </c>
      <c r="N768" s="1" t="s">
        <v>79</v>
      </c>
      <c r="O768" s="6">
        <v>43257</v>
      </c>
      <c r="P768" s="6">
        <v>43252</v>
      </c>
      <c r="Q768" s="6"/>
      <c r="R768" s="1" t="s">
        <v>784</v>
      </c>
      <c r="S768" s="1" t="s">
        <v>79</v>
      </c>
      <c r="T768" s="5">
        <v>180</v>
      </c>
      <c r="U768" s="4">
        <v>50</v>
      </c>
      <c r="V768" s="5">
        <v>1543</v>
      </c>
      <c r="W768" s="6"/>
      <c r="X768" s="6"/>
      <c r="Y768" s="6"/>
      <c r="Z768" s="6"/>
      <c r="AA768" s="6"/>
      <c r="AB768" s="6"/>
      <c r="AC768" s="6"/>
      <c r="AD768" s="6">
        <v>43383</v>
      </c>
    </row>
    <row r="769" spans="1:30">
      <c r="A769" s="1" t="s">
        <v>772</v>
      </c>
      <c r="B769" s="1" t="s">
        <v>773</v>
      </c>
      <c r="C769" s="1" t="s">
        <v>989</v>
      </c>
      <c r="D769" s="1" t="s">
        <v>1297</v>
      </c>
      <c r="E769" s="1" t="str">
        <f t="shared" si="11"/>
        <v>W05</v>
      </c>
      <c r="F769" s="5">
        <v>0</v>
      </c>
      <c r="G769" s="5">
        <v>0</v>
      </c>
      <c r="H769" s="5">
        <v>0</v>
      </c>
      <c r="I769" s="5"/>
      <c r="J769" s="1" t="s">
        <v>775</v>
      </c>
      <c r="K769" s="1" t="s">
        <v>1263</v>
      </c>
      <c r="L769" s="1" t="s">
        <v>79</v>
      </c>
      <c r="M769" s="1" t="s">
        <v>79</v>
      </c>
      <c r="N769" s="1" t="s">
        <v>79</v>
      </c>
      <c r="O769" s="6">
        <v>43257</v>
      </c>
      <c r="P769" s="6">
        <v>43252</v>
      </c>
      <c r="Q769" s="6"/>
      <c r="R769" s="1" t="s">
        <v>784</v>
      </c>
      <c r="S769" s="1" t="s">
        <v>79</v>
      </c>
      <c r="T769" s="5">
        <v>180</v>
      </c>
      <c r="U769" s="4">
        <v>50</v>
      </c>
      <c r="V769" s="5">
        <v>1543</v>
      </c>
      <c r="W769" s="6"/>
      <c r="X769" s="6"/>
      <c r="Y769" s="6"/>
      <c r="Z769" s="6"/>
      <c r="AA769" s="6"/>
      <c r="AB769" s="6"/>
      <c r="AC769" s="6"/>
      <c r="AD769" s="6">
        <v>43342</v>
      </c>
    </row>
    <row r="770" spans="1:30">
      <c r="A770" s="1" t="s">
        <v>772</v>
      </c>
      <c r="B770" s="1" t="s">
        <v>773</v>
      </c>
      <c r="C770" s="1" t="s">
        <v>989</v>
      </c>
      <c r="D770" s="1" t="s">
        <v>1298</v>
      </c>
      <c r="E770" s="1" t="str">
        <f t="shared" si="11"/>
        <v>W05</v>
      </c>
      <c r="F770" s="5">
        <v>0</v>
      </c>
      <c r="G770" s="5">
        <v>0</v>
      </c>
      <c r="H770" s="5">
        <v>0</v>
      </c>
      <c r="I770" s="5"/>
      <c r="J770" s="1" t="s">
        <v>775</v>
      </c>
      <c r="K770" s="1" t="s">
        <v>1263</v>
      </c>
      <c r="L770" s="1" t="s">
        <v>79</v>
      </c>
      <c r="M770" s="1" t="s">
        <v>79</v>
      </c>
      <c r="N770" s="1" t="s">
        <v>79</v>
      </c>
      <c r="O770" s="6">
        <v>43257</v>
      </c>
      <c r="P770" s="6">
        <v>43252</v>
      </c>
      <c r="Q770" s="6"/>
      <c r="R770" s="1" t="s">
        <v>784</v>
      </c>
      <c r="S770" s="1" t="s">
        <v>79</v>
      </c>
      <c r="T770" s="5">
        <v>180</v>
      </c>
      <c r="U770" s="4">
        <v>50</v>
      </c>
      <c r="V770" s="5">
        <v>1543</v>
      </c>
      <c r="W770" s="6">
        <v>43257</v>
      </c>
      <c r="X770" s="6"/>
      <c r="Y770" s="6"/>
      <c r="Z770" s="6"/>
      <c r="AA770" s="6"/>
      <c r="AB770" s="6"/>
      <c r="AC770" s="6"/>
      <c r="AD770" s="6">
        <v>43396</v>
      </c>
    </row>
    <row r="771" spans="1:30">
      <c r="A771" s="1" t="s">
        <v>772</v>
      </c>
      <c r="B771" s="1" t="s">
        <v>773</v>
      </c>
      <c r="C771" s="1" t="s">
        <v>989</v>
      </c>
      <c r="D771" s="1" t="s">
        <v>1299</v>
      </c>
      <c r="E771" s="1" t="str">
        <f t="shared" si="11"/>
        <v>W05</v>
      </c>
      <c r="F771" s="5">
        <v>0</v>
      </c>
      <c r="G771" s="5">
        <v>0</v>
      </c>
      <c r="H771" s="5">
        <v>0</v>
      </c>
      <c r="I771" s="5"/>
      <c r="J771" s="1" t="s">
        <v>775</v>
      </c>
      <c r="K771" s="1" t="s">
        <v>1263</v>
      </c>
      <c r="L771" s="1" t="s">
        <v>79</v>
      </c>
      <c r="M771" s="1" t="s">
        <v>79</v>
      </c>
      <c r="N771" s="1" t="s">
        <v>79</v>
      </c>
      <c r="O771" s="6">
        <v>43257</v>
      </c>
      <c r="P771" s="6">
        <v>43252</v>
      </c>
      <c r="Q771" s="6"/>
      <c r="R771" s="1" t="s">
        <v>784</v>
      </c>
      <c r="S771" s="1" t="s">
        <v>79</v>
      </c>
      <c r="T771" s="5">
        <v>180</v>
      </c>
      <c r="U771" s="4">
        <v>50</v>
      </c>
      <c r="V771" s="5">
        <v>1543</v>
      </c>
      <c r="W771" s="6">
        <v>43257</v>
      </c>
      <c r="X771" s="6"/>
      <c r="Y771" s="6"/>
      <c r="Z771" s="6"/>
      <c r="AA771" s="6"/>
      <c r="AB771" s="6"/>
      <c r="AC771" s="6"/>
      <c r="AD771" s="6">
        <v>43417</v>
      </c>
    </row>
    <row r="772" spans="1:30">
      <c r="A772" s="1" t="s">
        <v>772</v>
      </c>
      <c r="B772" s="1" t="s">
        <v>773</v>
      </c>
      <c r="C772" s="1" t="s">
        <v>989</v>
      </c>
      <c r="D772" s="1" t="s">
        <v>1300</v>
      </c>
      <c r="E772" s="1" t="str">
        <f t="shared" si="11"/>
        <v>W05</v>
      </c>
      <c r="F772" s="5">
        <v>0</v>
      </c>
      <c r="G772" s="5">
        <v>0</v>
      </c>
      <c r="H772" s="5">
        <v>0</v>
      </c>
      <c r="I772" s="5"/>
      <c r="J772" s="1" t="s">
        <v>775</v>
      </c>
      <c r="K772" s="1" t="s">
        <v>1263</v>
      </c>
      <c r="L772" s="1" t="s">
        <v>79</v>
      </c>
      <c r="M772" s="1" t="s">
        <v>79</v>
      </c>
      <c r="N772" s="1" t="s">
        <v>79</v>
      </c>
      <c r="O772" s="6">
        <v>43257</v>
      </c>
      <c r="P772" s="6">
        <v>43252</v>
      </c>
      <c r="Q772" s="6"/>
      <c r="R772" s="1" t="s">
        <v>784</v>
      </c>
      <c r="S772" s="1" t="s">
        <v>79</v>
      </c>
      <c r="T772" s="5">
        <v>180</v>
      </c>
      <c r="U772" s="4">
        <v>50</v>
      </c>
      <c r="V772" s="5">
        <v>1543</v>
      </c>
      <c r="W772" s="6">
        <v>43257</v>
      </c>
      <c r="X772" s="6"/>
      <c r="Y772" s="6"/>
      <c r="Z772" s="6"/>
      <c r="AA772" s="6"/>
      <c r="AB772" s="6"/>
      <c r="AC772" s="6"/>
      <c r="AD772" s="6">
        <v>43432</v>
      </c>
    </row>
    <row r="773" spans="1:30">
      <c r="A773" s="1" t="s">
        <v>772</v>
      </c>
      <c r="B773" s="1" t="s">
        <v>773</v>
      </c>
      <c r="C773" s="1" t="s">
        <v>989</v>
      </c>
      <c r="D773" s="1" t="s">
        <v>1301</v>
      </c>
      <c r="E773" s="1" t="str">
        <f t="shared" ref="E773:E836" si="12">RIGHT(C773,3)</f>
        <v>W05</v>
      </c>
      <c r="F773" s="5">
        <v>0</v>
      </c>
      <c r="G773" s="5">
        <v>0</v>
      </c>
      <c r="H773" s="5">
        <v>0</v>
      </c>
      <c r="I773" s="5"/>
      <c r="J773" s="1" t="s">
        <v>775</v>
      </c>
      <c r="K773" s="1" t="s">
        <v>1263</v>
      </c>
      <c r="L773" s="1" t="s">
        <v>79</v>
      </c>
      <c r="M773" s="1" t="s">
        <v>79</v>
      </c>
      <c r="N773" s="1" t="s">
        <v>79</v>
      </c>
      <c r="O773" s="6">
        <v>43257</v>
      </c>
      <c r="P773" s="6">
        <v>43252</v>
      </c>
      <c r="Q773" s="6"/>
      <c r="R773" s="1" t="s">
        <v>784</v>
      </c>
      <c r="S773" s="1" t="s">
        <v>79</v>
      </c>
      <c r="T773" s="5">
        <v>180</v>
      </c>
      <c r="U773" s="4">
        <v>50</v>
      </c>
      <c r="V773" s="5">
        <v>1543</v>
      </c>
      <c r="W773" s="6">
        <v>43257</v>
      </c>
      <c r="X773" s="6"/>
      <c r="Y773" s="6"/>
      <c r="Z773" s="6"/>
      <c r="AA773" s="6"/>
      <c r="AB773" s="6"/>
      <c r="AC773" s="6"/>
      <c r="AD773" s="6"/>
    </row>
    <row r="774" spans="1:30">
      <c r="A774" s="1" t="s">
        <v>772</v>
      </c>
      <c r="B774" s="1" t="s">
        <v>773</v>
      </c>
      <c r="C774" s="1" t="s">
        <v>989</v>
      </c>
      <c r="D774" s="1" t="s">
        <v>1302</v>
      </c>
      <c r="E774" s="1" t="str">
        <f t="shared" si="12"/>
        <v>W05</v>
      </c>
      <c r="F774" s="5">
        <v>0</v>
      </c>
      <c r="G774" s="5">
        <v>0</v>
      </c>
      <c r="H774" s="5">
        <v>0</v>
      </c>
      <c r="I774" s="5"/>
      <c r="J774" s="1" t="s">
        <v>775</v>
      </c>
      <c r="K774" s="1" t="s">
        <v>1263</v>
      </c>
      <c r="L774" s="1" t="s">
        <v>79</v>
      </c>
      <c r="M774" s="1" t="s">
        <v>79</v>
      </c>
      <c r="N774" s="1" t="s">
        <v>79</v>
      </c>
      <c r="O774" s="6">
        <v>43257</v>
      </c>
      <c r="P774" s="6">
        <v>43450</v>
      </c>
      <c r="Q774" s="6"/>
      <c r="R774" s="1" t="s">
        <v>784</v>
      </c>
      <c r="S774" s="1" t="s">
        <v>79</v>
      </c>
      <c r="T774" s="5">
        <v>180</v>
      </c>
      <c r="U774" s="4">
        <v>44</v>
      </c>
      <c r="V774" s="5">
        <v>1345</v>
      </c>
      <c r="W774" s="6">
        <v>43257</v>
      </c>
      <c r="X774" s="6"/>
      <c r="Y774" s="6"/>
      <c r="Z774" s="6"/>
      <c r="AA774" s="6"/>
      <c r="AB774" s="6"/>
      <c r="AC774" s="6"/>
      <c r="AD774" s="6">
        <v>43503</v>
      </c>
    </row>
    <row r="775" spans="1:30">
      <c r="A775" s="1" t="s">
        <v>772</v>
      </c>
      <c r="B775" s="1" t="s">
        <v>773</v>
      </c>
      <c r="C775" s="1" t="s">
        <v>989</v>
      </c>
      <c r="D775" s="1" t="s">
        <v>1303</v>
      </c>
      <c r="E775" s="1" t="str">
        <f t="shared" si="12"/>
        <v>W05</v>
      </c>
      <c r="F775" s="5">
        <v>0</v>
      </c>
      <c r="G775" s="5">
        <v>0</v>
      </c>
      <c r="H775" s="5">
        <v>0</v>
      </c>
      <c r="I775" s="5"/>
      <c r="J775" s="1" t="s">
        <v>775</v>
      </c>
      <c r="K775" s="1" t="s">
        <v>1263</v>
      </c>
      <c r="L775" s="1" t="s">
        <v>79</v>
      </c>
      <c r="M775" s="1" t="s">
        <v>79</v>
      </c>
      <c r="N775" s="1" t="s">
        <v>79</v>
      </c>
      <c r="O775" s="6">
        <v>43257</v>
      </c>
      <c r="P775" s="6">
        <v>43252</v>
      </c>
      <c r="Q775" s="6"/>
      <c r="R775" s="1" t="s">
        <v>784</v>
      </c>
      <c r="S775" s="1" t="s">
        <v>79</v>
      </c>
      <c r="T775" s="5">
        <v>180</v>
      </c>
      <c r="U775" s="4">
        <v>50</v>
      </c>
      <c r="V775" s="5">
        <v>1543</v>
      </c>
      <c r="W775" s="6">
        <v>43257</v>
      </c>
      <c r="X775" s="6"/>
      <c r="Y775" s="6"/>
      <c r="Z775" s="6"/>
      <c r="AA775" s="6"/>
      <c r="AB775" s="6"/>
      <c r="AC775" s="6"/>
      <c r="AD775" s="6">
        <v>43683</v>
      </c>
    </row>
    <row r="776" spans="1:30">
      <c r="A776" s="1" t="s">
        <v>772</v>
      </c>
      <c r="B776" s="1" t="s">
        <v>773</v>
      </c>
      <c r="C776" s="1" t="s">
        <v>989</v>
      </c>
      <c r="D776" s="1" t="s">
        <v>1304</v>
      </c>
      <c r="E776" s="1" t="str">
        <f t="shared" si="12"/>
        <v>W05</v>
      </c>
      <c r="F776" s="5">
        <v>0</v>
      </c>
      <c r="G776" s="5">
        <v>0</v>
      </c>
      <c r="H776" s="5">
        <v>0</v>
      </c>
      <c r="I776" s="5"/>
      <c r="J776" s="1" t="s">
        <v>775</v>
      </c>
      <c r="K776" s="1" t="s">
        <v>1263</v>
      </c>
      <c r="L776" s="1" t="s">
        <v>79</v>
      </c>
      <c r="M776" s="1" t="s">
        <v>79</v>
      </c>
      <c r="N776" s="1" t="s">
        <v>79</v>
      </c>
      <c r="O776" s="6">
        <v>43257</v>
      </c>
      <c r="P776" s="6">
        <v>43252</v>
      </c>
      <c r="Q776" s="6"/>
      <c r="R776" s="1" t="s">
        <v>784</v>
      </c>
      <c r="S776" s="1" t="s">
        <v>79</v>
      </c>
      <c r="T776" s="5">
        <v>180</v>
      </c>
      <c r="U776" s="4">
        <v>50</v>
      </c>
      <c r="V776" s="5">
        <v>1543</v>
      </c>
      <c r="W776" s="6">
        <v>43257</v>
      </c>
      <c r="X776" s="6"/>
      <c r="Y776" s="6"/>
      <c r="Z776" s="6"/>
      <c r="AA776" s="6"/>
      <c r="AB776" s="6"/>
      <c r="AC776" s="6"/>
      <c r="AD776" s="6">
        <v>43776</v>
      </c>
    </row>
    <row r="777" spans="1:30">
      <c r="A777" s="1" t="s">
        <v>772</v>
      </c>
      <c r="B777" s="1" t="s">
        <v>773</v>
      </c>
      <c r="C777" s="1" t="s">
        <v>989</v>
      </c>
      <c r="D777" s="1" t="s">
        <v>1305</v>
      </c>
      <c r="E777" s="1" t="str">
        <f t="shared" si="12"/>
        <v>W05</v>
      </c>
      <c r="F777" s="5">
        <v>0</v>
      </c>
      <c r="G777" s="5">
        <v>0</v>
      </c>
      <c r="H777" s="5">
        <v>0</v>
      </c>
      <c r="I777" s="5"/>
      <c r="J777" s="1" t="s">
        <v>775</v>
      </c>
      <c r="K777" s="1" t="s">
        <v>1263</v>
      </c>
      <c r="L777" s="1" t="s">
        <v>79</v>
      </c>
      <c r="M777" s="1" t="s">
        <v>79</v>
      </c>
      <c r="N777" s="1" t="s">
        <v>79</v>
      </c>
      <c r="O777" s="6">
        <v>43257</v>
      </c>
      <c r="P777" s="6">
        <v>43252</v>
      </c>
      <c r="Q777" s="6"/>
      <c r="R777" s="1" t="s">
        <v>784</v>
      </c>
      <c r="S777" s="1" t="s">
        <v>79</v>
      </c>
      <c r="T777" s="5">
        <v>180</v>
      </c>
      <c r="U777" s="4">
        <v>50</v>
      </c>
      <c r="V777" s="5">
        <v>1543</v>
      </c>
      <c r="W777" s="6">
        <v>43257</v>
      </c>
      <c r="X777" s="6"/>
      <c r="Y777" s="6"/>
      <c r="Z777" s="6"/>
      <c r="AA777" s="6"/>
      <c r="AB777" s="6"/>
      <c r="AC777" s="6"/>
      <c r="AD777" s="6"/>
    </row>
    <row r="778" spans="1:30">
      <c r="A778" s="1" t="s">
        <v>772</v>
      </c>
      <c r="B778" s="1" t="s">
        <v>773</v>
      </c>
      <c r="C778" s="1" t="s">
        <v>904</v>
      </c>
      <c r="D778" s="1" t="s">
        <v>647</v>
      </c>
      <c r="E778" s="1" t="str">
        <f t="shared" si="12"/>
        <v>W03</v>
      </c>
      <c r="F778" s="5">
        <v>12.85</v>
      </c>
      <c r="G778" s="5">
        <v>10.16</v>
      </c>
      <c r="H778" s="5">
        <v>10.16</v>
      </c>
      <c r="I778" s="5"/>
      <c r="J778" s="1" t="s">
        <v>775</v>
      </c>
      <c r="K778" s="1" t="s">
        <v>1263</v>
      </c>
      <c r="L778" s="1" t="s">
        <v>79</v>
      </c>
      <c r="M778" s="1" t="s">
        <v>79</v>
      </c>
      <c r="N778" s="1" t="s">
        <v>79</v>
      </c>
      <c r="O778" s="6">
        <v>43257</v>
      </c>
      <c r="P778" s="6">
        <v>43252</v>
      </c>
      <c r="Q778" s="6"/>
      <c r="R778" s="1" t="s">
        <v>784</v>
      </c>
      <c r="S778" s="1" t="s">
        <v>79</v>
      </c>
      <c r="T778" s="5">
        <v>180</v>
      </c>
      <c r="U778" s="4">
        <v>50</v>
      </c>
      <c r="V778" s="5">
        <v>1543</v>
      </c>
      <c r="W778" s="6">
        <v>43257</v>
      </c>
      <c r="X778" s="6"/>
      <c r="Y778" s="6"/>
      <c r="Z778" s="6"/>
      <c r="AA778" s="6"/>
      <c r="AB778" s="6"/>
      <c r="AC778" s="6"/>
      <c r="AD778" s="6">
        <v>43860</v>
      </c>
    </row>
    <row r="779" spans="1:30">
      <c r="A779" s="1" t="s">
        <v>772</v>
      </c>
      <c r="B779" s="1" t="s">
        <v>773</v>
      </c>
      <c r="C779" s="1" t="s">
        <v>904</v>
      </c>
      <c r="D779" s="1" t="s">
        <v>58</v>
      </c>
      <c r="E779" s="1" t="str">
        <f t="shared" si="12"/>
        <v>W03</v>
      </c>
      <c r="F779" s="5">
        <v>6.76</v>
      </c>
      <c r="G779" s="5">
        <v>5.35</v>
      </c>
      <c r="H779" s="5">
        <v>5.35</v>
      </c>
      <c r="I779" s="5"/>
      <c r="J779" s="1" t="s">
        <v>775</v>
      </c>
      <c r="K779" s="1" t="s">
        <v>1263</v>
      </c>
      <c r="L779" s="1" t="s">
        <v>79</v>
      </c>
      <c r="M779" s="1" t="s">
        <v>79</v>
      </c>
      <c r="N779" s="1" t="s">
        <v>79</v>
      </c>
      <c r="O779" s="6">
        <v>43257</v>
      </c>
      <c r="P779" s="6">
        <v>43252</v>
      </c>
      <c r="Q779" s="6"/>
      <c r="R779" s="1" t="s">
        <v>784</v>
      </c>
      <c r="S779" s="1" t="s">
        <v>79</v>
      </c>
      <c r="T779" s="5">
        <v>180</v>
      </c>
      <c r="U779" s="4">
        <v>50</v>
      </c>
      <c r="V779" s="5">
        <v>1543</v>
      </c>
      <c r="W779" s="6">
        <v>43257</v>
      </c>
      <c r="X779" s="6"/>
      <c r="Y779" s="6"/>
      <c r="Z779" s="6"/>
      <c r="AA779" s="6"/>
      <c r="AB779" s="6"/>
      <c r="AC779" s="6"/>
      <c r="AD779" s="6">
        <v>43860</v>
      </c>
    </row>
    <row r="780" spans="1:30">
      <c r="A780" s="1" t="s">
        <v>772</v>
      </c>
      <c r="B780" s="1" t="s">
        <v>773</v>
      </c>
      <c r="C780" s="1" t="s">
        <v>904</v>
      </c>
      <c r="D780" s="1" t="s">
        <v>61</v>
      </c>
      <c r="E780" s="1" t="str">
        <f t="shared" si="12"/>
        <v>W03</v>
      </c>
      <c r="F780" s="5">
        <v>6.25</v>
      </c>
      <c r="G780" s="5">
        <v>4.8899999999999997</v>
      </c>
      <c r="H780" s="5">
        <v>4.8899999999999997</v>
      </c>
      <c r="I780" s="5"/>
      <c r="J780" s="1" t="s">
        <v>775</v>
      </c>
      <c r="K780" s="1" t="s">
        <v>1263</v>
      </c>
      <c r="L780" s="1" t="s">
        <v>79</v>
      </c>
      <c r="M780" s="1" t="s">
        <v>79</v>
      </c>
      <c r="N780" s="1" t="s">
        <v>79</v>
      </c>
      <c r="O780" s="6">
        <v>43257</v>
      </c>
      <c r="P780" s="6">
        <v>43252</v>
      </c>
      <c r="Q780" s="6"/>
      <c r="R780" s="1" t="s">
        <v>784</v>
      </c>
      <c r="S780" s="1" t="s">
        <v>79</v>
      </c>
      <c r="T780" s="5">
        <v>180</v>
      </c>
      <c r="U780" s="4">
        <v>50</v>
      </c>
      <c r="V780" s="5">
        <v>1543</v>
      </c>
      <c r="W780" s="6">
        <v>43257</v>
      </c>
      <c r="X780" s="6"/>
      <c r="Y780" s="6"/>
      <c r="Z780" s="6"/>
      <c r="AA780" s="6"/>
      <c r="AB780" s="6"/>
      <c r="AC780" s="6"/>
      <c r="AD780" s="6">
        <v>43860</v>
      </c>
    </row>
    <row r="781" spans="1:30">
      <c r="A781" s="1" t="s">
        <v>772</v>
      </c>
      <c r="B781" s="1" t="s">
        <v>773</v>
      </c>
      <c r="C781" s="1" t="s">
        <v>989</v>
      </c>
      <c r="D781" s="1" t="s">
        <v>1306</v>
      </c>
      <c r="E781" s="1" t="str">
        <f t="shared" si="12"/>
        <v>W05</v>
      </c>
      <c r="F781" s="5">
        <v>0</v>
      </c>
      <c r="G781" s="5">
        <v>0</v>
      </c>
      <c r="H781" s="5">
        <v>0</v>
      </c>
      <c r="I781" s="5"/>
      <c r="J781" s="1" t="s">
        <v>775</v>
      </c>
      <c r="K781" s="1" t="s">
        <v>1263</v>
      </c>
      <c r="L781" s="1" t="s">
        <v>79</v>
      </c>
      <c r="M781" s="1" t="s">
        <v>79</v>
      </c>
      <c r="N781" s="1" t="s">
        <v>79</v>
      </c>
      <c r="O781" s="6">
        <v>43257</v>
      </c>
      <c r="P781" s="6">
        <v>43252</v>
      </c>
      <c r="Q781" s="6"/>
      <c r="R781" s="1" t="s">
        <v>784</v>
      </c>
      <c r="S781" s="1" t="s">
        <v>79</v>
      </c>
      <c r="T781" s="5">
        <v>180</v>
      </c>
      <c r="U781" s="4">
        <v>50</v>
      </c>
      <c r="V781" s="5">
        <v>1543</v>
      </c>
      <c r="W781" s="6">
        <v>43257</v>
      </c>
      <c r="X781" s="6"/>
      <c r="Y781" s="6"/>
      <c r="Z781" s="6"/>
      <c r="AA781" s="6"/>
      <c r="AB781" s="6"/>
      <c r="AC781" s="6"/>
      <c r="AD781" s="6">
        <v>43373</v>
      </c>
    </row>
    <row r="782" spans="1:30">
      <c r="A782" s="1" t="s">
        <v>772</v>
      </c>
      <c r="B782" s="1" t="s">
        <v>917</v>
      </c>
      <c r="C782" s="1" t="s">
        <v>989</v>
      </c>
      <c r="D782" s="1" t="s">
        <v>1307</v>
      </c>
      <c r="E782" s="1" t="str">
        <f t="shared" si="12"/>
        <v>W05</v>
      </c>
      <c r="F782" s="5">
        <v>2.42</v>
      </c>
      <c r="G782" s="5">
        <v>2.16</v>
      </c>
      <c r="H782" s="5">
        <v>2.16</v>
      </c>
      <c r="I782" s="5"/>
      <c r="J782" s="1" t="s">
        <v>775</v>
      </c>
      <c r="K782" s="1" t="s">
        <v>1263</v>
      </c>
      <c r="L782" s="1" t="s">
        <v>79</v>
      </c>
      <c r="M782" s="1" t="s">
        <v>79</v>
      </c>
      <c r="N782" s="1" t="s">
        <v>79</v>
      </c>
      <c r="O782" s="6">
        <v>43257</v>
      </c>
      <c r="P782" s="6">
        <v>43475</v>
      </c>
      <c r="Q782" s="6"/>
      <c r="R782" s="1" t="s">
        <v>784</v>
      </c>
      <c r="S782" s="1" t="s">
        <v>79</v>
      </c>
      <c r="T782" s="5">
        <v>180</v>
      </c>
      <c r="U782" s="4">
        <v>43</v>
      </c>
      <c r="V782" s="5">
        <v>1320</v>
      </c>
      <c r="W782" s="6">
        <v>43257</v>
      </c>
      <c r="X782" s="6"/>
      <c r="Y782" s="6"/>
      <c r="Z782" s="6"/>
      <c r="AA782" s="6"/>
      <c r="AB782" s="6"/>
      <c r="AC782" s="6"/>
      <c r="AD782" s="6">
        <v>43510</v>
      </c>
    </row>
    <row r="783" spans="1:30">
      <c r="A783" s="1" t="s">
        <v>772</v>
      </c>
      <c r="B783" s="1" t="s">
        <v>773</v>
      </c>
      <c r="C783" s="1" t="s">
        <v>989</v>
      </c>
      <c r="D783" s="1" t="s">
        <v>1308</v>
      </c>
      <c r="E783" s="1" t="str">
        <f t="shared" si="12"/>
        <v>W05</v>
      </c>
      <c r="F783" s="5">
        <v>0.21</v>
      </c>
      <c r="G783" s="5">
        <v>0.21</v>
      </c>
      <c r="H783" s="5">
        <v>0.21</v>
      </c>
      <c r="I783" s="5"/>
      <c r="J783" s="1" t="s">
        <v>775</v>
      </c>
      <c r="K783" s="1" t="s">
        <v>1263</v>
      </c>
      <c r="L783" s="1" t="s">
        <v>79</v>
      </c>
      <c r="M783" s="1" t="s">
        <v>79</v>
      </c>
      <c r="N783" s="1" t="s">
        <v>79</v>
      </c>
      <c r="O783" s="6">
        <v>43257</v>
      </c>
      <c r="P783" s="6">
        <v>43476</v>
      </c>
      <c r="Q783" s="6"/>
      <c r="R783" s="1" t="s">
        <v>784</v>
      </c>
      <c r="S783" s="1" t="s">
        <v>79</v>
      </c>
      <c r="T783" s="5">
        <v>180</v>
      </c>
      <c r="U783" s="4">
        <v>43</v>
      </c>
      <c r="V783" s="5">
        <v>1319</v>
      </c>
      <c r="W783" s="6">
        <v>43257</v>
      </c>
      <c r="X783" s="6"/>
      <c r="Y783" s="6"/>
      <c r="Z783" s="6"/>
      <c r="AA783" s="6"/>
      <c r="AB783" s="6"/>
      <c r="AC783" s="6"/>
      <c r="AD783" s="6">
        <v>43516</v>
      </c>
    </row>
    <row r="784" spans="1:30">
      <c r="A784" s="1" t="s">
        <v>772</v>
      </c>
      <c r="B784" s="1" t="s">
        <v>773</v>
      </c>
      <c r="C784" s="1" t="s">
        <v>848</v>
      </c>
      <c r="D784" s="1" t="s">
        <v>224</v>
      </c>
      <c r="E784" s="1" t="str">
        <f t="shared" si="12"/>
        <v>W02</v>
      </c>
      <c r="F784" s="5">
        <v>8.6999999999999993</v>
      </c>
      <c r="G784" s="5">
        <v>6.92</v>
      </c>
      <c r="H784" s="5">
        <v>6.92</v>
      </c>
      <c r="I784" s="5"/>
      <c r="J784" s="1" t="s">
        <v>775</v>
      </c>
      <c r="K784" s="1" t="s">
        <v>1263</v>
      </c>
      <c r="L784" s="1" t="s">
        <v>79</v>
      </c>
      <c r="M784" s="1" t="s">
        <v>79</v>
      </c>
      <c r="N784" s="1" t="s">
        <v>79</v>
      </c>
      <c r="O784" s="6">
        <v>43257</v>
      </c>
      <c r="P784" s="6">
        <v>43252</v>
      </c>
      <c r="Q784" s="6"/>
      <c r="R784" s="1" t="s">
        <v>784</v>
      </c>
      <c r="S784" s="1" t="s">
        <v>79</v>
      </c>
      <c r="T784" s="5">
        <v>180</v>
      </c>
      <c r="U784" s="4">
        <v>50</v>
      </c>
      <c r="V784" s="5">
        <v>1543</v>
      </c>
      <c r="W784" s="6">
        <v>43257</v>
      </c>
      <c r="X784" s="6"/>
      <c r="Y784" s="6"/>
      <c r="Z784" s="6"/>
      <c r="AA784" s="6"/>
      <c r="AB784" s="6"/>
      <c r="AC784" s="6"/>
      <c r="AD784" s="6">
        <v>43538</v>
      </c>
    </row>
    <row r="785" spans="1:30">
      <c r="A785" s="1" t="s">
        <v>772</v>
      </c>
      <c r="B785" s="1" t="s">
        <v>773</v>
      </c>
      <c r="C785" s="1" t="s">
        <v>1010</v>
      </c>
      <c r="D785" s="1" t="s">
        <v>641</v>
      </c>
      <c r="E785" s="1" t="str">
        <f t="shared" si="12"/>
        <v>W07</v>
      </c>
      <c r="F785" s="5">
        <v>8.0399999999999991</v>
      </c>
      <c r="G785" s="5">
        <v>6.35</v>
      </c>
      <c r="H785" s="5">
        <v>6.35</v>
      </c>
      <c r="I785" s="5"/>
      <c r="J785" s="1" t="s">
        <v>775</v>
      </c>
      <c r="K785" s="1" t="s">
        <v>1263</v>
      </c>
      <c r="L785" s="1" t="s">
        <v>79</v>
      </c>
      <c r="M785" s="1" t="s">
        <v>79</v>
      </c>
      <c r="N785" s="1" t="s">
        <v>79</v>
      </c>
      <c r="O785" s="6">
        <v>43257</v>
      </c>
      <c r="P785" s="6">
        <v>43252</v>
      </c>
      <c r="Q785" s="6"/>
      <c r="R785" s="1" t="s">
        <v>784</v>
      </c>
      <c r="S785" s="1" t="s">
        <v>79</v>
      </c>
      <c r="T785" s="5">
        <v>180</v>
      </c>
      <c r="U785" s="4">
        <v>50</v>
      </c>
      <c r="V785" s="5">
        <v>1543</v>
      </c>
      <c r="W785" s="6">
        <v>43257</v>
      </c>
      <c r="X785" s="6"/>
      <c r="Y785" s="6"/>
      <c r="Z785" s="6"/>
      <c r="AA785" s="6"/>
      <c r="AB785" s="6"/>
      <c r="AC785" s="6"/>
      <c r="AD785" s="6">
        <v>43342</v>
      </c>
    </row>
    <row r="786" spans="1:30">
      <c r="A786" s="1" t="s">
        <v>772</v>
      </c>
      <c r="B786" s="1" t="s">
        <v>773</v>
      </c>
      <c r="C786" s="1" t="s">
        <v>1010</v>
      </c>
      <c r="D786" s="1" t="s">
        <v>449</v>
      </c>
      <c r="E786" s="1" t="str">
        <f t="shared" si="12"/>
        <v>W07</v>
      </c>
      <c r="F786" s="5">
        <v>6.81</v>
      </c>
      <c r="G786" s="5">
        <v>5.4</v>
      </c>
      <c r="H786" s="5">
        <v>5.4</v>
      </c>
      <c r="I786" s="5"/>
      <c r="J786" s="1" t="s">
        <v>775</v>
      </c>
      <c r="K786" s="1" t="s">
        <v>1263</v>
      </c>
      <c r="L786" s="1" t="s">
        <v>79</v>
      </c>
      <c r="M786" s="1" t="s">
        <v>79</v>
      </c>
      <c r="N786" s="1" t="s">
        <v>79</v>
      </c>
      <c r="O786" s="6">
        <v>43257</v>
      </c>
      <c r="P786" s="6">
        <v>43252</v>
      </c>
      <c r="Q786" s="6"/>
      <c r="R786" s="1" t="s">
        <v>784</v>
      </c>
      <c r="S786" s="1" t="s">
        <v>79</v>
      </c>
      <c r="T786" s="5">
        <v>180</v>
      </c>
      <c r="U786" s="4">
        <v>50</v>
      </c>
      <c r="V786" s="5">
        <v>1543</v>
      </c>
      <c r="W786" s="6">
        <v>43257</v>
      </c>
      <c r="X786" s="6"/>
      <c r="Y786" s="6"/>
      <c r="Z786" s="6"/>
      <c r="AA786" s="6"/>
      <c r="AB786" s="6"/>
      <c r="AC786" s="6"/>
      <c r="AD786" s="6">
        <v>43420</v>
      </c>
    </row>
    <row r="787" spans="1:30">
      <c r="A787" s="1" t="s">
        <v>772</v>
      </c>
      <c r="B787" s="1" t="s">
        <v>773</v>
      </c>
      <c r="C787" s="1" t="s">
        <v>989</v>
      </c>
      <c r="D787" s="1" t="s">
        <v>397</v>
      </c>
      <c r="E787" s="1" t="str">
        <f t="shared" si="12"/>
        <v>W05</v>
      </c>
      <c r="F787" s="5">
        <v>14.82</v>
      </c>
      <c r="G787" s="5">
        <v>11.91</v>
      </c>
      <c r="H787" s="5">
        <v>11.91</v>
      </c>
      <c r="I787" s="5"/>
      <c r="J787" s="1" t="s">
        <v>775</v>
      </c>
      <c r="K787" s="1" t="s">
        <v>1263</v>
      </c>
      <c r="L787" s="1" t="s">
        <v>79</v>
      </c>
      <c r="M787" s="1" t="s">
        <v>79</v>
      </c>
      <c r="N787" s="1" t="s">
        <v>79</v>
      </c>
      <c r="O787" s="6">
        <v>43257</v>
      </c>
      <c r="P787" s="6">
        <v>43252</v>
      </c>
      <c r="Q787" s="6"/>
      <c r="R787" s="1" t="s">
        <v>784</v>
      </c>
      <c r="S787" s="1" t="s">
        <v>79</v>
      </c>
      <c r="T787" s="5">
        <v>180</v>
      </c>
      <c r="U787" s="4">
        <v>50</v>
      </c>
      <c r="V787" s="5">
        <v>1543</v>
      </c>
      <c r="W787" s="6">
        <v>43257</v>
      </c>
      <c r="X787" s="6"/>
      <c r="Y787" s="6"/>
      <c r="Z787" s="6"/>
      <c r="AA787" s="6"/>
      <c r="AB787" s="6"/>
      <c r="AC787" s="6"/>
      <c r="AD787" s="6">
        <v>43601</v>
      </c>
    </row>
    <row r="788" spans="1:30">
      <c r="A788" s="1" t="s">
        <v>772</v>
      </c>
      <c r="B788" s="1" t="s">
        <v>773</v>
      </c>
      <c r="D788" s="1" t="s">
        <v>1309</v>
      </c>
      <c r="E788" s="1" t="str">
        <f t="shared" si="12"/>
        <v/>
      </c>
      <c r="F788" s="5">
        <v>99</v>
      </c>
      <c r="G788" s="5">
        <v>99</v>
      </c>
      <c r="H788" s="5">
        <v>99</v>
      </c>
      <c r="I788" s="5"/>
      <c r="J788" s="1" t="s">
        <v>775</v>
      </c>
      <c r="K788" s="1" t="s">
        <v>1263</v>
      </c>
      <c r="L788" s="1" t="s">
        <v>79</v>
      </c>
      <c r="M788" s="1" t="s">
        <v>79</v>
      </c>
      <c r="N788" s="1" t="s">
        <v>79</v>
      </c>
      <c r="O788" s="6">
        <v>43257</v>
      </c>
      <c r="P788" s="6">
        <v>43252</v>
      </c>
      <c r="Q788" s="6"/>
      <c r="R788" s="1" t="s">
        <v>784</v>
      </c>
      <c r="S788" s="1" t="s">
        <v>79</v>
      </c>
      <c r="T788" s="5">
        <v>180</v>
      </c>
      <c r="U788" s="4">
        <v>50</v>
      </c>
      <c r="V788" s="5">
        <v>1543</v>
      </c>
      <c r="W788" s="6">
        <v>43257</v>
      </c>
      <c r="X788" s="6"/>
      <c r="Y788" s="6"/>
      <c r="Z788" s="6"/>
      <c r="AA788" s="6"/>
      <c r="AB788" s="6"/>
      <c r="AC788" s="6"/>
      <c r="AD788" s="6">
        <v>43605</v>
      </c>
    </row>
    <row r="789" spans="1:30">
      <c r="A789" s="1" t="s">
        <v>772</v>
      </c>
      <c r="B789" s="1" t="s">
        <v>773</v>
      </c>
      <c r="C789" s="1" t="s">
        <v>989</v>
      </c>
      <c r="D789" s="1" t="s">
        <v>1310</v>
      </c>
      <c r="E789" s="1" t="str">
        <f t="shared" si="12"/>
        <v>W05</v>
      </c>
      <c r="F789" s="5">
        <v>0</v>
      </c>
      <c r="G789" s="5">
        <v>0</v>
      </c>
      <c r="H789" s="5">
        <v>0</v>
      </c>
      <c r="I789" s="5"/>
      <c r="J789" s="1" t="s">
        <v>775</v>
      </c>
      <c r="K789" s="1" t="s">
        <v>1263</v>
      </c>
      <c r="L789" s="1" t="s">
        <v>79</v>
      </c>
      <c r="M789" s="1" t="s">
        <v>79</v>
      </c>
      <c r="N789" s="1" t="s">
        <v>79</v>
      </c>
      <c r="O789" s="6">
        <v>43257</v>
      </c>
      <c r="P789" s="6">
        <v>43252</v>
      </c>
      <c r="Q789" s="6"/>
      <c r="R789" s="1" t="s">
        <v>784</v>
      </c>
      <c r="S789" s="1" t="s">
        <v>79</v>
      </c>
      <c r="T789" s="5">
        <v>180</v>
      </c>
      <c r="U789" s="4">
        <v>50</v>
      </c>
      <c r="V789" s="5">
        <v>1543</v>
      </c>
      <c r="W789" s="6">
        <v>43257</v>
      </c>
      <c r="X789" s="6"/>
      <c r="Y789" s="6"/>
      <c r="Z789" s="6"/>
      <c r="AA789" s="6"/>
      <c r="AB789" s="6"/>
      <c r="AC789" s="6"/>
      <c r="AD789" s="6">
        <v>43319</v>
      </c>
    </row>
    <row r="790" spans="1:30">
      <c r="A790" s="1" t="s">
        <v>772</v>
      </c>
      <c r="B790" s="1" t="s">
        <v>773</v>
      </c>
      <c r="C790" s="1" t="s">
        <v>989</v>
      </c>
      <c r="D790" s="1" t="s">
        <v>1311</v>
      </c>
      <c r="E790" s="1" t="str">
        <f t="shared" si="12"/>
        <v>W05</v>
      </c>
      <c r="F790" s="5">
        <v>0</v>
      </c>
      <c r="G790" s="5">
        <v>0</v>
      </c>
      <c r="H790" s="5">
        <v>0</v>
      </c>
      <c r="I790" s="5"/>
      <c r="J790" s="1" t="s">
        <v>775</v>
      </c>
      <c r="K790" s="1" t="s">
        <v>1263</v>
      </c>
      <c r="L790" s="1" t="s">
        <v>79</v>
      </c>
      <c r="M790" s="1" t="s">
        <v>79</v>
      </c>
      <c r="N790" s="1" t="s">
        <v>79</v>
      </c>
      <c r="O790" s="6">
        <v>43257</v>
      </c>
      <c r="P790" s="6">
        <v>43252</v>
      </c>
      <c r="Q790" s="6"/>
      <c r="R790" s="1" t="s">
        <v>784</v>
      </c>
      <c r="S790" s="1" t="s">
        <v>79</v>
      </c>
      <c r="T790" s="5">
        <v>180</v>
      </c>
      <c r="U790" s="4">
        <v>50</v>
      </c>
      <c r="V790" s="5">
        <v>1543</v>
      </c>
      <c r="W790" s="6">
        <v>43257</v>
      </c>
      <c r="X790" s="6"/>
      <c r="Y790" s="6"/>
      <c r="Z790" s="6"/>
      <c r="AA790" s="6"/>
      <c r="AB790" s="6"/>
      <c r="AC790" s="6"/>
      <c r="AD790" s="6">
        <v>43371</v>
      </c>
    </row>
    <row r="791" spans="1:30">
      <c r="A791" s="1" t="s">
        <v>772</v>
      </c>
      <c r="B791" s="1" t="s">
        <v>773</v>
      </c>
      <c r="C791" s="1" t="s">
        <v>989</v>
      </c>
      <c r="D791" s="1" t="s">
        <v>1312</v>
      </c>
      <c r="E791" s="1" t="str">
        <f t="shared" si="12"/>
        <v>W05</v>
      </c>
      <c r="F791" s="5">
        <v>0</v>
      </c>
      <c r="G791" s="5">
        <v>0</v>
      </c>
      <c r="H791" s="5">
        <v>0</v>
      </c>
      <c r="I791" s="5"/>
      <c r="J791" s="1" t="s">
        <v>775</v>
      </c>
      <c r="K791" s="1" t="s">
        <v>1263</v>
      </c>
      <c r="L791" s="1" t="s">
        <v>79</v>
      </c>
      <c r="M791" s="1" t="s">
        <v>79</v>
      </c>
      <c r="N791" s="1" t="s">
        <v>79</v>
      </c>
      <c r="O791" s="6">
        <v>43257</v>
      </c>
      <c r="P791" s="6">
        <v>43252</v>
      </c>
      <c r="Q791" s="6"/>
      <c r="R791" s="1" t="s">
        <v>784</v>
      </c>
      <c r="S791" s="1" t="s">
        <v>79</v>
      </c>
      <c r="T791" s="5">
        <v>180</v>
      </c>
      <c r="U791" s="4">
        <v>50</v>
      </c>
      <c r="V791" s="5">
        <v>1543</v>
      </c>
      <c r="W791" s="6"/>
      <c r="X791" s="6"/>
      <c r="Y791" s="6"/>
      <c r="Z791" s="6"/>
      <c r="AA791" s="6"/>
      <c r="AB791" s="6"/>
      <c r="AC791" s="6"/>
      <c r="AD791" s="6">
        <v>43420</v>
      </c>
    </row>
    <row r="792" spans="1:30">
      <c r="A792" s="1" t="s">
        <v>772</v>
      </c>
      <c r="B792" s="1" t="s">
        <v>773</v>
      </c>
      <c r="C792" s="1" t="s">
        <v>989</v>
      </c>
      <c r="D792" s="1" t="s">
        <v>1313</v>
      </c>
      <c r="E792" s="1" t="str">
        <f t="shared" si="12"/>
        <v>W05</v>
      </c>
      <c r="F792" s="5">
        <v>0</v>
      </c>
      <c r="G792" s="5">
        <v>0</v>
      </c>
      <c r="H792" s="5">
        <v>0</v>
      </c>
      <c r="I792" s="5"/>
      <c r="J792" s="1" t="s">
        <v>775</v>
      </c>
      <c r="K792" s="1" t="s">
        <v>1263</v>
      </c>
      <c r="L792" s="1" t="s">
        <v>79</v>
      </c>
      <c r="M792" s="1" t="s">
        <v>79</v>
      </c>
      <c r="N792" s="1" t="s">
        <v>79</v>
      </c>
      <c r="O792" s="6">
        <v>43257</v>
      </c>
      <c r="P792" s="6">
        <v>43252</v>
      </c>
      <c r="Q792" s="6"/>
      <c r="R792" s="1" t="s">
        <v>784</v>
      </c>
      <c r="S792" s="1" t="s">
        <v>79</v>
      </c>
      <c r="T792" s="5">
        <v>180</v>
      </c>
      <c r="U792" s="4">
        <v>50</v>
      </c>
      <c r="V792" s="5">
        <v>1543</v>
      </c>
      <c r="W792" s="6"/>
      <c r="X792" s="6"/>
      <c r="Y792" s="6"/>
      <c r="Z792" s="6"/>
      <c r="AA792" s="6"/>
      <c r="AB792" s="6"/>
      <c r="AC792" s="6"/>
      <c r="AD792" s="6">
        <v>43860</v>
      </c>
    </row>
    <row r="793" spans="1:30">
      <c r="A793" s="1" t="s">
        <v>772</v>
      </c>
      <c r="B793" s="1" t="s">
        <v>773</v>
      </c>
      <c r="C793" s="1" t="s">
        <v>989</v>
      </c>
      <c r="D793" s="1" t="s">
        <v>1314</v>
      </c>
      <c r="E793" s="1" t="str">
        <f t="shared" si="12"/>
        <v>W05</v>
      </c>
      <c r="F793" s="5">
        <v>0</v>
      </c>
      <c r="G793" s="5">
        <v>0</v>
      </c>
      <c r="H793" s="5">
        <v>0</v>
      </c>
      <c r="I793" s="5"/>
      <c r="J793" s="1" t="s">
        <v>775</v>
      </c>
      <c r="K793" s="1" t="s">
        <v>1263</v>
      </c>
      <c r="L793" s="1" t="s">
        <v>79</v>
      </c>
      <c r="M793" s="1" t="s">
        <v>79</v>
      </c>
      <c r="N793" s="1" t="s">
        <v>79</v>
      </c>
      <c r="O793" s="6">
        <v>43257</v>
      </c>
      <c r="P793" s="6">
        <v>43252</v>
      </c>
      <c r="Q793" s="6"/>
      <c r="R793" s="1" t="s">
        <v>784</v>
      </c>
      <c r="S793" s="1" t="s">
        <v>79</v>
      </c>
      <c r="T793" s="5">
        <v>180</v>
      </c>
      <c r="U793" s="4">
        <v>50</v>
      </c>
      <c r="V793" s="5">
        <v>1543</v>
      </c>
      <c r="W793" s="6"/>
      <c r="X793" s="6"/>
      <c r="Y793" s="6"/>
      <c r="Z793" s="6"/>
      <c r="AA793" s="6"/>
      <c r="AB793" s="6"/>
      <c r="AC793" s="6"/>
      <c r="AD793" s="6">
        <v>43321</v>
      </c>
    </row>
    <row r="794" spans="1:30">
      <c r="A794" s="1" t="s">
        <v>772</v>
      </c>
      <c r="B794" s="1" t="s">
        <v>773</v>
      </c>
      <c r="C794" s="1" t="s">
        <v>989</v>
      </c>
      <c r="D794" s="1" t="s">
        <v>1315</v>
      </c>
      <c r="E794" s="1" t="str">
        <f t="shared" si="12"/>
        <v>W05</v>
      </c>
      <c r="F794" s="5">
        <v>0</v>
      </c>
      <c r="G794" s="5">
        <v>0</v>
      </c>
      <c r="H794" s="5">
        <v>0</v>
      </c>
      <c r="I794" s="5"/>
      <c r="J794" s="1" t="s">
        <v>775</v>
      </c>
      <c r="K794" s="1" t="s">
        <v>1263</v>
      </c>
      <c r="L794" s="1" t="s">
        <v>79</v>
      </c>
      <c r="M794" s="1" t="s">
        <v>79</v>
      </c>
      <c r="N794" s="1" t="s">
        <v>79</v>
      </c>
      <c r="O794" s="6">
        <v>43257</v>
      </c>
      <c r="P794" s="6">
        <v>43252</v>
      </c>
      <c r="Q794" s="6"/>
      <c r="R794" s="1" t="s">
        <v>784</v>
      </c>
      <c r="S794" s="1" t="s">
        <v>79</v>
      </c>
      <c r="T794" s="5">
        <v>180</v>
      </c>
      <c r="U794" s="4">
        <v>50</v>
      </c>
      <c r="V794" s="5">
        <v>1543</v>
      </c>
      <c r="W794" s="6"/>
      <c r="X794" s="6"/>
      <c r="Y794" s="6"/>
      <c r="Z794" s="6"/>
      <c r="AA794" s="6"/>
      <c r="AB794" s="6"/>
      <c r="AC794" s="6"/>
      <c r="AD794" s="6">
        <v>43373</v>
      </c>
    </row>
    <row r="795" spans="1:30">
      <c r="A795" s="1" t="s">
        <v>772</v>
      </c>
      <c r="B795" s="1" t="s">
        <v>773</v>
      </c>
      <c r="C795" s="1" t="s">
        <v>989</v>
      </c>
      <c r="D795" s="1" t="s">
        <v>1316</v>
      </c>
      <c r="E795" s="1" t="str">
        <f t="shared" si="12"/>
        <v>W05</v>
      </c>
      <c r="F795" s="5">
        <v>0</v>
      </c>
      <c r="G795" s="5">
        <v>0</v>
      </c>
      <c r="H795" s="5">
        <v>0</v>
      </c>
      <c r="I795" s="5"/>
      <c r="J795" s="1" t="s">
        <v>775</v>
      </c>
      <c r="K795" s="1" t="s">
        <v>1263</v>
      </c>
      <c r="L795" s="1" t="s">
        <v>79</v>
      </c>
      <c r="M795" s="1" t="s">
        <v>79</v>
      </c>
      <c r="N795" s="1" t="s">
        <v>79</v>
      </c>
      <c r="O795" s="6">
        <v>43257</v>
      </c>
      <c r="P795" s="6">
        <v>43252</v>
      </c>
      <c r="Q795" s="6"/>
      <c r="R795" s="1" t="s">
        <v>784</v>
      </c>
      <c r="S795" s="1" t="s">
        <v>79</v>
      </c>
      <c r="T795" s="5">
        <v>180</v>
      </c>
      <c r="U795" s="4">
        <v>50</v>
      </c>
      <c r="V795" s="5">
        <v>1543</v>
      </c>
      <c r="W795" s="6"/>
      <c r="X795" s="6"/>
      <c r="Y795" s="6"/>
      <c r="Z795" s="6"/>
      <c r="AA795" s="6"/>
      <c r="AB795" s="6"/>
      <c r="AC795" s="6"/>
      <c r="AD795" s="6">
        <v>43420</v>
      </c>
    </row>
    <row r="796" spans="1:30">
      <c r="A796" s="1" t="s">
        <v>772</v>
      </c>
      <c r="B796" s="1" t="s">
        <v>773</v>
      </c>
      <c r="C796" s="1" t="s">
        <v>989</v>
      </c>
      <c r="D796" s="1" t="s">
        <v>1317</v>
      </c>
      <c r="E796" s="1" t="str">
        <f t="shared" si="12"/>
        <v>W05</v>
      </c>
      <c r="F796" s="5">
        <v>0</v>
      </c>
      <c r="G796" s="5">
        <v>0</v>
      </c>
      <c r="H796" s="5">
        <v>0</v>
      </c>
      <c r="I796" s="5"/>
      <c r="J796" s="1" t="s">
        <v>775</v>
      </c>
      <c r="K796" s="1" t="s">
        <v>1263</v>
      </c>
      <c r="L796" s="1" t="s">
        <v>79</v>
      </c>
      <c r="M796" s="1" t="s">
        <v>79</v>
      </c>
      <c r="N796" s="1" t="s">
        <v>79</v>
      </c>
      <c r="O796" s="6">
        <v>43257</v>
      </c>
      <c r="P796" s="6">
        <v>43252</v>
      </c>
      <c r="Q796" s="6"/>
      <c r="R796" s="1" t="s">
        <v>784</v>
      </c>
      <c r="S796" s="1" t="s">
        <v>79</v>
      </c>
      <c r="T796" s="5">
        <v>180</v>
      </c>
      <c r="U796" s="4">
        <v>50</v>
      </c>
      <c r="V796" s="5">
        <v>1543</v>
      </c>
      <c r="W796" s="6"/>
      <c r="X796" s="6"/>
      <c r="Y796" s="6"/>
      <c r="Z796" s="6"/>
      <c r="AA796" s="6"/>
      <c r="AB796" s="6"/>
      <c r="AC796" s="6"/>
      <c r="AD796" s="6">
        <v>43826</v>
      </c>
    </row>
    <row r="797" spans="1:30">
      <c r="A797" s="1" t="s">
        <v>772</v>
      </c>
      <c r="B797" s="1" t="s">
        <v>773</v>
      </c>
      <c r="C797" s="1" t="s">
        <v>1002</v>
      </c>
      <c r="D797" s="1" t="s">
        <v>507</v>
      </c>
      <c r="E797" s="1" t="str">
        <f t="shared" si="12"/>
        <v>W06</v>
      </c>
      <c r="F797" s="4">
        <v>15.08</v>
      </c>
      <c r="G797" s="4">
        <v>11.77</v>
      </c>
      <c r="H797" s="4">
        <v>11.77</v>
      </c>
      <c r="I797" s="4"/>
      <c r="J797" s="1" t="s">
        <v>775</v>
      </c>
      <c r="K797" s="1" t="s">
        <v>1022</v>
      </c>
      <c r="L797" s="1" t="s">
        <v>1023</v>
      </c>
      <c r="M797" s="1" t="s">
        <v>1016</v>
      </c>
      <c r="N797" s="1" t="s">
        <v>79</v>
      </c>
      <c r="O797" s="6">
        <v>42707</v>
      </c>
      <c r="P797" s="6">
        <v>42705</v>
      </c>
      <c r="Q797" s="6">
        <v>42705</v>
      </c>
      <c r="R797" s="1" t="s">
        <v>1017</v>
      </c>
      <c r="S797" s="1" t="s">
        <v>79</v>
      </c>
      <c r="T797" s="5">
        <v>0</v>
      </c>
      <c r="U797" s="4">
        <v>68</v>
      </c>
      <c r="V797" s="5">
        <v>2090</v>
      </c>
      <c r="W797" s="6"/>
      <c r="X797" s="6"/>
      <c r="Y797" s="6"/>
      <c r="Z797" s="6"/>
      <c r="AA797" s="6"/>
      <c r="AB797" s="6"/>
      <c r="AC797" s="6"/>
      <c r="AD797" s="6">
        <v>43156</v>
      </c>
    </row>
    <row r="798" spans="1:30">
      <c r="A798" s="1" t="s">
        <v>772</v>
      </c>
      <c r="B798" s="1" t="s">
        <v>773</v>
      </c>
      <c r="C798" s="1" t="s">
        <v>989</v>
      </c>
      <c r="D798" s="1" t="s">
        <v>1318</v>
      </c>
      <c r="E798" s="1" t="str">
        <f t="shared" si="12"/>
        <v>W05</v>
      </c>
      <c r="F798" s="4">
        <v>0</v>
      </c>
      <c r="G798" s="4">
        <v>0</v>
      </c>
      <c r="H798" s="4">
        <v>0</v>
      </c>
      <c r="I798" s="4"/>
      <c r="J798" s="1" t="s">
        <v>775</v>
      </c>
      <c r="K798" s="1" t="s">
        <v>1036</v>
      </c>
      <c r="L798" s="1" t="s">
        <v>79</v>
      </c>
      <c r="M798" s="1" t="s">
        <v>1016</v>
      </c>
      <c r="N798" s="1" t="s">
        <v>79</v>
      </c>
      <c r="O798" s="6">
        <v>42405</v>
      </c>
      <c r="P798" s="6">
        <v>42405</v>
      </c>
      <c r="Q798" s="6"/>
      <c r="R798" s="1" t="s">
        <v>1017</v>
      </c>
      <c r="S798" s="1" t="s">
        <v>79</v>
      </c>
      <c r="T798" s="5">
        <v>0</v>
      </c>
      <c r="U798" s="4">
        <v>78</v>
      </c>
      <c r="V798" s="5">
        <v>2390</v>
      </c>
      <c r="W798" s="6"/>
      <c r="X798" s="6"/>
      <c r="Y798" s="6"/>
      <c r="Z798" s="6"/>
      <c r="AA798" s="6"/>
      <c r="AB798" s="6"/>
      <c r="AC798" s="6"/>
      <c r="AD798" s="6"/>
    </row>
    <row r="799" spans="1:30">
      <c r="A799" s="1" t="s">
        <v>772</v>
      </c>
      <c r="B799" s="1" t="s">
        <v>773</v>
      </c>
      <c r="C799" s="1" t="s">
        <v>989</v>
      </c>
      <c r="D799" s="1" t="s">
        <v>1319</v>
      </c>
      <c r="E799" s="1" t="str">
        <f t="shared" si="12"/>
        <v>W05</v>
      </c>
      <c r="F799" s="5">
        <v>0</v>
      </c>
      <c r="G799" s="5">
        <v>0</v>
      </c>
      <c r="H799" s="5">
        <v>0</v>
      </c>
      <c r="I799" s="5"/>
      <c r="J799" s="1" t="s">
        <v>775</v>
      </c>
      <c r="K799" s="1" t="s">
        <v>1263</v>
      </c>
      <c r="L799" s="1" t="s">
        <v>79</v>
      </c>
      <c r="M799" s="1" t="s">
        <v>79</v>
      </c>
      <c r="N799" s="1" t="s">
        <v>79</v>
      </c>
      <c r="O799" s="6">
        <v>43257</v>
      </c>
      <c r="P799" s="6">
        <v>43252</v>
      </c>
      <c r="Q799" s="6"/>
      <c r="R799" s="1" t="s">
        <v>784</v>
      </c>
      <c r="S799" s="1" t="s">
        <v>79</v>
      </c>
      <c r="T799" s="5">
        <v>180</v>
      </c>
      <c r="U799" s="4">
        <v>50</v>
      </c>
      <c r="V799" s="5">
        <v>1543</v>
      </c>
      <c r="W799" s="6"/>
      <c r="X799" s="6"/>
      <c r="Y799" s="6"/>
      <c r="Z799" s="6"/>
      <c r="AA799" s="6"/>
      <c r="AB799" s="6"/>
      <c r="AC799" s="6"/>
      <c r="AD799" s="6">
        <v>43326</v>
      </c>
    </row>
    <row r="800" spans="1:30">
      <c r="A800" s="1" t="s">
        <v>772</v>
      </c>
      <c r="B800" s="1" t="s">
        <v>773</v>
      </c>
      <c r="C800" s="1" t="s">
        <v>989</v>
      </c>
      <c r="D800" s="1" t="s">
        <v>1320</v>
      </c>
      <c r="E800" s="1" t="str">
        <f t="shared" si="12"/>
        <v>W05</v>
      </c>
      <c r="F800" s="5">
        <v>0</v>
      </c>
      <c r="G800" s="5">
        <v>0</v>
      </c>
      <c r="H800" s="5">
        <v>0</v>
      </c>
      <c r="I800" s="5"/>
      <c r="J800" s="1" t="s">
        <v>775</v>
      </c>
      <c r="K800" s="1" t="s">
        <v>1263</v>
      </c>
      <c r="L800" s="1" t="s">
        <v>79</v>
      </c>
      <c r="M800" s="1" t="s">
        <v>79</v>
      </c>
      <c r="N800" s="1" t="s">
        <v>79</v>
      </c>
      <c r="O800" s="6">
        <v>43257</v>
      </c>
      <c r="P800" s="6">
        <v>43252</v>
      </c>
      <c r="Q800" s="6"/>
      <c r="R800" s="1" t="s">
        <v>784</v>
      </c>
      <c r="S800" s="1" t="s">
        <v>79</v>
      </c>
      <c r="T800" s="5">
        <v>180</v>
      </c>
      <c r="U800" s="4">
        <v>50</v>
      </c>
      <c r="V800" s="5">
        <v>1543</v>
      </c>
      <c r="W800" s="6"/>
      <c r="X800" s="6"/>
      <c r="Y800" s="6"/>
      <c r="Z800" s="6"/>
      <c r="AA800" s="6"/>
      <c r="AB800" s="6"/>
      <c r="AC800" s="6"/>
      <c r="AD800" s="6">
        <v>43371</v>
      </c>
    </row>
    <row r="801" spans="1:30">
      <c r="A801" s="1" t="s">
        <v>772</v>
      </c>
      <c r="B801" s="1" t="s">
        <v>773</v>
      </c>
      <c r="C801" s="1" t="s">
        <v>989</v>
      </c>
      <c r="D801" s="1" t="s">
        <v>1321</v>
      </c>
      <c r="E801" s="1" t="str">
        <f t="shared" si="12"/>
        <v>W05</v>
      </c>
      <c r="F801" s="5">
        <v>0</v>
      </c>
      <c r="G801" s="5">
        <v>0</v>
      </c>
      <c r="H801" s="5">
        <v>0</v>
      </c>
      <c r="I801" s="5"/>
      <c r="J801" s="1" t="s">
        <v>775</v>
      </c>
      <c r="K801" s="1" t="s">
        <v>1263</v>
      </c>
      <c r="L801" s="1" t="s">
        <v>79</v>
      </c>
      <c r="M801" s="1" t="s">
        <v>79</v>
      </c>
      <c r="N801" s="1" t="s">
        <v>79</v>
      </c>
      <c r="O801" s="6">
        <v>43257</v>
      </c>
      <c r="P801" s="6">
        <v>43252</v>
      </c>
      <c r="Q801" s="6"/>
      <c r="R801" s="1" t="s">
        <v>784</v>
      </c>
      <c r="S801" s="1" t="s">
        <v>79</v>
      </c>
      <c r="T801" s="5">
        <v>180</v>
      </c>
      <c r="U801" s="4">
        <v>50</v>
      </c>
      <c r="V801" s="5">
        <v>1543</v>
      </c>
      <c r="W801" s="6"/>
      <c r="X801" s="6"/>
      <c r="Y801" s="6"/>
      <c r="Z801" s="6"/>
      <c r="AA801" s="6"/>
      <c r="AB801" s="6"/>
      <c r="AC801" s="6"/>
      <c r="AD801" s="6">
        <v>43401</v>
      </c>
    </row>
    <row r="802" spans="1:30">
      <c r="A802" s="1" t="s">
        <v>772</v>
      </c>
      <c r="B802" s="1" t="s">
        <v>773</v>
      </c>
      <c r="C802" s="1" t="s">
        <v>989</v>
      </c>
      <c r="D802" s="1" t="s">
        <v>1322</v>
      </c>
      <c r="E802" s="1" t="str">
        <f t="shared" si="12"/>
        <v>W05</v>
      </c>
      <c r="F802" s="5">
        <v>0</v>
      </c>
      <c r="G802" s="5">
        <v>0</v>
      </c>
      <c r="H802" s="5">
        <v>0</v>
      </c>
      <c r="I802" s="5"/>
      <c r="J802" s="1" t="s">
        <v>775</v>
      </c>
      <c r="K802" s="1" t="s">
        <v>1263</v>
      </c>
      <c r="L802" s="1" t="s">
        <v>79</v>
      </c>
      <c r="M802" s="1" t="s">
        <v>79</v>
      </c>
      <c r="N802" s="1" t="s">
        <v>79</v>
      </c>
      <c r="O802" s="6">
        <v>43257</v>
      </c>
      <c r="P802" s="6">
        <v>43370</v>
      </c>
      <c r="Q802" s="6"/>
      <c r="R802" s="1" t="s">
        <v>784</v>
      </c>
      <c r="S802" s="1" t="s">
        <v>79</v>
      </c>
      <c r="T802" s="5">
        <v>180</v>
      </c>
      <c r="U802" s="4">
        <v>46</v>
      </c>
      <c r="V802" s="5">
        <v>1425</v>
      </c>
      <c r="W802" s="6"/>
      <c r="X802" s="6"/>
      <c r="Y802" s="6"/>
      <c r="Z802" s="6"/>
      <c r="AA802" s="6"/>
      <c r="AB802" s="6"/>
      <c r="AC802" s="6"/>
      <c r="AD802" s="6">
        <v>43418</v>
      </c>
    </row>
    <row r="803" spans="1:30">
      <c r="A803" s="1" t="s">
        <v>772</v>
      </c>
      <c r="B803" s="1" t="s">
        <v>773</v>
      </c>
      <c r="C803" s="1" t="s">
        <v>989</v>
      </c>
      <c r="D803" s="1" t="s">
        <v>1323</v>
      </c>
      <c r="E803" s="1" t="str">
        <f t="shared" si="12"/>
        <v>W05</v>
      </c>
      <c r="F803" s="5">
        <v>0</v>
      </c>
      <c r="G803" s="5">
        <v>0</v>
      </c>
      <c r="H803" s="5">
        <v>0</v>
      </c>
      <c r="I803" s="5"/>
      <c r="J803" s="1" t="s">
        <v>775</v>
      </c>
      <c r="K803" s="1" t="s">
        <v>1263</v>
      </c>
      <c r="L803" s="1" t="s">
        <v>79</v>
      </c>
      <c r="M803" s="1" t="s">
        <v>79</v>
      </c>
      <c r="N803" s="1" t="s">
        <v>79</v>
      </c>
      <c r="O803" s="6">
        <v>43257</v>
      </c>
      <c r="P803" s="6">
        <v>43252</v>
      </c>
      <c r="Q803" s="6"/>
      <c r="R803" s="1" t="s">
        <v>784</v>
      </c>
      <c r="S803" s="1" t="s">
        <v>79</v>
      </c>
      <c r="T803" s="5">
        <v>180</v>
      </c>
      <c r="U803" s="4">
        <v>50</v>
      </c>
      <c r="V803" s="5">
        <v>1543</v>
      </c>
      <c r="W803" s="6"/>
      <c r="X803" s="6"/>
      <c r="Y803" s="6"/>
      <c r="Z803" s="6"/>
      <c r="AA803" s="6"/>
      <c r="AB803" s="6"/>
      <c r="AC803" s="6"/>
      <c r="AD803" s="6">
        <v>43320</v>
      </c>
    </row>
    <row r="804" spans="1:30">
      <c r="A804" s="1" t="s">
        <v>772</v>
      </c>
      <c r="B804" s="1" t="s">
        <v>773</v>
      </c>
      <c r="C804" s="1" t="s">
        <v>989</v>
      </c>
      <c r="D804" s="1" t="s">
        <v>1324</v>
      </c>
      <c r="E804" s="1" t="str">
        <f t="shared" si="12"/>
        <v>W05</v>
      </c>
      <c r="F804" s="5">
        <v>0</v>
      </c>
      <c r="G804" s="5">
        <v>0</v>
      </c>
      <c r="H804" s="5">
        <v>0</v>
      </c>
      <c r="I804" s="5"/>
      <c r="J804" s="1" t="s">
        <v>775</v>
      </c>
      <c r="K804" s="1" t="s">
        <v>1263</v>
      </c>
      <c r="L804" s="1" t="s">
        <v>79</v>
      </c>
      <c r="M804" s="1" t="s">
        <v>79</v>
      </c>
      <c r="N804" s="1" t="s">
        <v>79</v>
      </c>
      <c r="O804" s="6">
        <v>43257</v>
      </c>
      <c r="P804" s="6">
        <v>43252</v>
      </c>
      <c r="Q804" s="6"/>
      <c r="R804" s="1" t="s">
        <v>784</v>
      </c>
      <c r="S804" s="1" t="s">
        <v>79</v>
      </c>
      <c r="T804" s="5">
        <v>180</v>
      </c>
      <c r="U804" s="4">
        <v>50</v>
      </c>
      <c r="V804" s="5">
        <v>1543</v>
      </c>
      <c r="W804" s="6"/>
      <c r="X804" s="6"/>
      <c r="Y804" s="6"/>
      <c r="Z804" s="6"/>
      <c r="AA804" s="6"/>
      <c r="AB804" s="6"/>
      <c r="AC804" s="6"/>
      <c r="AD804" s="6">
        <v>43352</v>
      </c>
    </row>
    <row r="805" spans="1:30">
      <c r="A805" s="1" t="s">
        <v>772</v>
      </c>
      <c r="B805" s="1" t="s">
        <v>773</v>
      </c>
      <c r="C805" s="1" t="s">
        <v>989</v>
      </c>
      <c r="D805" s="1" t="s">
        <v>1325</v>
      </c>
      <c r="E805" s="1" t="str">
        <f t="shared" si="12"/>
        <v>W05</v>
      </c>
      <c r="F805" s="5">
        <v>0</v>
      </c>
      <c r="G805" s="5">
        <v>0</v>
      </c>
      <c r="H805" s="5">
        <v>0</v>
      </c>
      <c r="I805" s="5"/>
      <c r="J805" s="1" t="s">
        <v>775</v>
      </c>
      <c r="K805" s="1" t="s">
        <v>1263</v>
      </c>
      <c r="L805" s="1" t="s">
        <v>79</v>
      </c>
      <c r="M805" s="1" t="s">
        <v>79</v>
      </c>
      <c r="N805" s="1" t="s">
        <v>79</v>
      </c>
      <c r="O805" s="6">
        <v>43257</v>
      </c>
      <c r="P805" s="6">
        <v>43252</v>
      </c>
      <c r="Q805" s="6"/>
      <c r="R805" s="1" t="s">
        <v>784</v>
      </c>
      <c r="S805" s="1" t="s">
        <v>79</v>
      </c>
      <c r="T805" s="5">
        <v>180</v>
      </c>
      <c r="U805" s="4">
        <v>50</v>
      </c>
      <c r="V805" s="5">
        <v>1543</v>
      </c>
      <c r="W805" s="6"/>
      <c r="X805" s="6"/>
      <c r="Y805" s="6"/>
      <c r="Z805" s="6"/>
      <c r="AA805" s="6"/>
      <c r="AB805" s="6"/>
      <c r="AC805" s="6"/>
      <c r="AD805" s="6">
        <v>43389</v>
      </c>
    </row>
    <row r="806" spans="1:30">
      <c r="A806" s="1" t="s">
        <v>772</v>
      </c>
      <c r="B806" s="1" t="s">
        <v>773</v>
      </c>
      <c r="C806" s="1" t="s">
        <v>989</v>
      </c>
      <c r="D806" s="1" t="s">
        <v>1326</v>
      </c>
      <c r="E806" s="1" t="str">
        <f t="shared" si="12"/>
        <v>W05</v>
      </c>
      <c r="F806" s="5">
        <v>0</v>
      </c>
      <c r="G806" s="5">
        <v>0</v>
      </c>
      <c r="H806" s="5">
        <v>0</v>
      </c>
      <c r="I806" s="5"/>
      <c r="J806" s="1" t="s">
        <v>775</v>
      </c>
      <c r="K806" s="1" t="s">
        <v>1263</v>
      </c>
      <c r="L806" s="1" t="s">
        <v>79</v>
      </c>
      <c r="M806" s="1" t="s">
        <v>79</v>
      </c>
      <c r="N806" s="1" t="s">
        <v>79</v>
      </c>
      <c r="O806" s="6">
        <v>43257</v>
      </c>
      <c r="P806" s="6">
        <v>43252</v>
      </c>
      <c r="Q806" s="6"/>
      <c r="R806" s="1" t="s">
        <v>784</v>
      </c>
      <c r="S806" s="1" t="s">
        <v>79</v>
      </c>
      <c r="T806" s="5">
        <v>180</v>
      </c>
      <c r="U806" s="4">
        <v>50</v>
      </c>
      <c r="V806" s="5">
        <v>1543</v>
      </c>
      <c r="W806" s="6"/>
      <c r="X806" s="6"/>
      <c r="Y806" s="6"/>
      <c r="Z806" s="6"/>
      <c r="AA806" s="6"/>
      <c r="AB806" s="6"/>
      <c r="AC806" s="6"/>
      <c r="AD806" s="6">
        <v>43418</v>
      </c>
    </row>
    <row r="807" spans="1:30">
      <c r="A807" s="1" t="s">
        <v>772</v>
      </c>
      <c r="B807" s="1" t="s">
        <v>773</v>
      </c>
      <c r="C807" s="1" t="s">
        <v>989</v>
      </c>
      <c r="D807" s="1" t="s">
        <v>1327</v>
      </c>
      <c r="E807" s="1" t="str">
        <f t="shared" si="12"/>
        <v>W05</v>
      </c>
      <c r="F807" s="5">
        <v>0</v>
      </c>
      <c r="G807" s="5">
        <v>0</v>
      </c>
      <c r="H807" s="5">
        <v>0</v>
      </c>
      <c r="I807" s="5"/>
      <c r="J807" s="1" t="s">
        <v>775</v>
      </c>
      <c r="K807" s="1" t="s">
        <v>1263</v>
      </c>
      <c r="L807" s="1" t="s">
        <v>79</v>
      </c>
      <c r="M807" s="1" t="s">
        <v>79</v>
      </c>
      <c r="N807" s="1" t="s">
        <v>79</v>
      </c>
      <c r="O807" s="6">
        <v>43257</v>
      </c>
      <c r="P807" s="6">
        <v>43252</v>
      </c>
      <c r="Q807" s="6"/>
      <c r="R807" s="1" t="s">
        <v>784</v>
      </c>
      <c r="S807" s="1" t="s">
        <v>79</v>
      </c>
      <c r="T807" s="5">
        <v>180</v>
      </c>
      <c r="U807" s="4">
        <v>50</v>
      </c>
      <c r="V807" s="5">
        <v>1543</v>
      </c>
      <c r="W807" s="6"/>
      <c r="X807" s="6"/>
      <c r="Y807" s="6"/>
      <c r="Z807" s="6"/>
      <c r="AA807" s="6"/>
      <c r="AB807" s="6"/>
      <c r="AC807" s="6"/>
      <c r="AD807" s="6">
        <v>43344</v>
      </c>
    </row>
    <row r="808" spans="1:30">
      <c r="A808" s="1" t="s">
        <v>772</v>
      </c>
      <c r="B808" s="1" t="s">
        <v>773</v>
      </c>
      <c r="C808" s="1" t="s">
        <v>989</v>
      </c>
      <c r="D808" s="1" t="s">
        <v>1328</v>
      </c>
      <c r="E808" s="1" t="str">
        <f t="shared" si="12"/>
        <v>W05</v>
      </c>
      <c r="F808" s="5">
        <v>0</v>
      </c>
      <c r="G808" s="5">
        <v>0</v>
      </c>
      <c r="H808" s="5">
        <v>0</v>
      </c>
      <c r="I808" s="5"/>
      <c r="J808" s="1" t="s">
        <v>775</v>
      </c>
      <c r="K808" s="1" t="s">
        <v>1263</v>
      </c>
      <c r="L808" s="1" t="s">
        <v>79</v>
      </c>
      <c r="M808" s="1" t="s">
        <v>79</v>
      </c>
      <c r="N808" s="1" t="s">
        <v>79</v>
      </c>
      <c r="O808" s="6">
        <v>43257</v>
      </c>
      <c r="P808" s="6">
        <v>43252</v>
      </c>
      <c r="Q808" s="6"/>
      <c r="R808" s="1" t="s">
        <v>784</v>
      </c>
      <c r="S808" s="1" t="s">
        <v>79</v>
      </c>
      <c r="T808" s="5">
        <v>180</v>
      </c>
      <c r="U808" s="4">
        <v>50</v>
      </c>
      <c r="V808" s="5">
        <v>1543</v>
      </c>
      <c r="W808" s="6"/>
      <c r="X808" s="6"/>
      <c r="Y808" s="6"/>
      <c r="Z808" s="6"/>
      <c r="AA808" s="6"/>
      <c r="AB808" s="6"/>
      <c r="AC808" s="6"/>
      <c r="AD808" s="6">
        <v>43371</v>
      </c>
    </row>
    <row r="809" spans="1:30">
      <c r="A809" s="1" t="s">
        <v>772</v>
      </c>
      <c r="B809" s="1" t="s">
        <v>773</v>
      </c>
      <c r="C809" s="1" t="s">
        <v>989</v>
      </c>
      <c r="D809" s="1" t="s">
        <v>1329</v>
      </c>
      <c r="E809" s="1" t="str">
        <f t="shared" si="12"/>
        <v>W05</v>
      </c>
      <c r="F809" s="5">
        <v>0</v>
      </c>
      <c r="G809" s="5">
        <v>0</v>
      </c>
      <c r="H809" s="5">
        <v>0</v>
      </c>
      <c r="I809" s="5"/>
      <c r="J809" s="1" t="s">
        <v>775</v>
      </c>
      <c r="K809" s="1" t="s">
        <v>1263</v>
      </c>
      <c r="L809" s="1" t="s">
        <v>79</v>
      </c>
      <c r="M809" s="1" t="s">
        <v>79</v>
      </c>
      <c r="N809" s="1" t="s">
        <v>79</v>
      </c>
      <c r="O809" s="6">
        <v>43257</v>
      </c>
      <c r="P809" s="6">
        <v>43252</v>
      </c>
      <c r="Q809" s="6"/>
      <c r="R809" s="1" t="s">
        <v>784</v>
      </c>
      <c r="S809" s="1" t="s">
        <v>79</v>
      </c>
      <c r="T809" s="5">
        <v>180</v>
      </c>
      <c r="U809" s="4">
        <v>50</v>
      </c>
      <c r="V809" s="5">
        <v>1543</v>
      </c>
      <c r="W809" s="6"/>
      <c r="X809" s="6"/>
      <c r="Y809" s="6"/>
      <c r="Z809" s="6"/>
      <c r="AA809" s="6"/>
      <c r="AB809" s="6"/>
      <c r="AC809" s="6"/>
      <c r="AD809" s="6">
        <v>43419</v>
      </c>
    </row>
    <row r="810" spans="1:30">
      <c r="A810" s="1" t="s">
        <v>772</v>
      </c>
      <c r="B810" s="1" t="s">
        <v>773</v>
      </c>
      <c r="C810" s="1" t="s">
        <v>989</v>
      </c>
      <c r="D810" s="1" t="s">
        <v>1330</v>
      </c>
      <c r="E810" s="1" t="str">
        <f t="shared" si="12"/>
        <v>W05</v>
      </c>
      <c r="F810" s="5">
        <v>0</v>
      </c>
      <c r="G810" s="5">
        <v>0</v>
      </c>
      <c r="H810" s="5">
        <v>0</v>
      </c>
      <c r="I810" s="5"/>
      <c r="J810" s="1" t="s">
        <v>775</v>
      </c>
      <c r="K810" s="1" t="s">
        <v>1263</v>
      </c>
      <c r="L810" s="1" t="s">
        <v>79</v>
      </c>
      <c r="M810" s="1" t="s">
        <v>79</v>
      </c>
      <c r="N810" s="1" t="s">
        <v>79</v>
      </c>
      <c r="O810" s="6">
        <v>43257</v>
      </c>
      <c r="P810" s="6">
        <v>43430</v>
      </c>
      <c r="Q810" s="6"/>
      <c r="R810" s="1" t="s">
        <v>784</v>
      </c>
      <c r="S810" s="1" t="s">
        <v>79</v>
      </c>
      <c r="T810" s="5">
        <v>180</v>
      </c>
      <c r="U810" s="4">
        <v>44</v>
      </c>
      <c r="V810" s="5">
        <v>1365</v>
      </c>
      <c r="W810" s="6"/>
      <c r="X810" s="6"/>
      <c r="Y810" s="6"/>
      <c r="Z810" s="6"/>
      <c r="AA810" s="6"/>
      <c r="AB810" s="6"/>
      <c r="AC810" s="6"/>
      <c r="AD810" s="6">
        <v>43480</v>
      </c>
    </row>
    <row r="811" spans="1:30">
      <c r="A811" s="1" t="s">
        <v>772</v>
      </c>
      <c r="B811" s="1" t="s">
        <v>773</v>
      </c>
      <c r="C811" s="1" t="s">
        <v>989</v>
      </c>
      <c r="D811" s="1" t="s">
        <v>1331</v>
      </c>
      <c r="E811" s="1" t="str">
        <f t="shared" si="12"/>
        <v>W05</v>
      </c>
      <c r="F811" s="5">
        <v>0</v>
      </c>
      <c r="G811" s="5">
        <v>0</v>
      </c>
      <c r="H811" s="5">
        <v>0</v>
      </c>
      <c r="I811" s="5"/>
      <c r="J811" s="1" t="s">
        <v>775</v>
      </c>
      <c r="K811" s="1" t="s">
        <v>1263</v>
      </c>
      <c r="L811" s="1" t="s">
        <v>79</v>
      </c>
      <c r="M811" s="1" t="s">
        <v>79</v>
      </c>
      <c r="N811" s="1" t="s">
        <v>79</v>
      </c>
      <c r="O811" s="6">
        <v>43257</v>
      </c>
      <c r="P811" s="6">
        <v>43252</v>
      </c>
      <c r="Q811" s="6"/>
      <c r="R811" s="1" t="s">
        <v>784</v>
      </c>
      <c r="S811" s="1" t="s">
        <v>79</v>
      </c>
      <c r="T811" s="5">
        <v>180</v>
      </c>
      <c r="U811" s="4">
        <v>50</v>
      </c>
      <c r="V811" s="5">
        <v>1543</v>
      </c>
      <c r="W811" s="6"/>
      <c r="X811" s="6"/>
      <c r="Y811" s="6"/>
      <c r="Z811" s="6"/>
      <c r="AA811" s="6"/>
      <c r="AB811" s="6"/>
      <c r="AC811" s="6"/>
      <c r="AD811" s="6">
        <v>43321</v>
      </c>
    </row>
    <row r="812" spans="1:30">
      <c r="A812" s="1" t="s">
        <v>772</v>
      </c>
      <c r="B812" s="1" t="s">
        <v>773</v>
      </c>
      <c r="C812" s="1" t="s">
        <v>989</v>
      </c>
      <c r="D812" s="1" t="s">
        <v>1332</v>
      </c>
      <c r="E812" s="1" t="str">
        <f t="shared" si="12"/>
        <v>W05</v>
      </c>
      <c r="F812" s="5">
        <v>0</v>
      </c>
      <c r="G812" s="5">
        <v>0</v>
      </c>
      <c r="H812" s="5">
        <v>0</v>
      </c>
      <c r="I812" s="5"/>
      <c r="J812" s="1" t="s">
        <v>775</v>
      </c>
      <c r="K812" s="1" t="s">
        <v>1263</v>
      </c>
      <c r="L812" s="1" t="s">
        <v>79</v>
      </c>
      <c r="M812" s="1" t="s">
        <v>79</v>
      </c>
      <c r="N812" s="1" t="s">
        <v>79</v>
      </c>
      <c r="O812" s="6">
        <v>43257</v>
      </c>
      <c r="P812" s="6">
        <v>43252</v>
      </c>
      <c r="Q812" s="6"/>
      <c r="R812" s="1" t="s">
        <v>784</v>
      </c>
      <c r="S812" s="1" t="s">
        <v>79</v>
      </c>
      <c r="T812" s="5">
        <v>180</v>
      </c>
      <c r="U812" s="4">
        <v>50</v>
      </c>
      <c r="V812" s="5">
        <v>1543</v>
      </c>
      <c r="W812" s="6"/>
      <c r="X812" s="6"/>
      <c r="Y812" s="6"/>
      <c r="Z812" s="6"/>
      <c r="AA812" s="6"/>
      <c r="AB812" s="6"/>
      <c r="AC812" s="6"/>
      <c r="AD812" s="6">
        <v>43372</v>
      </c>
    </row>
    <row r="813" spans="1:30">
      <c r="A813" s="1" t="s">
        <v>772</v>
      </c>
      <c r="B813" s="1" t="s">
        <v>773</v>
      </c>
      <c r="C813" s="1" t="s">
        <v>989</v>
      </c>
      <c r="D813" s="1" t="s">
        <v>1333</v>
      </c>
      <c r="E813" s="1" t="str">
        <f t="shared" si="12"/>
        <v>W05</v>
      </c>
      <c r="F813" s="5">
        <v>0</v>
      </c>
      <c r="G813" s="5">
        <v>0</v>
      </c>
      <c r="H813" s="5">
        <v>0</v>
      </c>
      <c r="I813" s="5"/>
      <c r="J813" s="1" t="s">
        <v>775</v>
      </c>
      <c r="K813" s="1" t="s">
        <v>1263</v>
      </c>
      <c r="L813" s="1" t="s">
        <v>79</v>
      </c>
      <c r="M813" s="1" t="s">
        <v>79</v>
      </c>
      <c r="N813" s="1" t="s">
        <v>79</v>
      </c>
      <c r="O813" s="6">
        <v>43257</v>
      </c>
      <c r="P813" s="6">
        <v>43252</v>
      </c>
      <c r="Q813" s="6"/>
      <c r="R813" s="1" t="s">
        <v>784</v>
      </c>
      <c r="S813" s="1" t="s">
        <v>79</v>
      </c>
      <c r="T813" s="5">
        <v>180</v>
      </c>
      <c r="U813" s="4">
        <v>50</v>
      </c>
      <c r="V813" s="5">
        <v>1543</v>
      </c>
      <c r="W813" s="6"/>
      <c r="X813" s="6"/>
      <c r="Y813" s="6"/>
      <c r="Z813" s="6"/>
      <c r="AA813" s="6"/>
      <c r="AB813" s="6"/>
      <c r="AC813" s="6"/>
      <c r="AD813" s="6">
        <v>43418</v>
      </c>
    </row>
    <row r="814" spans="1:30">
      <c r="A814" s="1" t="s">
        <v>772</v>
      </c>
      <c r="B814" s="1" t="s">
        <v>773</v>
      </c>
      <c r="C814" s="1" t="s">
        <v>989</v>
      </c>
      <c r="D814" s="1" t="s">
        <v>1334</v>
      </c>
      <c r="E814" s="1" t="str">
        <f t="shared" si="12"/>
        <v>W05</v>
      </c>
      <c r="F814" s="5">
        <v>0</v>
      </c>
      <c r="G814" s="5">
        <v>0</v>
      </c>
      <c r="H814" s="5">
        <v>0</v>
      </c>
      <c r="I814" s="5"/>
      <c r="J814" s="1" t="s">
        <v>775</v>
      </c>
      <c r="K814" s="1" t="s">
        <v>1263</v>
      </c>
      <c r="L814" s="1" t="s">
        <v>79</v>
      </c>
      <c r="M814" s="1" t="s">
        <v>79</v>
      </c>
      <c r="N814" s="1" t="s">
        <v>79</v>
      </c>
      <c r="O814" s="6">
        <v>43257</v>
      </c>
      <c r="P814" s="6">
        <v>43410</v>
      </c>
      <c r="Q814" s="6"/>
      <c r="R814" s="1" t="s">
        <v>784</v>
      </c>
      <c r="S814" s="1" t="s">
        <v>79</v>
      </c>
      <c r="T814" s="5">
        <v>180</v>
      </c>
      <c r="U814" s="4">
        <v>45</v>
      </c>
      <c r="V814" s="5">
        <v>1385</v>
      </c>
      <c r="W814" s="6"/>
      <c r="X814" s="6"/>
      <c r="Y814" s="6"/>
      <c r="Z814" s="6"/>
      <c r="AA814" s="6"/>
      <c r="AB814" s="6"/>
      <c r="AC814" s="6"/>
      <c r="AD814" s="6">
        <v>43451</v>
      </c>
    </row>
    <row r="815" spans="1:30">
      <c r="A815" s="1" t="s">
        <v>772</v>
      </c>
      <c r="B815" s="1" t="s">
        <v>773</v>
      </c>
      <c r="C815" s="1" t="s">
        <v>989</v>
      </c>
      <c r="D815" s="1" t="s">
        <v>1335</v>
      </c>
      <c r="E815" s="1" t="str">
        <f t="shared" si="12"/>
        <v>W05</v>
      </c>
      <c r="F815" s="4">
        <v>0</v>
      </c>
      <c r="G815" s="4">
        <v>0</v>
      </c>
      <c r="H815" s="4">
        <v>0</v>
      </c>
      <c r="I815" s="4"/>
      <c r="J815" s="1" t="s">
        <v>775</v>
      </c>
      <c r="K815" s="1" t="s">
        <v>1022</v>
      </c>
      <c r="L815" s="1" t="s">
        <v>1023</v>
      </c>
      <c r="M815" s="1" t="s">
        <v>1016</v>
      </c>
      <c r="N815" s="1" t="s">
        <v>79</v>
      </c>
      <c r="O815" s="6">
        <v>42707</v>
      </c>
      <c r="P815" s="6">
        <v>42705</v>
      </c>
      <c r="Q815" s="6">
        <v>42705</v>
      </c>
      <c r="R815" s="1" t="s">
        <v>1017</v>
      </c>
      <c r="S815" s="1" t="s">
        <v>79</v>
      </c>
      <c r="T815" s="5">
        <v>0</v>
      </c>
      <c r="U815" s="4">
        <v>68</v>
      </c>
      <c r="V815" s="5">
        <v>2090</v>
      </c>
      <c r="W815" s="6"/>
      <c r="X815" s="6"/>
      <c r="Y815" s="6"/>
      <c r="Z815" s="6"/>
      <c r="AA815" s="6"/>
      <c r="AB815" s="6"/>
      <c r="AC815" s="6"/>
      <c r="AD815" s="6"/>
    </row>
    <row r="816" spans="1:30">
      <c r="A816" s="1" t="s">
        <v>772</v>
      </c>
      <c r="B816" s="1" t="s">
        <v>773</v>
      </c>
      <c r="C816" s="1" t="s">
        <v>989</v>
      </c>
      <c r="D816" s="1" t="s">
        <v>1336</v>
      </c>
      <c r="E816" s="1" t="str">
        <f t="shared" si="12"/>
        <v>W05</v>
      </c>
      <c r="F816" s="4">
        <v>0</v>
      </c>
      <c r="G816" s="4">
        <v>0</v>
      </c>
      <c r="H816" s="4">
        <v>0</v>
      </c>
      <c r="I816" s="4"/>
      <c r="J816" s="1" t="s">
        <v>775</v>
      </c>
      <c r="K816" s="1" t="s">
        <v>1027</v>
      </c>
      <c r="L816" s="1" t="s">
        <v>79</v>
      </c>
      <c r="M816" s="1" t="s">
        <v>1016</v>
      </c>
      <c r="N816" s="1" t="s">
        <v>79</v>
      </c>
      <c r="O816" s="6">
        <v>42500</v>
      </c>
      <c r="P816" s="6">
        <v>42500</v>
      </c>
      <c r="Q816" s="6"/>
      <c r="R816" s="1" t="s">
        <v>1017</v>
      </c>
      <c r="S816" s="1" t="s">
        <v>79</v>
      </c>
      <c r="T816" s="5">
        <v>0</v>
      </c>
      <c r="U816" s="4">
        <v>75</v>
      </c>
      <c r="V816" s="5">
        <v>2295</v>
      </c>
      <c r="W816" s="6"/>
      <c r="X816" s="6"/>
      <c r="Y816" s="6"/>
      <c r="Z816" s="6"/>
      <c r="AA816" s="6"/>
      <c r="AB816" s="6"/>
      <c r="AC816" s="6"/>
      <c r="AD816" s="6">
        <v>43228</v>
      </c>
    </row>
    <row r="817" spans="1:30">
      <c r="A817" s="1" t="s">
        <v>772</v>
      </c>
      <c r="B817" s="1" t="s">
        <v>773</v>
      </c>
      <c r="C817" s="1" t="s">
        <v>989</v>
      </c>
      <c r="D817" s="1" t="s">
        <v>1337</v>
      </c>
      <c r="E817" s="1" t="str">
        <f t="shared" si="12"/>
        <v>W05</v>
      </c>
      <c r="F817" s="4">
        <v>0</v>
      </c>
      <c r="G817" s="4">
        <v>0</v>
      </c>
      <c r="H817" s="4">
        <v>0</v>
      </c>
      <c r="I817" s="4"/>
      <c r="J817" s="1" t="s">
        <v>775</v>
      </c>
      <c r="K817" s="1" t="s">
        <v>1338</v>
      </c>
      <c r="L817" s="1" t="s">
        <v>1015</v>
      </c>
      <c r="M817" s="1" t="s">
        <v>1023</v>
      </c>
      <c r="N817" s="1" t="s">
        <v>79</v>
      </c>
      <c r="O817" s="6">
        <v>43243</v>
      </c>
      <c r="P817" s="6">
        <v>43235</v>
      </c>
      <c r="Q817" s="6">
        <v>43222</v>
      </c>
      <c r="R817" s="1" t="s">
        <v>784</v>
      </c>
      <c r="S817" s="1" t="s">
        <v>785</v>
      </c>
      <c r="T817" s="5">
        <v>180</v>
      </c>
      <c r="U817" s="4">
        <v>51</v>
      </c>
      <c r="V817" s="5">
        <v>1560</v>
      </c>
      <c r="W817" s="6"/>
      <c r="X817" s="6"/>
      <c r="Y817" s="6"/>
      <c r="Z817" s="6"/>
      <c r="AA817" s="6"/>
      <c r="AB817" s="6"/>
      <c r="AC817" s="6"/>
      <c r="AD817" s="6"/>
    </row>
    <row r="818" spans="1:30">
      <c r="A818" s="1" t="s">
        <v>772</v>
      </c>
      <c r="B818" s="1" t="s">
        <v>773</v>
      </c>
      <c r="C818" s="1" t="s">
        <v>989</v>
      </c>
      <c r="D818" s="1" t="s">
        <v>1339</v>
      </c>
      <c r="E818" s="1" t="str">
        <f t="shared" si="12"/>
        <v>W05</v>
      </c>
      <c r="F818" s="5">
        <v>0</v>
      </c>
      <c r="G818" s="5">
        <v>0</v>
      </c>
      <c r="H818" s="5">
        <v>0</v>
      </c>
      <c r="I818" s="5"/>
      <c r="J818" s="1" t="s">
        <v>775</v>
      </c>
      <c r="K818" s="1" t="s">
        <v>1263</v>
      </c>
      <c r="L818" s="1" t="s">
        <v>79</v>
      </c>
      <c r="M818" s="1" t="s">
        <v>79</v>
      </c>
      <c r="N818" s="1" t="s">
        <v>79</v>
      </c>
      <c r="O818" s="6">
        <v>43257</v>
      </c>
      <c r="P818" s="6">
        <v>43252</v>
      </c>
      <c r="Q818" s="6"/>
      <c r="R818" s="1" t="s">
        <v>784</v>
      </c>
      <c r="S818" s="1" t="s">
        <v>79</v>
      </c>
      <c r="T818" s="5">
        <v>180</v>
      </c>
      <c r="U818" s="4">
        <v>50</v>
      </c>
      <c r="V818" s="5">
        <v>1543</v>
      </c>
      <c r="W818" s="6"/>
      <c r="X818" s="6"/>
      <c r="Y818" s="6"/>
      <c r="Z818" s="6"/>
      <c r="AA818" s="6"/>
      <c r="AB818" s="6"/>
      <c r="AC818" s="6"/>
      <c r="AD818" s="6">
        <v>43353</v>
      </c>
    </row>
    <row r="819" spans="1:30">
      <c r="A819" s="1" t="s">
        <v>772</v>
      </c>
      <c r="B819" s="1" t="s">
        <v>773</v>
      </c>
      <c r="C819" s="1" t="s">
        <v>989</v>
      </c>
      <c r="D819" s="1" t="s">
        <v>1340</v>
      </c>
      <c r="E819" s="1" t="str">
        <f t="shared" si="12"/>
        <v>W05</v>
      </c>
      <c r="F819" s="5">
        <v>0</v>
      </c>
      <c r="G819" s="5">
        <v>0</v>
      </c>
      <c r="H819" s="5">
        <v>0</v>
      </c>
      <c r="I819" s="5"/>
      <c r="J819" s="1" t="s">
        <v>775</v>
      </c>
      <c r="K819" s="1" t="s">
        <v>1263</v>
      </c>
      <c r="L819" s="1" t="s">
        <v>79</v>
      </c>
      <c r="M819" s="1" t="s">
        <v>79</v>
      </c>
      <c r="N819" s="1" t="s">
        <v>79</v>
      </c>
      <c r="O819" s="6">
        <v>43257</v>
      </c>
      <c r="P819" s="6">
        <v>43171</v>
      </c>
      <c r="Q819" s="6"/>
      <c r="R819" s="1" t="s">
        <v>784</v>
      </c>
      <c r="S819" s="1" t="s">
        <v>79</v>
      </c>
      <c r="T819" s="5">
        <v>180</v>
      </c>
      <c r="U819" s="4">
        <v>53</v>
      </c>
      <c r="V819" s="5">
        <v>1624</v>
      </c>
      <c r="W819" s="6"/>
      <c r="X819" s="6"/>
      <c r="Y819" s="6"/>
      <c r="Z819" s="6"/>
      <c r="AA819" s="6"/>
      <c r="AB819" s="6"/>
      <c r="AC819" s="6"/>
      <c r="AD819" s="6">
        <v>43516</v>
      </c>
    </row>
    <row r="820" spans="1:30">
      <c r="A820" s="1" t="s">
        <v>772</v>
      </c>
      <c r="B820" s="1" t="s">
        <v>773</v>
      </c>
      <c r="C820" s="1" t="s">
        <v>989</v>
      </c>
      <c r="D820" s="1" t="s">
        <v>1341</v>
      </c>
      <c r="E820" s="1" t="str">
        <f t="shared" si="12"/>
        <v>W05</v>
      </c>
      <c r="F820" s="5">
        <v>0</v>
      </c>
      <c r="G820" s="5">
        <v>0</v>
      </c>
      <c r="H820" s="5">
        <v>0</v>
      </c>
      <c r="I820" s="5"/>
      <c r="J820" s="1" t="s">
        <v>775</v>
      </c>
      <c r="K820" s="1" t="s">
        <v>1263</v>
      </c>
      <c r="L820" s="1" t="s">
        <v>79</v>
      </c>
      <c r="M820" s="1" t="s">
        <v>79</v>
      </c>
      <c r="N820" s="1" t="s">
        <v>79</v>
      </c>
      <c r="O820" s="6">
        <v>43257</v>
      </c>
      <c r="P820" s="6">
        <v>43252</v>
      </c>
      <c r="Q820" s="6"/>
      <c r="R820" s="1" t="s">
        <v>784</v>
      </c>
      <c r="S820" s="1" t="s">
        <v>79</v>
      </c>
      <c r="T820" s="5">
        <v>180</v>
      </c>
      <c r="U820" s="4">
        <v>50</v>
      </c>
      <c r="V820" s="5">
        <v>1543</v>
      </c>
      <c r="W820" s="6">
        <v>43257</v>
      </c>
      <c r="X820" s="6"/>
      <c r="Y820" s="6"/>
      <c r="Z820" s="6"/>
      <c r="AA820" s="6"/>
      <c r="AB820" s="6"/>
      <c r="AC820" s="6"/>
      <c r="AD820" s="6">
        <v>43412</v>
      </c>
    </row>
    <row r="821" spans="1:30">
      <c r="A821" s="1" t="s">
        <v>772</v>
      </c>
      <c r="B821" s="1" t="s">
        <v>773</v>
      </c>
      <c r="C821" s="1" t="s">
        <v>989</v>
      </c>
      <c r="D821" s="1" t="s">
        <v>1342</v>
      </c>
      <c r="E821" s="1" t="str">
        <f t="shared" si="12"/>
        <v>W05</v>
      </c>
      <c r="F821" s="5">
        <v>0</v>
      </c>
      <c r="G821" s="5">
        <v>0</v>
      </c>
      <c r="H821" s="5">
        <v>0</v>
      </c>
      <c r="I821" s="5"/>
      <c r="J821" s="1" t="s">
        <v>775</v>
      </c>
      <c r="K821" s="1" t="s">
        <v>1263</v>
      </c>
      <c r="L821" s="1" t="s">
        <v>79</v>
      </c>
      <c r="M821" s="1" t="s">
        <v>79</v>
      </c>
      <c r="N821" s="1" t="s">
        <v>79</v>
      </c>
      <c r="O821" s="6">
        <v>43257</v>
      </c>
      <c r="P821" s="6">
        <v>43252</v>
      </c>
      <c r="Q821" s="6"/>
      <c r="R821" s="1" t="s">
        <v>784</v>
      </c>
      <c r="S821" s="1" t="s">
        <v>79</v>
      </c>
      <c r="T821" s="5">
        <v>180</v>
      </c>
      <c r="U821" s="4">
        <v>50</v>
      </c>
      <c r="V821" s="5">
        <v>1543</v>
      </c>
      <c r="W821" s="6">
        <v>43257</v>
      </c>
      <c r="X821" s="6"/>
      <c r="Y821" s="6"/>
      <c r="Z821" s="6"/>
      <c r="AA821" s="6"/>
      <c r="AB821" s="6"/>
      <c r="AC821" s="6"/>
      <c r="AD821" s="6">
        <v>43437</v>
      </c>
    </row>
    <row r="822" spans="1:30">
      <c r="A822" s="1" t="s">
        <v>772</v>
      </c>
      <c r="B822" s="1" t="s">
        <v>773</v>
      </c>
      <c r="C822" s="1" t="s">
        <v>989</v>
      </c>
      <c r="D822" s="1" t="s">
        <v>1343</v>
      </c>
      <c r="E822" s="1" t="str">
        <f t="shared" si="12"/>
        <v>W05</v>
      </c>
      <c r="F822" s="5">
        <v>0</v>
      </c>
      <c r="G822" s="5">
        <v>0</v>
      </c>
      <c r="H822" s="5">
        <v>0</v>
      </c>
      <c r="I822" s="5"/>
      <c r="J822" s="1" t="s">
        <v>775</v>
      </c>
      <c r="K822" s="1" t="s">
        <v>1263</v>
      </c>
      <c r="L822" s="1" t="s">
        <v>79</v>
      </c>
      <c r="M822" s="1" t="s">
        <v>79</v>
      </c>
      <c r="N822" s="1" t="s">
        <v>79</v>
      </c>
      <c r="O822" s="6">
        <v>43257</v>
      </c>
      <c r="P822" s="6">
        <v>43252</v>
      </c>
      <c r="Q822" s="6"/>
      <c r="R822" s="1" t="s">
        <v>784</v>
      </c>
      <c r="S822" s="1" t="s">
        <v>79</v>
      </c>
      <c r="T822" s="5">
        <v>180</v>
      </c>
      <c r="U822" s="4">
        <v>50</v>
      </c>
      <c r="V822" s="5">
        <v>1543</v>
      </c>
      <c r="W822" s="6">
        <v>43257</v>
      </c>
      <c r="X822" s="6"/>
      <c r="Y822" s="6"/>
      <c r="Z822" s="6"/>
      <c r="AA822" s="6"/>
      <c r="AB822" s="6"/>
      <c r="AC822" s="6"/>
      <c r="AD822" s="6">
        <v>43363</v>
      </c>
    </row>
    <row r="823" spans="1:30">
      <c r="A823" s="1" t="s">
        <v>772</v>
      </c>
      <c r="B823" s="1" t="s">
        <v>773</v>
      </c>
      <c r="C823" s="1" t="s">
        <v>989</v>
      </c>
      <c r="D823" s="1" t="s">
        <v>1344</v>
      </c>
      <c r="E823" s="1" t="str">
        <f t="shared" si="12"/>
        <v>W05</v>
      </c>
      <c r="F823" s="5">
        <v>0</v>
      </c>
      <c r="G823" s="5">
        <v>0</v>
      </c>
      <c r="H823" s="5">
        <v>0</v>
      </c>
      <c r="I823" s="5"/>
      <c r="J823" s="1" t="s">
        <v>775</v>
      </c>
      <c r="K823" s="1" t="s">
        <v>1263</v>
      </c>
      <c r="L823" s="1" t="s">
        <v>79</v>
      </c>
      <c r="M823" s="1" t="s">
        <v>79</v>
      </c>
      <c r="N823" s="1" t="s">
        <v>79</v>
      </c>
      <c r="O823" s="6">
        <v>43257</v>
      </c>
      <c r="P823" s="6">
        <v>43252</v>
      </c>
      <c r="Q823" s="6"/>
      <c r="R823" s="1" t="s">
        <v>784</v>
      </c>
      <c r="S823" s="1" t="s">
        <v>79</v>
      </c>
      <c r="T823" s="5">
        <v>180</v>
      </c>
      <c r="U823" s="4">
        <v>50</v>
      </c>
      <c r="V823" s="5">
        <v>1543</v>
      </c>
      <c r="W823" s="6">
        <v>43257</v>
      </c>
      <c r="X823" s="6"/>
      <c r="Y823" s="6"/>
      <c r="Z823" s="6"/>
      <c r="AA823" s="6"/>
      <c r="AB823" s="6"/>
      <c r="AC823" s="6"/>
      <c r="AD823" s="6"/>
    </row>
    <row r="824" spans="1:30">
      <c r="A824" s="1" t="s">
        <v>772</v>
      </c>
      <c r="B824" s="1" t="s">
        <v>773</v>
      </c>
      <c r="C824" s="1" t="s">
        <v>989</v>
      </c>
      <c r="D824" s="1" t="s">
        <v>1345</v>
      </c>
      <c r="E824" s="1" t="str">
        <f t="shared" si="12"/>
        <v>W05</v>
      </c>
      <c r="F824" s="5">
        <v>0</v>
      </c>
      <c r="G824" s="5">
        <v>0</v>
      </c>
      <c r="H824" s="5">
        <v>0</v>
      </c>
      <c r="I824" s="5"/>
      <c r="J824" s="1" t="s">
        <v>775</v>
      </c>
      <c r="K824" s="1" t="s">
        <v>1263</v>
      </c>
      <c r="L824" s="1" t="s">
        <v>79</v>
      </c>
      <c r="M824" s="1" t="s">
        <v>79</v>
      </c>
      <c r="N824" s="1" t="s">
        <v>79</v>
      </c>
      <c r="O824" s="6">
        <v>43257</v>
      </c>
      <c r="P824" s="6">
        <v>43252</v>
      </c>
      <c r="Q824" s="6"/>
      <c r="R824" s="1" t="s">
        <v>784</v>
      </c>
      <c r="S824" s="1" t="s">
        <v>79</v>
      </c>
      <c r="T824" s="5">
        <v>180</v>
      </c>
      <c r="U824" s="4">
        <v>50</v>
      </c>
      <c r="V824" s="5">
        <v>1543</v>
      </c>
      <c r="W824" s="6">
        <v>43257</v>
      </c>
      <c r="X824" s="6"/>
      <c r="Y824" s="6"/>
      <c r="Z824" s="6"/>
      <c r="AA824" s="6"/>
      <c r="AB824" s="6"/>
      <c r="AC824" s="6"/>
      <c r="AD824" s="6">
        <v>43413</v>
      </c>
    </row>
    <row r="825" spans="1:30">
      <c r="A825" s="1" t="s">
        <v>772</v>
      </c>
      <c r="B825" s="1" t="s">
        <v>773</v>
      </c>
      <c r="C825" s="1" t="s">
        <v>989</v>
      </c>
      <c r="D825" s="1" t="s">
        <v>1346</v>
      </c>
      <c r="E825" s="1" t="str">
        <f t="shared" si="12"/>
        <v>W05</v>
      </c>
      <c r="F825" s="5">
        <v>0</v>
      </c>
      <c r="G825" s="5">
        <v>0</v>
      </c>
      <c r="H825" s="5">
        <v>0</v>
      </c>
      <c r="I825" s="5"/>
      <c r="J825" s="1" t="s">
        <v>775</v>
      </c>
      <c r="K825" s="1" t="s">
        <v>1263</v>
      </c>
      <c r="L825" s="1" t="s">
        <v>79</v>
      </c>
      <c r="M825" s="1" t="s">
        <v>79</v>
      </c>
      <c r="N825" s="1" t="s">
        <v>79</v>
      </c>
      <c r="O825" s="6">
        <v>43257</v>
      </c>
      <c r="P825" s="6">
        <v>43252</v>
      </c>
      <c r="Q825" s="6"/>
      <c r="R825" s="1" t="s">
        <v>784</v>
      </c>
      <c r="S825" s="1" t="s">
        <v>79</v>
      </c>
      <c r="T825" s="5">
        <v>0</v>
      </c>
      <c r="U825" s="4">
        <v>50</v>
      </c>
      <c r="V825" s="5">
        <v>1543</v>
      </c>
      <c r="W825" s="6">
        <v>43257</v>
      </c>
      <c r="X825" s="6"/>
      <c r="Y825" s="6"/>
      <c r="Z825" s="6"/>
      <c r="AA825" s="6"/>
      <c r="AB825" s="6"/>
      <c r="AC825" s="6"/>
      <c r="AD825" s="6">
        <v>43444</v>
      </c>
    </row>
    <row r="826" spans="1:30">
      <c r="A826" s="1" t="s">
        <v>772</v>
      </c>
      <c r="B826" s="1" t="s">
        <v>773</v>
      </c>
      <c r="C826" s="1" t="s">
        <v>989</v>
      </c>
      <c r="D826" s="1" t="s">
        <v>1347</v>
      </c>
      <c r="E826" s="1" t="str">
        <f t="shared" si="12"/>
        <v>W05</v>
      </c>
      <c r="F826" s="5">
        <v>0</v>
      </c>
      <c r="G826" s="5">
        <v>0</v>
      </c>
      <c r="H826" s="5">
        <v>0</v>
      </c>
      <c r="I826" s="5"/>
      <c r="J826" s="1" t="s">
        <v>775</v>
      </c>
      <c r="K826" s="1" t="s">
        <v>1263</v>
      </c>
      <c r="L826" s="1" t="s">
        <v>79</v>
      </c>
      <c r="M826" s="1" t="s">
        <v>79</v>
      </c>
      <c r="N826" s="1" t="s">
        <v>79</v>
      </c>
      <c r="O826" s="6">
        <v>43257</v>
      </c>
      <c r="P826" s="6">
        <v>43252</v>
      </c>
      <c r="Q826" s="6"/>
      <c r="R826" s="1" t="s">
        <v>784</v>
      </c>
      <c r="S826" s="1" t="s">
        <v>79</v>
      </c>
      <c r="T826" s="5">
        <v>180</v>
      </c>
      <c r="U826" s="4">
        <v>50</v>
      </c>
      <c r="V826" s="5">
        <v>1543</v>
      </c>
      <c r="W826" s="6">
        <v>43257</v>
      </c>
      <c r="X826" s="6"/>
      <c r="Y826" s="6"/>
      <c r="Z826" s="6"/>
      <c r="AA826" s="6"/>
      <c r="AB826" s="6"/>
      <c r="AC826" s="6"/>
      <c r="AD826" s="6">
        <v>43373</v>
      </c>
    </row>
    <row r="827" spans="1:30">
      <c r="A827" s="1" t="s">
        <v>772</v>
      </c>
      <c r="B827" s="1" t="s">
        <v>773</v>
      </c>
      <c r="C827" s="1" t="s">
        <v>989</v>
      </c>
      <c r="D827" s="1" t="s">
        <v>1348</v>
      </c>
      <c r="E827" s="1" t="str">
        <f t="shared" si="12"/>
        <v>W05</v>
      </c>
      <c r="F827" s="5">
        <v>0</v>
      </c>
      <c r="G827" s="5">
        <v>0</v>
      </c>
      <c r="H827" s="5">
        <v>0</v>
      </c>
      <c r="I827" s="5"/>
      <c r="J827" s="1" t="s">
        <v>775</v>
      </c>
      <c r="K827" s="1" t="s">
        <v>1263</v>
      </c>
      <c r="L827" s="1" t="s">
        <v>79</v>
      </c>
      <c r="M827" s="1" t="s">
        <v>79</v>
      </c>
      <c r="N827" s="1" t="s">
        <v>79</v>
      </c>
      <c r="O827" s="6">
        <v>43257</v>
      </c>
      <c r="P827" s="6">
        <v>43252</v>
      </c>
      <c r="Q827" s="6"/>
      <c r="R827" s="1" t="s">
        <v>784</v>
      </c>
      <c r="S827" s="1" t="s">
        <v>79</v>
      </c>
      <c r="T827" s="5">
        <v>180</v>
      </c>
      <c r="U827" s="4">
        <v>50</v>
      </c>
      <c r="V827" s="5">
        <v>1543</v>
      </c>
      <c r="W827" s="6">
        <v>43257</v>
      </c>
      <c r="X827" s="6"/>
      <c r="Y827" s="6"/>
      <c r="Z827" s="6"/>
      <c r="AA827" s="6"/>
      <c r="AB827" s="6"/>
      <c r="AC827" s="6"/>
      <c r="AD827" s="6">
        <v>43573</v>
      </c>
    </row>
    <row r="828" spans="1:30">
      <c r="A828" s="1" t="s">
        <v>772</v>
      </c>
      <c r="B828" s="1" t="s">
        <v>773</v>
      </c>
      <c r="C828" s="1" t="s">
        <v>989</v>
      </c>
      <c r="D828" s="1" t="s">
        <v>1349</v>
      </c>
      <c r="E828" s="1" t="str">
        <f t="shared" si="12"/>
        <v>W05</v>
      </c>
      <c r="F828" s="5">
        <v>0</v>
      </c>
      <c r="G828" s="5">
        <v>0</v>
      </c>
      <c r="H828" s="5">
        <v>0</v>
      </c>
      <c r="I828" s="5"/>
      <c r="J828" s="1" t="s">
        <v>775</v>
      </c>
      <c r="K828" s="1" t="s">
        <v>1263</v>
      </c>
      <c r="L828" s="1" t="s">
        <v>79</v>
      </c>
      <c r="M828" s="1" t="s">
        <v>79</v>
      </c>
      <c r="N828" s="1" t="s">
        <v>79</v>
      </c>
      <c r="O828" s="6">
        <v>43257</v>
      </c>
      <c r="P828" s="6">
        <v>43252</v>
      </c>
      <c r="Q828" s="6"/>
      <c r="R828" s="1" t="s">
        <v>784</v>
      </c>
      <c r="S828" s="1" t="s">
        <v>79</v>
      </c>
      <c r="T828" s="5">
        <v>180</v>
      </c>
      <c r="U828" s="4">
        <v>50</v>
      </c>
      <c r="V828" s="5">
        <v>1543</v>
      </c>
      <c r="W828" s="6">
        <v>43257</v>
      </c>
      <c r="X828" s="6"/>
      <c r="Y828" s="6"/>
      <c r="Z828" s="6"/>
      <c r="AA828" s="6"/>
      <c r="AB828" s="6"/>
      <c r="AC828" s="6"/>
      <c r="AD828" s="6">
        <v>43416</v>
      </c>
    </row>
    <row r="829" spans="1:30">
      <c r="A829" s="1" t="s">
        <v>772</v>
      </c>
      <c r="B829" s="1" t="s">
        <v>773</v>
      </c>
      <c r="C829" s="1" t="s">
        <v>989</v>
      </c>
      <c r="D829" s="1" t="s">
        <v>1350</v>
      </c>
      <c r="E829" s="1" t="str">
        <f t="shared" si="12"/>
        <v>W05</v>
      </c>
      <c r="F829" s="5">
        <v>0</v>
      </c>
      <c r="G829" s="5">
        <v>0</v>
      </c>
      <c r="H829" s="5">
        <v>0</v>
      </c>
      <c r="I829" s="5"/>
      <c r="J829" s="1" t="s">
        <v>775</v>
      </c>
      <c r="K829" s="1" t="s">
        <v>1263</v>
      </c>
      <c r="L829" s="1" t="s">
        <v>79</v>
      </c>
      <c r="M829" s="1" t="s">
        <v>79</v>
      </c>
      <c r="N829" s="1" t="s">
        <v>79</v>
      </c>
      <c r="O829" s="6">
        <v>43257</v>
      </c>
      <c r="P829" s="6">
        <v>43252</v>
      </c>
      <c r="Q829" s="6"/>
      <c r="R829" s="1" t="s">
        <v>784</v>
      </c>
      <c r="S829" s="1" t="s">
        <v>79</v>
      </c>
      <c r="T829" s="5">
        <v>0</v>
      </c>
      <c r="U829" s="4">
        <v>50</v>
      </c>
      <c r="V829" s="5">
        <v>1543</v>
      </c>
      <c r="W829" s="6">
        <v>43257</v>
      </c>
      <c r="X829" s="6"/>
      <c r="Y829" s="6"/>
      <c r="Z829" s="6"/>
      <c r="AA829" s="6"/>
      <c r="AB829" s="6"/>
      <c r="AC829" s="6"/>
      <c r="AD829" s="6">
        <v>43437</v>
      </c>
    </row>
    <row r="830" spans="1:30">
      <c r="A830" s="1" t="s">
        <v>772</v>
      </c>
      <c r="B830" s="1" t="s">
        <v>773</v>
      </c>
      <c r="C830" s="1" t="s">
        <v>989</v>
      </c>
      <c r="D830" s="1" t="s">
        <v>1351</v>
      </c>
      <c r="E830" s="1" t="str">
        <f t="shared" si="12"/>
        <v>W05</v>
      </c>
      <c r="F830" s="5">
        <v>0</v>
      </c>
      <c r="G830" s="5">
        <v>0</v>
      </c>
      <c r="H830" s="5">
        <v>0</v>
      </c>
      <c r="I830" s="5"/>
      <c r="J830" s="1" t="s">
        <v>775</v>
      </c>
      <c r="K830" s="1" t="s">
        <v>1263</v>
      </c>
      <c r="L830" s="1" t="s">
        <v>79</v>
      </c>
      <c r="M830" s="1" t="s">
        <v>79</v>
      </c>
      <c r="N830" s="1" t="s">
        <v>79</v>
      </c>
      <c r="O830" s="6">
        <v>43257</v>
      </c>
      <c r="P830" s="6">
        <v>43252</v>
      </c>
      <c r="Q830" s="6"/>
      <c r="R830" s="1" t="s">
        <v>784</v>
      </c>
      <c r="S830" s="1" t="s">
        <v>79</v>
      </c>
      <c r="T830" s="5">
        <v>180</v>
      </c>
      <c r="U830" s="4">
        <v>50</v>
      </c>
      <c r="V830" s="5">
        <v>1543</v>
      </c>
      <c r="W830" s="6">
        <v>43257</v>
      </c>
      <c r="X830" s="6"/>
      <c r="Y830" s="6"/>
      <c r="Z830" s="6"/>
      <c r="AA830" s="6"/>
      <c r="AB830" s="6"/>
      <c r="AC830" s="6"/>
      <c r="AD830" s="6">
        <v>43395</v>
      </c>
    </row>
    <row r="831" spans="1:30">
      <c r="A831" s="1" t="s">
        <v>772</v>
      </c>
      <c r="B831" s="1" t="s">
        <v>773</v>
      </c>
      <c r="C831" s="1" t="s">
        <v>989</v>
      </c>
      <c r="D831" s="1" t="s">
        <v>1352</v>
      </c>
      <c r="E831" s="1" t="str">
        <f t="shared" si="12"/>
        <v>W05</v>
      </c>
      <c r="F831" s="5">
        <v>0</v>
      </c>
      <c r="G831" s="5">
        <v>0</v>
      </c>
      <c r="H831" s="5">
        <v>0</v>
      </c>
      <c r="I831" s="5"/>
      <c r="J831" s="1" t="s">
        <v>775</v>
      </c>
      <c r="K831" s="1" t="s">
        <v>1263</v>
      </c>
      <c r="L831" s="1" t="s">
        <v>79</v>
      </c>
      <c r="M831" s="1" t="s">
        <v>79</v>
      </c>
      <c r="N831" s="1" t="s">
        <v>79</v>
      </c>
      <c r="O831" s="6">
        <v>43257</v>
      </c>
      <c r="P831" s="6">
        <v>43252</v>
      </c>
      <c r="Q831" s="6"/>
      <c r="R831" s="1" t="s">
        <v>784</v>
      </c>
      <c r="S831" s="1" t="s">
        <v>79</v>
      </c>
      <c r="T831" s="5">
        <v>180</v>
      </c>
      <c r="U831" s="4">
        <v>50</v>
      </c>
      <c r="V831" s="5">
        <v>1543</v>
      </c>
      <c r="W831" s="6">
        <v>43257</v>
      </c>
      <c r="X831" s="6"/>
      <c r="Y831" s="6"/>
      <c r="Z831" s="6"/>
      <c r="AA831" s="6"/>
      <c r="AB831" s="6"/>
      <c r="AC831" s="6"/>
      <c r="AD831" s="6"/>
    </row>
    <row r="832" spans="1:30">
      <c r="A832" s="1" t="s">
        <v>772</v>
      </c>
      <c r="B832" s="1" t="s">
        <v>773</v>
      </c>
      <c r="C832" s="1" t="s">
        <v>989</v>
      </c>
      <c r="D832" s="1" t="s">
        <v>1353</v>
      </c>
      <c r="E832" s="1" t="str">
        <f t="shared" si="12"/>
        <v>W05</v>
      </c>
      <c r="F832" s="5">
        <v>0</v>
      </c>
      <c r="G832" s="5">
        <v>0</v>
      </c>
      <c r="H832" s="5">
        <v>0</v>
      </c>
      <c r="I832" s="5"/>
      <c r="J832" s="1" t="s">
        <v>775</v>
      </c>
      <c r="K832" s="1" t="s">
        <v>1263</v>
      </c>
      <c r="L832" s="1" t="s">
        <v>79</v>
      </c>
      <c r="M832" s="1" t="s">
        <v>79</v>
      </c>
      <c r="N832" s="1" t="s">
        <v>79</v>
      </c>
      <c r="O832" s="6">
        <v>43257</v>
      </c>
      <c r="P832" s="6">
        <v>43252</v>
      </c>
      <c r="Q832" s="6"/>
      <c r="R832" s="1" t="s">
        <v>784</v>
      </c>
      <c r="S832" s="1" t="s">
        <v>79</v>
      </c>
      <c r="T832" s="5">
        <v>180</v>
      </c>
      <c r="U832" s="4">
        <v>50</v>
      </c>
      <c r="V832" s="5">
        <v>1543</v>
      </c>
      <c r="W832" s="6">
        <v>43257</v>
      </c>
      <c r="X832" s="6"/>
      <c r="Y832" s="6"/>
      <c r="Z832" s="6"/>
      <c r="AA832" s="6"/>
      <c r="AB832" s="6"/>
      <c r="AC832" s="6"/>
      <c r="AD832" s="6">
        <v>43426</v>
      </c>
    </row>
    <row r="833" spans="1:30">
      <c r="A833" s="1" t="s">
        <v>772</v>
      </c>
      <c r="B833" s="1" t="s">
        <v>773</v>
      </c>
      <c r="C833" s="1" t="s">
        <v>989</v>
      </c>
      <c r="D833" s="1" t="s">
        <v>1354</v>
      </c>
      <c r="E833" s="1" t="str">
        <f t="shared" si="12"/>
        <v>W05</v>
      </c>
      <c r="F833" s="5">
        <v>0</v>
      </c>
      <c r="G833" s="5">
        <v>0</v>
      </c>
      <c r="H833" s="5">
        <v>0</v>
      </c>
      <c r="I833" s="5"/>
      <c r="J833" s="1" t="s">
        <v>775</v>
      </c>
      <c r="K833" s="1" t="s">
        <v>1263</v>
      </c>
      <c r="L833" s="1" t="s">
        <v>79</v>
      </c>
      <c r="M833" s="1" t="s">
        <v>79</v>
      </c>
      <c r="N833" s="1" t="s">
        <v>79</v>
      </c>
      <c r="O833" s="6">
        <v>43257</v>
      </c>
      <c r="P833" s="6">
        <v>43252</v>
      </c>
      <c r="Q833" s="6"/>
      <c r="R833" s="1" t="s">
        <v>784</v>
      </c>
      <c r="S833" s="1" t="s">
        <v>79</v>
      </c>
      <c r="T833" s="5">
        <v>0</v>
      </c>
      <c r="U833" s="4">
        <v>50</v>
      </c>
      <c r="V833" s="5">
        <v>1543</v>
      </c>
      <c r="W833" s="6">
        <v>43257</v>
      </c>
      <c r="X833" s="6"/>
      <c r="Y833" s="6"/>
      <c r="Z833" s="6"/>
      <c r="AA833" s="6"/>
      <c r="AB833" s="6"/>
      <c r="AC833" s="6"/>
      <c r="AD833" s="6">
        <v>43448</v>
      </c>
    </row>
    <row r="834" spans="1:30">
      <c r="A834" s="1" t="s">
        <v>772</v>
      </c>
      <c r="B834" s="1" t="s">
        <v>773</v>
      </c>
      <c r="C834" s="1" t="s">
        <v>989</v>
      </c>
      <c r="D834" s="1" t="s">
        <v>1355</v>
      </c>
      <c r="E834" s="1" t="str">
        <f t="shared" si="12"/>
        <v>W05</v>
      </c>
      <c r="F834" s="4">
        <v>0</v>
      </c>
      <c r="G834" s="4">
        <v>0</v>
      </c>
      <c r="H834" s="4">
        <v>0</v>
      </c>
      <c r="I834" s="4"/>
      <c r="J834" s="1" t="s">
        <v>775</v>
      </c>
      <c r="K834" s="1" t="s">
        <v>1019</v>
      </c>
      <c r="L834" s="1" t="s">
        <v>79</v>
      </c>
      <c r="M834" s="1" t="s">
        <v>79</v>
      </c>
      <c r="N834" s="1" t="s">
        <v>79</v>
      </c>
      <c r="O834" s="6">
        <v>42535</v>
      </c>
      <c r="P834" s="6">
        <v>42522</v>
      </c>
      <c r="Q834" s="6">
        <v>42522</v>
      </c>
      <c r="R834" s="1" t="s">
        <v>1017</v>
      </c>
      <c r="S834" s="1" t="s">
        <v>79</v>
      </c>
      <c r="T834" s="5">
        <v>0</v>
      </c>
      <c r="U834" s="4">
        <v>74</v>
      </c>
      <c r="V834" s="5">
        <v>2273</v>
      </c>
      <c r="W834" s="6"/>
      <c r="X834" s="6"/>
      <c r="Y834" s="6"/>
      <c r="Z834" s="6"/>
      <c r="AA834" s="6"/>
      <c r="AB834" s="6"/>
      <c r="AC834" s="6"/>
      <c r="AD834" s="6">
        <v>43128</v>
      </c>
    </row>
    <row r="835" spans="1:30">
      <c r="A835" s="1" t="s">
        <v>772</v>
      </c>
      <c r="B835" s="1" t="s">
        <v>773</v>
      </c>
      <c r="C835" s="1" t="s">
        <v>989</v>
      </c>
      <c r="D835" s="1" t="s">
        <v>1356</v>
      </c>
      <c r="E835" s="1" t="str">
        <f t="shared" si="12"/>
        <v>W05</v>
      </c>
      <c r="F835" s="4">
        <v>0</v>
      </c>
      <c r="G835" s="4">
        <v>0</v>
      </c>
      <c r="H835" s="4">
        <v>0</v>
      </c>
      <c r="I835" s="4"/>
      <c r="J835" s="1" t="s">
        <v>775</v>
      </c>
      <c r="K835" s="1" t="s">
        <v>1027</v>
      </c>
      <c r="L835" s="1" t="s">
        <v>79</v>
      </c>
      <c r="M835" s="1" t="s">
        <v>1016</v>
      </c>
      <c r="N835" s="1" t="s">
        <v>79</v>
      </c>
      <c r="O835" s="6">
        <v>42500</v>
      </c>
      <c r="P835" s="6">
        <v>42500</v>
      </c>
      <c r="Q835" s="6"/>
      <c r="R835" s="1" t="s">
        <v>1017</v>
      </c>
      <c r="S835" s="1" t="s">
        <v>79</v>
      </c>
      <c r="T835" s="5">
        <v>0</v>
      </c>
      <c r="U835" s="4">
        <v>75</v>
      </c>
      <c r="V835" s="5">
        <v>2295</v>
      </c>
      <c r="W835" s="6"/>
      <c r="X835" s="6"/>
      <c r="Y835" s="6"/>
      <c r="Z835" s="6"/>
      <c r="AA835" s="6"/>
      <c r="AB835" s="6"/>
      <c r="AC835" s="6"/>
      <c r="AD835" s="6">
        <v>43137</v>
      </c>
    </row>
    <row r="836" spans="1:30">
      <c r="A836" s="1" t="s">
        <v>772</v>
      </c>
      <c r="B836" s="1" t="s">
        <v>773</v>
      </c>
      <c r="C836" s="1" t="s">
        <v>989</v>
      </c>
      <c r="D836" s="1" t="s">
        <v>1357</v>
      </c>
      <c r="E836" s="1" t="str">
        <f t="shared" si="12"/>
        <v>W05</v>
      </c>
      <c r="F836" s="5">
        <v>0</v>
      </c>
      <c r="G836" s="5">
        <v>0</v>
      </c>
      <c r="H836" s="5">
        <v>0</v>
      </c>
      <c r="I836" s="5"/>
      <c r="J836" s="1" t="s">
        <v>775</v>
      </c>
      <c r="K836" s="1" t="s">
        <v>1358</v>
      </c>
      <c r="L836" s="1" t="s">
        <v>79</v>
      </c>
      <c r="M836" s="1" t="s">
        <v>79</v>
      </c>
      <c r="N836" s="1" t="s">
        <v>79</v>
      </c>
      <c r="O836" s="6">
        <v>43514</v>
      </c>
      <c r="P836" s="6">
        <v>43511</v>
      </c>
      <c r="Q836" s="6"/>
      <c r="R836" s="1" t="s">
        <v>784</v>
      </c>
      <c r="S836" s="1" t="s">
        <v>79</v>
      </c>
      <c r="T836" s="5">
        <v>0</v>
      </c>
      <c r="U836" s="4">
        <v>42</v>
      </c>
      <c r="V836" s="5">
        <v>1284</v>
      </c>
      <c r="W836" s="6"/>
      <c r="X836" s="6"/>
      <c r="Y836" s="6"/>
      <c r="Z836" s="6"/>
      <c r="AA836" s="6"/>
      <c r="AB836" s="6"/>
      <c r="AC836" s="6"/>
      <c r="AD836" s="6">
        <v>43560</v>
      </c>
    </row>
    <row r="837" spans="1:30">
      <c r="A837" s="1" t="s">
        <v>772</v>
      </c>
      <c r="B837" s="1" t="s">
        <v>773</v>
      </c>
      <c r="C837" s="1" t="s">
        <v>989</v>
      </c>
      <c r="D837" s="1" t="s">
        <v>1359</v>
      </c>
      <c r="E837" s="1" t="str">
        <f t="shared" ref="E837:E900" si="13">RIGHT(C837,3)</f>
        <v>W05</v>
      </c>
      <c r="F837" s="5">
        <v>0</v>
      </c>
      <c r="G837" s="5">
        <v>0</v>
      </c>
      <c r="H837" s="5">
        <v>0</v>
      </c>
      <c r="I837" s="5"/>
      <c r="J837" s="1" t="s">
        <v>775</v>
      </c>
      <c r="K837" s="1" t="s">
        <v>1358</v>
      </c>
      <c r="L837" s="1" t="s">
        <v>79</v>
      </c>
      <c r="M837" s="1" t="s">
        <v>79</v>
      </c>
      <c r="N837" s="1" t="s">
        <v>79</v>
      </c>
      <c r="O837" s="6">
        <v>43514</v>
      </c>
      <c r="P837" s="6">
        <v>43511</v>
      </c>
      <c r="Q837" s="6"/>
      <c r="R837" s="1" t="s">
        <v>784</v>
      </c>
      <c r="S837" s="1" t="s">
        <v>79</v>
      </c>
      <c r="T837" s="5">
        <v>0</v>
      </c>
      <c r="U837" s="4">
        <v>42</v>
      </c>
      <c r="V837" s="5">
        <v>1284</v>
      </c>
      <c r="W837" s="6"/>
      <c r="X837" s="6"/>
      <c r="Y837" s="6"/>
      <c r="Z837" s="6"/>
      <c r="AA837" s="6"/>
      <c r="AB837" s="6"/>
      <c r="AC837" s="6"/>
      <c r="AD837" s="6">
        <v>43570</v>
      </c>
    </row>
    <row r="838" spans="1:30">
      <c r="A838" s="1" t="s">
        <v>772</v>
      </c>
      <c r="B838" s="1" t="s">
        <v>773</v>
      </c>
      <c r="C838" s="1" t="s">
        <v>989</v>
      </c>
      <c r="D838" s="1" t="s">
        <v>1360</v>
      </c>
      <c r="E838" s="1" t="str">
        <f t="shared" si="13"/>
        <v>W05</v>
      </c>
      <c r="F838" s="5">
        <v>0</v>
      </c>
      <c r="G838" s="5">
        <v>0</v>
      </c>
      <c r="H838" s="5">
        <v>0</v>
      </c>
      <c r="I838" s="5"/>
      <c r="J838" s="1" t="s">
        <v>775</v>
      </c>
      <c r="K838" s="1" t="s">
        <v>1361</v>
      </c>
      <c r="L838" s="1" t="s">
        <v>79</v>
      </c>
      <c r="M838" s="1" t="s">
        <v>79</v>
      </c>
      <c r="N838" s="1" t="s">
        <v>79</v>
      </c>
      <c r="O838" s="6">
        <v>43613</v>
      </c>
      <c r="P838" s="6">
        <v>43605</v>
      </c>
      <c r="Q838" s="6"/>
      <c r="R838" s="1" t="s">
        <v>784</v>
      </c>
      <c r="S838" s="1" t="s">
        <v>79</v>
      </c>
      <c r="T838" s="5">
        <v>180</v>
      </c>
      <c r="U838" s="4">
        <v>39</v>
      </c>
      <c r="V838" s="5">
        <v>1190</v>
      </c>
      <c r="W838" s="6"/>
      <c r="X838" s="6"/>
      <c r="Y838" s="6"/>
      <c r="Z838" s="6"/>
      <c r="AA838" s="6"/>
      <c r="AB838" s="6"/>
      <c r="AC838" s="6"/>
      <c r="AD838" s="6">
        <v>43700</v>
      </c>
    </row>
    <row r="839" spans="1:30">
      <c r="A839" s="1" t="s">
        <v>772</v>
      </c>
      <c r="B839" s="1" t="s">
        <v>773</v>
      </c>
      <c r="C839" s="1" t="s">
        <v>989</v>
      </c>
      <c r="D839" s="1" t="s">
        <v>1362</v>
      </c>
      <c r="E839" s="1" t="str">
        <f t="shared" si="13"/>
        <v>W05</v>
      </c>
      <c r="F839" s="5">
        <v>0</v>
      </c>
      <c r="G839" s="5">
        <v>0</v>
      </c>
      <c r="H839" s="5">
        <v>0</v>
      </c>
      <c r="I839" s="5"/>
      <c r="J839" s="1" t="s">
        <v>775</v>
      </c>
      <c r="K839" s="1" t="s">
        <v>1361</v>
      </c>
      <c r="L839" s="1" t="s">
        <v>79</v>
      </c>
      <c r="M839" s="1" t="s">
        <v>79</v>
      </c>
      <c r="N839" s="1" t="s">
        <v>79</v>
      </c>
      <c r="O839" s="6">
        <v>43613</v>
      </c>
      <c r="P839" s="6">
        <v>43605</v>
      </c>
      <c r="Q839" s="6"/>
      <c r="R839" s="1" t="s">
        <v>784</v>
      </c>
      <c r="S839" s="1" t="s">
        <v>79</v>
      </c>
      <c r="T839" s="5">
        <v>180</v>
      </c>
      <c r="U839" s="4">
        <v>39</v>
      </c>
      <c r="V839" s="5">
        <v>1190</v>
      </c>
      <c r="W839" s="6"/>
      <c r="X839" s="6"/>
      <c r="Y839" s="6"/>
      <c r="Z839" s="6"/>
      <c r="AA839" s="6"/>
      <c r="AB839" s="6"/>
      <c r="AC839" s="6"/>
      <c r="AD839" s="6">
        <v>43721</v>
      </c>
    </row>
    <row r="840" spans="1:30">
      <c r="A840" s="1" t="s">
        <v>772</v>
      </c>
      <c r="B840" s="1" t="s">
        <v>773</v>
      </c>
      <c r="C840" s="1" t="s">
        <v>989</v>
      </c>
      <c r="D840" s="1" t="s">
        <v>1363</v>
      </c>
      <c r="E840" s="1" t="str">
        <f t="shared" si="13"/>
        <v>W05</v>
      </c>
      <c r="F840" s="5">
        <v>0</v>
      </c>
      <c r="G840" s="5">
        <v>0</v>
      </c>
      <c r="H840" s="5">
        <v>0</v>
      </c>
      <c r="I840" s="5"/>
      <c r="J840" s="1" t="s">
        <v>775</v>
      </c>
      <c r="K840" s="1" t="s">
        <v>1361</v>
      </c>
      <c r="L840" s="1" t="s">
        <v>79</v>
      </c>
      <c r="M840" s="1" t="s">
        <v>79</v>
      </c>
      <c r="N840" s="1" t="s">
        <v>79</v>
      </c>
      <c r="O840" s="6">
        <v>43613</v>
      </c>
      <c r="P840" s="6">
        <v>43605</v>
      </c>
      <c r="Q840" s="6"/>
      <c r="R840" s="1" t="s">
        <v>784</v>
      </c>
      <c r="S840" s="1" t="s">
        <v>79</v>
      </c>
      <c r="T840" s="5">
        <v>180</v>
      </c>
      <c r="U840" s="4">
        <v>39</v>
      </c>
      <c r="V840" s="5">
        <v>1190</v>
      </c>
      <c r="W840" s="6"/>
      <c r="X840" s="6"/>
      <c r="Y840" s="6"/>
      <c r="Z840" s="6"/>
      <c r="AA840" s="6"/>
      <c r="AB840" s="6"/>
      <c r="AC840" s="6"/>
      <c r="AD840" s="6">
        <v>43739</v>
      </c>
    </row>
    <row r="841" spans="1:30">
      <c r="A841" s="1" t="s">
        <v>772</v>
      </c>
      <c r="B841" s="1" t="s">
        <v>773</v>
      </c>
      <c r="C841" s="1" t="s">
        <v>989</v>
      </c>
      <c r="D841" s="1" t="s">
        <v>1364</v>
      </c>
      <c r="E841" s="1" t="str">
        <f t="shared" si="13"/>
        <v>W05</v>
      </c>
      <c r="F841" s="5">
        <v>0</v>
      </c>
      <c r="G841" s="5">
        <v>0</v>
      </c>
      <c r="H841" s="5">
        <v>0</v>
      </c>
      <c r="I841" s="5"/>
      <c r="J841" s="1" t="s">
        <v>775</v>
      </c>
      <c r="K841" s="1" t="s">
        <v>1361</v>
      </c>
      <c r="L841" s="1" t="s">
        <v>79</v>
      </c>
      <c r="M841" s="1" t="s">
        <v>79</v>
      </c>
      <c r="N841" s="1" t="s">
        <v>79</v>
      </c>
      <c r="O841" s="6">
        <v>43613</v>
      </c>
      <c r="P841" s="6">
        <v>43605</v>
      </c>
      <c r="Q841" s="6"/>
      <c r="R841" s="1" t="s">
        <v>784</v>
      </c>
      <c r="S841" s="1" t="s">
        <v>79</v>
      </c>
      <c r="T841" s="5">
        <v>180</v>
      </c>
      <c r="U841" s="4">
        <v>39</v>
      </c>
      <c r="V841" s="5">
        <v>1190</v>
      </c>
      <c r="W841" s="6"/>
      <c r="X841" s="6"/>
      <c r="Y841" s="6"/>
      <c r="Z841" s="6"/>
      <c r="AA841" s="6"/>
      <c r="AB841" s="6"/>
      <c r="AC841" s="6"/>
      <c r="AD841" s="6">
        <v>43754</v>
      </c>
    </row>
    <row r="842" spans="1:30">
      <c r="A842" s="1" t="s">
        <v>772</v>
      </c>
      <c r="B842" s="1" t="s">
        <v>773</v>
      </c>
      <c r="C842" s="1" t="s">
        <v>989</v>
      </c>
      <c r="D842" s="1" t="s">
        <v>1365</v>
      </c>
      <c r="E842" s="1" t="str">
        <f t="shared" si="13"/>
        <v>W05</v>
      </c>
      <c r="F842" s="5">
        <v>0</v>
      </c>
      <c r="G842" s="5">
        <v>0</v>
      </c>
      <c r="H842" s="5">
        <v>0</v>
      </c>
      <c r="I842" s="5"/>
      <c r="J842" s="1" t="s">
        <v>775</v>
      </c>
      <c r="K842" s="1" t="s">
        <v>1361</v>
      </c>
      <c r="L842" s="1" t="s">
        <v>79</v>
      </c>
      <c r="M842" s="1" t="s">
        <v>79</v>
      </c>
      <c r="N842" s="1" t="s">
        <v>79</v>
      </c>
      <c r="O842" s="6">
        <v>43613</v>
      </c>
      <c r="P842" s="6">
        <v>43605</v>
      </c>
      <c r="Q842" s="6"/>
      <c r="R842" s="1" t="s">
        <v>784</v>
      </c>
      <c r="S842" s="1" t="s">
        <v>79</v>
      </c>
      <c r="T842" s="5">
        <v>180</v>
      </c>
      <c r="U842" s="4">
        <v>39</v>
      </c>
      <c r="V842" s="5">
        <v>1190</v>
      </c>
      <c r="W842" s="6"/>
      <c r="X842" s="6"/>
      <c r="Y842" s="6"/>
      <c r="Z842" s="6"/>
      <c r="AA842" s="6"/>
      <c r="AB842" s="6"/>
      <c r="AC842" s="6"/>
      <c r="AD842" s="6">
        <v>43767</v>
      </c>
    </row>
    <row r="843" spans="1:30">
      <c r="A843" s="1" t="s">
        <v>772</v>
      </c>
      <c r="B843" s="1" t="s">
        <v>773</v>
      </c>
      <c r="C843" s="1" t="s">
        <v>989</v>
      </c>
      <c r="D843" s="1" t="s">
        <v>1366</v>
      </c>
      <c r="E843" s="1" t="str">
        <f t="shared" si="13"/>
        <v>W05</v>
      </c>
      <c r="F843" s="5">
        <v>0</v>
      </c>
      <c r="G843" s="5">
        <v>0</v>
      </c>
      <c r="H843" s="5">
        <v>0</v>
      </c>
      <c r="I843" s="5"/>
      <c r="J843" s="1" t="s">
        <v>775</v>
      </c>
      <c r="K843" s="1" t="s">
        <v>1367</v>
      </c>
      <c r="L843" s="1" t="s">
        <v>79</v>
      </c>
      <c r="M843" s="1" t="s">
        <v>79</v>
      </c>
      <c r="N843" s="1" t="s">
        <v>79</v>
      </c>
      <c r="O843" s="6">
        <v>43684</v>
      </c>
      <c r="P843" s="6">
        <v>43678</v>
      </c>
      <c r="Q843" s="6"/>
      <c r="R843" s="1" t="s">
        <v>784</v>
      </c>
      <c r="S843" s="1" t="s">
        <v>79</v>
      </c>
      <c r="T843" s="5">
        <v>180</v>
      </c>
      <c r="U843" s="4">
        <v>36</v>
      </c>
      <c r="V843" s="5">
        <v>1117</v>
      </c>
      <c r="W843" s="6"/>
      <c r="X843" s="6"/>
      <c r="Y843" s="6"/>
      <c r="Z843" s="6"/>
      <c r="AA843" s="6"/>
      <c r="AB843" s="6"/>
      <c r="AC843" s="6"/>
      <c r="AD843" s="6">
        <v>43776</v>
      </c>
    </row>
    <row r="844" spans="1:30">
      <c r="A844" s="1" t="s">
        <v>772</v>
      </c>
      <c r="B844" s="1" t="s">
        <v>773</v>
      </c>
      <c r="C844" s="1" t="s">
        <v>989</v>
      </c>
      <c r="D844" s="1" t="s">
        <v>1368</v>
      </c>
      <c r="E844" s="1" t="str">
        <f t="shared" si="13"/>
        <v>W05</v>
      </c>
      <c r="F844" s="5">
        <v>0</v>
      </c>
      <c r="G844" s="5">
        <v>0</v>
      </c>
      <c r="H844" s="5">
        <v>0</v>
      </c>
      <c r="I844" s="5"/>
      <c r="J844" s="1" t="s">
        <v>775</v>
      </c>
      <c r="K844" s="1" t="s">
        <v>1369</v>
      </c>
      <c r="L844" s="1" t="s">
        <v>79</v>
      </c>
      <c r="M844" s="1" t="s">
        <v>79</v>
      </c>
      <c r="N844" s="1" t="s">
        <v>79</v>
      </c>
      <c r="O844" s="6">
        <v>43658</v>
      </c>
      <c r="P844" s="6">
        <v>43656</v>
      </c>
      <c r="Q844" s="6"/>
      <c r="R844" s="1" t="s">
        <v>784</v>
      </c>
      <c r="S844" s="1" t="s">
        <v>79</v>
      </c>
      <c r="T844" s="5">
        <v>180</v>
      </c>
      <c r="U844" s="4">
        <v>37</v>
      </c>
      <c r="V844" s="5">
        <v>1139</v>
      </c>
      <c r="W844" s="6"/>
      <c r="X844" s="6"/>
      <c r="Y844" s="6"/>
      <c r="Z844" s="6"/>
      <c r="AA844" s="6"/>
      <c r="AB844" s="6"/>
      <c r="AC844" s="6"/>
      <c r="AD844" s="6">
        <v>43787</v>
      </c>
    </row>
    <row r="845" spans="1:30">
      <c r="A845" s="1" t="s">
        <v>772</v>
      </c>
      <c r="B845" s="1" t="s">
        <v>773</v>
      </c>
      <c r="C845" s="1" t="s">
        <v>989</v>
      </c>
      <c r="D845" s="1" t="s">
        <v>1370</v>
      </c>
      <c r="E845" s="1" t="str">
        <f t="shared" si="13"/>
        <v>W05</v>
      </c>
      <c r="F845" s="5">
        <v>0</v>
      </c>
      <c r="G845" s="5">
        <v>0</v>
      </c>
      <c r="H845" s="5">
        <v>0</v>
      </c>
      <c r="I845" s="5"/>
      <c r="J845" s="1" t="s">
        <v>775</v>
      </c>
      <c r="K845" s="1" t="s">
        <v>1369</v>
      </c>
      <c r="L845" s="1" t="s">
        <v>79</v>
      </c>
      <c r="M845" s="1" t="s">
        <v>79</v>
      </c>
      <c r="N845" s="1" t="s">
        <v>79</v>
      </c>
      <c r="O845" s="6">
        <v>43658</v>
      </c>
      <c r="P845" s="6">
        <v>43656</v>
      </c>
      <c r="Q845" s="6"/>
      <c r="R845" s="1" t="s">
        <v>784</v>
      </c>
      <c r="S845" s="1" t="s">
        <v>79</v>
      </c>
      <c r="T845" s="5">
        <v>180</v>
      </c>
      <c r="U845" s="4">
        <v>37</v>
      </c>
      <c r="V845" s="5">
        <v>1139</v>
      </c>
      <c r="W845" s="6"/>
      <c r="X845" s="6"/>
      <c r="Y845" s="6"/>
      <c r="Z845" s="6"/>
      <c r="AA845" s="6"/>
      <c r="AB845" s="6"/>
      <c r="AC845" s="6"/>
      <c r="AD845" s="6">
        <v>43756</v>
      </c>
    </row>
    <row r="846" spans="1:30">
      <c r="A846" s="1" t="s">
        <v>772</v>
      </c>
      <c r="B846" s="1" t="s">
        <v>773</v>
      </c>
      <c r="C846" s="1" t="s">
        <v>989</v>
      </c>
      <c r="D846" s="1" t="s">
        <v>1371</v>
      </c>
      <c r="E846" s="1" t="str">
        <f t="shared" si="13"/>
        <v>W05</v>
      </c>
      <c r="F846" s="5">
        <v>0</v>
      </c>
      <c r="G846" s="5">
        <v>0</v>
      </c>
      <c r="H846" s="5">
        <v>0</v>
      </c>
      <c r="I846" s="5"/>
      <c r="J846" s="1" t="s">
        <v>775</v>
      </c>
      <c r="K846" s="1" t="s">
        <v>1372</v>
      </c>
      <c r="L846" s="1" t="s">
        <v>79</v>
      </c>
      <c r="M846" s="1" t="s">
        <v>79</v>
      </c>
      <c r="N846" s="1" t="s">
        <v>79</v>
      </c>
      <c r="O846" s="6">
        <v>43719</v>
      </c>
      <c r="P846" s="6">
        <v>43709</v>
      </c>
      <c r="Q846" s="6"/>
      <c r="R846" s="1" t="s">
        <v>784</v>
      </c>
      <c r="S846" s="1" t="s">
        <v>79</v>
      </c>
      <c r="T846" s="5">
        <v>180</v>
      </c>
      <c r="U846" s="4">
        <v>35</v>
      </c>
      <c r="V846" s="5">
        <v>1086</v>
      </c>
      <c r="W846" s="6"/>
      <c r="X846" s="6"/>
      <c r="Y846" s="6"/>
      <c r="Z846" s="6"/>
      <c r="AA846" s="6"/>
      <c r="AB846" s="6"/>
      <c r="AC846" s="6"/>
      <c r="AD846" s="6">
        <v>43816</v>
      </c>
    </row>
    <row r="847" spans="1:30">
      <c r="A847" s="1" t="s">
        <v>772</v>
      </c>
      <c r="B847" s="1" t="s">
        <v>773</v>
      </c>
      <c r="C847" s="1" t="s">
        <v>989</v>
      </c>
      <c r="D847" s="1" t="s">
        <v>1373</v>
      </c>
      <c r="E847" s="1" t="str">
        <f t="shared" si="13"/>
        <v>W05</v>
      </c>
      <c r="F847" s="5">
        <v>0</v>
      </c>
      <c r="G847" s="5">
        <v>0</v>
      </c>
      <c r="H847" s="5">
        <v>0</v>
      </c>
      <c r="I847" s="5"/>
      <c r="J847" s="1" t="s">
        <v>775</v>
      </c>
      <c r="K847" s="1" t="s">
        <v>1372</v>
      </c>
      <c r="L847" s="1" t="s">
        <v>79</v>
      </c>
      <c r="M847" s="1" t="s">
        <v>79</v>
      </c>
      <c r="N847" s="1" t="s">
        <v>79</v>
      </c>
      <c r="O847" s="6">
        <v>43719</v>
      </c>
      <c r="P847" s="6">
        <v>43709</v>
      </c>
      <c r="Q847" s="6"/>
      <c r="R847" s="1" t="s">
        <v>784</v>
      </c>
      <c r="S847" s="1" t="s">
        <v>79</v>
      </c>
      <c r="T847" s="5">
        <v>180</v>
      </c>
      <c r="U847" s="4">
        <v>35</v>
      </c>
      <c r="V847" s="5">
        <v>1086</v>
      </c>
      <c r="W847" s="6"/>
      <c r="X847" s="6"/>
      <c r="Y847" s="6"/>
      <c r="Z847" s="6"/>
      <c r="AA847" s="6"/>
      <c r="AB847" s="6"/>
      <c r="AC847" s="6"/>
      <c r="AD847" s="6">
        <v>43846</v>
      </c>
    </row>
    <row r="848" spans="1:30">
      <c r="A848" s="1" t="s">
        <v>772</v>
      </c>
      <c r="B848" s="1" t="s">
        <v>773</v>
      </c>
      <c r="C848" s="1" t="s">
        <v>989</v>
      </c>
      <c r="D848" s="1" t="s">
        <v>1374</v>
      </c>
      <c r="E848" s="1" t="str">
        <f t="shared" si="13"/>
        <v>W05</v>
      </c>
      <c r="F848" s="5">
        <v>0</v>
      </c>
      <c r="G848" s="5">
        <v>0</v>
      </c>
      <c r="H848" s="5">
        <v>0</v>
      </c>
      <c r="I848" s="5"/>
      <c r="J848" s="1" t="s">
        <v>775</v>
      </c>
      <c r="K848" s="1" t="s">
        <v>1367</v>
      </c>
      <c r="L848" s="1" t="s">
        <v>79</v>
      </c>
      <c r="M848" s="1" t="s">
        <v>79</v>
      </c>
      <c r="N848" s="1" t="s">
        <v>79</v>
      </c>
      <c r="O848" s="6">
        <v>43684</v>
      </c>
      <c r="P848" s="6">
        <v>43678</v>
      </c>
      <c r="Q848" s="6"/>
      <c r="R848" s="1" t="s">
        <v>784</v>
      </c>
      <c r="S848" s="1" t="s">
        <v>79</v>
      </c>
      <c r="T848" s="5">
        <v>180</v>
      </c>
      <c r="U848" s="4">
        <v>36</v>
      </c>
      <c r="V848" s="5">
        <v>1117</v>
      </c>
      <c r="W848" s="6"/>
      <c r="X848" s="6"/>
      <c r="Y848" s="6"/>
      <c r="Z848" s="6"/>
      <c r="AA848" s="6"/>
      <c r="AB848" s="6"/>
      <c r="AC848" s="6"/>
      <c r="AD848" s="6">
        <v>43783</v>
      </c>
    </row>
    <row r="849" spans="1:30">
      <c r="A849" s="1" t="s">
        <v>772</v>
      </c>
      <c r="B849" s="1" t="s">
        <v>773</v>
      </c>
      <c r="C849" s="1" t="s">
        <v>989</v>
      </c>
      <c r="D849" s="1" t="s">
        <v>1375</v>
      </c>
      <c r="E849" s="1" t="str">
        <f t="shared" si="13"/>
        <v>W05</v>
      </c>
      <c r="F849" s="5">
        <v>0</v>
      </c>
      <c r="G849" s="5">
        <v>0</v>
      </c>
      <c r="H849" s="5">
        <v>0</v>
      </c>
      <c r="I849" s="5"/>
      <c r="J849" s="1" t="s">
        <v>775</v>
      </c>
      <c r="K849" s="1" t="s">
        <v>1367</v>
      </c>
      <c r="L849" s="1" t="s">
        <v>79</v>
      </c>
      <c r="M849" s="1" t="s">
        <v>79</v>
      </c>
      <c r="N849" s="1" t="s">
        <v>79</v>
      </c>
      <c r="O849" s="6">
        <v>43684</v>
      </c>
      <c r="P849" s="6">
        <v>43678</v>
      </c>
      <c r="Q849" s="6"/>
      <c r="R849" s="1" t="s">
        <v>784</v>
      </c>
      <c r="S849" s="1" t="s">
        <v>79</v>
      </c>
      <c r="T849" s="5">
        <v>180</v>
      </c>
      <c r="U849" s="4">
        <v>36</v>
      </c>
      <c r="V849" s="5">
        <v>1117</v>
      </c>
      <c r="W849" s="6"/>
      <c r="X849" s="6"/>
      <c r="Y849" s="6"/>
      <c r="Z849" s="6"/>
      <c r="AA849" s="6"/>
      <c r="AB849" s="6"/>
      <c r="AC849" s="6"/>
      <c r="AD849" s="6">
        <v>43791</v>
      </c>
    </row>
    <row r="850" spans="1:30">
      <c r="A850" s="1" t="s">
        <v>772</v>
      </c>
      <c r="B850" s="1" t="s">
        <v>773</v>
      </c>
      <c r="C850" s="1" t="s">
        <v>989</v>
      </c>
      <c r="D850" s="1" t="s">
        <v>1376</v>
      </c>
      <c r="E850" s="1" t="str">
        <f t="shared" si="13"/>
        <v>W05</v>
      </c>
      <c r="F850" s="5">
        <v>0</v>
      </c>
      <c r="G850" s="5">
        <v>0</v>
      </c>
      <c r="H850" s="5">
        <v>0</v>
      </c>
      <c r="I850" s="5"/>
      <c r="J850" s="1" t="s">
        <v>775</v>
      </c>
      <c r="K850" s="1" t="s">
        <v>1367</v>
      </c>
      <c r="L850" s="1" t="s">
        <v>79</v>
      </c>
      <c r="M850" s="1" t="s">
        <v>79</v>
      </c>
      <c r="N850" s="1" t="s">
        <v>79</v>
      </c>
      <c r="O850" s="6">
        <v>43708</v>
      </c>
      <c r="P850" s="6">
        <v>43697</v>
      </c>
      <c r="Q850" s="6"/>
      <c r="R850" s="1" t="s">
        <v>784</v>
      </c>
      <c r="S850" s="1" t="s">
        <v>79</v>
      </c>
      <c r="T850" s="5">
        <v>180</v>
      </c>
      <c r="U850" s="4">
        <v>36</v>
      </c>
      <c r="V850" s="5">
        <v>1098</v>
      </c>
      <c r="W850" s="6"/>
      <c r="X850" s="6"/>
      <c r="Y850" s="6"/>
      <c r="Z850" s="6"/>
      <c r="AA850" s="6"/>
      <c r="AB850" s="6"/>
      <c r="AC850" s="6"/>
      <c r="AD850" s="6">
        <v>43802</v>
      </c>
    </row>
    <row r="851" spans="1:30">
      <c r="A851" s="1" t="s">
        <v>772</v>
      </c>
      <c r="B851" s="1" t="s">
        <v>773</v>
      </c>
      <c r="C851" s="1" t="s">
        <v>989</v>
      </c>
      <c r="D851" s="1" t="s">
        <v>1377</v>
      </c>
      <c r="E851" s="1" t="str">
        <f t="shared" si="13"/>
        <v>W05</v>
      </c>
      <c r="F851" s="5">
        <v>0</v>
      </c>
      <c r="G851" s="5">
        <v>0</v>
      </c>
      <c r="H851" s="5">
        <v>0</v>
      </c>
      <c r="I851" s="5"/>
      <c r="J851" s="1" t="s">
        <v>775</v>
      </c>
      <c r="K851" s="1" t="s">
        <v>1367</v>
      </c>
      <c r="L851" s="1" t="s">
        <v>79</v>
      </c>
      <c r="M851" s="1" t="s">
        <v>79</v>
      </c>
      <c r="N851" s="1" t="s">
        <v>79</v>
      </c>
      <c r="O851" s="6">
        <v>43708</v>
      </c>
      <c r="P851" s="6">
        <v>43697</v>
      </c>
      <c r="Q851" s="6"/>
      <c r="R851" s="1" t="s">
        <v>784</v>
      </c>
      <c r="S851" s="1" t="s">
        <v>79</v>
      </c>
      <c r="T851" s="5">
        <v>180</v>
      </c>
      <c r="U851" s="4">
        <v>36</v>
      </c>
      <c r="V851" s="5">
        <v>1098</v>
      </c>
      <c r="W851" s="6"/>
      <c r="X851" s="6"/>
      <c r="Y851" s="6"/>
      <c r="Z851" s="6"/>
      <c r="AA851" s="6"/>
      <c r="AB851" s="6"/>
      <c r="AC851" s="6"/>
      <c r="AD851" s="6">
        <v>43812</v>
      </c>
    </row>
    <row r="852" spans="1:30">
      <c r="A852" s="1" t="s">
        <v>772</v>
      </c>
      <c r="B852" s="1" t="s">
        <v>773</v>
      </c>
      <c r="C852" s="1" t="s">
        <v>989</v>
      </c>
      <c r="D852" s="1" t="s">
        <v>1378</v>
      </c>
      <c r="E852" s="1" t="str">
        <f t="shared" si="13"/>
        <v>W05</v>
      </c>
      <c r="F852" s="5">
        <v>0</v>
      </c>
      <c r="G852" s="5">
        <v>0</v>
      </c>
      <c r="H852" s="5">
        <v>0</v>
      </c>
      <c r="I852" s="5"/>
      <c r="J852" s="1" t="s">
        <v>775</v>
      </c>
      <c r="K852" s="1" t="s">
        <v>1372</v>
      </c>
      <c r="L852" s="1" t="s">
        <v>79</v>
      </c>
      <c r="M852" s="1" t="s">
        <v>79</v>
      </c>
      <c r="N852" s="1" t="s">
        <v>79</v>
      </c>
      <c r="O852" s="6">
        <v>43719</v>
      </c>
      <c r="P852" s="6">
        <v>43709</v>
      </c>
      <c r="Q852" s="6"/>
      <c r="R852" s="1" t="s">
        <v>784</v>
      </c>
      <c r="S852" s="1" t="s">
        <v>79</v>
      </c>
      <c r="T852" s="5">
        <v>180</v>
      </c>
      <c r="U852" s="4">
        <v>35</v>
      </c>
      <c r="V852" s="5">
        <v>1086</v>
      </c>
      <c r="W852" s="6"/>
      <c r="X852" s="6"/>
      <c r="Y852" s="6"/>
      <c r="Z852" s="6"/>
      <c r="AA852" s="6"/>
      <c r="AB852" s="6"/>
      <c r="AC852" s="6"/>
      <c r="AD852" s="6">
        <v>43829</v>
      </c>
    </row>
    <row r="853" spans="1:30">
      <c r="A853" s="1" t="s">
        <v>772</v>
      </c>
      <c r="B853" s="1" t="s">
        <v>773</v>
      </c>
      <c r="C853" s="1" t="s">
        <v>989</v>
      </c>
      <c r="D853" s="1" t="s">
        <v>1379</v>
      </c>
      <c r="E853" s="1" t="str">
        <f t="shared" si="13"/>
        <v>W05</v>
      </c>
      <c r="F853" s="5">
        <v>0</v>
      </c>
      <c r="G853" s="5">
        <v>0</v>
      </c>
      <c r="H853" s="5">
        <v>0</v>
      </c>
      <c r="I853" s="5"/>
      <c r="J853" s="1" t="s">
        <v>775</v>
      </c>
      <c r="K853" s="1" t="s">
        <v>1372</v>
      </c>
      <c r="L853" s="1" t="s">
        <v>79</v>
      </c>
      <c r="M853" s="1" t="s">
        <v>79</v>
      </c>
      <c r="N853" s="1" t="s">
        <v>79</v>
      </c>
      <c r="O853" s="6">
        <v>43719</v>
      </c>
      <c r="P853" s="6">
        <v>43709</v>
      </c>
      <c r="Q853" s="6"/>
      <c r="R853" s="1" t="s">
        <v>784</v>
      </c>
      <c r="S853" s="1" t="s">
        <v>79</v>
      </c>
      <c r="T853" s="5">
        <v>180</v>
      </c>
      <c r="U853" s="4">
        <v>35</v>
      </c>
      <c r="V853" s="5">
        <v>1086</v>
      </c>
      <c r="W853" s="6"/>
      <c r="X853" s="6"/>
      <c r="Y853" s="6"/>
      <c r="Z853" s="6"/>
      <c r="AA853" s="6"/>
      <c r="AB853" s="6"/>
      <c r="AC853" s="6"/>
      <c r="AD853" s="6">
        <v>43906</v>
      </c>
    </row>
    <row r="854" spans="1:30">
      <c r="A854" s="1" t="s">
        <v>772</v>
      </c>
      <c r="B854" s="1" t="s">
        <v>773</v>
      </c>
      <c r="C854" s="1" t="s">
        <v>989</v>
      </c>
      <c r="D854" s="1" t="s">
        <v>1380</v>
      </c>
      <c r="E854" s="1" t="str">
        <f t="shared" si="13"/>
        <v>W05</v>
      </c>
      <c r="F854" s="5">
        <v>0</v>
      </c>
      <c r="G854" s="5">
        <v>0</v>
      </c>
      <c r="H854" s="5">
        <v>0</v>
      </c>
      <c r="I854" s="5"/>
      <c r="J854" s="1" t="s">
        <v>775</v>
      </c>
      <c r="K854" s="1" t="s">
        <v>1372</v>
      </c>
      <c r="L854" s="1" t="s">
        <v>79</v>
      </c>
      <c r="M854" s="1" t="s">
        <v>79</v>
      </c>
      <c r="N854" s="1" t="s">
        <v>79</v>
      </c>
      <c r="O854" s="6">
        <v>43732</v>
      </c>
      <c r="P854" s="6">
        <v>43723</v>
      </c>
      <c r="Q854" s="6"/>
      <c r="R854" s="1" t="s">
        <v>784</v>
      </c>
      <c r="S854" s="1" t="s">
        <v>79</v>
      </c>
      <c r="T854" s="5">
        <v>180</v>
      </c>
      <c r="U854" s="4">
        <v>35</v>
      </c>
      <c r="V854" s="5">
        <v>1072</v>
      </c>
      <c r="W854" s="6"/>
      <c r="X854" s="6"/>
      <c r="Y854" s="6"/>
      <c r="Z854" s="6"/>
      <c r="AA854" s="6"/>
      <c r="AB854" s="6"/>
      <c r="AC854" s="6"/>
      <c r="AD854" s="6">
        <v>43928</v>
      </c>
    </row>
    <row r="855" spans="1:30">
      <c r="A855" s="1" t="s">
        <v>772</v>
      </c>
      <c r="B855" s="1" t="s">
        <v>773</v>
      </c>
      <c r="C855" s="1" t="s">
        <v>989</v>
      </c>
      <c r="D855" s="1" t="s">
        <v>1381</v>
      </c>
      <c r="E855" s="1" t="str">
        <f t="shared" si="13"/>
        <v>W05</v>
      </c>
      <c r="F855" s="5">
        <v>0</v>
      </c>
      <c r="G855" s="5">
        <v>0</v>
      </c>
      <c r="H855" s="5">
        <v>0</v>
      </c>
      <c r="I855" s="5"/>
      <c r="J855" s="1" t="s">
        <v>775</v>
      </c>
      <c r="K855" s="1" t="s">
        <v>1372</v>
      </c>
      <c r="L855" s="1" t="s">
        <v>79</v>
      </c>
      <c r="M855" s="1" t="s">
        <v>79</v>
      </c>
      <c r="N855" s="1" t="s">
        <v>79</v>
      </c>
      <c r="O855" s="6">
        <v>43732</v>
      </c>
      <c r="P855" s="6">
        <v>43723</v>
      </c>
      <c r="Q855" s="6"/>
      <c r="R855" s="1" t="s">
        <v>784</v>
      </c>
      <c r="S855" s="1" t="s">
        <v>79</v>
      </c>
      <c r="T855" s="5">
        <v>180</v>
      </c>
      <c r="U855" s="4">
        <v>35</v>
      </c>
      <c r="V855" s="5">
        <v>1072</v>
      </c>
      <c r="W855" s="6"/>
      <c r="X855" s="6"/>
      <c r="Y855" s="6"/>
      <c r="Z855" s="6"/>
      <c r="AA855" s="6"/>
      <c r="AB855" s="6"/>
      <c r="AC855" s="6"/>
      <c r="AD855" s="6">
        <v>43984</v>
      </c>
    </row>
    <row r="856" spans="1:30">
      <c r="A856" s="1" t="s">
        <v>772</v>
      </c>
      <c r="B856" s="1" t="s">
        <v>773</v>
      </c>
      <c r="C856" s="1" t="s">
        <v>989</v>
      </c>
      <c r="D856" s="1" t="s">
        <v>1382</v>
      </c>
      <c r="E856" s="1" t="str">
        <f t="shared" si="13"/>
        <v>W05</v>
      </c>
      <c r="F856" s="5">
        <v>0</v>
      </c>
      <c r="G856" s="5">
        <v>0</v>
      </c>
      <c r="H856" s="5">
        <v>0</v>
      </c>
      <c r="I856" s="5"/>
      <c r="J856" s="1" t="s">
        <v>775</v>
      </c>
      <c r="K856" s="1" t="s">
        <v>1372</v>
      </c>
      <c r="L856" s="1" t="s">
        <v>79</v>
      </c>
      <c r="M856" s="1" t="s">
        <v>79</v>
      </c>
      <c r="N856" s="1" t="s">
        <v>79</v>
      </c>
      <c r="O856" s="6">
        <v>43732</v>
      </c>
      <c r="P856" s="6">
        <v>43723</v>
      </c>
      <c r="Q856" s="6"/>
      <c r="R856" s="1" t="s">
        <v>784</v>
      </c>
      <c r="S856" s="1" t="s">
        <v>79</v>
      </c>
      <c r="T856" s="5">
        <v>180</v>
      </c>
      <c r="U856" s="4">
        <v>35</v>
      </c>
      <c r="V856" s="5">
        <v>1072</v>
      </c>
      <c r="W856" s="6"/>
      <c r="X856" s="6"/>
      <c r="Y856" s="6"/>
      <c r="Z856" s="6"/>
      <c r="AA856" s="6"/>
      <c r="AB856" s="6"/>
      <c r="AC856" s="6"/>
      <c r="AD856" s="6">
        <v>43851</v>
      </c>
    </row>
    <row r="857" spans="1:30">
      <c r="A857" s="1" t="s">
        <v>772</v>
      </c>
      <c r="B857" s="1" t="s">
        <v>773</v>
      </c>
      <c r="C857" s="1" t="s">
        <v>989</v>
      </c>
      <c r="D857" s="1" t="s">
        <v>1383</v>
      </c>
      <c r="E857" s="1" t="str">
        <f t="shared" si="13"/>
        <v>W05</v>
      </c>
      <c r="F857" s="5">
        <v>0</v>
      </c>
      <c r="G857" s="5">
        <v>0</v>
      </c>
      <c r="H857" s="5">
        <v>0</v>
      </c>
      <c r="I857" s="5"/>
      <c r="J857" s="1" t="s">
        <v>775</v>
      </c>
      <c r="K857" s="1" t="s">
        <v>1372</v>
      </c>
      <c r="L857" s="1" t="s">
        <v>79</v>
      </c>
      <c r="M857" s="1" t="s">
        <v>79</v>
      </c>
      <c r="N857" s="1" t="s">
        <v>79</v>
      </c>
      <c r="O857" s="6">
        <v>43732</v>
      </c>
      <c r="P857" s="6">
        <v>43723</v>
      </c>
      <c r="Q857" s="6"/>
      <c r="R857" s="1" t="s">
        <v>784</v>
      </c>
      <c r="S857" s="1" t="s">
        <v>79</v>
      </c>
      <c r="T857" s="5">
        <v>180</v>
      </c>
      <c r="U857" s="4">
        <v>35</v>
      </c>
      <c r="V857" s="5">
        <v>1072</v>
      </c>
      <c r="W857" s="6"/>
      <c r="X857" s="6"/>
      <c r="Y857" s="6"/>
      <c r="Z857" s="6"/>
      <c r="AA857" s="6"/>
      <c r="AB857" s="6"/>
      <c r="AC857" s="6"/>
      <c r="AD857" s="6">
        <v>43860</v>
      </c>
    </row>
    <row r="858" spans="1:30">
      <c r="A858" s="1" t="s">
        <v>772</v>
      </c>
      <c r="B858" s="1" t="s">
        <v>773</v>
      </c>
      <c r="C858" s="1" t="s">
        <v>989</v>
      </c>
      <c r="D858" s="1" t="s">
        <v>1384</v>
      </c>
      <c r="E858" s="1" t="str">
        <f t="shared" si="13"/>
        <v>W05</v>
      </c>
      <c r="F858" s="5">
        <v>0</v>
      </c>
      <c r="G858" s="5">
        <v>0</v>
      </c>
      <c r="H858" s="5">
        <v>0</v>
      </c>
      <c r="I858" s="5"/>
      <c r="J858" s="1" t="s">
        <v>775</v>
      </c>
      <c r="K858" s="1" t="s">
        <v>1385</v>
      </c>
      <c r="L858" s="1" t="s">
        <v>79</v>
      </c>
      <c r="M858" s="1" t="s">
        <v>79</v>
      </c>
      <c r="N858" s="1" t="s">
        <v>79</v>
      </c>
      <c r="O858" s="6">
        <v>43756</v>
      </c>
      <c r="P858" s="6">
        <v>43753</v>
      </c>
      <c r="Q858" s="6"/>
      <c r="R858" s="1" t="s">
        <v>784</v>
      </c>
      <c r="S858" s="1" t="s">
        <v>79</v>
      </c>
      <c r="T858" s="5">
        <v>180</v>
      </c>
      <c r="U858" s="4">
        <v>34</v>
      </c>
      <c r="V858" s="5">
        <v>1042</v>
      </c>
      <c r="W858" s="6"/>
      <c r="X858" s="6"/>
      <c r="Y858" s="6"/>
      <c r="Z858" s="6"/>
      <c r="AA858" s="6"/>
      <c r="AB858" s="6"/>
      <c r="AC858" s="6"/>
      <c r="AD858" s="6">
        <v>43860</v>
      </c>
    </row>
    <row r="859" spans="1:30">
      <c r="A859" s="1" t="s">
        <v>772</v>
      </c>
      <c r="B859" s="1" t="s">
        <v>773</v>
      </c>
      <c r="C859" s="1" t="s">
        <v>989</v>
      </c>
      <c r="D859" s="1" t="s">
        <v>1386</v>
      </c>
      <c r="E859" s="1" t="str">
        <f t="shared" si="13"/>
        <v>W05</v>
      </c>
      <c r="F859" s="5">
        <v>0</v>
      </c>
      <c r="G859" s="5">
        <v>0</v>
      </c>
      <c r="H859" s="5">
        <v>0</v>
      </c>
      <c r="I859" s="5"/>
      <c r="J859" s="1" t="s">
        <v>775</v>
      </c>
      <c r="K859" s="1" t="s">
        <v>1385</v>
      </c>
      <c r="L859" s="1" t="s">
        <v>79</v>
      </c>
      <c r="M859" s="1" t="s">
        <v>79</v>
      </c>
      <c r="N859" s="1" t="s">
        <v>79</v>
      </c>
      <c r="O859" s="6">
        <v>43756</v>
      </c>
      <c r="P859" s="6">
        <v>43753</v>
      </c>
      <c r="Q859" s="6"/>
      <c r="R859" s="1" t="s">
        <v>784</v>
      </c>
      <c r="S859" s="1" t="s">
        <v>79</v>
      </c>
      <c r="T859" s="5">
        <v>180</v>
      </c>
      <c r="U859" s="4">
        <v>34</v>
      </c>
      <c r="V859" s="5">
        <v>1042</v>
      </c>
      <c r="W859" s="6"/>
      <c r="X859" s="6"/>
      <c r="Y859" s="6"/>
      <c r="Z859" s="6"/>
      <c r="AA859" s="6"/>
      <c r="AB859" s="6"/>
      <c r="AC859" s="6"/>
      <c r="AD859" s="6">
        <v>43893</v>
      </c>
    </row>
    <row r="860" spans="1:30">
      <c r="A860" s="1" t="s">
        <v>772</v>
      </c>
      <c r="B860" s="1" t="s">
        <v>773</v>
      </c>
      <c r="C860" s="1" t="s">
        <v>989</v>
      </c>
      <c r="D860" s="1" t="s">
        <v>1387</v>
      </c>
      <c r="E860" s="1" t="str">
        <f t="shared" si="13"/>
        <v>W05</v>
      </c>
      <c r="F860" s="5">
        <v>0</v>
      </c>
      <c r="G860" s="5">
        <v>0</v>
      </c>
      <c r="H860" s="5">
        <v>0</v>
      </c>
      <c r="I860" s="5"/>
      <c r="J860" s="1" t="s">
        <v>775</v>
      </c>
      <c r="K860" s="1" t="s">
        <v>1385</v>
      </c>
      <c r="L860" s="1" t="s">
        <v>79</v>
      </c>
      <c r="M860" s="1" t="s">
        <v>79</v>
      </c>
      <c r="N860" s="1" t="s">
        <v>79</v>
      </c>
      <c r="O860" s="6">
        <v>43759</v>
      </c>
      <c r="P860" s="6">
        <v>43758</v>
      </c>
      <c r="Q860" s="6"/>
      <c r="R860" s="1" t="s">
        <v>784</v>
      </c>
      <c r="S860" s="1" t="s">
        <v>79</v>
      </c>
      <c r="T860" s="5">
        <v>180</v>
      </c>
      <c r="U860" s="4">
        <v>34</v>
      </c>
      <c r="V860" s="5">
        <v>1037</v>
      </c>
      <c r="W860" s="6"/>
      <c r="X860" s="6"/>
      <c r="Y860" s="6"/>
      <c r="Z860" s="6"/>
      <c r="AA860" s="6"/>
      <c r="AB860" s="6"/>
      <c r="AC860" s="6"/>
      <c r="AD860" s="6">
        <v>43843</v>
      </c>
    </row>
    <row r="861" spans="1:30">
      <c r="A861" s="1" t="s">
        <v>772</v>
      </c>
      <c r="B861" s="1" t="s">
        <v>773</v>
      </c>
      <c r="C861" s="1" t="s">
        <v>989</v>
      </c>
      <c r="D861" s="1" t="s">
        <v>1388</v>
      </c>
      <c r="E861" s="1" t="str">
        <f t="shared" si="13"/>
        <v>W05</v>
      </c>
      <c r="F861" s="5">
        <v>0</v>
      </c>
      <c r="G861" s="5">
        <v>0</v>
      </c>
      <c r="H861" s="5">
        <v>0</v>
      </c>
      <c r="I861" s="5"/>
      <c r="J861" s="1" t="s">
        <v>775</v>
      </c>
      <c r="K861" s="1" t="s">
        <v>1389</v>
      </c>
      <c r="L861" s="1" t="s">
        <v>79</v>
      </c>
      <c r="M861" s="1" t="s">
        <v>79</v>
      </c>
      <c r="N861" s="1" t="s">
        <v>79</v>
      </c>
      <c r="O861" s="6">
        <v>43776</v>
      </c>
      <c r="P861" s="6">
        <v>43774</v>
      </c>
      <c r="Q861" s="6"/>
      <c r="R861" s="1" t="s">
        <v>784</v>
      </c>
      <c r="S861" s="1" t="s">
        <v>79</v>
      </c>
      <c r="T861" s="5">
        <v>180</v>
      </c>
      <c r="U861" s="4">
        <v>33</v>
      </c>
      <c r="V861" s="5">
        <v>1021</v>
      </c>
      <c r="W861" s="6"/>
      <c r="X861" s="6"/>
      <c r="Y861" s="6"/>
      <c r="Z861" s="6"/>
      <c r="AA861" s="6"/>
      <c r="AB861" s="6"/>
      <c r="AC861" s="6"/>
      <c r="AD861" s="6">
        <v>43884</v>
      </c>
    </row>
    <row r="862" spans="1:30">
      <c r="A862" s="1" t="s">
        <v>772</v>
      </c>
      <c r="B862" s="1" t="s">
        <v>773</v>
      </c>
      <c r="C862" s="1" t="s">
        <v>989</v>
      </c>
      <c r="D862" s="1" t="s">
        <v>1390</v>
      </c>
      <c r="E862" s="1" t="str">
        <f t="shared" si="13"/>
        <v>W05</v>
      </c>
      <c r="F862" s="5">
        <v>0</v>
      </c>
      <c r="G862" s="5">
        <v>0</v>
      </c>
      <c r="H862" s="5">
        <v>0</v>
      </c>
      <c r="I862" s="5"/>
      <c r="J862" s="1" t="s">
        <v>775</v>
      </c>
      <c r="K862" s="1" t="s">
        <v>1389</v>
      </c>
      <c r="L862" s="1" t="s">
        <v>79</v>
      </c>
      <c r="M862" s="1" t="s">
        <v>79</v>
      </c>
      <c r="N862" s="1" t="s">
        <v>79</v>
      </c>
      <c r="O862" s="6">
        <v>43776</v>
      </c>
      <c r="P862" s="6">
        <v>43774</v>
      </c>
      <c r="Q862" s="6"/>
      <c r="R862" s="1" t="s">
        <v>784</v>
      </c>
      <c r="S862" s="1" t="s">
        <v>79</v>
      </c>
      <c r="T862" s="5">
        <v>180</v>
      </c>
      <c r="U862" s="4">
        <v>33</v>
      </c>
      <c r="V862" s="5">
        <v>1021</v>
      </c>
      <c r="W862" s="6"/>
      <c r="X862" s="6"/>
      <c r="Y862" s="6"/>
      <c r="Z862" s="6"/>
      <c r="AA862" s="6"/>
      <c r="AB862" s="6"/>
      <c r="AC862" s="6"/>
      <c r="AD862" s="6">
        <v>43846</v>
      </c>
    </row>
    <row r="863" spans="1:30">
      <c r="A863" s="1" t="s">
        <v>772</v>
      </c>
      <c r="B863" s="1" t="s">
        <v>773</v>
      </c>
      <c r="C863" s="1" t="s">
        <v>989</v>
      </c>
      <c r="D863" s="1" t="s">
        <v>1391</v>
      </c>
      <c r="E863" s="1" t="str">
        <f t="shared" si="13"/>
        <v>W05</v>
      </c>
      <c r="F863" s="5">
        <v>0</v>
      </c>
      <c r="G863" s="5">
        <v>0</v>
      </c>
      <c r="H863" s="5">
        <v>0</v>
      </c>
      <c r="I863" s="5"/>
      <c r="J863" s="1" t="s">
        <v>775</v>
      </c>
      <c r="K863" s="1" t="s">
        <v>1389</v>
      </c>
      <c r="L863" s="1" t="s">
        <v>79</v>
      </c>
      <c r="M863" s="1" t="s">
        <v>79</v>
      </c>
      <c r="N863" s="1" t="s">
        <v>79</v>
      </c>
      <c r="O863" s="6">
        <v>43796</v>
      </c>
      <c r="P863" s="6">
        <v>43795</v>
      </c>
      <c r="Q863" s="6"/>
      <c r="R863" s="1" t="s">
        <v>784</v>
      </c>
      <c r="S863" s="1" t="s">
        <v>79</v>
      </c>
      <c r="T863" s="5">
        <v>180</v>
      </c>
      <c r="U863" s="4">
        <v>32</v>
      </c>
      <c r="V863" s="5">
        <v>1000</v>
      </c>
      <c r="W863" s="6"/>
      <c r="X863" s="6"/>
      <c r="Y863" s="6"/>
      <c r="Z863" s="6"/>
      <c r="AA863" s="6"/>
      <c r="AB863" s="6"/>
      <c r="AC863" s="6"/>
      <c r="AD863" s="6">
        <v>43906</v>
      </c>
    </row>
    <row r="864" spans="1:30">
      <c r="A864" s="1" t="s">
        <v>772</v>
      </c>
      <c r="B864" s="1" t="s">
        <v>773</v>
      </c>
      <c r="C864" s="1" t="s">
        <v>989</v>
      </c>
      <c r="D864" s="1" t="s">
        <v>1392</v>
      </c>
      <c r="E864" s="1" t="str">
        <f t="shared" si="13"/>
        <v>W05</v>
      </c>
      <c r="F864" s="5">
        <v>0</v>
      </c>
      <c r="G864" s="5">
        <v>0</v>
      </c>
      <c r="H864" s="5">
        <v>0</v>
      </c>
      <c r="I864" s="5"/>
      <c r="J864" s="1" t="s">
        <v>775</v>
      </c>
      <c r="K864" s="1" t="s">
        <v>1393</v>
      </c>
      <c r="L864" s="1" t="s">
        <v>79</v>
      </c>
      <c r="M864" s="1" t="s">
        <v>79</v>
      </c>
      <c r="N864" s="1" t="s">
        <v>79</v>
      </c>
      <c r="O864" s="6">
        <v>43812</v>
      </c>
      <c r="P864" s="6">
        <v>43809</v>
      </c>
      <c r="Q864" s="6"/>
      <c r="R864" s="1" t="s">
        <v>784</v>
      </c>
      <c r="S864" s="1" t="s">
        <v>79</v>
      </c>
      <c r="T864" s="5">
        <v>180</v>
      </c>
      <c r="U864" s="4">
        <v>32</v>
      </c>
      <c r="V864" s="5">
        <v>986</v>
      </c>
      <c r="W864" s="6"/>
      <c r="X864" s="6"/>
      <c r="Y864" s="6"/>
      <c r="Z864" s="6"/>
      <c r="AA864" s="6"/>
      <c r="AB864" s="6"/>
      <c r="AC864" s="6"/>
      <c r="AD864" s="6">
        <v>43909</v>
      </c>
    </row>
    <row r="865" spans="1:30">
      <c r="A865" s="1" t="s">
        <v>772</v>
      </c>
      <c r="B865" s="1" t="s">
        <v>773</v>
      </c>
      <c r="C865" s="1" t="s">
        <v>989</v>
      </c>
      <c r="D865" s="1" t="s">
        <v>1394</v>
      </c>
      <c r="E865" s="1" t="str">
        <f t="shared" si="13"/>
        <v>W05</v>
      </c>
      <c r="F865" s="5">
        <v>0</v>
      </c>
      <c r="G865" s="5">
        <v>0</v>
      </c>
      <c r="H865" s="5">
        <v>0</v>
      </c>
      <c r="I865" s="5"/>
      <c r="J865" s="1" t="s">
        <v>775</v>
      </c>
      <c r="K865" s="1" t="s">
        <v>1393</v>
      </c>
      <c r="L865" s="1" t="s">
        <v>79</v>
      </c>
      <c r="M865" s="1" t="s">
        <v>79</v>
      </c>
      <c r="N865" s="1" t="s">
        <v>79</v>
      </c>
      <c r="O865" s="6">
        <v>43817</v>
      </c>
      <c r="P865" s="6">
        <v>43814</v>
      </c>
      <c r="Q865" s="6"/>
      <c r="R865" s="1" t="s">
        <v>784</v>
      </c>
      <c r="S865" s="1" t="s">
        <v>79</v>
      </c>
      <c r="T865" s="5">
        <v>180</v>
      </c>
      <c r="U865" s="4">
        <v>32</v>
      </c>
      <c r="V865" s="5">
        <v>981</v>
      </c>
      <c r="W865" s="6"/>
      <c r="X865" s="6"/>
      <c r="Y865" s="6"/>
      <c r="Z865" s="6"/>
      <c r="AA865" s="6"/>
      <c r="AB865" s="6"/>
      <c r="AC865" s="6"/>
      <c r="AD865" s="6">
        <v>43883</v>
      </c>
    </row>
    <row r="866" spans="1:30">
      <c r="A866" s="1" t="s">
        <v>772</v>
      </c>
      <c r="B866" s="1" t="s">
        <v>773</v>
      </c>
      <c r="C866" s="1" t="s">
        <v>989</v>
      </c>
      <c r="D866" s="1" t="s">
        <v>1395</v>
      </c>
      <c r="E866" s="1" t="str">
        <f t="shared" si="13"/>
        <v>W05</v>
      </c>
      <c r="F866" s="5">
        <v>0</v>
      </c>
      <c r="G866" s="5">
        <v>0</v>
      </c>
      <c r="H866" s="5">
        <v>0</v>
      </c>
      <c r="I866" s="5"/>
      <c r="J866" s="1" t="s">
        <v>775</v>
      </c>
      <c r="K866" s="1" t="s">
        <v>1396</v>
      </c>
      <c r="L866" s="1" t="s">
        <v>79</v>
      </c>
      <c r="M866" s="1" t="s">
        <v>79</v>
      </c>
      <c r="N866" s="1" t="s">
        <v>79</v>
      </c>
      <c r="O866" s="6">
        <v>43862</v>
      </c>
      <c r="P866" s="6">
        <v>43862</v>
      </c>
      <c r="Q866" s="6"/>
      <c r="R866" s="1" t="s">
        <v>784</v>
      </c>
      <c r="S866" s="1" t="s">
        <v>79</v>
      </c>
      <c r="T866" s="5">
        <v>180</v>
      </c>
      <c r="U866" s="4">
        <v>30</v>
      </c>
      <c r="V866" s="5">
        <v>933</v>
      </c>
      <c r="W866" s="6"/>
      <c r="X866" s="6"/>
      <c r="Y866" s="6"/>
      <c r="Z866" s="6"/>
      <c r="AA866" s="6"/>
      <c r="AB866" s="6"/>
      <c r="AC866" s="6"/>
      <c r="AD866" s="6">
        <v>43925</v>
      </c>
    </row>
    <row r="867" spans="1:30">
      <c r="A867" s="1" t="s">
        <v>772</v>
      </c>
      <c r="B867" s="1" t="s">
        <v>773</v>
      </c>
      <c r="C867" s="1" t="s">
        <v>989</v>
      </c>
      <c r="D867" s="1" t="s">
        <v>1397</v>
      </c>
      <c r="E867" s="1" t="str">
        <f t="shared" si="13"/>
        <v>W05</v>
      </c>
      <c r="F867" s="5">
        <v>0</v>
      </c>
      <c r="G867" s="5">
        <v>0</v>
      </c>
      <c r="H867" s="5">
        <v>0</v>
      </c>
      <c r="I867" s="5"/>
      <c r="J867" s="1" t="s">
        <v>775</v>
      </c>
      <c r="K867" s="1" t="s">
        <v>1385</v>
      </c>
      <c r="L867" s="1" t="s">
        <v>79</v>
      </c>
      <c r="M867" s="1" t="s">
        <v>79</v>
      </c>
      <c r="N867" s="1" t="s">
        <v>79</v>
      </c>
      <c r="O867" s="6">
        <v>43759</v>
      </c>
      <c r="P867" s="6">
        <v>43758</v>
      </c>
      <c r="Q867" s="6"/>
      <c r="R867" s="1" t="s">
        <v>784</v>
      </c>
      <c r="S867" s="1" t="s">
        <v>79</v>
      </c>
      <c r="T867" s="5">
        <v>180</v>
      </c>
      <c r="U867" s="4">
        <v>34</v>
      </c>
      <c r="V867" s="5">
        <v>1037</v>
      </c>
      <c r="W867" s="6"/>
      <c r="X867" s="6"/>
      <c r="Y867" s="6"/>
      <c r="Z867" s="6"/>
      <c r="AA867" s="6"/>
      <c r="AB867" s="6"/>
      <c r="AC867" s="6"/>
      <c r="AD867" s="6">
        <v>43873</v>
      </c>
    </row>
    <row r="868" spans="1:30">
      <c r="A868" s="1" t="s">
        <v>772</v>
      </c>
      <c r="B868" s="1" t="s">
        <v>773</v>
      </c>
      <c r="C868" s="1" t="s">
        <v>989</v>
      </c>
      <c r="D868" s="1" t="s">
        <v>1398</v>
      </c>
      <c r="E868" s="1" t="str">
        <f t="shared" si="13"/>
        <v>W05</v>
      </c>
      <c r="F868" s="5">
        <v>0</v>
      </c>
      <c r="G868" s="5">
        <v>0</v>
      </c>
      <c r="H868" s="5">
        <v>0</v>
      </c>
      <c r="I868" s="5"/>
      <c r="J868" s="1" t="s">
        <v>775</v>
      </c>
      <c r="K868" s="1" t="s">
        <v>1396</v>
      </c>
      <c r="L868" s="1" t="s">
        <v>79</v>
      </c>
      <c r="M868" s="1" t="s">
        <v>79</v>
      </c>
      <c r="N868" s="1" t="s">
        <v>79</v>
      </c>
      <c r="O868" s="6">
        <v>43862</v>
      </c>
      <c r="P868" s="6">
        <v>43862</v>
      </c>
      <c r="Q868" s="6"/>
      <c r="R868" s="1" t="s">
        <v>784</v>
      </c>
      <c r="S868" s="1" t="s">
        <v>79</v>
      </c>
      <c r="T868" s="5">
        <v>180</v>
      </c>
      <c r="U868" s="4">
        <v>30</v>
      </c>
      <c r="V868" s="5">
        <v>933</v>
      </c>
      <c r="W868" s="6"/>
      <c r="X868" s="6"/>
      <c r="Y868" s="6"/>
      <c r="Z868" s="6"/>
      <c r="AA868" s="6"/>
      <c r="AB868" s="6"/>
      <c r="AC868" s="6"/>
      <c r="AD868" s="6">
        <v>43934</v>
      </c>
    </row>
    <row r="869" spans="1:30">
      <c r="A869" s="1" t="s">
        <v>772</v>
      </c>
      <c r="B869" s="1" t="s">
        <v>773</v>
      </c>
      <c r="C869" s="1" t="s">
        <v>989</v>
      </c>
      <c r="D869" s="1" t="s">
        <v>1399</v>
      </c>
      <c r="E869" s="1" t="str">
        <f t="shared" si="13"/>
        <v>W05</v>
      </c>
      <c r="F869" s="5">
        <v>0</v>
      </c>
      <c r="G869" s="5">
        <v>0</v>
      </c>
      <c r="H869" s="5">
        <v>0</v>
      </c>
      <c r="I869" s="5"/>
      <c r="J869" s="1" t="s">
        <v>775</v>
      </c>
      <c r="K869" s="1" t="s">
        <v>1396</v>
      </c>
      <c r="L869" s="1" t="s">
        <v>79</v>
      </c>
      <c r="M869" s="1" t="s">
        <v>79</v>
      </c>
      <c r="N869" s="1" t="s">
        <v>79</v>
      </c>
      <c r="O869" s="6">
        <v>43864</v>
      </c>
      <c r="P869" s="6">
        <v>43862</v>
      </c>
      <c r="Q869" s="6"/>
      <c r="R869" s="1" t="s">
        <v>784</v>
      </c>
      <c r="S869" s="1" t="s">
        <v>79</v>
      </c>
      <c r="T869" s="5">
        <v>180</v>
      </c>
      <c r="U869" s="4">
        <v>30</v>
      </c>
      <c r="V869" s="5">
        <v>933</v>
      </c>
      <c r="W869" s="6"/>
      <c r="X869" s="6"/>
      <c r="Y869" s="6"/>
      <c r="Z869" s="6"/>
      <c r="AA869" s="6"/>
      <c r="AB869" s="6"/>
      <c r="AC869" s="6"/>
      <c r="AD869" s="6">
        <v>43930</v>
      </c>
    </row>
    <row r="870" spans="1:30">
      <c r="A870" s="1" t="s">
        <v>772</v>
      </c>
      <c r="B870" s="1" t="s">
        <v>773</v>
      </c>
      <c r="C870" s="1" t="s">
        <v>989</v>
      </c>
      <c r="D870" s="1" t="s">
        <v>1400</v>
      </c>
      <c r="E870" s="1" t="str">
        <f t="shared" si="13"/>
        <v>W05</v>
      </c>
      <c r="F870" s="5">
        <v>0</v>
      </c>
      <c r="G870" s="5">
        <v>0</v>
      </c>
      <c r="H870" s="5">
        <v>0</v>
      </c>
      <c r="I870" s="5"/>
      <c r="J870" s="1" t="s">
        <v>775</v>
      </c>
      <c r="K870" s="1" t="s">
        <v>1396</v>
      </c>
      <c r="L870" s="1" t="s">
        <v>79</v>
      </c>
      <c r="M870" s="1" t="s">
        <v>79</v>
      </c>
      <c r="N870" s="1" t="s">
        <v>79</v>
      </c>
      <c r="O870" s="6">
        <v>43866</v>
      </c>
      <c r="P870" s="6">
        <v>43862</v>
      </c>
      <c r="Q870" s="6"/>
      <c r="R870" s="1" t="s">
        <v>784</v>
      </c>
      <c r="S870" s="1" t="s">
        <v>79</v>
      </c>
      <c r="T870" s="5">
        <v>180</v>
      </c>
      <c r="U870" s="4">
        <v>30</v>
      </c>
      <c r="V870" s="5">
        <v>933</v>
      </c>
      <c r="W870" s="6"/>
      <c r="X870" s="6"/>
      <c r="Y870" s="6"/>
      <c r="Z870" s="6"/>
      <c r="AA870" s="6"/>
      <c r="AB870" s="6"/>
      <c r="AC870" s="6"/>
      <c r="AD870" s="6">
        <v>43906</v>
      </c>
    </row>
    <row r="871" spans="1:30">
      <c r="A871" s="1" t="s">
        <v>772</v>
      </c>
      <c r="B871" s="1" t="s">
        <v>773</v>
      </c>
      <c r="C871" s="1" t="s">
        <v>989</v>
      </c>
      <c r="D871" s="1" t="s">
        <v>1401</v>
      </c>
      <c r="E871" s="1" t="str">
        <f t="shared" si="13"/>
        <v>W05</v>
      </c>
      <c r="F871" s="5">
        <v>0</v>
      </c>
      <c r="G871" s="5">
        <v>0</v>
      </c>
      <c r="H871" s="5">
        <v>0</v>
      </c>
      <c r="I871" s="5"/>
      <c r="J871" s="1" t="s">
        <v>775</v>
      </c>
      <c r="K871" s="1" t="s">
        <v>1396</v>
      </c>
      <c r="L871" s="1" t="s">
        <v>79</v>
      </c>
      <c r="M871" s="1" t="s">
        <v>79</v>
      </c>
      <c r="N871" s="1" t="s">
        <v>79</v>
      </c>
      <c r="O871" s="6">
        <v>43866</v>
      </c>
      <c r="P871" s="6">
        <v>43862</v>
      </c>
      <c r="Q871" s="6"/>
      <c r="R871" s="1" t="s">
        <v>784</v>
      </c>
      <c r="S871" s="1" t="s">
        <v>79</v>
      </c>
      <c r="T871" s="5">
        <v>180</v>
      </c>
      <c r="U871" s="4">
        <v>30</v>
      </c>
      <c r="V871" s="5">
        <v>933</v>
      </c>
      <c r="W871" s="6"/>
      <c r="X871" s="6"/>
      <c r="Y871" s="6"/>
      <c r="Z871" s="6"/>
      <c r="AA871" s="6"/>
      <c r="AB871" s="6"/>
      <c r="AC871" s="6"/>
      <c r="AD871" s="6">
        <v>43941</v>
      </c>
    </row>
    <row r="872" spans="1:30">
      <c r="A872" s="1" t="s">
        <v>772</v>
      </c>
      <c r="B872" s="1" t="s">
        <v>773</v>
      </c>
      <c r="C872" s="1" t="s">
        <v>989</v>
      </c>
      <c r="D872" s="1" t="s">
        <v>1402</v>
      </c>
      <c r="E872" s="1" t="str">
        <f t="shared" si="13"/>
        <v>W05</v>
      </c>
      <c r="F872" s="5">
        <v>0</v>
      </c>
      <c r="G872" s="5">
        <v>0</v>
      </c>
      <c r="H872" s="5">
        <v>0</v>
      </c>
      <c r="I872" s="5"/>
      <c r="J872" s="1" t="s">
        <v>775</v>
      </c>
      <c r="K872" s="1" t="s">
        <v>1396</v>
      </c>
      <c r="L872" s="1" t="s">
        <v>79</v>
      </c>
      <c r="M872" s="1" t="s">
        <v>79</v>
      </c>
      <c r="N872" s="1" t="s">
        <v>79</v>
      </c>
      <c r="O872" s="6">
        <v>43874</v>
      </c>
      <c r="P872" s="6">
        <v>43871</v>
      </c>
      <c r="Q872" s="6"/>
      <c r="R872" s="1" t="s">
        <v>784</v>
      </c>
      <c r="S872" s="1" t="s">
        <v>79</v>
      </c>
      <c r="T872" s="5">
        <v>180</v>
      </c>
      <c r="U872" s="4">
        <v>30</v>
      </c>
      <c r="V872" s="5">
        <v>924</v>
      </c>
      <c r="W872" s="6"/>
      <c r="X872" s="6"/>
      <c r="Y872" s="6"/>
      <c r="Z872" s="6"/>
      <c r="AA872" s="6"/>
      <c r="AB872" s="6"/>
      <c r="AC872" s="6"/>
      <c r="AD872" s="6">
        <v>43942</v>
      </c>
    </row>
    <row r="873" spans="1:30">
      <c r="A873" s="1" t="s">
        <v>772</v>
      </c>
      <c r="B873" s="1" t="s">
        <v>773</v>
      </c>
      <c r="C873" s="1" t="s">
        <v>989</v>
      </c>
      <c r="D873" s="1" t="s">
        <v>1403</v>
      </c>
      <c r="E873" s="1" t="str">
        <f t="shared" si="13"/>
        <v>W05</v>
      </c>
      <c r="F873" s="5">
        <v>0</v>
      </c>
      <c r="G873" s="5">
        <v>0</v>
      </c>
      <c r="H873" s="5">
        <v>0</v>
      </c>
      <c r="I873" s="5"/>
      <c r="J873" s="1" t="s">
        <v>775</v>
      </c>
      <c r="K873" s="1" t="s">
        <v>1396</v>
      </c>
      <c r="L873" s="1" t="s">
        <v>79</v>
      </c>
      <c r="M873" s="1" t="s">
        <v>79</v>
      </c>
      <c r="N873" s="1" t="s">
        <v>79</v>
      </c>
      <c r="O873" s="6">
        <v>43874</v>
      </c>
      <c r="P873" s="6">
        <v>43871</v>
      </c>
      <c r="Q873" s="6"/>
      <c r="R873" s="1" t="s">
        <v>784</v>
      </c>
      <c r="S873" s="1" t="s">
        <v>79</v>
      </c>
      <c r="T873" s="5">
        <v>180</v>
      </c>
      <c r="U873" s="4">
        <v>30</v>
      </c>
      <c r="V873" s="5">
        <v>924</v>
      </c>
      <c r="W873" s="6"/>
      <c r="X873" s="6"/>
      <c r="Y873" s="6"/>
      <c r="Z873" s="6"/>
      <c r="AA873" s="6"/>
      <c r="AB873" s="6"/>
      <c r="AC873" s="6"/>
      <c r="AD873" s="6">
        <v>43948</v>
      </c>
    </row>
    <row r="874" spans="1:30">
      <c r="A874" s="1" t="s">
        <v>772</v>
      </c>
      <c r="B874" s="1" t="s">
        <v>773</v>
      </c>
      <c r="C874" s="1" t="s">
        <v>989</v>
      </c>
      <c r="D874" s="1" t="s">
        <v>1404</v>
      </c>
      <c r="E874" s="1" t="str">
        <f t="shared" si="13"/>
        <v>W05</v>
      </c>
      <c r="F874" s="5">
        <v>0</v>
      </c>
      <c r="G874" s="5">
        <v>0</v>
      </c>
      <c r="H874" s="5">
        <v>0</v>
      </c>
      <c r="I874" s="5"/>
      <c r="J874" s="1" t="s">
        <v>775</v>
      </c>
      <c r="K874" s="1" t="s">
        <v>1396</v>
      </c>
      <c r="L874" s="1" t="s">
        <v>79</v>
      </c>
      <c r="M874" s="1" t="s">
        <v>79</v>
      </c>
      <c r="N874" s="1" t="s">
        <v>79</v>
      </c>
      <c r="O874" s="6">
        <v>43890</v>
      </c>
      <c r="P874" s="6">
        <v>43889</v>
      </c>
      <c r="Q874" s="6"/>
      <c r="R874" s="1" t="s">
        <v>784</v>
      </c>
      <c r="S874" s="1" t="s">
        <v>79</v>
      </c>
      <c r="T874" s="5">
        <v>180</v>
      </c>
      <c r="U874" s="4">
        <v>29</v>
      </c>
      <c r="V874" s="5">
        <v>906</v>
      </c>
      <c r="W874" s="6"/>
      <c r="X874" s="6"/>
      <c r="Y874" s="6"/>
      <c r="Z874" s="6"/>
      <c r="AA874" s="6"/>
      <c r="AB874" s="6"/>
      <c r="AC874" s="6"/>
      <c r="AD874" s="6">
        <v>43984</v>
      </c>
    </row>
    <row r="875" spans="1:30">
      <c r="A875" s="1" t="s">
        <v>772</v>
      </c>
      <c r="B875" s="1" t="s">
        <v>773</v>
      </c>
      <c r="C875" s="1" t="s">
        <v>989</v>
      </c>
      <c r="D875" s="1" t="s">
        <v>1405</v>
      </c>
      <c r="E875" s="1" t="str">
        <f t="shared" si="13"/>
        <v>W05</v>
      </c>
      <c r="F875" s="5">
        <v>0</v>
      </c>
      <c r="G875" s="5">
        <v>0</v>
      </c>
      <c r="H875" s="5">
        <v>0</v>
      </c>
      <c r="I875" s="5"/>
      <c r="J875" s="1" t="s">
        <v>775</v>
      </c>
      <c r="K875" s="1" t="s">
        <v>1396</v>
      </c>
      <c r="L875" s="1" t="s">
        <v>79</v>
      </c>
      <c r="M875" s="1" t="s">
        <v>79</v>
      </c>
      <c r="N875" s="1" t="s">
        <v>79</v>
      </c>
      <c r="O875" s="6">
        <v>43890</v>
      </c>
      <c r="P875" s="6">
        <v>43889</v>
      </c>
      <c r="Q875" s="6"/>
      <c r="R875" s="1" t="s">
        <v>784</v>
      </c>
      <c r="S875" s="1" t="s">
        <v>79</v>
      </c>
      <c r="T875" s="5">
        <v>180</v>
      </c>
      <c r="U875" s="4">
        <v>29</v>
      </c>
      <c r="V875" s="5">
        <v>906</v>
      </c>
      <c r="W875" s="6"/>
      <c r="X875" s="6"/>
      <c r="Y875" s="6"/>
      <c r="Z875" s="6"/>
      <c r="AA875" s="6"/>
      <c r="AB875" s="6"/>
      <c r="AC875" s="6"/>
      <c r="AD875" s="6">
        <v>43990</v>
      </c>
    </row>
    <row r="876" spans="1:30">
      <c r="A876" s="1" t="s">
        <v>772</v>
      </c>
      <c r="B876" s="1" t="s">
        <v>773</v>
      </c>
      <c r="C876" s="1" t="s">
        <v>989</v>
      </c>
      <c r="D876" s="1" t="s">
        <v>1406</v>
      </c>
      <c r="E876" s="1" t="str">
        <f t="shared" si="13"/>
        <v>W05</v>
      </c>
      <c r="F876" s="5">
        <v>0</v>
      </c>
      <c r="G876" s="5">
        <v>0</v>
      </c>
      <c r="H876" s="5">
        <v>0</v>
      </c>
      <c r="I876" s="5"/>
      <c r="J876" s="1" t="s">
        <v>775</v>
      </c>
      <c r="K876" s="1" t="s">
        <v>1396</v>
      </c>
      <c r="L876" s="1" t="s">
        <v>79</v>
      </c>
      <c r="M876" s="1" t="s">
        <v>79</v>
      </c>
      <c r="N876" s="1" t="s">
        <v>79</v>
      </c>
      <c r="O876" s="6">
        <v>43890</v>
      </c>
      <c r="P876" s="6">
        <v>43889</v>
      </c>
      <c r="Q876" s="6"/>
      <c r="R876" s="1" t="s">
        <v>784</v>
      </c>
      <c r="S876" s="1" t="s">
        <v>79</v>
      </c>
      <c r="T876" s="5">
        <v>180</v>
      </c>
      <c r="U876" s="4">
        <v>29</v>
      </c>
      <c r="V876" s="5">
        <v>906</v>
      </c>
      <c r="W876" s="6"/>
      <c r="X876" s="6"/>
      <c r="Y876" s="6"/>
      <c r="Z876" s="6"/>
      <c r="AA876" s="6"/>
      <c r="AB876" s="6"/>
      <c r="AC876" s="6"/>
      <c r="AD876" s="6">
        <v>43948</v>
      </c>
    </row>
    <row r="877" spans="1:30">
      <c r="A877" s="1" t="s">
        <v>772</v>
      </c>
      <c r="B877" s="1" t="s">
        <v>773</v>
      </c>
      <c r="C877" s="1" t="s">
        <v>989</v>
      </c>
      <c r="D877" s="1" t="s">
        <v>1407</v>
      </c>
      <c r="E877" s="1" t="str">
        <f t="shared" si="13"/>
        <v>W05</v>
      </c>
      <c r="F877" s="5">
        <v>0</v>
      </c>
      <c r="G877" s="5">
        <v>0</v>
      </c>
      <c r="H877" s="5">
        <v>0</v>
      </c>
      <c r="I877" s="5"/>
      <c r="J877" s="1" t="s">
        <v>775</v>
      </c>
      <c r="K877" s="1" t="s">
        <v>1396</v>
      </c>
      <c r="L877" s="1" t="s">
        <v>79</v>
      </c>
      <c r="M877" s="1" t="s">
        <v>79</v>
      </c>
      <c r="N877" s="1" t="s">
        <v>79</v>
      </c>
      <c r="O877" s="6">
        <v>43890</v>
      </c>
      <c r="P877" s="6">
        <v>43889</v>
      </c>
      <c r="Q877" s="6"/>
      <c r="R877" s="1" t="s">
        <v>784</v>
      </c>
      <c r="S877" s="1" t="s">
        <v>79</v>
      </c>
      <c r="T877" s="5">
        <v>180</v>
      </c>
      <c r="U877" s="4">
        <v>29</v>
      </c>
      <c r="V877" s="5">
        <v>906</v>
      </c>
      <c r="W877" s="6"/>
      <c r="X877" s="6"/>
      <c r="Y877" s="6"/>
      <c r="Z877" s="6"/>
      <c r="AA877" s="6"/>
      <c r="AB877" s="6"/>
      <c r="AC877" s="6"/>
      <c r="AD877" s="6">
        <v>43979</v>
      </c>
    </row>
    <row r="878" spans="1:30">
      <c r="A878" s="1" t="s">
        <v>772</v>
      </c>
      <c r="B878" s="1" t="s">
        <v>773</v>
      </c>
      <c r="C878" s="1" t="s">
        <v>989</v>
      </c>
      <c r="D878" s="1" t="s">
        <v>1408</v>
      </c>
      <c r="E878" s="1" t="str">
        <f t="shared" si="13"/>
        <v>W05</v>
      </c>
      <c r="F878" s="5">
        <v>0</v>
      </c>
      <c r="G878" s="5">
        <v>0</v>
      </c>
      <c r="H878" s="5">
        <v>0</v>
      </c>
      <c r="I878" s="5"/>
      <c r="J878" s="1" t="s">
        <v>775</v>
      </c>
      <c r="K878" s="1" t="s">
        <v>1409</v>
      </c>
      <c r="L878" s="1" t="s">
        <v>79</v>
      </c>
      <c r="M878" s="1" t="s">
        <v>79</v>
      </c>
      <c r="N878" s="1" t="s">
        <v>79</v>
      </c>
      <c r="O878" s="6">
        <v>43901</v>
      </c>
      <c r="P878" s="6">
        <v>43900</v>
      </c>
      <c r="Q878" s="6"/>
      <c r="R878" s="1" t="s">
        <v>784</v>
      </c>
      <c r="S878" s="1" t="s">
        <v>79</v>
      </c>
      <c r="T878" s="5">
        <v>180</v>
      </c>
      <c r="U878" s="4">
        <v>29</v>
      </c>
      <c r="V878" s="5">
        <v>895</v>
      </c>
      <c r="W878" s="6"/>
      <c r="X878" s="6"/>
      <c r="Y878" s="6"/>
      <c r="Z878" s="6"/>
      <c r="AA878" s="6"/>
      <c r="AB878" s="6"/>
      <c r="AC878" s="6"/>
      <c r="AD878" s="6">
        <v>43930</v>
      </c>
    </row>
    <row r="879" spans="1:30">
      <c r="A879" s="1" t="s">
        <v>772</v>
      </c>
      <c r="B879" s="1" t="s">
        <v>773</v>
      </c>
      <c r="C879" s="1" t="s">
        <v>989</v>
      </c>
      <c r="D879" s="1" t="s">
        <v>1410</v>
      </c>
      <c r="E879" s="1" t="str">
        <f t="shared" si="13"/>
        <v>W05</v>
      </c>
      <c r="F879" s="5">
        <v>0</v>
      </c>
      <c r="G879" s="5">
        <v>0</v>
      </c>
      <c r="H879" s="5">
        <v>0</v>
      </c>
      <c r="I879" s="5"/>
      <c r="J879" s="1" t="s">
        <v>775</v>
      </c>
      <c r="K879" s="1" t="s">
        <v>1409</v>
      </c>
      <c r="L879" s="1" t="s">
        <v>79</v>
      </c>
      <c r="M879" s="1" t="s">
        <v>79</v>
      </c>
      <c r="N879" s="1" t="s">
        <v>79</v>
      </c>
      <c r="O879" s="6">
        <v>43907</v>
      </c>
      <c r="P879" s="6">
        <v>43903</v>
      </c>
      <c r="Q879" s="6"/>
      <c r="R879" s="1" t="s">
        <v>784</v>
      </c>
      <c r="S879" s="1" t="s">
        <v>79</v>
      </c>
      <c r="T879" s="5">
        <v>180</v>
      </c>
      <c r="U879" s="4">
        <v>29</v>
      </c>
      <c r="V879" s="5">
        <v>892</v>
      </c>
      <c r="W879" s="6"/>
      <c r="X879" s="6"/>
      <c r="Y879" s="6"/>
      <c r="Z879" s="6"/>
      <c r="AA879" s="6"/>
      <c r="AB879" s="6"/>
      <c r="AC879" s="6"/>
      <c r="AD879" s="6">
        <v>43980</v>
      </c>
    </row>
    <row r="880" spans="1:30">
      <c r="A880" s="1" t="s">
        <v>772</v>
      </c>
      <c r="B880" s="1" t="s">
        <v>773</v>
      </c>
      <c r="C880" s="1" t="s">
        <v>989</v>
      </c>
      <c r="D880" s="1" t="s">
        <v>1411</v>
      </c>
      <c r="E880" s="1" t="str">
        <f t="shared" si="13"/>
        <v>W05</v>
      </c>
      <c r="F880" s="5">
        <v>0</v>
      </c>
      <c r="G880" s="5">
        <v>0</v>
      </c>
      <c r="H880" s="5">
        <v>0</v>
      </c>
      <c r="I880" s="5"/>
      <c r="J880" s="1" t="s">
        <v>775</v>
      </c>
      <c r="K880" s="1" t="s">
        <v>1409</v>
      </c>
      <c r="L880" s="1" t="s">
        <v>79</v>
      </c>
      <c r="M880" s="1" t="s">
        <v>79</v>
      </c>
      <c r="N880" s="1" t="s">
        <v>79</v>
      </c>
      <c r="O880" s="6">
        <v>43907</v>
      </c>
      <c r="P880" s="6">
        <v>43903</v>
      </c>
      <c r="Q880" s="6"/>
      <c r="R880" s="1" t="s">
        <v>784</v>
      </c>
      <c r="S880" s="1" t="s">
        <v>79</v>
      </c>
      <c r="T880" s="5">
        <v>180</v>
      </c>
      <c r="U880" s="4">
        <v>29</v>
      </c>
      <c r="V880" s="5">
        <v>892</v>
      </c>
      <c r="W880" s="6"/>
      <c r="X880" s="6"/>
      <c r="Y880" s="6"/>
      <c r="Z880" s="6"/>
      <c r="AA880" s="6"/>
      <c r="AB880" s="6"/>
      <c r="AC880" s="6"/>
      <c r="AD880" s="6">
        <v>43982</v>
      </c>
    </row>
    <row r="881" spans="1:30">
      <c r="A881" s="1" t="s">
        <v>772</v>
      </c>
      <c r="B881" s="1" t="s">
        <v>773</v>
      </c>
      <c r="C881" s="1" t="s">
        <v>989</v>
      </c>
      <c r="D881" s="1" t="s">
        <v>1412</v>
      </c>
      <c r="E881" s="1" t="str">
        <f t="shared" si="13"/>
        <v>W05</v>
      </c>
      <c r="F881" s="5">
        <v>0</v>
      </c>
      <c r="G881" s="5">
        <v>0</v>
      </c>
      <c r="H881" s="5">
        <v>0</v>
      </c>
      <c r="I881" s="5"/>
      <c r="J881" s="1" t="s">
        <v>775</v>
      </c>
      <c r="K881" s="1" t="s">
        <v>1409</v>
      </c>
      <c r="L881" s="1" t="s">
        <v>79</v>
      </c>
      <c r="M881" s="1" t="s">
        <v>79</v>
      </c>
      <c r="N881" s="1" t="s">
        <v>79</v>
      </c>
      <c r="O881" s="6">
        <v>43921</v>
      </c>
      <c r="P881" s="6">
        <v>43920</v>
      </c>
      <c r="Q881" s="6"/>
      <c r="R881" s="1" t="s">
        <v>784</v>
      </c>
      <c r="S881" s="1" t="s">
        <v>79</v>
      </c>
      <c r="T881" s="5">
        <v>180</v>
      </c>
      <c r="U881" s="4">
        <v>28</v>
      </c>
      <c r="V881" s="5">
        <v>875</v>
      </c>
      <c r="W881" s="6"/>
      <c r="X881" s="6"/>
      <c r="Y881" s="6"/>
      <c r="Z881" s="6"/>
      <c r="AA881" s="6"/>
      <c r="AB881" s="6"/>
      <c r="AC881" s="6"/>
      <c r="AD881" s="6">
        <v>44001</v>
      </c>
    </row>
    <row r="882" spans="1:30">
      <c r="A882" s="1" t="s">
        <v>772</v>
      </c>
      <c r="B882" s="1" t="s">
        <v>773</v>
      </c>
      <c r="C882" s="1" t="s">
        <v>989</v>
      </c>
      <c r="D882" s="1" t="s">
        <v>1413</v>
      </c>
      <c r="E882" s="1" t="str">
        <f t="shared" si="13"/>
        <v>W05</v>
      </c>
      <c r="F882" s="5">
        <v>0</v>
      </c>
      <c r="G882" s="5">
        <v>0</v>
      </c>
      <c r="H882" s="5">
        <v>0</v>
      </c>
      <c r="I882" s="5"/>
      <c r="J882" s="1" t="s">
        <v>775</v>
      </c>
      <c r="K882" s="1" t="s">
        <v>1409</v>
      </c>
      <c r="L882" s="1" t="s">
        <v>79</v>
      </c>
      <c r="M882" s="1" t="s">
        <v>79</v>
      </c>
      <c r="N882" s="1" t="s">
        <v>79</v>
      </c>
      <c r="O882" s="6">
        <v>43921</v>
      </c>
      <c r="P882" s="6">
        <v>43920</v>
      </c>
      <c r="Q882" s="6"/>
      <c r="R882" s="1" t="s">
        <v>784</v>
      </c>
      <c r="S882" s="1" t="s">
        <v>79</v>
      </c>
      <c r="T882" s="5">
        <v>180</v>
      </c>
      <c r="U882" s="4">
        <v>28</v>
      </c>
      <c r="V882" s="5">
        <v>875</v>
      </c>
      <c r="W882" s="6"/>
      <c r="X882" s="6"/>
      <c r="Y882" s="6"/>
      <c r="Z882" s="6"/>
      <c r="AA882" s="6"/>
      <c r="AB882" s="6"/>
      <c r="AC882" s="6"/>
      <c r="AD882" s="6">
        <v>44006</v>
      </c>
    </row>
    <row r="883" spans="1:30">
      <c r="A883" s="1" t="s">
        <v>772</v>
      </c>
      <c r="B883" s="1" t="s">
        <v>773</v>
      </c>
      <c r="C883" s="1" t="s">
        <v>989</v>
      </c>
      <c r="D883" s="1" t="s">
        <v>1414</v>
      </c>
      <c r="E883" s="1" t="str">
        <f t="shared" si="13"/>
        <v>W05</v>
      </c>
      <c r="F883" s="5">
        <v>0</v>
      </c>
      <c r="G883" s="5">
        <v>0</v>
      </c>
      <c r="H883" s="5">
        <v>0</v>
      </c>
      <c r="I883" s="5"/>
      <c r="J883" s="1" t="s">
        <v>775</v>
      </c>
      <c r="K883" s="1" t="s">
        <v>1409</v>
      </c>
      <c r="L883" s="1" t="s">
        <v>79</v>
      </c>
      <c r="M883" s="1" t="s">
        <v>79</v>
      </c>
      <c r="N883" s="1" t="s">
        <v>79</v>
      </c>
      <c r="O883" s="6">
        <v>43921</v>
      </c>
      <c r="P883" s="6">
        <v>43920</v>
      </c>
      <c r="Q883" s="6"/>
      <c r="R883" s="1" t="s">
        <v>784</v>
      </c>
      <c r="S883" s="1" t="s">
        <v>79</v>
      </c>
      <c r="T883" s="5">
        <v>180</v>
      </c>
      <c r="U883" s="4">
        <v>28</v>
      </c>
      <c r="V883" s="5">
        <v>875</v>
      </c>
      <c r="W883" s="6"/>
      <c r="X883" s="6"/>
      <c r="Y883" s="6"/>
      <c r="Z883" s="6"/>
      <c r="AA883" s="6"/>
      <c r="AB883" s="6"/>
      <c r="AC883" s="6"/>
      <c r="AD883" s="6">
        <v>43992</v>
      </c>
    </row>
    <row r="884" spans="1:30">
      <c r="A884" s="1" t="s">
        <v>772</v>
      </c>
      <c r="B884" s="1" t="s">
        <v>773</v>
      </c>
      <c r="C884" s="1" t="s">
        <v>989</v>
      </c>
      <c r="D884" s="1" t="s">
        <v>1415</v>
      </c>
      <c r="E884" s="1" t="str">
        <f t="shared" si="13"/>
        <v>W05</v>
      </c>
      <c r="F884" s="5">
        <v>0</v>
      </c>
      <c r="G884" s="5">
        <v>0</v>
      </c>
      <c r="H884" s="5">
        <v>0</v>
      </c>
      <c r="I884" s="5"/>
      <c r="J884" s="1" t="s">
        <v>775</v>
      </c>
      <c r="K884" s="1" t="s">
        <v>1409</v>
      </c>
      <c r="L884" s="1" t="s">
        <v>79</v>
      </c>
      <c r="M884" s="1" t="s">
        <v>79</v>
      </c>
      <c r="N884" s="1" t="s">
        <v>79</v>
      </c>
      <c r="O884" s="6">
        <v>43921</v>
      </c>
      <c r="P884" s="6">
        <v>43920</v>
      </c>
      <c r="Q884" s="6"/>
      <c r="R884" s="1" t="s">
        <v>784</v>
      </c>
      <c r="S884" s="1" t="s">
        <v>79</v>
      </c>
      <c r="T884" s="5">
        <v>180</v>
      </c>
      <c r="U884" s="4">
        <v>28</v>
      </c>
      <c r="V884" s="5">
        <v>875</v>
      </c>
      <c r="W884" s="6"/>
      <c r="X884" s="6"/>
      <c r="Y884" s="6"/>
      <c r="Z884" s="6"/>
      <c r="AA884" s="6"/>
      <c r="AB884" s="6"/>
      <c r="AC884" s="6"/>
      <c r="AD884" s="6">
        <v>43995</v>
      </c>
    </row>
    <row r="885" spans="1:30">
      <c r="A885" s="1" t="s">
        <v>772</v>
      </c>
      <c r="B885" s="1" t="s">
        <v>773</v>
      </c>
      <c r="C885" s="1" t="s">
        <v>989</v>
      </c>
      <c r="D885" s="1" t="s">
        <v>1416</v>
      </c>
      <c r="E885" s="1" t="str">
        <f t="shared" si="13"/>
        <v>W05</v>
      </c>
      <c r="F885" s="5">
        <v>0</v>
      </c>
      <c r="G885" s="5">
        <v>0</v>
      </c>
      <c r="H885" s="5">
        <v>0</v>
      </c>
      <c r="I885" s="5"/>
      <c r="J885" s="1" t="s">
        <v>775</v>
      </c>
      <c r="K885" s="1" t="s">
        <v>1417</v>
      </c>
      <c r="L885" s="1" t="s">
        <v>79</v>
      </c>
      <c r="M885" s="1" t="s">
        <v>79</v>
      </c>
      <c r="N885" s="1" t="s">
        <v>79</v>
      </c>
      <c r="O885" s="6">
        <v>43930</v>
      </c>
      <c r="P885" s="6">
        <v>43929</v>
      </c>
      <c r="Q885" s="6"/>
      <c r="R885" s="1" t="s">
        <v>784</v>
      </c>
      <c r="S885" s="1" t="s">
        <v>79</v>
      </c>
      <c r="T885" s="5">
        <v>180</v>
      </c>
      <c r="U885" s="4">
        <v>28</v>
      </c>
      <c r="V885" s="5">
        <v>866</v>
      </c>
      <c r="W885" s="6"/>
      <c r="X885" s="6"/>
      <c r="Y885" s="6"/>
      <c r="Z885" s="6"/>
      <c r="AA885" s="6"/>
      <c r="AB885" s="6"/>
      <c r="AC885" s="6"/>
      <c r="AD885" s="6">
        <v>44025</v>
      </c>
    </row>
    <row r="886" spans="1:30">
      <c r="A886" s="1" t="s">
        <v>772</v>
      </c>
      <c r="B886" s="1" t="s">
        <v>773</v>
      </c>
      <c r="C886" s="1" t="s">
        <v>989</v>
      </c>
      <c r="D886" s="1" t="s">
        <v>1418</v>
      </c>
      <c r="E886" s="1" t="str">
        <f t="shared" si="13"/>
        <v>W05</v>
      </c>
      <c r="F886" s="5">
        <v>0</v>
      </c>
      <c r="G886" s="5">
        <v>0</v>
      </c>
      <c r="H886" s="5">
        <v>0</v>
      </c>
      <c r="I886" s="5"/>
      <c r="J886" s="1" t="s">
        <v>775</v>
      </c>
      <c r="K886" s="1" t="s">
        <v>1417</v>
      </c>
      <c r="L886" s="1" t="s">
        <v>79</v>
      </c>
      <c r="M886" s="1" t="s">
        <v>79</v>
      </c>
      <c r="N886" s="1" t="s">
        <v>79</v>
      </c>
      <c r="O886" s="6">
        <v>43930</v>
      </c>
      <c r="P886" s="6">
        <v>43929</v>
      </c>
      <c r="Q886" s="6"/>
      <c r="R886" s="1" t="s">
        <v>784</v>
      </c>
      <c r="S886" s="1" t="s">
        <v>79</v>
      </c>
      <c r="T886" s="5">
        <v>180</v>
      </c>
      <c r="U886" s="4">
        <v>28</v>
      </c>
      <c r="V886" s="5">
        <v>866</v>
      </c>
      <c r="W886" s="6"/>
      <c r="X886" s="6"/>
      <c r="Y886" s="6"/>
      <c r="Z886" s="6"/>
      <c r="AA886" s="6"/>
      <c r="AB886" s="6"/>
      <c r="AC886" s="6"/>
      <c r="AD886" s="6">
        <v>44029</v>
      </c>
    </row>
    <row r="887" spans="1:30">
      <c r="A887" s="1" t="s">
        <v>772</v>
      </c>
      <c r="B887" s="1" t="s">
        <v>773</v>
      </c>
      <c r="C887" s="1" t="s">
        <v>989</v>
      </c>
      <c r="D887" s="1" t="s">
        <v>1419</v>
      </c>
      <c r="E887" s="1" t="str">
        <f t="shared" si="13"/>
        <v>W05</v>
      </c>
      <c r="F887" s="5">
        <v>0</v>
      </c>
      <c r="G887" s="5">
        <v>0</v>
      </c>
      <c r="H887" s="5">
        <v>0</v>
      </c>
      <c r="I887" s="5"/>
      <c r="J887" s="1" t="s">
        <v>775</v>
      </c>
      <c r="K887" s="1" t="s">
        <v>1417</v>
      </c>
      <c r="L887" s="1" t="s">
        <v>79</v>
      </c>
      <c r="M887" s="1" t="s">
        <v>79</v>
      </c>
      <c r="N887" s="1" t="s">
        <v>79</v>
      </c>
      <c r="O887" s="6">
        <v>43930</v>
      </c>
      <c r="P887" s="6">
        <v>43929</v>
      </c>
      <c r="Q887" s="6"/>
      <c r="R887" s="1" t="s">
        <v>784</v>
      </c>
      <c r="S887" s="1" t="s">
        <v>79</v>
      </c>
      <c r="T887" s="5">
        <v>180</v>
      </c>
      <c r="U887" s="4">
        <v>28</v>
      </c>
      <c r="V887" s="5">
        <v>866</v>
      </c>
      <c r="W887" s="6"/>
      <c r="X887" s="6"/>
      <c r="Y887" s="6"/>
      <c r="Z887" s="6"/>
      <c r="AA887" s="6"/>
      <c r="AB887" s="6"/>
      <c r="AC887" s="6"/>
      <c r="AD887" s="6">
        <v>43997</v>
      </c>
    </row>
    <row r="888" spans="1:30">
      <c r="A888" s="1" t="s">
        <v>772</v>
      </c>
      <c r="B888" s="1" t="s">
        <v>773</v>
      </c>
      <c r="C888" s="1" t="s">
        <v>989</v>
      </c>
      <c r="D888" s="1" t="s">
        <v>1420</v>
      </c>
      <c r="E888" s="1" t="str">
        <f t="shared" si="13"/>
        <v>W05</v>
      </c>
      <c r="F888" s="5">
        <v>0</v>
      </c>
      <c r="G888" s="5">
        <v>0</v>
      </c>
      <c r="H888" s="5">
        <v>0</v>
      </c>
      <c r="I888" s="5"/>
      <c r="J888" s="1" t="s">
        <v>775</v>
      </c>
      <c r="K888" s="1" t="s">
        <v>1417</v>
      </c>
      <c r="L888" s="1" t="s">
        <v>79</v>
      </c>
      <c r="M888" s="1" t="s">
        <v>79</v>
      </c>
      <c r="N888" s="1" t="s">
        <v>79</v>
      </c>
      <c r="O888" s="6">
        <v>43930</v>
      </c>
      <c r="P888" s="6">
        <v>43929</v>
      </c>
      <c r="Q888" s="6"/>
      <c r="R888" s="1" t="s">
        <v>784</v>
      </c>
      <c r="S888" s="1" t="s">
        <v>79</v>
      </c>
      <c r="T888" s="5">
        <v>180</v>
      </c>
      <c r="U888" s="4">
        <v>28</v>
      </c>
      <c r="V888" s="5">
        <v>866</v>
      </c>
      <c r="W888" s="6"/>
      <c r="X888" s="6"/>
      <c r="Y888" s="6"/>
      <c r="Z888" s="6"/>
      <c r="AA888" s="6"/>
      <c r="AB888" s="6"/>
      <c r="AC888" s="6"/>
      <c r="AD888" s="6">
        <v>44012</v>
      </c>
    </row>
    <row r="889" spans="1:30">
      <c r="A889" s="1" t="s">
        <v>772</v>
      </c>
      <c r="B889" s="1" t="s">
        <v>773</v>
      </c>
      <c r="C889" s="1" t="s">
        <v>989</v>
      </c>
      <c r="D889" s="1" t="s">
        <v>1421</v>
      </c>
      <c r="E889" s="1" t="str">
        <f t="shared" si="13"/>
        <v>W05</v>
      </c>
      <c r="F889" s="5">
        <v>0</v>
      </c>
      <c r="G889" s="5">
        <v>0</v>
      </c>
      <c r="H889" s="5">
        <v>0</v>
      </c>
      <c r="I889" s="5"/>
      <c r="J889" s="1" t="s">
        <v>775</v>
      </c>
      <c r="K889" s="1" t="s">
        <v>1417</v>
      </c>
      <c r="L889" s="1" t="s">
        <v>79</v>
      </c>
      <c r="M889" s="1" t="s">
        <v>79</v>
      </c>
      <c r="N889" s="1" t="s">
        <v>79</v>
      </c>
      <c r="O889" s="6">
        <v>43937</v>
      </c>
      <c r="P889" s="6">
        <v>43936</v>
      </c>
      <c r="Q889" s="6"/>
      <c r="R889" s="1" t="s">
        <v>784</v>
      </c>
      <c r="S889" s="1" t="s">
        <v>79</v>
      </c>
      <c r="T889" s="5">
        <v>180</v>
      </c>
      <c r="U889" s="4">
        <v>28</v>
      </c>
      <c r="V889" s="5">
        <v>859</v>
      </c>
      <c r="W889" s="6"/>
      <c r="X889" s="6"/>
      <c r="Y889" s="6"/>
      <c r="Z889" s="6"/>
      <c r="AA889" s="6"/>
      <c r="AB889" s="6"/>
      <c r="AC889" s="6"/>
      <c r="AD889" s="6">
        <v>44023</v>
      </c>
    </row>
    <row r="890" spans="1:30">
      <c r="A890" s="1" t="s">
        <v>772</v>
      </c>
      <c r="B890" s="1" t="s">
        <v>773</v>
      </c>
      <c r="C890" s="1" t="s">
        <v>1002</v>
      </c>
      <c r="D890" s="1" t="s">
        <v>75</v>
      </c>
      <c r="E890" s="1" t="str">
        <f t="shared" si="13"/>
        <v>W06</v>
      </c>
      <c r="F890" s="5">
        <v>8.6999999999999993</v>
      </c>
      <c r="G890" s="5">
        <v>6.85</v>
      </c>
      <c r="H890" s="5">
        <v>6.85</v>
      </c>
      <c r="I890" s="5"/>
      <c r="J890" s="1" t="s">
        <v>775</v>
      </c>
      <c r="K890" s="1" t="s">
        <v>1417</v>
      </c>
      <c r="L890" s="1" t="s">
        <v>79</v>
      </c>
      <c r="M890" s="1" t="s">
        <v>79</v>
      </c>
      <c r="N890" s="1" t="s">
        <v>79</v>
      </c>
      <c r="O890" s="6">
        <v>43937</v>
      </c>
      <c r="P890" s="6">
        <v>43936</v>
      </c>
      <c r="Q890" s="6"/>
      <c r="R890" s="1" t="s">
        <v>784</v>
      </c>
      <c r="S890" s="1" t="s">
        <v>79</v>
      </c>
      <c r="T890" s="5">
        <v>180</v>
      </c>
      <c r="U890" s="4">
        <v>28</v>
      </c>
      <c r="V890" s="5">
        <v>859</v>
      </c>
      <c r="W890" s="6"/>
      <c r="X890" s="6"/>
      <c r="Y890" s="6"/>
      <c r="Z890" s="6"/>
      <c r="AA890" s="6"/>
      <c r="AB890" s="6"/>
      <c r="AC890" s="6"/>
      <c r="AD890" s="6">
        <v>44055</v>
      </c>
    </row>
    <row r="891" spans="1:30">
      <c r="A891" s="1" t="s">
        <v>772</v>
      </c>
      <c r="B891" s="1" t="s">
        <v>773</v>
      </c>
      <c r="C891" s="1" t="s">
        <v>1002</v>
      </c>
      <c r="D891" s="1" t="s">
        <v>627</v>
      </c>
      <c r="E891" s="1" t="str">
        <f t="shared" si="13"/>
        <v>W06</v>
      </c>
      <c r="F891" s="5">
        <v>10.6</v>
      </c>
      <c r="G891" s="5">
        <v>8.27</v>
      </c>
      <c r="H891" s="5">
        <v>8.27</v>
      </c>
      <c r="I891" s="5"/>
      <c r="J891" s="1" t="s">
        <v>775</v>
      </c>
      <c r="K891" s="1" t="s">
        <v>1417</v>
      </c>
      <c r="L891" s="1" t="s">
        <v>79</v>
      </c>
      <c r="M891" s="1" t="s">
        <v>79</v>
      </c>
      <c r="N891" s="1" t="s">
        <v>79</v>
      </c>
      <c r="O891" s="6">
        <v>43937</v>
      </c>
      <c r="P891" s="6">
        <v>43936</v>
      </c>
      <c r="Q891" s="6"/>
      <c r="R891" s="1" t="s">
        <v>784</v>
      </c>
      <c r="S891" s="1" t="s">
        <v>79</v>
      </c>
      <c r="T891" s="5">
        <v>180</v>
      </c>
      <c r="U891" s="4">
        <v>28</v>
      </c>
      <c r="V891" s="5">
        <v>859</v>
      </c>
      <c r="W891" s="6"/>
      <c r="X891" s="6"/>
      <c r="Y891" s="6"/>
      <c r="Z891" s="6"/>
      <c r="AA891" s="6"/>
      <c r="AB891" s="6"/>
      <c r="AC891" s="6"/>
      <c r="AD891" s="6">
        <v>44048</v>
      </c>
    </row>
    <row r="892" spans="1:30">
      <c r="A892" s="1" t="s">
        <v>772</v>
      </c>
      <c r="B892" s="1" t="s">
        <v>773</v>
      </c>
      <c r="C892" s="1" t="s">
        <v>989</v>
      </c>
      <c r="D892" s="1" t="s">
        <v>1422</v>
      </c>
      <c r="E892" s="1" t="str">
        <f t="shared" si="13"/>
        <v>W05</v>
      </c>
      <c r="F892" s="5">
        <v>3.5</v>
      </c>
      <c r="G892" s="5">
        <v>3.06</v>
      </c>
      <c r="H892" s="5">
        <v>3.06</v>
      </c>
      <c r="I892" s="5"/>
      <c r="J892" s="1" t="s">
        <v>775</v>
      </c>
      <c r="K892" s="1" t="s">
        <v>1423</v>
      </c>
      <c r="L892" s="1" t="s">
        <v>79</v>
      </c>
      <c r="M892" s="1" t="s">
        <v>79</v>
      </c>
      <c r="N892" s="1" t="s">
        <v>79</v>
      </c>
      <c r="O892" s="6">
        <v>43956</v>
      </c>
      <c r="P892" s="6">
        <v>43956</v>
      </c>
      <c r="Q892" s="6"/>
      <c r="R892" s="1" t="s">
        <v>784</v>
      </c>
      <c r="S892" s="1" t="s">
        <v>79</v>
      </c>
      <c r="T892" s="5">
        <v>180</v>
      </c>
      <c r="U892" s="4">
        <v>27</v>
      </c>
      <c r="V892" s="5">
        <v>839</v>
      </c>
      <c r="W892" s="6"/>
      <c r="X892" s="6"/>
      <c r="Y892" s="6"/>
      <c r="Z892" s="6"/>
      <c r="AA892" s="6"/>
      <c r="AB892" s="6"/>
      <c r="AC892" s="6"/>
      <c r="AD892" s="6">
        <v>44098</v>
      </c>
    </row>
    <row r="893" spans="1:30">
      <c r="A893" s="1" t="s">
        <v>772</v>
      </c>
      <c r="B893" s="1" t="s">
        <v>773</v>
      </c>
      <c r="C893" s="1" t="s">
        <v>989</v>
      </c>
      <c r="D893" s="1" t="s">
        <v>432</v>
      </c>
      <c r="E893" s="1" t="str">
        <f t="shared" si="13"/>
        <v>W05</v>
      </c>
      <c r="F893" s="5">
        <v>12.38</v>
      </c>
      <c r="G893" s="5">
        <v>9.9</v>
      </c>
      <c r="H893" s="5">
        <v>9.9</v>
      </c>
      <c r="I893" s="5"/>
      <c r="J893" s="1" t="s">
        <v>775</v>
      </c>
      <c r="K893" s="1" t="s">
        <v>1423</v>
      </c>
      <c r="L893" s="1" t="s">
        <v>79</v>
      </c>
      <c r="M893" s="1" t="s">
        <v>79</v>
      </c>
      <c r="N893" s="1" t="s">
        <v>79</v>
      </c>
      <c r="O893" s="6">
        <v>43956</v>
      </c>
      <c r="P893" s="6">
        <v>43956</v>
      </c>
      <c r="Q893" s="6"/>
      <c r="R893" s="1" t="s">
        <v>784</v>
      </c>
      <c r="S893" s="1" t="s">
        <v>79</v>
      </c>
      <c r="T893" s="5">
        <v>180</v>
      </c>
      <c r="U893" s="4">
        <v>27</v>
      </c>
      <c r="V893" s="5">
        <v>839</v>
      </c>
      <c r="W893" s="6"/>
      <c r="X893" s="6"/>
      <c r="Y893" s="6"/>
      <c r="Z893" s="6"/>
      <c r="AA893" s="6"/>
      <c r="AB893" s="6"/>
      <c r="AC893" s="6"/>
      <c r="AD893" s="6">
        <v>44007</v>
      </c>
    </row>
    <row r="894" spans="1:30">
      <c r="A894" s="1" t="s">
        <v>772</v>
      </c>
      <c r="B894" s="1" t="s">
        <v>773</v>
      </c>
      <c r="C894" s="1" t="s">
        <v>858</v>
      </c>
      <c r="D894" s="1" t="s">
        <v>1424</v>
      </c>
      <c r="E894" s="1" t="str">
        <f t="shared" si="13"/>
        <v>W04</v>
      </c>
      <c r="F894" s="5">
        <v>1.54</v>
      </c>
      <c r="G894" s="5">
        <v>1.35</v>
      </c>
      <c r="H894" s="5">
        <v>1.35</v>
      </c>
      <c r="I894" s="5"/>
      <c r="J894" s="1" t="s">
        <v>775</v>
      </c>
      <c r="K894" s="1" t="s">
        <v>1423</v>
      </c>
      <c r="L894" s="1" t="s">
        <v>79</v>
      </c>
      <c r="M894" s="1" t="s">
        <v>79</v>
      </c>
      <c r="N894" s="1" t="s">
        <v>79</v>
      </c>
      <c r="O894" s="6">
        <v>43966</v>
      </c>
      <c r="P894" s="6">
        <v>43966</v>
      </c>
      <c r="Q894" s="6"/>
      <c r="R894" s="1" t="s">
        <v>784</v>
      </c>
      <c r="S894" s="1" t="s">
        <v>79</v>
      </c>
      <c r="T894" s="5">
        <v>180</v>
      </c>
      <c r="U894" s="4">
        <v>27</v>
      </c>
      <c r="V894" s="5">
        <v>829</v>
      </c>
      <c r="W894" s="6"/>
      <c r="X894" s="6"/>
      <c r="Y894" s="6"/>
      <c r="Z894" s="6"/>
      <c r="AA894" s="6"/>
      <c r="AB894" s="6"/>
      <c r="AC894" s="6"/>
      <c r="AD894" s="6">
        <v>44054</v>
      </c>
    </row>
    <row r="895" spans="1:30">
      <c r="A895" s="1" t="s">
        <v>772</v>
      </c>
      <c r="B895" s="1" t="s">
        <v>773</v>
      </c>
      <c r="C895" s="1" t="s">
        <v>1010</v>
      </c>
      <c r="D895" s="1" t="s">
        <v>645</v>
      </c>
      <c r="E895" s="1" t="str">
        <f t="shared" si="13"/>
        <v>W07</v>
      </c>
      <c r="F895" s="5">
        <v>7.2</v>
      </c>
      <c r="G895" s="5">
        <v>5.67</v>
      </c>
      <c r="H895" s="5">
        <v>5.67</v>
      </c>
      <c r="I895" s="5"/>
      <c r="J895" s="1" t="s">
        <v>775</v>
      </c>
      <c r="K895" s="1" t="s">
        <v>1423</v>
      </c>
      <c r="L895" s="1" t="s">
        <v>79</v>
      </c>
      <c r="M895" s="1" t="s">
        <v>79</v>
      </c>
      <c r="N895" s="1" t="s">
        <v>79</v>
      </c>
      <c r="O895" s="6">
        <v>43966</v>
      </c>
      <c r="P895" s="6">
        <v>43966</v>
      </c>
      <c r="Q895" s="6"/>
      <c r="R895" s="1" t="s">
        <v>784</v>
      </c>
      <c r="S895" s="1" t="s">
        <v>79</v>
      </c>
      <c r="T895" s="5">
        <v>180</v>
      </c>
      <c r="U895" s="4">
        <v>27</v>
      </c>
      <c r="V895" s="5">
        <v>829</v>
      </c>
      <c r="W895" s="6"/>
      <c r="X895" s="6"/>
      <c r="Y895" s="6"/>
      <c r="Z895" s="6"/>
      <c r="AA895" s="6"/>
      <c r="AB895" s="6"/>
      <c r="AC895" s="6"/>
      <c r="AD895" s="6">
        <v>44064</v>
      </c>
    </row>
    <row r="896" spans="1:30">
      <c r="A896" s="1" t="s">
        <v>772</v>
      </c>
      <c r="B896" s="1" t="s">
        <v>773</v>
      </c>
      <c r="C896" s="1" t="s">
        <v>1002</v>
      </c>
      <c r="D896" s="1" t="s">
        <v>630</v>
      </c>
      <c r="E896" s="1" t="str">
        <f t="shared" si="13"/>
        <v>W06</v>
      </c>
      <c r="F896" s="5">
        <v>4.9800000000000004</v>
      </c>
      <c r="G896" s="5">
        <v>3.84</v>
      </c>
      <c r="H896" s="5">
        <v>3.84</v>
      </c>
      <c r="I896" s="5"/>
      <c r="J896" s="1" t="s">
        <v>775</v>
      </c>
      <c r="K896" s="1" t="s">
        <v>1423</v>
      </c>
      <c r="L896" s="1" t="s">
        <v>79</v>
      </c>
      <c r="M896" s="1" t="s">
        <v>79</v>
      </c>
      <c r="N896" s="1" t="s">
        <v>79</v>
      </c>
      <c r="O896" s="6">
        <v>43966</v>
      </c>
      <c r="P896" s="6">
        <v>43966</v>
      </c>
      <c r="Q896" s="6"/>
      <c r="R896" s="1" t="s">
        <v>784</v>
      </c>
      <c r="S896" s="1" t="s">
        <v>79</v>
      </c>
      <c r="T896" s="5">
        <v>180</v>
      </c>
      <c r="U896" s="4">
        <v>27</v>
      </c>
      <c r="V896" s="5">
        <v>829</v>
      </c>
      <c r="W896" s="6"/>
      <c r="X896" s="6"/>
      <c r="Y896" s="6"/>
      <c r="Z896" s="6"/>
      <c r="AA896" s="6"/>
      <c r="AB896" s="6"/>
      <c r="AC896" s="6"/>
      <c r="AD896" s="6">
        <v>44089</v>
      </c>
    </row>
    <row r="897" spans="1:30">
      <c r="A897" s="1" t="s">
        <v>772</v>
      </c>
      <c r="B897" s="1" t="s">
        <v>773</v>
      </c>
      <c r="C897" s="1" t="s">
        <v>774</v>
      </c>
      <c r="D897" s="1" t="s">
        <v>272</v>
      </c>
      <c r="E897" s="1" t="str">
        <f t="shared" si="13"/>
        <v>W01</v>
      </c>
      <c r="F897" s="5">
        <v>3.7</v>
      </c>
      <c r="G897" s="5">
        <v>2.9</v>
      </c>
      <c r="H897" s="5">
        <v>2.9</v>
      </c>
      <c r="I897" s="5"/>
      <c r="J897" s="1" t="s">
        <v>775</v>
      </c>
      <c r="K897" s="1" t="s">
        <v>1425</v>
      </c>
      <c r="L897" s="1" t="s">
        <v>79</v>
      </c>
      <c r="M897" s="1" t="s">
        <v>79</v>
      </c>
      <c r="N897" s="1" t="s">
        <v>79</v>
      </c>
      <c r="O897" s="6">
        <v>43986</v>
      </c>
      <c r="P897" s="6">
        <v>43985</v>
      </c>
      <c r="Q897" s="6"/>
      <c r="R897" s="1" t="s">
        <v>784</v>
      </c>
      <c r="S897" s="1" t="s">
        <v>79</v>
      </c>
      <c r="T897" s="5">
        <v>180</v>
      </c>
      <c r="U897" s="4">
        <v>26</v>
      </c>
      <c r="V897" s="5">
        <v>810</v>
      </c>
      <c r="W897" s="6"/>
      <c r="X897" s="6"/>
      <c r="Y897" s="6"/>
      <c r="Z897" s="6"/>
      <c r="AA897" s="6"/>
      <c r="AB897" s="6"/>
      <c r="AC897" s="6"/>
      <c r="AD897" s="6">
        <v>44120</v>
      </c>
    </row>
    <row r="898" spans="1:30">
      <c r="A898" s="1" t="s">
        <v>772</v>
      </c>
      <c r="B898" s="1" t="s">
        <v>773</v>
      </c>
      <c r="C898" s="1" t="s">
        <v>1002</v>
      </c>
      <c r="D898" s="1" t="s">
        <v>469</v>
      </c>
      <c r="E898" s="1" t="str">
        <f t="shared" si="13"/>
        <v>W06</v>
      </c>
      <c r="F898" s="5">
        <v>4.95</v>
      </c>
      <c r="G898" s="5">
        <v>3.92</v>
      </c>
      <c r="H898" s="5">
        <v>3.92</v>
      </c>
      <c r="I898" s="5"/>
      <c r="J898" s="1" t="s">
        <v>775</v>
      </c>
      <c r="K898" s="1" t="s">
        <v>1425</v>
      </c>
      <c r="L898" s="1" t="s">
        <v>79</v>
      </c>
      <c r="M898" s="1" t="s">
        <v>79</v>
      </c>
      <c r="N898" s="1" t="s">
        <v>79</v>
      </c>
      <c r="O898" s="6">
        <v>43986</v>
      </c>
      <c r="P898" s="6">
        <v>43985</v>
      </c>
      <c r="Q898" s="6"/>
      <c r="R898" s="1" t="s">
        <v>784</v>
      </c>
      <c r="S898" s="1" t="s">
        <v>79</v>
      </c>
      <c r="T898" s="5">
        <v>180</v>
      </c>
      <c r="U898" s="4">
        <v>26</v>
      </c>
      <c r="V898" s="5">
        <v>810</v>
      </c>
      <c r="W898" s="6"/>
      <c r="X898" s="6"/>
      <c r="Y898" s="6"/>
      <c r="Z898" s="6"/>
      <c r="AA898" s="6"/>
      <c r="AB898" s="6"/>
      <c r="AC898" s="6"/>
      <c r="AD898" s="6">
        <v>44075</v>
      </c>
    </row>
    <row r="899" spans="1:30">
      <c r="A899" s="1" t="s">
        <v>772</v>
      </c>
      <c r="B899" s="1" t="s">
        <v>773</v>
      </c>
      <c r="C899" s="1" t="s">
        <v>1010</v>
      </c>
      <c r="D899" s="1" t="s">
        <v>178</v>
      </c>
      <c r="E899" s="1" t="str">
        <f t="shared" si="13"/>
        <v>W07</v>
      </c>
      <c r="F899" s="5">
        <v>8.02</v>
      </c>
      <c r="G899" s="5">
        <v>6.26</v>
      </c>
      <c r="H899" s="5">
        <v>6.26</v>
      </c>
      <c r="I899" s="5"/>
      <c r="J899" s="1" t="s">
        <v>775</v>
      </c>
      <c r="K899" s="1" t="s">
        <v>1425</v>
      </c>
      <c r="L899" s="1" t="s">
        <v>79</v>
      </c>
      <c r="M899" s="1" t="s">
        <v>79</v>
      </c>
      <c r="N899" s="1" t="s">
        <v>79</v>
      </c>
      <c r="O899" s="6">
        <v>43990</v>
      </c>
      <c r="P899" s="6">
        <v>43990</v>
      </c>
      <c r="Q899" s="6"/>
      <c r="R899" s="1" t="s">
        <v>784</v>
      </c>
      <c r="S899" s="1" t="s">
        <v>79</v>
      </c>
      <c r="T899" s="5">
        <v>180</v>
      </c>
      <c r="U899" s="4">
        <v>26</v>
      </c>
      <c r="V899" s="5">
        <v>805</v>
      </c>
      <c r="W899" s="6"/>
      <c r="X899" s="6"/>
      <c r="Y899" s="6"/>
      <c r="Z899" s="6"/>
      <c r="AA899" s="6"/>
      <c r="AB899" s="6"/>
      <c r="AC899" s="6"/>
      <c r="AD899" s="6">
        <v>44041</v>
      </c>
    </row>
    <row r="900" spans="1:30">
      <c r="A900" s="1" t="s">
        <v>772</v>
      </c>
      <c r="B900" s="1" t="s">
        <v>773</v>
      </c>
      <c r="C900" s="1" t="s">
        <v>989</v>
      </c>
      <c r="D900" s="1" t="s">
        <v>528</v>
      </c>
      <c r="E900" s="1" t="str">
        <f t="shared" si="13"/>
        <v>W05</v>
      </c>
      <c r="F900" s="5">
        <v>19.02</v>
      </c>
      <c r="G900" s="5">
        <v>15.02</v>
      </c>
      <c r="H900" s="5">
        <v>15.02</v>
      </c>
      <c r="I900" s="5"/>
      <c r="J900" s="1" t="s">
        <v>775</v>
      </c>
      <c r="K900" s="1" t="s">
        <v>1425</v>
      </c>
      <c r="L900" s="1" t="s">
        <v>79</v>
      </c>
      <c r="M900" s="1" t="s">
        <v>79</v>
      </c>
      <c r="N900" s="1" t="s">
        <v>79</v>
      </c>
      <c r="O900" s="6">
        <v>43998</v>
      </c>
      <c r="P900" s="6">
        <v>43997</v>
      </c>
      <c r="Q900" s="6"/>
      <c r="R900" s="1" t="s">
        <v>784</v>
      </c>
      <c r="S900" s="1" t="s">
        <v>79</v>
      </c>
      <c r="T900" s="5">
        <v>180</v>
      </c>
      <c r="U900" s="4">
        <v>26</v>
      </c>
      <c r="V900" s="5">
        <v>798</v>
      </c>
      <c r="W900" s="6"/>
      <c r="X900" s="6"/>
      <c r="Y900" s="6"/>
      <c r="Z900" s="6"/>
      <c r="AA900" s="6"/>
      <c r="AB900" s="6"/>
      <c r="AC900" s="6"/>
      <c r="AD900" s="6">
        <v>44077</v>
      </c>
    </row>
    <row r="901" spans="1:30">
      <c r="A901" s="1" t="s">
        <v>772</v>
      </c>
      <c r="B901" s="1" t="s">
        <v>773</v>
      </c>
      <c r="C901" s="1" t="s">
        <v>848</v>
      </c>
      <c r="D901" s="1" t="s">
        <v>1426</v>
      </c>
      <c r="E901" s="1" t="str">
        <f t="shared" ref="E901:E964" si="14">RIGHT(C901,3)</f>
        <v>W02</v>
      </c>
      <c r="F901" s="5">
        <v>10.77</v>
      </c>
      <c r="G901" s="5">
        <v>8.94</v>
      </c>
      <c r="H901" s="5">
        <v>8.94</v>
      </c>
      <c r="I901" s="5"/>
      <c r="J901" s="1" t="s">
        <v>775</v>
      </c>
      <c r="K901" s="1" t="s">
        <v>1425</v>
      </c>
      <c r="L901" s="1" t="s">
        <v>79</v>
      </c>
      <c r="M901" s="1" t="s">
        <v>79</v>
      </c>
      <c r="N901" s="1" t="s">
        <v>79</v>
      </c>
      <c r="O901" s="6">
        <v>43998</v>
      </c>
      <c r="P901" s="6">
        <v>43997</v>
      </c>
      <c r="Q901" s="6"/>
      <c r="R901" s="1" t="s">
        <v>784</v>
      </c>
      <c r="S901" s="1" t="s">
        <v>79</v>
      </c>
      <c r="T901" s="5">
        <v>180</v>
      </c>
      <c r="U901" s="4">
        <v>26</v>
      </c>
      <c r="V901" s="5">
        <v>798</v>
      </c>
      <c r="W901" s="6"/>
      <c r="X901" s="6"/>
      <c r="Y901" s="6"/>
      <c r="Z901" s="6"/>
      <c r="AA901" s="6"/>
      <c r="AB901" s="6"/>
      <c r="AC901" s="6"/>
      <c r="AD901" s="6">
        <v>44111</v>
      </c>
    </row>
    <row r="902" spans="1:30">
      <c r="A902" s="1" t="s">
        <v>772</v>
      </c>
      <c r="B902" s="1" t="s">
        <v>773</v>
      </c>
      <c r="C902" s="1" t="s">
        <v>989</v>
      </c>
      <c r="D902" s="1" t="s">
        <v>172</v>
      </c>
      <c r="E902" s="1" t="str">
        <f t="shared" si="14"/>
        <v>W05</v>
      </c>
      <c r="F902" s="5">
        <v>9.74</v>
      </c>
      <c r="G902" s="5">
        <v>7.57</v>
      </c>
      <c r="H902" s="5">
        <v>7.57</v>
      </c>
      <c r="I902" s="5"/>
      <c r="J902" s="1" t="s">
        <v>775</v>
      </c>
      <c r="K902" s="1" t="s">
        <v>1425</v>
      </c>
      <c r="L902" s="1" t="s">
        <v>79</v>
      </c>
      <c r="M902" s="1" t="s">
        <v>79</v>
      </c>
      <c r="N902" s="1" t="s">
        <v>79</v>
      </c>
      <c r="O902" s="6">
        <v>43999</v>
      </c>
      <c r="P902" s="6">
        <v>43998</v>
      </c>
      <c r="Q902" s="6"/>
      <c r="R902" s="1" t="s">
        <v>784</v>
      </c>
      <c r="S902" s="1" t="s">
        <v>79</v>
      </c>
      <c r="T902" s="5">
        <v>180</v>
      </c>
      <c r="U902" s="4">
        <v>26</v>
      </c>
      <c r="V902" s="5">
        <v>797</v>
      </c>
      <c r="W902" s="6"/>
      <c r="X902" s="6"/>
      <c r="Y902" s="6"/>
      <c r="Z902" s="6"/>
      <c r="AA902" s="6"/>
      <c r="AB902" s="6"/>
      <c r="AC902" s="6"/>
      <c r="AD902" s="6">
        <v>44096</v>
      </c>
    </row>
    <row r="903" spans="1:30">
      <c r="A903" s="1" t="s">
        <v>772</v>
      </c>
      <c r="B903" s="1" t="s">
        <v>773</v>
      </c>
      <c r="C903" s="1" t="s">
        <v>989</v>
      </c>
      <c r="D903" s="1" t="s">
        <v>168</v>
      </c>
      <c r="E903" s="1" t="str">
        <f t="shared" si="14"/>
        <v>W05</v>
      </c>
      <c r="F903" s="5">
        <v>8.9</v>
      </c>
      <c r="G903" s="5">
        <v>6.92</v>
      </c>
      <c r="H903" s="5">
        <v>6.92</v>
      </c>
      <c r="I903" s="5"/>
      <c r="J903" s="1" t="s">
        <v>775</v>
      </c>
      <c r="K903" s="1" t="s">
        <v>1425</v>
      </c>
      <c r="L903" s="1" t="s">
        <v>79</v>
      </c>
      <c r="M903" s="1" t="s">
        <v>79</v>
      </c>
      <c r="N903" s="1" t="s">
        <v>79</v>
      </c>
      <c r="O903" s="6">
        <v>44012</v>
      </c>
      <c r="P903" s="6">
        <v>44012</v>
      </c>
      <c r="Q903" s="6"/>
      <c r="R903" s="1" t="s">
        <v>784</v>
      </c>
      <c r="S903" s="1" t="s">
        <v>79</v>
      </c>
      <c r="T903" s="5">
        <v>180</v>
      </c>
      <c r="U903" s="4">
        <v>25</v>
      </c>
      <c r="V903" s="5">
        <v>783</v>
      </c>
      <c r="W903" s="6"/>
      <c r="X903" s="6"/>
      <c r="Y903" s="6"/>
      <c r="Z903" s="6"/>
      <c r="AA903" s="6"/>
      <c r="AB903" s="6"/>
      <c r="AC903" s="6"/>
      <c r="AD903" s="6">
        <v>44082</v>
      </c>
    </row>
    <row r="904" spans="1:30">
      <c r="A904" s="1" t="s">
        <v>772</v>
      </c>
      <c r="B904" s="1" t="s">
        <v>773</v>
      </c>
      <c r="C904" s="1" t="s">
        <v>1002</v>
      </c>
      <c r="D904" s="1" t="s">
        <v>190</v>
      </c>
      <c r="E904" s="1" t="str">
        <f t="shared" si="14"/>
        <v>W06</v>
      </c>
      <c r="F904" s="5">
        <v>17.579999999999998</v>
      </c>
      <c r="G904" s="5">
        <v>14</v>
      </c>
      <c r="H904" s="5">
        <v>14</v>
      </c>
      <c r="I904" s="5"/>
      <c r="J904" s="1" t="s">
        <v>775</v>
      </c>
      <c r="K904" s="1" t="s">
        <v>1425</v>
      </c>
      <c r="L904" s="1" t="s">
        <v>79</v>
      </c>
      <c r="M904" s="1" t="s">
        <v>79</v>
      </c>
      <c r="N904" s="1" t="s">
        <v>79</v>
      </c>
      <c r="O904" s="6">
        <v>44012</v>
      </c>
      <c r="P904" s="6">
        <v>44012</v>
      </c>
      <c r="Q904" s="6"/>
      <c r="R904" s="1" t="s">
        <v>784</v>
      </c>
      <c r="S904" s="1" t="s">
        <v>79</v>
      </c>
      <c r="T904" s="5">
        <v>180</v>
      </c>
      <c r="U904" s="4">
        <v>25</v>
      </c>
      <c r="V904" s="5">
        <v>783</v>
      </c>
      <c r="W904" s="6"/>
      <c r="X904" s="6"/>
      <c r="Y904" s="6"/>
      <c r="Z904" s="6"/>
      <c r="AA904" s="6"/>
      <c r="AB904" s="6"/>
      <c r="AC904" s="6"/>
      <c r="AD904" s="6">
        <v>44088</v>
      </c>
    </row>
    <row r="905" spans="1:30">
      <c r="A905" s="1" t="s">
        <v>772</v>
      </c>
      <c r="B905" s="1" t="s">
        <v>773</v>
      </c>
      <c r="C905" s="1" t="s">
        <v>848</v>
      </c>
      <c r="D905" s="1" t="s">
        <v>628</v>
      </c>
      <c r="E905" s="1" t="str">
        <f t="shared" si="14"/>
        <v>W02</v>
      </c>
      <c r="F905" s="5">
        <v>13.4</v>
      </c>
      <c r="G905" s="5">
        <v>10.6</v>
      </c>
      <c r="H905" s="5">
        <v>10.6</v>
      </c>
      <c r="I905" s="5"/>
      <c r="J905" s="1" t="s">
        <v>775</v>
      </c>
      <c r="K905" s="1" t="s">
        <v>1425</v>
      </c>
      <c r="L905" s="1" t="s">
        <v>79</v>
      </c>
      <c r="M905" s="1" t="s">
        <v>79</v>
      </c>
      <c r="N905" s="1" t="s">
        <v>79</v>
      </c>
      <c r="O905" s="6">
        <v>44012</v>
      </c>
      <c r="P905" s="6">
        <v>44012</v>
      </c>
      <c r="Q905" s="6"/>
      <c r="R905" s="1" t="s">
        <v>784</v>
      </c>
      <c r="S905" s="1" t="s">
        <v>79</v>
      </c>
      <c r="T905" s="5">
        <v>180</v>
      </c>
      <c r="U905" s="4">
        <v>25</v>
      </c>
      <c r="V905" s="5">
        <v>783</v>
      </c>
      <c r="W905" s="6"/>
      <c r="X905" s="6"/>
      <c r="Y905" s="6"/>
      <c r="Z905" s="6"/>
      <c r="AA905" s="6"/>
      <c r="AB905" s="6"/>
      <c r="AC905" s="6"/>
      <c r="AD905" s="6">
        <v>44137</v>
      </c>
    </row>
    <row r="906" spans="1:30">
      <c r="A906" s="1" t="s">
        <v>772</v>
      </c>
      <c r="B906" s="1" t="s">
        <v>773</v>
      </c>
      <c r="C906" s="1" t="s">
        <v>1010</v>
      </c>
      <c r="D906" s="1" t="s">
        <v>638</v>
      </c>
      <c r="E906" s="1" t="str">
        <f t="shared" si="14"/>
        <v>W07</v>
      </c>
      <c r="F906" s="5">
        <v>8</v>
      </c>
      <c r="G906" s="5">
        <v>6.33</v>
      </c>
      <c r="H906" s="5">
        <v>6.33</v>
      </c>
      <c r="I906" s="5"/>
      <c r="J906" s="1" t="s">
        <v>775</v>
      </c>
      <c r="K906" s="1" t="s">
        <v>1427</v>
      </c>
      <c r="L906" s="1" t="s">
        <v>79</v>
      </c>
      <c r="M906" s="1" t="s">
        <v>79</v>
      </c>
      <c r="N906" s="1" t="s">
        <v>79</v>
      </c>
      <c r="O906" s="6">
        <v>44019</v>
      </c>
      <c r="P906" s="6">
        <v>44018</v>
      </c>
      <c r="Q906" s="6"/>
      <c r="R906" s="1" t="s">
        <v>784</v>
      </c>
      <c r="S906" s="1" t="s">
        <v>79</v>
      </c>
      <c r="T906" s="5">
        <v>180</v>
      </c>
      <c r="U906" s="4">
        <v>25</v>
      </c>
      <c r="V906" s="5">
        <v>777</v>
      </c>
      <c r="W906" s="6"/>
      <c r="X906" s="6"/>
      <c r="Y906" s="6"/>
      <c r="Z906" s="6"/>
      <c r="AA906" s="6"/>
      <c r="AB906" s="6"/>
      <c r="AC906" s="6"/>
      <c r="AD906" s="6">
        <v>44119</v>
      </c>
    </row>
    <row r="907" spans="1:30">
      <c r="A907" s="1" t="s">
        <v>772</v>
      </c>
      <c r="B907" s="1" t="s">
        <v>773</v>
      </c>
      <c r="C907" s="1" t="s">
        <v>774</v>
      </c>
      <c r="D907" s="1" t="s">
        <v>598</v>
      </c>
      <c r="E907" s="1" t="str">
        <f t="shared" si="14"/>
        <v>W01</v>
      </c>
      <c r="F907" s="5">
        <v>7.8</v>
      </c>
      <c r="G907" s="5">
        <v>6.27</v>
      </c>
      <c r="H907" s="5">
        <v>6.27</v>
      </c>
      <c r="I907" s="5"/>
      <c r="J907" s="1" t="s">
        <v>775</v>
      </c>
      <c r="K907" s="1" t="s">
        <v>1427</v>
      </c>
      <c r="L907" s="1" t="s">
        <v>79</v>
      </c>
      <c r="M907" s="1" t="s">
        <v>79</v>
      </c>
      <c r="N907" s="1" t="s">
        <v>79</v>
      </c>
      <c r="O907" s="6">
        <v>44019</v>
      </c>
      <c r="P907" s="6">
        <v>44019</v>
      </c>
      <c r="Q907" s="6"/>
      <c r="R907" s="1" t="s">
        <v>784</v>
      </c>
      <c r="S907" s="1" t="s">
        <v>79</v>
      </c>
      <c r="T907" s="5">
        <v>180</v>
      </c>
      <c r="U907" s="4">
        <v>25</v>
      </c>
      <c r="V907" s="5">
        <v>776</v>
      </c>
      <c r="W907" s="6"/>
      <c r="X907" s="6"/>
      <c r="Y907" s="6"/>
      <c r="Z907" s="6"/>
      <c r="AA907" s="6"/>
      <c r="AB907" s="6"/>
      <c r="AC907" s="6"/>
      <c r="AD907" s="6">
        <v>44132</v>
      </c>
    </row>
    <row r="908" spans="1:30">
      <c r="A908" s="1" t="s">
        <v>772</v>
      </c>
      <c r="B908" s="1" t="s">
        <v>773</v>
      </c>
      <c r="C908" s="1" t="s">
        <v>848</v>
      </c>
      <c r="D908" s="1" t="s">
        <v>1428</v>
      </c>
      <c r="E908" s="1" t="str">
        <f t="shared" si="14"/>
        <v>W02</v>
      </c>
      <c r="F908" s="5">
        <v>8.36</v>
      </c>
      <c r="G908" s="5">
        <v>7.26</v>
      </c>
      <c r="H908" s="5">
        <v>7.26</v>
      </c>
      <c r="I908" s="5"/>
      <c r="J908" s="1" t="s">
        <v>775</v>
      </c>
      <c r="K908" s="1" t="s">
        <v>1427</v>
      </c>
      <c r="L908" s="1" t="s">
        <v>79</v>
      </c>
      <c r="M908" s="1" t="s">
        <v>79</v>
      </c>
      <c r="N908" s="1" t="s">
        <v>79</v>
      </c>
      <c r="O908" s="6">
        <v>44029</v>
      </c>
      <c r="P908" s="6">
        <v>44028</v>
      </c>
      <c r="Q908" s="6"/>
      <c r="R908" s="1" t="s">
        <v>784</v>
      </c>
      <c r="S908" s="1" t="s">
        <v>79</v>
      </c>
      <c r="T908" s="5">
        <v>180</v>
      </c>
      <c r="U908" s="4">
        <v>25</v>
      </c>
      <c r="V908" s="5">
        <v>767</v>
      </c>
      <c r="W908" s="6"/>
      <c r="X908" s="6"/>
      <c r="Y908" s="6"/>
      <c r="Z908" s="6"/>
      <c r="AA908" s="6"/>
      <c r="AB908" s="6"/>
      <c r="AC908" s="6"/>
      <c r="AD908" s="6">
        <v>44140</v>
      </c>
    </row>
    <row r="909" spans="1:30">
      <c r="A909" s="1" t="s">
        <v>772</v>
      </c>
      <c r="B909" s="1" t="s">
        <v>773</v>
      </c>
      <c r="C909" s="1" t="s">
        <v>848</v>
      </c>
      <c r="D909" s="1" t="s">
        <v>599</v>
      </c>
      <c r="E909" s="1" t="str">
        <f t="shared" si="14"/>
        <v>W02</v>
      </c>
      <c r="F909" s="5">
        <v>6.61</v>
      </c>
      <c r="G909" s="5">
        <v>5.32</v>
      </c>
      <c r="H909" s="5">
        <v>5.32</v>
      </c>
      <c r="I909" s="5"/>
      <c r="J909" s="1" t="s">
        <v>775</v>
      </c>
      <c r="K909" s="1" t="s">
        <v>1427</v>
      </c>
      <c r="L909" s="1" t="s">
        <v>79</v>
      </c>
      <c r="M909" s="1" t="s">
        <v>79</v>
      </c>
      <c r="N909" s="1" t="s">
        <v>79</v>
      </c>
      <c r="O909" s="6">
        <v>44033</v>
      </c>
      <c r="P909" s="6">
        <v>44032</v>
      </c>
      <c r="Q909" s="6"/>
      <c r="R909" s="1" t="s">
        <v>784</v>
      </c>
      <c r="S909" s="1" t="s">
        <v>79</v>
      </c>
      <c r="T909" s="5">
        <v>180</v>
      </c>
      <c r="U909" s="4">
        <v>25</v>
      </c>
      <c r="V909" s="5">
        <v>763</v>
      </c>
      <c r="W909" s="6"/>
      <c r="X909" s="6"/>
      <c r="Y909" s="6"/>
      <c r="Z909" s="6"/>
      <c r="AA909" s="6"/>
      <c r="AB909" s="6"/>
      <c r="AC909" s="6"/>
      <c r="AD909" s="6">
        <v>44083</v>
      </c>
    </row>
    <row r="910" spans="1:30">
      <c r="A910" s="1" t="s">
        <v>772</v>
      </c>
      <c r="B910" s="1" t="s">
        <v>773</v>
      </c>
      <c r="D910" s="1" t="s">
        <v>1429</v>
      </c>
      <c r="E910" s="1" t="str">
        <f t="shared" si="14"/>
        <v/>
      </c>
      <c r="F910" s="5">
        <v>0</v>
      </c>
      <c r="G910" s="5">
        <v>0</v>
      </c>
      <c r="H910" s="5">
        <v>0</v>
      </c>
      <c r="I910" s="5"/>
      <c r="J910" s="1" t="s">
        <v>775</v>
      </c>
      <c r="K910" s="1" t="s">
        <v>1427</v>
      </c>
      <c r="L910" s="1" t="s">
        <v>79</v>
      </c>
      <c r="M910" s="1" t="s">
        <v>79</v>
      </c>
      <c r="N910" s="1" t="s">
        <v>79</v>
      </c>
      <c r="O910" s="6">
        <v>44033</v>
      </c>
      <c r="P910" s="6">
        <v>44032</v>
      </c>
      <c r="Q910" s="6"/>
      <c r="R910" s="1" t="s">
        <v>784</v>
      </c>
      <c r="S910" s="1" t="s">
        <v>79</v>
      </c>
      <c r="T910" s="5">
        <v>180</v>
      </c>
      <c r="U910" s="4">
        <v>25</v>
      </c>
      <c r="V910" s="5">
        <v>763</v>
      </c>
      <c r="W910" s="6"/>
      <c r="X910" s="6"/>
      <c r="Y910" s="6"/>
      <c r="Z910" s="6"/>
      <c r="AA910" s="6"/>
      <c r="AB910" s="6"/>
      <c r="AC910" s="6"/>
      <c r="AD910" s="6">
        <v>44127</v>
      </c>
    </row>
    <row r="911" spans="1:30">
      <c r="A911" s="1" t="s">
        <v>772</v>
      </c>
      <c r="B911" s="1" t="s">
        <v>773</v>
      </c>
      <c r="C911" s="1" t="s">
        <v>774</v>
      </c>
      <c r="D911" s="1" t="s">
        <v>482</v>
      </c>
      <c r="E911" s="1" t="str">
        <f t="shared" si="14"/>
        <v>W01</v>
      </c>
      <c r="F911" s="5">
        <v>5.24</v>
      </c>
      <c r="G911" s="5">
        <v>3.98</v>
      </c>
      <c r="H911" s="5">
        <v>3.98</v>
      </c>
      <c r="I911" s="5"/>
      <c r="J911" s="1" t="s">
        <v>775</v>
      </c>
      <c r="K911" s="1" t="s">
        <v>1427</v>
      </c>
      <c r="L911" s="1" t="s">
        <v>79</v>
      </c>
      <c r="M911" s="1" t="s">
        <v>79</v>
      </c>
      <c r="N911" s="1" t="s">
        <v>79</v>
      </c>
      <c r="O911" s="6">
        <v>44033</v>
      </c>
      <c r="P911" s="6">
        <v>44032</v>
      </c>
      <c r="Q911" s="6"/>
      <c r="R911" s="1" t="s">
        <v>784</v>
      </c>
      <c r="S911" s="1" t="s">
        <v>79</v>
      </c>
      <c r="T911" s="5">
        <v>180</v>
      </c>
      <c r="U911" s="4">
        <v>25</v>
      </c>
      <c r="V911" s="5">
        <v>763</v>
      </c>
      <c r="W911" s="6"/>
      <c r="X911" s="6"/>
      <c r="Y911" s="6"/>
      <c r="Z911" s="6"/>
      <c r="AA911" s="6"/>
      <c r="AB911" s="6"/>
      <c r="AC911" s="6"/>
      <c r="AD911" s="6">
        <v>44090</v>
      </c>
    </row>
    <row r="912" spans="1:30">
      <c r="A912" s="1" t="s">
        <v>772</v>
      </c>
      <c r="B912" s="1" t="s">
        <v>773</v>
      </c>
      <c r="C912" s="1" t="s">
        <v>1010</v>
      </c>
      <c r="D912" s="1" t="s">
        <v>263</v>
      </c>
      <c r="E912" s="1" t="str">
        <f t="shared" si="14"/>
        <v>W07</v>
      </c>
      <c r="F912" s="4">
        <v>9.6999999999999993</v>
      </c>
      <c r="G912" s="4">
        <v>7.7</v>
      </c>
      <c r="H912" s="4">
        <v>7.7</v>
      </c>
      <c r="I912" s="4"/>
      <c r="J912" s="1" t="s">
        <v>775</v>
      </c>
      <c r="K912" s="1" t="s">
        <v>1019</v>
      </c>
      <c r="L912" s="1" t="s">
        <v>79</v>
      </c>
      <c r="M912" s="1" t="s">
        <v>79</v>
      </c>
      <c r="N912" s="1" t="s">
        <v>79</v>
      </c>
      <c r="O912" s="6">
        <v>42535</v>
      </c>
      <c r="P912" s="6">
        <v>42522</v>
      </c>
      <c r="Q912" s="6">
        <v>42522</v>
      </c>
      <c r="R912" s="1" t="s">
        <v>1017</v>
      </c>
      <c r="S912" s="1" t="s">
        <v>79</v>
      </c>
      <c r="T912" s="5">
        <v>0</v>
      </c>
      <c r="U912" s="4">
        <v>74</v>
      </c>
      <c r="V912" s="5">
        <v>2273</v>
      </c>
      <c r="W912" s="6"/>
      <c r="X912" s="6"/>
      <c r="Y912" s="6"/>
      <c r="Z912" s="6"/>
      <c r="AA912" s="6"/>
      <c r="AB912" s="6"/>
      <c r="AC912" s="6"/>
      <c r="AD912" s="6">
        <v>43128</v>
      </c>
    </row>
    <row r="913" spans="1:30">
      <c r="A913" s="1" t="s">
        <v>772</v>
      </c>
      <c r="B913" s="1" t="s">
        <v>773</v>
      </c>
      <c r="C913" s="1" t="s">
        <v>989</v>
      </c>
      <c r="D913" s="1" t="s">
        <v>1430</v>
      </c>
      <c r="E913" s="1" t="str">
        <f t="shared" si="14"/>
        <v>W05</v>
      </c>
      <c r="F913" s="4">
        <v>0</v>
      </c>
      <c r="G913" s="4">
        <v>0</v>
      </c>
      <c r="H913" s="4">
        <v>0</v>
      </c>
      <c r="I913" s="4"/>
      <c r="J913" s="1" t="s">
        <v>775</v>
      </c>
      <c r="K913" s="1" t="s">
        <v>1027</v>
      </c>
      <c r="L913" s="1" t="s">
        <v>79</v>
      </c>
      <c r="M913" s="1" t="s">
        <v>1016</v>
      </c>
      <c r="N913" s="1" t="s">
        <v>79</v>
      </c>
      <c r="O913" s="6">
        <v>42500</v>
      </c>
      <c r="P913" s="6">
        <v>42500</v>
      </c>
      <c r="Q913" s="6"/>
      <c r="R913" s="1" t="s">
        <v>1017</v>
      </c>
      <c r="S913" s="1" t="s">
        <v>79</v>
      </c>
      <c r="T913" s="5">
        <v>0</v>
      </c>
      <c r="U913" s="4">
        <v>75</v>
      </c>
      <c r="V913" s="5">
        <v>2295</v>
      </c>
      <c r="W913" s="6"/>
      <c r="X913" s="6"/>
      <c r="Y913" s="6"/>
      <c r="Z913" s="6"/>
      <c r="AA913" s="6"/>
      <c r="AB913" s="6"/>
      <c r="AC913" s="6"/>
      <c r="AD913" s="6">
        <v>43132</v>
      </c>
    </row>
    <row r="914" spans="1:30">
      <c r="A914" s="1" t="s">
        <v>772</v>
      </c>
      <c r="B914" s="1" t="s">
        <v>773</v>
      </c>
      <c r="C914" s="1" t="s">
        <v>989</v>
      </c>
      <c r="D914" s="1" t="s">
        <v>1431</v>
      </c>
      <c r="E914" s="1" t="str">
        <f t="shared" si="14"/>
        <v>W05</v>
      </c>
      <c r="F914" s="5">
        <v>0</v>
      </c>
      <c r="G914" s="5">
        <v>0</v>
      </c>
      <c r="H914" s="5">
        <v>0</v>
      </c>
      <c r="I914" s="5"/>
      <c r="J914" s="1" t="s">
        <v>775</v>
      </c>
      <c r="K914" s="1" t="s">
        <v>1427</v>
      </c>
      <c r="L914" s="1" t="s">
        <v>79</v>
      </c>
      <c r="M914" s="1" t="s">
        <v>79</v>
      </c>
      <c r="N914" s="1" t="s">
        <v>79</v>
      </c>
      <c r="O914" s="6">
        <v>44041</v>
      </c>
      <c r="P914" s="6">
        <v>44039</v>
      </c>
      <c r="Q914" s="6"/>
      <c r="R914" s="1" t="s">
        <v>784</v>
      </c>
      <c r="S914" s="1" t="s">
        <v>79</v>
      </c>
      <c r="T914" s="5">
        <v>180</v>
      </c>
      <c r="U914" s="4">
        <v>24</v>
      </c>
      <c r="V914" s="5">
        <v>756</v>
      </c>
      <c r="W914" s="6"/>
      <c r="X914" s="6"/>
      <c r="Y914" s="6"/>
      <c r="Z914" s="6"/>
      <c r="AA914" s="6"/>
      <c r="AB914" s="6"/>
      <c r="AC914" s="6"/>
      <c r="AD914" s="6">
        <v>44118</v>
      </c>
    </row>
    <row r="915" spans="1:30">
      <c r="A915" s="1" t="s">
        <v>772</v>
      </c>
      <c r="B915" s="1" t="s">
        <v>773</v>
      </c>
      <c r="C915" s="1" t="s">
        <v>774</v>
      </c>
      <c r="D915" s="1" t="s">
        <v>602</v>
      </c>
      <c r="E915" s="1" t="str">
        <f t="shared" si="14"/>
        <v>W01</v>
      </c>
      <c r="F915" s="5">
        <v>7.2</v>
      </c>
      <c r="G915" s="5">
        <v>5.73</v>
      </c>
      <c r="H915" s="5">
        <v>5.73</v>
      </c>
      <c r="I915" s="5"/>
      <c r="J915" s="1" t="s">
        <v>775</v>
      </c>
      <c r="K915" s="1" t="s">
        <v>1427</v>
      </c>
      <c r="L915" s="1" t="s">
        <v>79</v>
      </c>
      <c r="M915" s="1" t="s">
        <v>79</v>
      </c>
      <c r="N915" s="1" t="s">
        <v>79</v>
      </c>
      <c r="O915" s="6">
        <v>44041</v>
      </c>
      <c r="P915" s="6">
        <v>44039</v>
      </c>
      <c r="Q915" s="6"/>
      <c r="R915" s="1" t="s">
        <v>784</v>
      </c>
      <c r="S915" s="1" t="s">
        <v>79</v>
      </c>
      <c r="T915" s="5">
        <v>180</v>
      </c>
      <c r="U915" s="4">
        <v>24</v>
      </c>
      <c r="V915" s="5">
        <v>756</v>
      </c>
      <c r="W915" s="6"/>
      <c r="X915" s="6"/>
      <c r="Y915" s="6"/>
      <c r="Z915" s="6"/>
      <c r="AA915" s="6"/>
      <c r="AB915" s="6"/>
      <c r="AC915" s="6"/>
      <c r="AD915" s="6">
        <v>44130</v>
      </c>
    </row>
    <row r="916" spans="1:30">
      <c r="A916" s="1" t="s">
        <v>772</v>
      </c>
      <c r="B916" s="1" t="s">
        <v>917</v>
      </c>
      <c r="C916" s="1" t="s">
        <v>858</v>
      </c>
      <c r="D916" s="1" t="s">
        <v>1432</v>
      </c>
      <c r="E916" s="1" t="str">
        <f t="shared" si="14"/>
        <v>W04</v>
      </c>
      <c r="F916" s="5">
        <v>0.5</v>
      </c>
      <c r="G916" s="5">
        <v>0.5</v>
      </c>
      <c r="H916" s="5">
        <v>0.5</v>
      </c>
      <c r="I916" s="5"/>
      <c r="J916" s="1" t="s">
        <v>775</v>
      </c>
      <c r="K916" s="1" t="s">
        <v>1427</v>
      </c>
      <c r="L916" s="1" t="s">
        <v>79</v>
      </c>
      <c r="M916" s="1" t="s">
        <v>79</v>
      </c>
      <c r="N916" s="1" t="s">
        <v>79</v>
      </c>
      <c r="O916" s="6">
        <v>44041</v>
      </c>
      <c r="P916" s="6">
        <v>44039</v>
      </c>
      <c r="Q916" s="6"/>
      <c r="R916" s="1" t="s">
        <v>784</v>
      </c>
      <c r="S916" s="1" t="s">
        <v>79</v>
      </c>
      <c r="T916" s="5">
        <v>180</v>
      </c>
      <c r="U916" s="4">
        <v>24</v>
      </c>
      <c r="V916" s="5">
        <v>756</v>
      </c>
      <c r="W916" s="6"/>
      <c r="X916" s="6"/>
      <c r="Y916" s="6"/>
      <c r="Z916" s="6"/>
      <c r="AA916" s="6"/>
      <c r="AB916" s="6"/>
      <c r="AC916" s="6"/>
      <c r="AD916" s="6">
        <v>44138</v>
      </c>
    </row>
    <row r="917" spans="1:30">
      <c r="A917" s="1" t="s">
        <v>772</v>
      </c>
      <c r="B917" s="1" t="s">
        <v>773</v>
      </c>
      <c r="C917" s="1" t="s">
        <v>848</v>
      </c>
      <c r="D917" s="1" t="s">
        <v>543</v>
      </c>
      <c r="E917" s="1" t="str">
        <f t="shared" si="14"/>
        <v>W02</v>
      </c>
      <c r="F917" s="5">
        <v>8.9</v>
      </c>
      <c r="G917" s="5">
        <v>6.96</v>
      </c>
      <c r="H917" s="5">
        <v>6.96</v>
      </c>
      <c r="I917" s="5"/>
      <c r="J917" s="1" t="s">
        <v>775</v>
      </c>
      <c r="K917" s="1" t="s">
        <v>1433</v>
      </c>
      <c r="L917" s="1" t="s">
        <v>79</v>
      </c>
      <c r="M917" s="1" t="s">
        <v>79</v>
      </c>
      <c r="N917" s="1" t="s">
        <v>79</v>
      </c>
      <c r="O917" s="6">
        <v>44046</v>
      </c>
      <c r="P917" s="6">
        <v>44041</v>
      </c>
      <c r="Q917" s="6"/>
      <c r="R917" s="1" t="s">
        <v>784</v>
      </c>
      <c r="S917" s="1" t="s">
        <v>79</v>
      </c>
      <c r="T917" s="5">
        <v>180</v>
      </c>
      <c r="U917" s="4">
        <v>24</v>
      </c>
      <c r="V917" s="5">
        <v>754</v>
      </c>
      <c r="W917" s="6"/>
      <c r="X917" s="6"/>
      <c r="Y917" s="6"/>
      <c r="Z917" s="6"/>
      <c r="AA917" s="6"/>
      <c r="AB917" s="6"/>
      <c r="AC917" s="6"/>
      <c r="AD917" s="6">
        <v>44124</v>
      </c>
    </row>
    <row r="918" spans="1:30">
      <c r="A918" s="1" t="s">
        <v>772</v>
      </c>
      <c r="B918" s="1" t="s">
        <v>773</v>
      </c>
      <c r="C918" s="1" t="s">
        <v>1002</v>
      </c>
      <c r="D918" s="1" t="s">
        <v>467</v>
      </c>
      <c r="E918" s="1" t="str">
        <f t="shared" si="14"/>
        <v>W06</v>
      </c>
      <c r="F918" s="5">
        <v>6.62</v>
      </c>
      <c r="G918" s="5">
        <v>5.1100000000000003</v>
      </c>
      <c r="H918" s="5">
        <v>5.1100000000000003</v>
      </c>
      <c r="I918" s="5"/>
      <c r="J918" s="1" t="s">
        <v>775</v>
      </c>
      <c r="K918" s="1" t="s">
        <v>1433</v>
      </c>
      <c r="L918" s="1" t="s">
        <v>79</v>
      </c>
      <c r="M918" s="1" t="s">
        <v>79</v>
      </c>
      <c r="N918" s="1" t="s">
        <v>79</v>
      </c>
      <c r="O918" s="6">
        <v>44048</v>
      </c>
      <c r="P918" s="6">
        <v>44047</v>
      </c>
      <c r="Q918" s="6"/>
      <c r="R918" s="1" t="s">
        <v>784</v>
      </c>
      <c r="S918" s="1" t="s">
        <v>79</v>
      </c>
      <c r="T918" s="5">
        <v>180</v>
      </c>
      <c r="U918" s="4">
        <v>24</v>
      </c>
      <c r="V918" s="5">
        <v>748</v>
      </c>
      <c r="W918" s="6"/>
      <c r="X918" s="6"/>
      <c r="Y918" s="6"/>
      <c r="Z918" s="6"/>
      <c r="AA918" s="6"/>
      <c r="AB918" s="6"/>
      <c r="AC918" s="6"/>
      <c r="AD918" s="6">
        <v>44144</v>
      </c>
    </row>
    <row r="919" spans="1:30">
      <c r="A919" s="1" t="s">
        <v>772</v>
      </c>
      <c r="B919" s="1" t="s">
        <v>773</v>
      </c>
      <c r="C919" s="1" t="s">
        <v>1002</v>
      </c>
      <c r="D919" s="1" t="s">
        <v>574</v>
      </c>
      <c r="E919" s="1" t="str">
        <f t="shared" si="14"/>
        <v>W06</v>
      </c>
      <c r="F919" s="5">
        <v>10.3</v>
      </c>
      <c r="G919" s="5">
        <v>8.14</v>
      </c>
      <c r="H919" s="5">
        <v>8.14</v>
      </c>
      <c r="I919" s="5"/>
      <c r="J919" s="1" t="s">
        <v>775</v>
      </c>
      <c r="K919" s="1" t="s">
        <v>1433</v>
      </c>
      <c r="L919" s="1" t="s">
        <v>79</v>
      </c>
      <c r="M919" s="1" t="s">
        <v>79</v>
      </c>
      <c r="N919" s="1" t="s">
        <v>79</v>
      </c>
      <c r="O919" s="6">
        <v>44048</v>
      </c>
      <c r="P919" s="6">
        <v>44047</v>
      </c>
      <c r="Q919" s="6"/>
      <c r="R919" s="1" t="s">
        <v>784</v>
      </c>
      <c r="S919" s="1" t="s">
        <v>79</v>
      </c>
      <c r="T919" s="5">
        <v>180</v>
      </c>
      <c r="U919" s="4">
        <v>24</v>
      </c>
      <c r="V919" s="5">
        <v>748</v>
      </c>
      <c r="W919" s="6"/>
      <c r="X919" s="6"/>
      <c r="Y919" s="6"/>
      <c r="Z919" s="6"/>
      <c r="AA919" s="6"/>
      <c r="AB919" s="6"/>
      <c r="AC919" s="6"/>
      <c r="AD919" s="6">
        <v>44135</v>
      </c>
    </row>
    <row r="920" spans="1:30">
      <c r="A920" s="1" t="s">
        <v>772</v>
      </c>
      <c r="B920" s="1" t="s">
        <v>917</v>
      </c>
      <c r="C920" s="1" t="s">
        <v>989</v>
      </c>
      <c r="D920" s="1" t="s">
        <v>1434</v>
      </c>
      <c r="E920" s="1" t="str">
        <f t="shared" si="14"/>
        <v>W05</v>
      </c>
      <c r="F920" s="5">
        <v>4.07</v>
      </c>
      <c r="G920" s="5">
        <v>3.55</v>
      </c>
      <c r="H920" s="5">
        <v>3.55</v>
      </c>
      <c r="I920" s="5"/>
      <c r="J920" s="1" t="s">
        <v>775</v>
      </c>
      <c r="K920" s="1" t="s">
        <v>1433</v>
      </c>
      <c r="L920" s="1" t="s">
        <v>79</v>
      </c>
      <c r="M920" s="1" t="s">
        <v>79</v>
      </c>
      <c r="N920" s="1" t="s">
        <v>79</v>
      </c>
      <c r="O920" s="6">
        <v>44048</v>
      </c>
      <c r="P920" s="6">
        <v>44047</v>
      </c>
      <c r="Q920" s="6"/>
      <c r="R920" s="1" t="s">
        <v>784</v>
      </c>
      <c r="S920" s="1" t="s">
        <v>79</v>
      </c>
      <c r="T920" s="5">
        <v>180</v>
      </c>
      <c r="U920" s="4">
        <v>24</v>
      </c>
      <c r="V920" s="5">
        <v>748</v>
      </c>
      <c r="W920" s="6"/>
      <c r="X920" s="6"/>
      <c r="Y920" s="6"/>
      <c r="Z920" s="6"/>
      <c r="AA920" s="6"/>
      <c r="AB920" s="6"/>
      <c r="AC920" s="6"/>
      <c r="AD920" s="6">
        <v>44153</v>
      </c>
    </row>
    <row r="921" spans="1:30">
      <c r="A921" s="1" t="s">
        <v>772</v>
      </c>
      <c r="B921" s="1" t="s">
        <v>917</v>
      </c>
      <c r="C921" s="1" t="s">
        <v>858</v>
      </c>
      <c r="D921" s="1" t="s">
        <v>1435</v>
      </c>
      <c r="E921" s="1" t="str">
        <f t="shared" si="14"/>
        <v>W04</v>
      </c>
      <c r="F921" s="5">
        <v>9.4700000000000006</v>
      </c>
      <c r="G921" s="5">
        <v>7.44</v>
      </c>
      <c r="H921" s="5">
        <v>7.44</v>
      </c>
      <c r="I921" s="5"/>
      <c r="J921" s="1" t="s">
        <v>775</v>
      </c>
      <c r="K921" s="1" t="s">
        <v>1433</v>
      </c>
      <c r="L921" s="1" t="s">
        <v>79</v>
      </c>
      <c r="M921" s="1" t="s">
        <v>79</v>
      </c>
      <c r="N921" s="1" t="s">
        <v>79</v>
      </c>
      <c r="O921" s="6">
        <v>44053</v>
      </c>
      <c r="P921" s="6">
        <v>44050</v>
      </c>
      <c r="Q921" s="6"/>
      <c r="R921" s="1" t="s">
        <v>784</v>
      </c>
      <c r="S921" s="1" t="s">
        <v>79</v>
      </c>
      <c r="T921" s="5">
        <v>180</v>
      </c>
      <c r="U921" s="4">
        <v>24</v>
      </c>
      <c r="V921" s="5">
        <v>745</v>
      </c>
      <c r="W921" s="6"/>
      <c r="X921" s="6"/>
      <c r="Y921" s="6"/>
      <c r="Z921" s="6"/>
      <c r="AA921" s="6"/>
      <c r="AB921" s="6"/>
      <c r="AC921" s="6"/>
      <c r="AD921" s="6">
        <v>44147</v>
      </c>
    </row>
    <row r="922" spans="1:30">
      <c r="A922" s="1" t="s">
        <v>772</v>
      </c>
      <c r="B922" s="1" t="s">
        <v>773</v>
      </c>
      <c r="C922" s="1" t="s">
        <v>774</v>
      </c>
      <c r="D922" s="1" t="s">
        <v>615</v>
      </c>
      <c r="E922" s="1" t="str">
        <f t="shared" si="14"/>
        <v>W01</v>
      </c>
      <c r="F922" s="5">
        <v>7.36</v>
      </c>
      <c r="G922" s="5">
        <v>5.91</v>
      </c>
      <c r="H922" s="5">
        <v>5.91</v>
      </c>
      <c r="I922" s="5"/>
      <c r="J922" s="1" t="s">
        <v>775</v>
      </c>
      <c r="K922" s="1" t="s">
        <v>1433</v>
      </c>
      <c r="L922" s="1" t="s">
        <v>79</v>
      </c>
      <c r="M922" s="1" t="s">
        <v>79</v>
      </c>
      <c r="N922" s="1" t="s">
        <v>79</v>
      </c>
      <c r="O922" s="6">
        <v>44053</v>
      </c>
      <c r="P922" s="6">
        <v>44050</v>
      </c>
      <c r="Q922" s="6"/>
      <c r="R922" s="1" t="s">
        <v>784</v>
      </c>
      <c r="S922" s="1" t="s">
        <v>79</v>
      </c>
      <c r="T922" s="5">
        <v>180</v>
      </c>
      <c r="U922" s="4">
        <v>24</v>
      </c>
      <c r="V922" s="5">
        <v>745</v>
      </c>
      <c r="W922" s="6"/>
      <c r="X922" s="6"/>
      <c r="Y922" s="6"/>
      <c r="Z922" s="6"/>
      <c r="AA922" s="6"/>
      <c r="AB922" s="6"/>
      <c r="AC922" s="6"/>
      <c r="AD922" s="6">
        <v>44154</v>
      </c>
    </row>
    <row r="923" spans="1:30">
      <c r="A923" s="1" t="s">
        <v>772</v>
      </c>
      <c r="B923" s="1" t="s">
        <v>773</v>
      </c>
      <c r="C923" s="1" t="s">
        <v>774</v>
      </c>
      <c r="D923" s="1" t="s">
        <v>611</v>
      </c>
      <c r="E923" s="1" t="str">
        <f t="shared" si="14"/>
        <v>W01</v>
      </c>
      <c r="F923" s="5">
        <v>4.05</v>
      </c>
      <c r="G923" s="5">
        <v>3.18</v>
      </c>
      <c r="H923" s="5">
        <v>3.18</v>
      </c>
      <c r="I923" s="5"/>
      <c r="J923" s="1" t="s">
        <v>775</v>
      </c>
      <c r="K923" s="1" t="s">
        <v>1433</v>
      </c>
      <c r="L923" s="1" t="s">
        <v>79</v>
      </c>
      <c r="M923" s="1" t="s">
        <v>79</v>
      </c>
      <c r="N923" s="1" t="s">
        <v>79</v>
      </c>
      <c r="O923" s="6">
        <v>44055</v>
      </c>
      <c r="P923" s="6">
        <v>44054</v>
      </c>
      <c r="Q923" s="6"/>
      <c r="R923" s="1" t="s">
        <v>784</v>
      </c>
      <c r="S923" s="1" t="s">
        <v>79</v>
      </c>
      <c r="T923" s="5">
        <v>180</v>
      </c>
      <c r="U923" s="4">
        <v>24</v>
      </c>
      <c r="V923" s="5">
        <v>741</v>
      </c>
      <c r="W923" s="6"/>
      <c r="X923" s="6"/>
      <c r="Y923" s="6"/>
      <c r="Z923" s="6"/>
      <c r="AA923" s="6"/>
      <c r="AB923" s="6"/>
      <c r="AC923" s="6"/>
      <c r="AD923" s="6">
        <v>44151</v>
      </c>
    </row>
    <row r="924" spans="1:30">
      <c r="A924" s="1" t="s">
        <v>772</v>
      </c>
      <c r="B924" s="1" t="s">
        <v>773</v>
      </c>
      <c r="C924" s="1" t="s">
        <v>848</v>
      </c>
      <c r="D924" s="1" t="s">
        <v>302</v>
      </c>
      <c r="E924" s="1" t="str">
        <f t="shared" si="14"/>
        <v>W02</v>
      </c>
      <c r="F924" s="5">
        <v>9.91</v>
      </c>
      <c r="G924" s="5">
        <v>7.87</v>
      </c>
      <c r="H924" s="5">
        <v>7.87</v>
      </c>
      <c r="I924" s="5"/>
      <c r="J924" s="1" t="s">
        <v>775</v>
      </c>
      <c r="K924" s="1" t="s">
        <v>1433</v>
      </c>
      <c r="L924" s="1" t="s">
        <v>79</v>
      </c>
      <c r="M924" s="1" t="s">
        <v>79</v>
      </c>
      <c r="N924" s="1" t="s">
        <v>79</v>
      </c>
      <c r="O924" s="6">
        <v>44057</v>
      </c>
      <c r="P924" s="6">
        <v>44057</v>
      </c>
      <c r="Q924" s="6"/>
      <c r="R924" s="1" t="s">
        <v>784</v>
      </c>
      <c r="S924" s="1" t="s">
        <v>79</v>
      </c>
      <c r="T924" s="5">
        <v>180</v>
      </c>
      <c r="U924" s="4">
        <v>24</v>
      </c>
      <c r="V924" s="5">
        <v>738</v>
      </c>
      <c r="W924" s="6"/>
      <c r="X924" s="6"/>
      <c r="Y924" s="6"/>
      <c r="Z924" s="6"/>
      <c r="AA924" s="6"/>
      <c r="AB924" s="6"/>
      <c r="AC924" s="6"/>
      <c r="AD924" s="6">
        <v>44162</v>
      </c>
    </row>
    <row r="925" spans="1:30">
      <c r="A925" s="1" t="s">
        <v>772</v>
      </c>
      <c r="B925" s="1" t="s">
        <v>773</v>
      </c>
      <c r="C925" s="1" t="s">
        <v>989</v>
      </c>
      <c r="D925" s="1" t="s">
        <v>1436</v>
      </c>
      <c r="E925" s="1" t="str">
        <f t="shared" si="14"/>
        <v>W05</v>
      </c>
      <c r="F925" s="5">
        <v>0</v>
      </c>
      <c r="G925" s="5">
        <v>0</v>
      </c>
      <c r="H925" s="5">
        <v>0</v>
      </c>
      <c r="I925" s="5"/>
      <c r="J925" s="1" t="s">
        <v>775</v>
      </c>
      <c r="K925" s="1" t="s">
        <v>1433</v>
      </c>
      <c r="L925" s="1" t="s">
        <v>79</v>
      </c>
      <c r="M925" s="1" t="s">
        <v>79</v>
      </c>
      <c r="N925" s="1" t="s">
        <v>79</v>
      </c>
      <c r="O925" s="6">
        <v>44068</v>
      </c>
      <c r="P925" s="6">
        <v>44067</v>
      </c>
      <c r="Q925" s="6"/>
      <c r="R925" s="1" t="s">
        <v>784</v>
      </c>
      <c r="S925" s="1" t="s">
        <v>79</v>
      </c>
      <c r="T925" s="5">
        <v>180</v>
      </c>
      <c r="U925" s="4">
        <v>23</v>
      </c>
      <c r="V925" s="5">
        <v>728</v>
      </c>
      <c r="W925" s="6"/>
      <c r="X925" s="6"/>
      <c r="Y925" s="6"/>
      <c r="Z925" s="6"/>
      <c r="AA925" s="6"/>
      <c r="AB925" s="6"/>
      <c r="AC925" s="6"/>
      <c r="AD925" s="6">
        <v>44158</v>
      </c>
    </row>
    <row r="926" spans="1:30">
      <c r="A926" s="1" t="s">
        <v>772</v>
      </c>
      <c r="B926" s="1" t="s">
        <v>773</v>
      </c>
      <c r="C926" s="1" t="s">
        <v>989</v>
      </c>
      <c r="D926" s="1" t="s">
        <v>1437</v>
      </c>
      <c r="E926" s="1" t="str">
        <f t="shared" si="14"/>
        <v>W05</v>
      </c>
      <c r="F926" s="5">
        <v>0</v>
      </c>
      <c r="G926" s="5">
        <v>0</v>
      </c>
      <c r="H926" s="5">
        <v>0</v>
      </c>
      <c r="I926" s="5"/>
      <c r="J926" s="1" t="s">
        <v>775</v>
      </c>
      <c r="K926" s="1" t="s">
        <v>1433</v>
      </c>
      <c r="L926" s="1" t="s">
        <v>79</v>
      </c>
      <c r="M926" s="1" t="s">
        <v>79</v>
      </c>
      <c r="N926" s="1" t="s">
        <v>79</v>
      </c>
      <c r="O926" s="6">
        <v>44068</v>
      </c>
      <c r="P926" s="6">
        <v>44067</v>
      </c>
      <c r="Q926" s="6"/>
      <c r="R926" s="1" t="s">
        <v>784</v>
      </c>
      <c r="S926" s="1" t="s">
        <v>79</v>
      </c>
      <c r="T926" s="5">
        <v>180</v>
      </c>
      <c r="U926" s="4">
        <v>23</v>
      </c>
      <c r="V926" s="5">
        <v>728</v>
      </c>
      <c r="W926" s="6"/>
      <c r="X926" s="6"/>
      <c r="Y926" s="6"/>
      <c r="Z926" s="6"/>
      <c r="AA926" s="6"/>
      <c r="AB926" s="6"/>
      <c r="AC926" s="6"/>
      <c r="AD926" s="6">
        <v>44173</v>
      </c>
    </row>
    <row r="927" spans="1:30">
      <c r="A927" s="1" t="s">
        <v>772</v>
      </c>
      <c r="B927" s="1" t="s">
        <v>773</v>
      </c>
      <c r="C927" s="1" t="s">
        <v>989</v>
      </c>
      <c r="D927" s="1" t="s">
        <v>1438</v>
      </c>
      <c r="E927" s="1" t="str">
        <f t="shared" si="14"/>
        <v>W05</v>
      </c>
      <c r="F927" s="5">
        <v>0</v>
      </c>
      <c r="G927" s="5">
        <v>0</v>
      </c>
      <c r="H927" s="5">
        <v>0</v>
      </c>
      <c r="I927" s="5"/>
      <c r="J927" s="1" t="s">
        <v>775</v>
      </c>
      <c r="K927" s="1" t="s">
        <v>1439</v>
      </c>
      <c r="L927" s="1" t="s">
        <v>79</v>
      </c>
      <c r="M927" s="1" t="s">
        <v>79</v>
      </c>
      <c r="N927" s="1" t="s">
        <v>79</v>
      </c>
      <c r="O927" s="6">
        <v>44075</v>
      </c>
      <c r="P927" s="6">
        <v>44075</v>
      </c>
      <c r="Q927" s="6"/>
      <c r="R927" s="1" t="s">
        <v>784</v>
      </c>
      <c r="S927" s="1" t="s">
        <v>79</v>
      </c>
      <c r="T927" s="5">
        <v>180</v>
      </c>
      <c r="U927" s="4">
        <v>23</v>
      </c>
      <c r="V927" s="5">
        <v>720</v>
      </c>
      <c r="W927" s="6"/>
      <c r="X927" s="6"/>
      <c r="Y927" s="6"/>
      <c r="Z927" s="6"/>
      <c r="AA927" s="6"/>
      <c r="AB927" s="6"/>
      <c r="AC927" s="6"/>
      <c r="AD927" s="6">
        <v>44176</v>
      </c>
    </row>
    <row r="928" spans="1:30">
      <c r="A928" s="1" t="s">
        <v>772</v>
      </c>
      <c r="B928" s="1" t="s">
        <v>773</v>
      </c>
      <c r="C928" s="1" t="s">
        <v>989</v>
      </c>
      <c r="D928" s="1" t="s">
        <v>1440</v>
      </c>
      <c r="E928" s="1" t="str">
        <f t="shared" si="14"/>
        <v>W05</v>
      </c>
      <c r="F928" s="5">
        <v>0</v>
      </c>
      <c r="G928" s="5">
        <v>0</v>
      </c>
      <c r="H928" s="5">
        <v>0</v>
      </c>
      <c r="I928" s="5"/>
      <c r="J928" s="1" t="s">
        <v>775</v>
      </c>
      <c r="K928" s="1" t="s">
        <v>1439</v>
      </c>
      <c r="L928" s="1" t="s">
        <v>79</v>
      </c>
      <c r="M928" s="1" t="s">
        <v>79</v>
      </c>
      <c r="N928" s="1" t="s">
        <v>79</v>
      </c>
      <c r="O928" s="6">
        <v>44075</v>
      </c>
      <c r="P928" s="6">
        <v>44075</v>
      </c>
      <c r="Q928" s="6"/>
      <c r="R928" s="1" t="s">
        <v>784</v>
      </c>
      <c r="S928" s="1" t="s">
        <v>79</v>
      </c>
      <c r="T928" s="5">
        <v>180</v>
      </c>
      <c r="U928" s="4">
        <v>23</v>
      </c>
      <c r="V928" s="5">
        <v>720</v>
      </c>
      <c r="W928" s="6"/>
      <c r="X928" s="6"/>
      <c r="Y928" s="6"/>
      <c r="Z928" s="6"/>
      <c r="AA928" s="6"/>
      <c r="AB928" s="6"/>
      <c r="AC928" s="6"/>
      <c r="AD928" s="6">
        <v>44161</v>
      </c>
    </row>
    <row r="929" spans="1:30">
      <c r="A929" s="1" t="s">
        <v>772</v>
      </c>
      <c r="B929" s="1" t="s">
        <v>773</v>
      </c>
      <c r="C929" s="1" t="s">
        <v>989</v>
      </c>
      <c r="D929" s="1" t="s">
        <v>1441</v>
      </c>
      <c r="E929" s="1" t="str">
        <f t="shared" si="14"/>
        <v>W05</v>
      </c>
      <c r="F929" s="5">
        <v>0</v>
      </c>
      <c r="G929" s="5">
        <v>0</v>
      </c>
      <c r="H929" s="5">
        <v>0</v>
      </c>
      <c r="I929" s="5"/>
      <c r="J929" s="1" t="s">
        <v>775</v>
      </c>
      <c r="K929" s="1" t="s">
        <v>1439</v>
      </c>
      <c r="L929" s="1" t="s">
        <v>79</v>
      </c>
      <c r="M929" s="1" t="s">
        <v>79</v>
      </c>
      <c r="N929" s="1" t="s">
        <v>79</v>
      </c>
      <c r="O929" s="6">
        <v>44075</v>
      </c>
      <c r="P929" s="6">
        <v>44075</v>
      </c>
      <c r="Q929" s="6"/>
      <c r="R929" s="1" t="s">
        <v>784</v>
      </c>
      <c r="S929" s="1" t="s">
        <v>79</v>
      </c>
      <c r="T929" s="5">
        <v>180</v>
      </c>
      <c r="U929" s="4">
        <v>23</v>
      </c>
      <c r="V929" s="5">
        <v>720</v>
      </c>
      <c r="W929" s="6"/>
      <c r="X929" s="6"/>
      <c r="Y929" s="6"/>
      <c r="Z929" s="6"/>
      <c r="AA929" s="6"/>
      <c r="AB929" s="6"/>
      <c r="AC929" s="6"/>
      <c r="AD929" s="6">
        <v>44166</v>
      </c>
    </row>
    <row r="930" spans="1:30">
      <c r="A930" s="1" t="s">
        <v>772</v>
      </c>
      <c r="B930" s="1" t="s">
        <v>773</v>
      </c>
      <c r="C930" s="1" t="s">
        <v>858</v>
      </c>
      <c r="D930" s="1" t="s">
        <v>553</v>
      </c>
      <c r="E930" s="1" t="str">
        <f t="shared" si="14"/>
        <v>W04</v>
      </c>
      <c r="F930" s="5">
        <v>14.13</v>
      </c>
      <c r="G930" s="5">
        <v>11.22</v>
      </c>
      <c r="H930" s="5">
        <v>11.22</v>
      </c>
      <c r="I930" s="5"/>
      <c r="J930" s="1" t="s">
        <v>775</v>
      </c>
      <c r="K930" s="1" t="s">
        <v>1439</v>
      </c>
      <c r="L930" s="1" t="s">
        <v>79</v>
      </c>
      <c r="M930" s="1" t="s">
        <v>79</v>
      </c>
      <c r="N930" s="1" t="s">
        <v>79</v>
      </c>
      <c r="O930" s="6">
        <v>44075</v>
      </c>
      <c r="P930" s="6">
        <v>44075</v>
      </c>
      <c r="Q930" s="6"/>
      <c r="R930" s="1" t="s">
        <v>784</v>
      </c>
      <c r="S930" s="1" t="s">
        <v>79</v>
      </c>
      <c r="T930" s="5">
        <v>180</v>
      </c>
      <c r="U930" s="4">
        <v>23</v>
      </c>
      <c r="V930" s="5">
        <v>720</v>
      </c>
      <c r="W930" s="6"/>
      <c r="X930" s="6"/>
      <c r="Y930" s="6"/>
      <c r="Z930" s="6"/>
      <c r="AA930" s="6"/>
      <c r="AB930" s="6"/>
      <c r="AC930" s="6"/>
      <c r="AD930" s="6">
        <v>44168</v>
      </c>
    </row>
    <row r="931" spans="1:30">
      <c r="A931" s="1" t="s">
        <v>772</v>
      </c>
      <c r="B931" s="1" t="s">
        <v>773</v>
      </c>
      <c r="C931" s="1" t="s">
        <v>858</v>
      </c>
      <c r="D931" s="1" t="s">
        <v>1442</v>
      </c>
      <c r="E931" s="1" t="str">
        <f t="shared" si="14"/>
        <v>W04</v>
      </c>
      <c r="F931" s="5">
        <v>2.6</v>
      </c>
      <c r="G931" s="5">
        <v>2.08</v>
      </c>
      <c r="H931" s="5">
        <v>2.08</v>
      </c>
      <c r="I931" s="5"/>
      <c r="J931" s="1" t="s">
        <v>775</v>
      </c>
      <c r="K931" s="1" t="s">
        <v>1439</v>
      </c>
      <c r="L931" s="1" t="s">
        <v>79</v>
      </c>
      <c r="M931" s="1" t="s">
        <v>79</v>
      </c>
      <c r="N931" s="1" t="s">
        <v>79</v>
      </c>
      <c r="O931" s="6">
        <v>44075</v>
      </c>
      <c r="P931" s="6">
        <v>44075</v>
      </c>
      <c r="Q931" s="6"/>
      <c r="R931" s="1" t="s">
        <v>784</v>
      </c>
      <c r="S931" s="1" t="s">
        <v>79</v>
      </c>
      <c r="T931" s="5">
        <v>180</v>
      </c>
      <c r="U931" s="4">
        <v>23</v>
      </c>
      <c r="V931" s="5">
        <v>720</v>
      </c>
      <c r="W931" s="6"/>
      <c r="X931" s="6"/>
      <c r="Y931" s="6"/>
      <c r="Z931" s="6"/>
      <c r="AA931" s="6"/>
      <c r="AB931" s="6"/>
      <c r="AC931" s="6"/>
      <c r="AD931" s="6">
        <v>44186</v>
      </c>
    </row>
    <row r="932" spans="1:30">
      <c r="A932" s="1" t="s">
        <v>772</v>
      </c>
      <c r="B932" s="1" t="s">
        <v>773</v>
      </c>
      <c r="C932" s="1" t="s">
        <v>904</v>
      </c>
      <c r="D932" s="1" t="s">
        <v>1443</v>
      </c>
      <c r="E932" s="1" t="str">
        <f t="shared" si="14"/>
        <v>W03</v>
      </c>
      <c r="F932" s="5">
        <v>1.74</v>
      </c>
      <c r="G932" s="5">
        <v>1.5</v>
      </c>
      <c r="H932" s="5">
        <v>1.5</v>
      </c>
      <c r="I932" s="5"/>
      <c r="J932" s="1" t="s">
        <v>775</v>
      </c>
      <c r="K932" s="1" t="s">
        <v>1439</v>
      </c>
      <c r="L932" s="1" t="s">
        <v>79</v>
      </c>
      <c r="M932" s="1" t="s">
        <v>79</v>
      </c>
      <c r="N932" s="1" t="s">
        <v>79</v>
      </c>
      <c r="O932" s="6">
        <v>44090</v>
      </c>
      <c r="P932" s="6">
        <v>44090</v>
      </c>
      <c r="Q932" s="6"/>
      <c r="R932" s="1" t="s">
        <v>784</v>
      </c>
      <c r="S932" s="1" t="s">
        <v>79</v>
      </c>
      <c r="T932" s="5">
        <v>180</v>
      </c>
      <c r="U932" s="4">
        <v>23</v>
      </c>
      <c r="V932" s="5">
        <v>705</v>
      </c>
      <c r="W932" s="6"/>
      <c r="X932" s="6"/>
      <c r="Y932" s="6"/>
      <c r="Z932" s="6"/>
      <c r="AA932" s="6"/>
      <c r="AB932" s="6"/>
      <c r="AC932" s="6"/>
      <c r="AD932" s="6">
        <v>44183</v>
      </c>
    </row>
    <row r="933" spans="1:30">
      <c r="A933" s="1" t="s">
        <v>772</v>
      </c>
      <c r="B933" s="1" t="s">
        <v>773</v>
      </c>
      <c r="C933" s="1" t="s">
        <v>989</v>
      </c>
      <c r="D933" s="1" t="s">
        <v>1444</v>
      </c>
      <c r="E933" s="1" t="str">
        <f t="shared" si="14"/>
        <v>W05</v>
      </c>
      <c r="F933" s="5">
        <v>0</v>
      </c>
      <c r="G933" s="5">
        <v>0</v>
      </c>
      <c r="H933" s="5">
        <v>0</v>
      </c>
      <c r="I933" s="5"/>
      <c r="J933" s="1" t="s">
        <v>775</v>
      </c>
      <c r="K933" s="1" t="s">
        <v>1439</v>
      </c>
      <c r="L933" s="1" t="s">
        <v>79</v>
      </c>
      <c r="M933" s="1" t="s">
        <v>79</v>
      </c>
      <c r="N933" s="1" t="s">
        <v>79</v>
      </c>
      <c r="O933" s="6">
        <v>44090</v>
      </c>
      <c r="P933" s="6">
        <v>44090</v>
      </c>
      <c r="Q933" s="6"/>
      <c r="R933" s="1" t="s">
        <v>784</v>
      </c>
      <c r="S933" s="1" t="s">
        <v>79</v>
      </c>
      <c r="T933" s="5">
        <v>180</v>
      </c>
      <c r="U933" s="4">
        <v>23</v>
      </c>
      <c r="V933" s="5">
        <v>705</v>
      </c>
      <c r="W933" s="6"/>
      <c r="X933" s="6"/>
      <c r="Y933" s="6"/>
      <c r="Z933" s="6"/>
      <c r="AA933" s="6"/>
      <c r="AB933" s="6"/>
      <c r="AC933" s="6"/>
      <c r="AD933" s="6">
        <v>44175</v>
      </c>
    </row>
    <row r="934" spans="1:30">
      <c r="A934" s="1" t="s">
        <v>772</v>
      </c>
      <c r="B934" s="1" t="s">
        <v>773</v>
      </c>
      <c r="C934" s="1" t="s">
        <v>989</v>
      </c>
      <c r="D934" s="1" t="s">
        <v>1445</v>
      </c>
      <c r="E934" s="1" t="str">
        <f t="shared" si="14"/>
        <v>W05</v>
      </c>
      <c r="F934" s="5">
        <v>0</v>
      </c>
      <c r="G934" s="5">
        <v>0</v>
      </c>
      <c r="H934" s="5">
        <v>0</v>
      </c>
      <c r="I934" s="5"/>
      <c r="J934" s="1" t="s">
        <v>775</v>
      </c>
      <c r="K934" s="1" t="s">
        <v>1439</v>
      </c>
      <c r="L934" s="1" t="s">
        <v>79</v>
      </c>
      <c r="M934" s="1" t="s">
        <v>79</v>
      </c>
      <c r="N934" s="1" t="s">
        <v>79</v>
      </c>
      <c r="O934" s="6">
        <v>44090</v>
      </c>
      <c r="P934" s="6">
        <v>44090</v>
      </c>
      <c r="Q934" s="6"/>
      <c r="R934" s="1" t="s">
        <v>784</v>
      </c>
      <c r="S934" s="1" t="s">
        <v>79</v>
      </c>
      <c r="T934" s="5">
        <v>180</v>
      </c>
      <c r="U934" s="4">
        <v>23</v>
      </c>
      <c r="V934" s="5">
        <v>705</v>
      </c>
      <c r="W934" s="6"/>
      <c r="X934" s="6"/>
      <c r="Y934" s="6"/>
      <c r="Z934" s="6"/>
      <c r="AA934" s="6"/>
      <c r="AB934" s="6"/>
      <c r="AC934" s="6"/>
      <c r="AD934" s="6">
        <v>44207</v>
      </c>
    </row>
    <row r="935" spans="1:30">
      <c r="A935" s="1" t="s">
        <v>772</v>
      </c>
      <c r="B935" s="1" t="s">
        <v>773</v>
      </c>
      <c r="C935" s="1" t="s">
        <v>989</v>
      </c>
      <c r="D935" s="1" t="s">
        <v>1446</v>
      </c>
      <c r="E935" s="1" t="str">
        <f t="shared" si="14"/>
        <v>W05</v>
      </c>
      <c r="F935" s="5">
        <v>0</v>
      </c>
      <c r="G935" s="5">
        <v>0</v>
      </c>
      <c r="H935" s="5">
        <v>0</v>
      </c>
      <c r="I935" s="5"/>
      <c r="J935" s="1" t="s">
        <v>775</v>
      </c>
      <c r="K935" s="1" t="s">
        <v>1439</v>
      </c>
      <c r="L935" s="1" t="s">
        <v>79</v>
      </c>
      <c r="M935" s="1" t="s">
        <v>79</v>
      </c>
      <c r="N935" s="1" t="s">
        <v>79</v>
      </c>
      <c r="O935" s="6">
        <v>44095</v>
      </c>
      <c r="P935" s="6">
        <v>44091</v>
      </c>
      <c r="Q935" s="6"/>
      <c r="R935" s="1" t="s">
        <v>784</v>
      </c>
      <c r="S935" s="1" t="s">
        <v>79</v>
      </c>
      <c r="T935" s="5">
        <v>180</v>
      </c>
      <c r="U935" s="4">
        <v>23</v>
      </c>
      <c r="V935" s="5">
        <v>704</v>
      </c>
      <c r="W935" s="6"/>
      <c r="X935" s="6"/>
      <c r="Y935" s="6"/>
      <c r="Z935" s="6"/>
      <c r="AA935" s="6"/>
      <c r="AB935" s="6"/>
      <c r="AC935" s="6"/>
      <c r="AD935" s="6">
        <v>44253</v>
      </c>
    </row>
    <row r="936" spans="1:30">
      <c r="A936" s="1" t="s">
        <v>772</v>
      </c>
      <c r="B936" s="1" t="s">
        <v>773</v>
      </c>
      <c r="C936" s="1" t="s">
        <v>989</v>
      </c>
      <c r="D936" s="1" t="s">
        <v>1447</v>
      </c>
      <c r="E936" s="1" t="str">
        <f t="shared" si="14"/>
        <v>W05</v>
      </c>
      <c r="F936" s="5">
        <v>0</v>
      </c>
      <c r="G936" s="5">
        <v>0</v>
      </c>
      <c r="H936" s="5">
        <v>0</v>
      </c>
      <c r="I936" s="5"/>
      <c r="J936" s="1" t="s">
        <v>775</v>
      </c>
      <c r="K936" s="1" t="s">
        <v>1439</v>
      </c>
      <c r="L936" s="1" t="s">
        <v>79</v>
      </c>
      <c r="M936" s="1" t="s">
        <v>79</v>
      </c>
      <c r="N936" s="1" t="s">
        <v>79</v>
      </c>
      <c r="O936" s="6">
        <v>44095</v>
      </c>
      <c r="P936" s="6">
        <v>44091</v>
      </c>
      <c r="Q936" s="6"/>
      <c r="R936" s="1" t="s">
        <v>784</v>
      </c>
      <c r="S936" s="1" t="s">
        <v>79</v>
      </c>
      <c r="T936" s="5">
        <v>180</v>
      </c>
      <c r="U936" s="4">
        <v>23</v>
      </c>
      <c r="V936" s="5">
        <v>704</v>
      </c>
      <c r="W936" s="6"/>
      <c r="X936" s="6"/>
      <c r="Y936" s="6"/>
      <c r="Z936" s="6"/>
      <c r="AA936" s="6"/>
      <c r="AB936" s="6"/>
      <c r="AC936" s="6"/>
      <c r="AD936" s="6">
        <v>44189</v>
      </c>
    </row>
    <row r="937" spans="1:30">
      <c r="A937" s="1" t="s">
        <v>772</v>
      </c>
      <c r="B937" s="1" t="s">
        <v>773</v>
      </c>
      <c r="C937" s="1" t="s">
        <v>989</v>
      </c>
      <c r="D937" s="1" t="s">
        <v>1448</v>
      </c>
      <c r="E937" s="1" t="str">
        <f t="shared" si="14"/>
        <v>W05</v>
      </c>
      <c r="F937" s="5">
        <v>0</v>
      </c>
      <c r="G937" s="5">
        <v>0</v>
      </c>
      <c r="H937" s="5">
        <v>0</v>
      </c>
      <c r="I937" s="5"/>
      <c r="J937" s="1" t="s">
        <v>775</v>
      </c>
      <c r="K937" s="1" t="s">
        <v>1439</v>
      </c>
      <c r="L937" s="1" t="s">
        <v>79</v>
      </c>
      <c r="M937" s="1" t="s">
        <v>79</v>
      </c>
      <c r="N937" s="1" t="s">
        <v>79</v>
      </c>
      <c r="O937" s="6">
        <v>44103</v>
      </c>
      <c r="P937" s="6">
        <v>44103</v>
      </c>
      <c r="Q937" s="6"/>
      <c r="R937" s="1" t="s">
        <v>784</v>
      </c>
      <c r="S937" s="1" t="s">
        <v>79</v>
      </c>
      <c r="T937" s="5">
        <v>180</v>
      </c>
      <c r="U937" s="4">
        <v>22</v>
      </c>
      <c r="V937" s="5">
        <v>692</v>
      </c>
      <c r="W937" s="6"/>
      <c r="X937" s="6"/>
      <c r="Y937" s="6"/>
      <c r="Z937" s="6"/>
      <c r="AA937" s="6"/>
      <c r="AB937" s="6"/>
      <c r="AC937" s="6"/>
      <c r="AD937" s="6">
        <v>44194</v>
      </c>
    </row>
    <row r="938" spans="1:30">
      <c r="A938" s="1" t="s">
        <v>772</v>
      </c>
      <c r="B938" s="1" t="s">
        <v>773</v>
      </c>
      <c r="C938" s="1" t="s">
        <v>904</v>
      </c>
      <c r="D938" s="1" t="s">
        <v>256</v>
      </c>
      <c r="E938" s="1" t="str">
        <f t="shared" si="14"/>
        <v>W03</v>
      </c>
      <c r="F938" s="5">
        <v>8.66</v>
      </c>
      <c r="G938" s="5">
        <v>6.92</v>
      </c>
      <c r="H938" s="5">
        <v>6.92</v>
      </c>
      <c r="I938" s="5"/>
      <c r="J938" s="1" t="s">
        <v>775</v>
      </c>
      <c r="K938" s="1" t="s">
        <v>1439</v>
      </c>
      <c r="L938" s="1" t="s">
        <v>79</v>
      </c>
      <c r="M938" s="1" t="s">
        <v>79</v>
      </c>
      <c r="N938" s="1" t="s">
        <v>79</v>
      </c>
      <c r="O938" s="6">
        <v>44103</v>
      </c>
      <c r="P938" s="6">
        <v>44103</v>
      </c>
      <c r="Q938" s="6"/>
      <c r="R938" s="1" t="s">
        <v>784</v>
      </c>
      <c r="S938" s="1" t="s">
        <v>79</v>
      </c>
      <c r="T938" s="5">
        <v>180</v>
      </c>
      <c r="U938" s="4">
        <v>22</v>
      </c>
      <c r="V938" s="5">
        <v>692</v>
      </c>
      <c r="W938" s="6"/>
      <c r="X938" s="6"/>
      <c r="Y938" s="6"/>
      <c r="Z938" s="6"/>
      <c r="AA938" s="6"/>
      <c r="AB938" s="6"/>
      <c r="AC938" s="6"/>
      <c r="AD938" s="6">
        <v>44162</v>
      </c>
    </row>
    <row r="939" spans="1:30">
      <c r="A939" s="1" t="s">
        <v>772</v>
      </c>
      <c r="B939" s="1" t="s">
        <v>773</v>
      </c>
      <c r="C939" s="1" t="s">
        <v>989</v>
      </c>
      <c r="D939" s="1" t="s">
        <v>1449</v>
      </c>
      <c r="E939" s="1" t="str">
        <f t="shared" si="14"/>
        <v>W05</v>
      </c>
      <c r="F939" s="5">
        <v>0</v>
      </c>
      <c r="G939" s="5">
        <v>0</v>
      </c>
      <c r="H939" s="5">
        <v>0</v>
      </c>
      <c r="I939" s="5"/>
      <c r="J939" s="1" t="s">
        <v>775</v>
      </c>
      <c r="K939" s="1" t="s">
        <v>1439</v>
      </c>
      <c r="L939" s="1" t="s">
        <v>79</v>
      </c>
      <c r="M939" s="1" t="s">
        <v>79</v>
      </c>
      <c r="N939" s="1" t="s">
        <v>79</v>
      </c>
      <c r="O939" s="6">
        <v>44103</v>
      </c>
      <c r="P939" s="6">
        <v>44103</v>
      </c>
      <c r="Q939" s="6"/>
      <c r="R939" s="1" t="s">
        <v>784</v>
      </c>
      <c r="S939" s="1" t="s">
        <v>79</v>
      </c>
      <c r="T939" s="5">
        <v>180</v>
      </c>
      <c r="U939" s="4">
        <v>22</v>
      </c>
      <c r="V939" s="5">
        <v>692</v>
      </c>
      <c r="W939" s="6"/>
      <c r="X939" s="6"/>
      <c r="Y939" s="6"/>
      <c r="Z939" s="6"/>
      <c r="AA939" s="6"/>
      <c r="AB939" s="6"/>
      <c r="AC939" s="6"/>
      <c r="AD939" s="6">
        <v>44176</v>
      </c>
    </row>
    <row r="940" spans="1:30">
      <c r="A940" s="1" t="s">
        <v>772</v>
      </c>
      <c r="B940" s="1" t="s">
        <v>773</v>
      </c>
      <c r="C940" s="1" t="s">
        <v>989</v>
      </c>
      <c r="D940" s="1" t="s">
        <v>1450</v>
      </c>
      <c r="E940" s="1" t="str">
        <f t="shared" si="14"/>
        <v>W05</v>
      </c>
      <c r="F940" s="5">
        <v>0</v>
      </c>
      <c r="G940" s="5">
        <v>0</v>
      </c>
      <c r="H940" s="5">
        <v>0</v>
      </c>
      <c r="I940" s="5"/>
      <c r="J940" s="1" t="s">
        <v>775</v>
      </c>
      <c r="K940" s="1" t="s">
        <v>1451</v>
      </c>
      <c r="L940" s="1" t="s">
        <v>79</v>
      </c>
      <c r="M940" s="1" t="s">
        <v>79</v>
      </c>
      <c r="N940" s="1" t="s">
        <v>79</v>
      </c>
      <c r="O940" s="6">
        <v>44105</v>
      </c>
      <c r="P940" s="6">
        <v>44104</v>
      </c>
      <c r="Q940" s="6"/>
      <c r="R940" s="1" t="s">
        <v>784</v>
      </c>
      <c r="S940" s="1" t="s">
        <v>79</v>
      </c>
      <c r="T940" s="5">
        <v>180</v>
      </c>
      <c r="U940" s="4">
        <v>22</v>
      </c>
      <c r="V940" s="5">
        <v>691</v>
      </c>
      <c r="W940" s="6"/>
      <c r="X940" s="6"/>
      <c r="Y940" s="6"/>
      <c r="Z940" s="6"/>
      <c r="AA940" s="6"/>
      <c r="AB940" s="6"/>
      <c r="AC940" s="6"/>
      <c r="AD940" s="6">
        <v>44177</v>
      </c>
    </row>
    <row r="941" spans="1:30">
      <c r="A941" s="1" t="s">
        <v>772</v>
      </c>
      <c r="B941" s="1" t="s">
        <v>773</v>
      </c>
      <c r="C941" s="1" t="s">
        <v>989</v>
      </c>
      <c r="D941" s="1" t="s">
        <v>1452</v>
      </c>
      <c r="E941" s="1" t="str">
        <f t="shared" si="14"/>
        <v>W05</v>
      </c>
      <c r="F941" s="5">
        <v>0</v>
      </c>
      <c r="G941" s="5">
        <v>0</v>
      </c>
      <c r="H941" s="5">
        <v>0</v>
      </c>
      <c r="I941" s="5"/>
      <c r="J941" s="1" t="s">
        <v>775</v>
      </c>
      <c r="K941" s="1" t="s">
        <v>1451</v>
      </c>
      <c r="L941" s="1" t="s">
        <v>79</v>
      </c>
      <c r="M941" s="1" t="s">
        <v>79</v>
      </c>
      <c r="N941" s="1" t="s">
        <v>79</v>
      </c>
      <c r="O941" s="6">
        <v>44105</v>
      </c>
      <c r="P941" s="6">
        <v>44104</v>
      </c>
      <c r="Q941" s="6"/>
      <c r="R941" s="1" t="s">
        <v>784</v>
      </c>
      <c r="S941" s="1" t="s">
        <v>79</v>
      </c>
      <c r="T941" s="5">
        <v>180</v>
      </c>
      <c r="U941" s="4">
        <v>22</v>
      </c>
      <c r="V941" s="5">
        <v>691</v>
      </c>
      <c r="W941" s="6"/>
      <c r="X941" s="6"/>
      <c r="Y941" s="6"/>
      <c r="Z941" s="6"/>
      <c r="AA941" s="6"/>
      <c r="AB941" s="6"/>
      <c r="AC941" s="6"/>
      <c r="AD941" s="6">
        <v>44194</v>
      </c>
    </row>
    <row r="942" spans="1:30">
      <c r="A942" s="1" t="s">
        <v>772</v>
      </c>
      <c r="B942" s="1" t="s">
        <v>773</v>
      </c>
      <c r="C942" s="1" t="s">
        <v>989</v>
      </c>
      <c r="D942" s="1" t="s">
        <v>1453</v>
      </c>
      <c r="E942" s="1" t="str">
        <f t="shared" si="14"/>
        <v>W05</v>
      </c>
      <c r="F942" s="5">
        <v>0</v>
      </c>
      <c r="G942" s="5">
        <v>0</v>
      </c>
      <c r="H942" s="5">
        <v>0</v>
      </c>
      <c r="I942" s="5"/>
      <c r="J942" s="1" t="s">
        <v>775</v>
      </c>
      <c r="K942" s="1" t="s">
        <v>1451</v>
      </c>
      <c r="L942" s="1" t="s">
        <v>79</v>
      </c>
      <c r="M942" s="1" t="s">
        <v>79</v>
      </c>
      <c r="N942" s="1" t="s">
        <v>79</v>
      </c>
      <c r="O942" s="6">
        <v>44105</v>
      </c>
      <c r="P942" s="6">
        <v>44104</v>
      </c>
      <c r="Q942" s="6"/>
      <c r="R942" s="1" t="s">
        <v>784</v>
      </c>
      <c r="S942" s="1" t="s">
        <v>79</v>
      </c>
      <c r="T942" s="5">
        <v>180</v>
      </c>
      <c r="U942" s="4">
        <v>22</v>
      </c>
      <c r="V942" s="5">
        <v>691</v>
      </c>
      <c r="W942" s="6"/>
      <c r="X942" s="6"/>
      <c r="Y942" s="6"/>
      <c r="Z942" s="6"/>
      <c r="AA942" s="6"/>
      <c r="AB942" s="6"/>
      <c r="AC942" s="6"/>
      <c r="AD942" s="6">
        <v>44187</v>
      </c>
    </row>
    <row r="943" spans="1:30">
      <c r="A943" s="1" t="s">
        <v>772</v>
      </c>
      <c r="B943" s="1" t="s">
        <v>773</v>
      </c>
      <c r="C943" s="1" t="s">
        <v>989</v>
      </c>
      <c r="D943" s="1" t="s">
        <v>1454</v>
      </c>
      <c r="E943" s="1" t="str">
        <f t="shared" si="14"/>
        <v>W05</v>
      </c>
      <c r="F943" s="5">
        <v>0</v>
      </c>
      <c r="G943" s="5">
        <v>0</v>
      </c>
      <c r="H943" s="5">
        <v>0</v>
      </c>
      <c r="I943" s="5"/>
      <c r="J943" s="1" t="s">
        <v>775</v>
      </c>
      <c r="K943" s="1" t="s">
        <v>1451</v>
      </c>
      <c r="L943" s="1" t="s">
        <v>79</v>
      </c>
      <c r="M943" s="1" t="s">
        <v>79</v>
      </c>
      <c r="N943" s="1" t="s">
        <v>79</v>
      </c>
      <c r="O943" s="6">
        <v>44116</v>
      </c>
      <c r="P943" s="6">
        <v>44114</v>
      </c>
      <c r="Q943" s="6"/>
      <c r="R943" s="1" t="s">
        <v>784</v>
      </c>
      <c r="S943" s="1" t="s">
        <v>79</v>
      </c>
      <c r="T943" s="5">
        <v>180</v>
      </c>
      <c r="U943" s="4">
        <v>22</v>
      </c>
      <c r="V943" s="5">
        <v>681</v>
      </c>
      <c r="W943" s="6"/>
      <c r="X943" s="6"/>
      <c r="Y943" s="6"/>
      <c r="Z943" s="6"/>
      <c r="AA943" s="6"/>
      <c r="AB943" s="6"/>
      <c r="AC943" s="6"/>
      <c r="AD943" s="6">
        <v>44208</v>
      </c>
    </row>
    <row r="944" spans="1:30">
      <c r="A944" s="1" t="s">
        <v>772</v>
      </c>
      <c r="B944" s="1" t="s">
        <v>773</v>
      </c>
      <c r="C944" s="1" t="s">
        <v>989</v>
      </c>
      <c r="D944" s="1" t="s">
        <v>1455</v>
      </c>
      <c r="E944" s="1" t="str">
        <f t="shared" si="14"/>
        <v>W05</v>
      </c>
      <c r="F944" s="5">
        <v>0</v>
      </c>
      <c r="G944" s="5">
        <v>0</v>
      </c>
      <c r="H944" s="5">
        <v>0</v>
      </c>
      <c r="I944" s="5"/>
      <c r="J944" s="1" t="s">
        <v>775</v>
      </c>
      <c r="K944" s="1" t="s">
        <v>1451</v>
      </c>
      <c r="L944" s="1" t="s">
        <v>79</v>
      </c>
      <c r="M944" s="1" t="s">
        <v>79</v>
      </c>
      <c r="N944" s="1" t="s">
        <v>79</v>
      </c>
      <c r="O944" s="6">
        <v>44116</v>
      </c>
      <c r="P944" s="6">
        <v>44114</v>
      </c>
      <c r="Q944" s="6"/>
      <c r="R944" s="1" t="s">
        <v>784</v>
      </c>
      <c r="S944" s="1" t="s">
        <v>79</v>
      </c>
      <c r="T944" s="5">
        <v>180</v>
      </c>
      <c r="U944" s="4">
        <v>22</v>
      </c>
      <c r="V944" s="5">
        <v>681</v>
      </c>
      <c r="W944" s="6"/>
      <c r="X944" s="6"/>
      <c r="Y944" s="6"/>
      <c r="Z944" s="6"/>
      <c r="AA944" s="6"/>
      <c r="AB944" s="6"/>
      <c r="AC944" s="6"/>
      <c r="AD944" s="6">
        <v>44211</v>
      </c>
    </row>
    <row r="945" spans="1:30">
      <c r="A945" s="1" t="s">
        <v>772</v>
      </c>
      <c r="B945" s="1" t="s">
        <v>773</v>
      </c>
      <c r="C945" s="1" t="s">
        <v>904</v>
      </c>
      <c r="D945" s="1" t="s">
        <v>1456</v>
      </c>
      <c r="E945" s="1" t="str">
        <f t="shared" si="14"/>
        <v>W03</v>
      </c>
      <c r="F945" s="5">
        <v>1.52</v>
      </c>
      <c r="G945" s="5">
        <v>1.46</v>
      </c>
      <c r="H945" s="5">
        <v>1.46</v>
      </c>
      <c r="I945" s="5"/>
      <c r="J945" s="1" t="s">
        <v>775</v>
      </c>
      <c r="K945" s="1" t="s">
        <v>1451</v>
      </c>
      <c r="L945" s="1" t="s">
        <v>79</v>
      </c>
      <c r="M945" s="1" t="s">
        <v>79</v>
      </c>
      <c r="N945" s="1" t="s">
        <v>79</v>
      </c>
      <c r="O945" s="6">
        <v>44116</v>
      </c>
      <c r="P945" s="6">
        <v>44114</v>
      </c>
      <c r="Q945" s="6"/>
      <c r="R945" s="1" t="s">
        <v>784</v>
      </c>
      <c r="S945" s="1" t="s">
        <v>79</v>
      </c>
      <c r="T945" s="5">
        <v>180</v>
      </c>
      <c r="U945" s="4">
        <v>22</v>
      </c>
      <c r="V945" s="5">
        <v>681</v>
      </c>
      <c r="W945" s="6"/>
      <c r="X945" s="6"/>
      <c r="Y945" s="6"/>
      <c r="Z945" s="6"/>
      <c r="AA945" s="6"/>
      <c r="AB945" s="6"/>
      <c r="AC945" s="6"/>
      <c r="AD945" s="6">
        <v>44217</v>
      </c>
    </row>
    <row r="946" spans="1:30">
      <c r="A946" s="1" t="s">
        <v>772</v>
      </c>
      <c r="B946" s="1" t="s">
        <v>773</v>
      </c>
      <c r="C946" s="1" t="s">
        <v>904</v>
      </c>
      <c r="D946" s="1" t="s">
        <v>625</v>
      </c>
      <c r="E946" s="1" t="str">
        <f t="shared" si="14"/>
        <v>W03</v>
      </c>
      <c r="F946" s="5">
        <v>13.56</v>
      </c>
      <c r="G946" s="5">
        <v>10.63</v>
      </c>
      <c r="H946" s="5">
        <v>10.63</v>
      </c>
      <c r="I946" s="5"/>
      <c r="J946" s="1" t="s">
        <v>775</v>
      </c>
      <c r="K946" s="1" t="s">
        <v>1451</v>
      </c>
      <c r="L946" s="1" t="s">
        <v>79</v>
      </c>
      <c r="M946" s="1" t="s">
        <v>79</v>
      </c>
      <c r="N946" s="1" t="s">
        <v>79</v>
      </c>
      <c r="O946" s="6">
        <v>44116</v>
      </c>
      <c r="P946" s="6">
        <v>44114</v>
      </c>
      <c r="Q946" s="6"/>
      <c r="R946" s="1" t="s">
        <v>784</v>
      </c>
      <c r="S946" s="1" t="s">
        <v>79</v>
      </c>
      <c r="T946" s="5">
        <v>180</v>
      </c>
      <c r="U946" s="4">
        <v>22</v>
      </c>
      <c r="V946" s="5">
        <v>681</v>
      </c>
      <c r="W946" s="6"/>
      <c r="X946" s="6"/>
      <c r="Y946" s="6"/>
      <c r="Z946" s="6"/>
      <c r="AA946" s="6"/>
      <c r="AB946" s="6"/>
      <c r="AC946" s="6"/>
      <c r="AD946" s="6">
        <v>44245</v>
      </c>
    </row>
    <row r="947" spans="1:30">
      <c r="A947" s="1" t="s">
        <v>772</v>
      </c>
      <c r="B947" s="1" t="s">
        <v>773</v>
      </c>
      <c r="C947" s="1" t="s">
        <v>989</v>
      </c>
      <c r="D947" s="1" t="s">
        <v>301</v>
      </c>
      <c r="E947" s="1" t="str">
        <f t="shared" si="14"/>
        <v>W05</v>
      </c>
      <c r="F947" s="5">
        <v>15.14</v>
      </c>
      <c r="G947" s="5">
        <v>12.06</v>
      </c>
      <c r="H947" s="5">
        <v>12.06</v>
      </c>
      <c r="I947" s="5"/>
      <c r="J947" s="1" t="s">
        <v>775</v>
      </c>
      <c r="K947" s="1" t="s">
        <v>1451</v>
      </c>
      <c r="L947" s="1" t="s">
        <v>79</v>
      </c>
      <c r="M947" s="1" t="s">
        <v>79</v>
      </c>
      <c r="N947" s="1" t="s">
        <v>79</v>
      </c>
      <c r="O947" s="6">
        <v>44119</v>
      </c>
      <c r="P947" s="6">
        <v>44119</v>
      </c>
      <c r="Q947" s="6"/>
      <c r="R947" s="1" t="s">
        <v>784</v>
      </c>
      <c r="S947" s="1" t="s">
        <v>79</v>
      </c>
      <c r="T947" s="5">
        <v>180</v>
      </c>
      <c r="U947" s="4">
        <v>22</v>
      </c>
      <c r="V947" s="5">
        <v>676</v>
      </c>
      <c r="W947" s="6"/>
      <c r="X947" s="6"/>
      <c r="Y947" s="6"/>
      <c r="Z947" s="6"/>
      <c r="AA947" s="6"/>
      <c r="AB947" s="6"/>
      <c r="AC947" s="6"/>
      <c r="AD947" s="6">
        <v>44222</v>
      </c>
    </row>
    <row r="948" spans="1:30">
      <c r="A948" s="1" t="s">
        <v>772</v>
      </c>
      <c r="B948" s="1" t="s">
        <v>773</v>
      </c>
      <c r="C948" s="1" t="s">
        <v>1002</v>
      </c>
      <c r="D948" s="1" t="s">
        <v>130</v>
      </c>
      <c r="E948" s="1" t="str">
        <f t="shared" si="14"/>
        <v>W06</v>
      </c>
      <c r="F948" s="5">
        <v>12.32</v>
      </c>
      <c r="G948" s="5">
        <v>9.9499999999999993</v>
      </c>
      <c r="H948" s="5">
        <v>9.9499999999999993</v>
      </c>
      <c r="I948" s="5"/>
      <c r="J948" s="1" t="s">
        <v>775</v>
      </c>
      <c r="K948" s="1" t="s">
        <v>1451</v>
      </c>
      <c r="L948" s="1" t="s">
        <v>79</v>
      </c>
      <c r="M948" s="1" t="s">
        <v>79</v>
      </c>
      <c r="N948" s="1" t="s">
        <v>79</v>
      </c>
      <c r="O948" s="6">
        <v>44119</v>
      </c>
      <c r="P948" s="6">
        <v>44119</v>
      </c>
      <c r="Q948" s="6"/>
      <c r="R948" s="1" t="s">
        <v>784</v>
      </c>
      <c r="S948" s="1" t="s">
        <v>79</v>
      </c>
      <c r="T948" s="5">
        <v>180</v>
      </c>
      <c r="U948" s="4">
        <v>22</v>
      </c>
      <c r="V948" s="5">
        <v>676</v>
      </c>
      <c r="W948" s="6"/>
      <c r="X948" s="6"/>
      <c r="Y948" s="6"/>
      <c r="Z948" s="6"/>
      <c r="AA948" s="6"/>
      <c r="AB948" s="6"/>
      <c r="AC948" s="6"/>
      <c r="AD948" s="6">
        <v>44216</v>
      </c>
    </row>
    <row r="949" spans="1:30">
      <c r="A949" s="1" t="s">
        <v>772</v>
      </c>
      <c r="B949" s="1" t="s">
        <v>773</v>
      </c>
      <c r="C949" s="1" t="s">
        <v>989</v>
      </c>
      <c r="D949" s="1" t="s">
        <v>1457</v>
      </c>
      <c r="E949" s="1" t="str">
        <f t="shared" si="14"/>
        <v>W05</v>
      </c>
      <c r="F949" s="5">
        <v>0</v>
      </c>
      <c r="G949" s="5">
        <v>0</v>
      </c>
      <c r="H949" s="5">
        <v>0</v>
      </c>
      <c r="I949" s="5"/>
      <c r="J949" s="1" t="s">
        <v>775</v>
      </c>
      <c r="K949" s="1" t="s">
        <v>1451</v>
      </c>
      <c r="L949" s="1" t="s">
        <v>79</v>
      </c>
      <c r="M949" s="1" t="s">
        <v>79</v>
      </c>
      <c r="N949" s="1" t="s">
        <v>79</v>
      </c>
      <c r="O949" s="6">
        <v>44119</v>
      </c>
      <c r="P949" s="6">
        <v>44119</v>
      </c>
      <c r="Q949" s="6"/>
      <c r="R949" s="1" t="s">
        <v>784</v>
      </c>
      <c r="S949" s="1" t="s">
        <v>79</v>
      </c>
      <c r="T949" s="5">
        <v>180</v>
      </c>
      <c r="U949" s="4">
        <v>22</v>
      </c>
      <c r="V949" s="5">
        <v>676</v>
      </c>
      <c r="W949" s="6"/>
      <c r="X949" s="6"/>
      <c r="Y949" s="6"/>
      <c r="Z949" s="6"/>
      <c r="AA949" s="6"/>
      <c r="AB949" s="6"/>
      <c r="AC949" s="6"/>
      <c r="AD949" s="6">
        <v>44230</v>
      </c>
    </row>
    <row r="950" spans="1:30">
      <c r="A950" s="1" t="s">
        <v>772</v>
      </c>
      <c r="B950" s="1" t="s">
        <v>773</v>
      </c>
      <c r="C950" s="1" t="s">
        <v>989</v>
      </c>
      <c r="D950" s="1" t="s">
        <v>1458</v>
      </c>
      <c r="E950" s="1" t="str">
        <f t="shared" si="14"/>
        <v>W05</v>
      </c>
      <c r="F950" s="5">
        <v>0</v>
      </c>
      <c r="G950" s="5">
        <v>0</v>
      </c>
      <c r="H950" s="5">
        <v>0</v>
      </c>
      <c r="I950" s="5"/>
      <c r="J950" s="1" t="s">
        <v>775</v>
      </c>
      <c r="K950" s="1" t="s">
        <v>1451</v>
      </c>
      <c r="L950" s="1" t="s">
        <v>79</v>
      </c>
      <c r="M950" s="1" t="s">
        <v>79</v>
      </c>
      <c r="N950" s="1" t="s">
        <v>79</v>
      </c>
      <c r="O950" s="6">
        <v>44125</v>
      </c>
      <c r="P950" s="6">
        <v>44125</v>
      </c>
      <c r="Q950" s="6"/>
      <c r="R950" s="1" t="s">
        <v>784</v>
      </c>
      <c r="S950" s="1" t="s">
        <v>79</v>
      </c>
      <c r="T950" s="5">
        <v>180</v>
      </c>
      <c r="U950" s="4">
        <v>22</v>
      </c>
      <c r="V950" s="5">
        <v>670</v>
      </c>
      <c r="W950" s="6"/>
      <c r="X950" s="6"/>
      <c r="Y950" s="6"/>
      <c r="Z950" s="6"/>
      <c r="AA950" s="6"/>
      <c r="AB950" s="6"/>
      <c r="AC950" s="6"/>
      <c r="AD950" s="6">
        <v>44243</v>
      </c>
    </row>
    <row r="951" spans="1:30">
      <c r="A951" s="1" t="s">
        <v>772</v>
      </c>
      <c r="B951" s="1" t="s">
        <v>773</v>
      </c>
      <c r="C951" s="1" t="s">
        <v>989</v>
      </c>
      <c r="D951" s="1" t="s">
        <v>1459</v>
      </c>
      <c r="E951" s="1" t="str">
        <f t="shared" si="14"/>
        <v>W05</v>
      </c>
      <c r="F951" s="5">
        <v>0</v>
      </c>
      <c r="G951" s="5">
        <v>0</v>
      </c>
      <c r="H951" s="5">
        <v>0</v>
      </c>
      <c r="I951" s="5"/>
      <c r="J951" s="1" t="s">
        <v>775</v>
      </c>
      <c r="K951" s="1" t="s">
        <v>1451</v>
      </c>
      <c r="L951" s="1" t="s">
        <v>79</v>
      </c>
      <c r="M951" s="1" t="s">
        <v>79</v>
      </c>
      <c r="N951" s="1" t="s">
        <v>79</v>
      </c>
      <c r="O951" s="6">
        <v>44131</v>
      </c>
      <c r="P951" s="6">
        <v>44131</v>
      </c>
      <c r="Q951" s="6"/>
      <c r="R951" s="1" t="s">
        <v>784</v>
      </c>
      <c r="S951" s="1" t="s">
        <v>79</v>
      </c>
      <c r="T951" s="5">
        <v>180</v>
      </c>
      <c r="U951" s="4">
        <v>21</v>
      </c>
      <c r="V951" s="5">
        <v>664</v>
      </c>
      <c r="W951" s="6"/>
      <c r="X951" s="6"/>
      <c r="Y951" s="6"/>
      <c r="Z951" s="6"/>
      <c r="AA951" s="6"/>
      <c r="AB951" s="6"/>
      <c r="AC951" s="6"/>
      <c r="AD951" s="6">
        <v>44232</v>
      </c>
    </row>
    <row r="952" spans="1:30">
      <c r="A952" s="1" t="s">
        <v>772</v>
      </c>
      <c r="B952" s="1" t="s">
        <v>773</v>
      </c>
      <c r="C952" s="1" t="s">
        <v>989</v>
      </c>
      <c r="D952" s="1" t="s">
        <v>1460</v>
      </c>
      <c r="E952" s="1" t="str">
        <f t="shared" si="14"/>
        <v>W05</v>
      </c>
      <c r="F952" s="5">
        <v>0</v>
      </c>
      <c r="G952" s="5">
        <v>0</v>
      </c>
      <c r="H952" s="5">
        <v>0</v>
      </c>
      <c r="I952" s="5"/>
      <c r="J952" s="1" t="s">
        <v>775</v>
      </c>
      <c r="K952" s="1" t="s">
        <v>1461</v>
      </c>
      <c r="L952" s="1" t="s">
        <v>79</v>
      </c>
      <c r="M952" s="1" t="s">
        <v>79</v>
      </c>
      <c r="N952" s="1" t="s">
        <v>79</v>
      </c>
      <c r="O952" s="6">
        <v>44141</v>
      </c>
      <c r="P952" s="6">
        <v>44140</v>
      </c>
      <c r="Q952" s="6"/>
      <c r="R952" s="1" t="s">
        <v>784</v>
      </c>
      <c r="S952" s="1" t="s">
        <v>79</v>
      </c>
      <c r="T952" s="5">
        <v>180</v>
      </c>
      <c r="U952" s="4">
        <v>21</v>
      </c>
      <c r="V952" s="5">
        <v>655</v>
      </c>
      <c r="W952" s="6"/>
      <c r="X952" s="6"/>
      <c r="Y952" s="6"/>
      <c r="Z952" s="6"/>
      <c r="AA952" s="6"/>
      <c r="AB952" s="6"/>
      <c r="AC952" s="6"/>
      <c r="AD952" s="6">
        <v>44246</v>
      </c>
    </row>
    <row r="953" spans="1:30">
      <c r="A953" s="1" t="s">
        <v>772</v>
      </c>
      <c r="B953" s="1" t="s">
        <v>773</v>
      </c>
      <c r="D953" s="1" t="s">
        <v>1462</v>
      </c>
      <c r="E953" s="1" t="str">
        <f t="shared" si="14"/>
        <v/>
      </c>
      <c r="F953" s="5">
        <v>0</v>
      </c>
      <c r="G953" s="5">
        <v>0</v>
      </c>
      <c r="H953" s="5">
        <v>0</v>
      </c>
      <c r="I953" s="5"/>
      <c r="J953" s="1" t="s">
        <v>775</v>
      </c>
      <c r="K953" s="1" t="s">
        <v>1461</v>
      </c>
      <c r="L953" s="1" t="s">
        <v>79</v>
      </c>
      <c r="M953" s="1" t="s">
        <v>79</v>
      </c>
      <c r="N953" s="1" t="s">
        <v>79</v>
      </c>
      <c r="O953" s="6">
        <v>44149</v>
      </c>
      <c r="P953" s="6">
        <v>44148</v>
      </c>
      <c r="Q953" s="6"/>
      <c r="R953" s="1" t="s">
        <v>784</v>
      </c>
      <c r="S953" s="1" t="s">
        <v>79</v>
      </c>
      <c r="T953" s="5">
        <v>180</v>
      </c>
      <c r="U953" s="4">
        <v>21</v>
      </c>
      <c r="V953" s="5">
        <v>647</v>
      </c>
      <c r="W953" s="6"/>
      <c r="X953" s="6"/>
      <c r="Y953" s="6"/>
      <c r="Z953" s="6"/>
      <c r="AA953" s="6"/>
      <c r="AB953" s="6"/>
      <c r="AC953" s="6"/>
      <c r="AD953" s="6">
        <v>44232</v>
      </c>
    </row>
    <row r="954" spans="1:30">
      <c r="A954" s="1" t="s">
        <v>772</v>
      </c>
      <c r="B954" s="1" t="s">
        <v>773</v>
      </c>
      <c r="D954" s="1" t="s">
        <v>1463</v>
      </c>
      <c r="E954" s="1" t="str">
        <f t="shared" si="14"/>
        <v/>
      </c>
      <c r="F954" s="5">
        <v>0</v>
      </c>
      <c r="G954" s="5">
        <v>0</v>
      </c>
      <c r="H954" s="5">
        <v>0</v>
      </c>
      <c r="I954" s="5"/>
      <c r="J954" s="1" t="s">
        <v>775</v>
      </c>
      <c r="K954" s="1" t="s">
        <v>1461</v>
      </c>
      <c r="L954" s="1" t="s">
        <v>79</v>
      </c>
      <c r="M954" s="1" t="s">
        <v>79</v>
      </c>
      <c r="N954" s="1" t="s">
        <v>79</v>
      </c>
      <c r="O954" s="6">
        <v>44155</v>
      </c>
      <c r="P954" s="6">
        <v>44154</v>
      </c>
      <c r="Q954" s="6"/>
      <c r="R954" s="1" t="s">
        <v>784</v>
      </c>
      <c r="S954" s="1" t="s">
        <v>79</v>
      </c>
      <c r="T954" s="5">
        <v>180</v>
      </c>
      <c r="U954" s="4">
        <v>21</v>
      </c>
      <c r="V954" s="5">
        <v>641</v>
      </c>
      <c r="W954" s="6"/>
      <c r="X954" s="6"/>
      <c r="Y954" s="6"/>
      <c r="Z954" s="6"/>
      <c r="AA954" s="6"/>
      <c r="AB954" s="6"/>
      <c r="AC954" s="6"/>
      <c r="AD954" s="6">
        <v>44236</v>
      </c>
    </row>
    <row r="955" spans="1:30">
      <c r="A955" s="1" t="s">
        <v>772</v>
      </c>
      <c r="B955" s="1" t="s">
        <v>773</v>
      </c>
      <c r="D955" s="1" t="s">
        <v>1464</v>
      </c>
      <c r="E955" s="1" t="str">
        <f t="shared" si="14"/>
        <v/>
      </c>
      <c r="F955" s="5">
        <v>0</v>
      </c>
      <c r="G955" s="5">
        <v>0</v>
      </c>
      <c r="H955" s="5">
        <v>0</v>
      </c>
      <c r="I955" s="5"/>
      <c r="J955" s="1" t="s">
        <v>775</v>
      </c>
      <c r="K955" s="1" t="s">
        <v>1461</v>
      </c>
      <c r="L955" s="1" t="s">
        <v>79</v>
      </c>
      <c r="M955" s="1" t="s">
        <v>79</v>
      </c>
      <c r="N955" s="1" t="s">
        <v>79</v>
      </c>
      <c r="O955" s="6">
        <v>44161</v>
      </c>
      <c r="P955" s="6">
        <v>44160</v>
      </c>
      <c r="Q955" s="6"/>
      <c r="R955" s="1" t="s">
        <v>784</v>
      </c>
      <c r="S955" s="1" t="s">
        <v>79</v>
      </c>
      <c r="T955" s="5">
        <v>180</v>
      </c>
      <c r="U955" s="4">
        <v>20</v>
      </c>
      <c r="V955" s="5">
        <v>635</v>
      </c>
      <c r="W955" s="6"/>
      <c r="X955" s="6"/>
      <c r="Y955" s="6"/>
      <c r="Z955" s="6"/>
      <c r="AA955" s="6"/>
      <c r="AB955" s="6"/>
      <c r="AC955" s="6"/>
      <c r="AD955" s="6">
        <v>44238</v>
      </c>
    </row>
    <row r="956" spans="1:30">
      <c r="A956" s="1" t="s">
        <v>772</v>
      </c>
      <c r="B956" s="1" t="s">
        <v>773</v>
      </c>
      <c r="D956" s="1" t="s">
        <v>1465</v>
      </c>
      <c r="E956" s="1" t="str">
        <f t="shared" si="14"/>
        <v/>
      </c>
      <c r="F956" s="5">
        <v>0</v>
      </c>
      <c r="G956" s="5">
        <v>0</v>
      </c>
      <c r="H956" s="5">
        <v>0</v>
      </c>
      <c r="I956" s="5"/>
      <c r="J956" s="1" t="s">
        <v>775</v>
      </c>
      <c r="K956" s="1" t="s">
        <v>1466</v>
      </c>
      <c r="L956" s="1" t="s">
        <v>79</v>
      </c>
      <c r="M956" s="1" t="s">
        <v>79</v>
      </c>
      <c r="N956" s="1" t="s">
        <v>79</v>
      </c>
      <c r="O956" s="6">
        <v>44169</v>
      </c>
      <c r="P956" s="6">
        <v>44168</v>
      </c>
      <c r="Q956" s="6"/>
      <c r="R956" s="1" t="s">
        <v>784</v>
      </c>
      <c r="S956" s="1" t="s">
        <v>79</v>
      </c>
      <c r="T956" s="5">
        <v>180</v>
      </c>
      <c r="U956" s="4">
        <v>20</v>
      </c>
      <c r="V956" s="5">
        <v>627</v>
      </c>
      <c r="W956" s="6"/>
      <c r="X956" s="6"/>
      <c r="Y956" s="6"/>
      <c r="Z956" s="6"/>
      <c r="AA956" s="6"/>
      <c r="AB956" s="6"/>
      <c r="AC956" s="6"/>
      <c r="AD956" s="6">
        <v>44259</v>
      </c>
    </row>
    <row r="957" spans="1:30">
      <c r="A957" s="1" t="s">
        <v>772</v>
      </c>
      <c r="B957" s="1" t="s">
        <v>773</v>
      </c>
      <c r="D957" s="1" t="s">
        <v>1467</v>
      </c>
      <c r="E957" s="1" t="str">
        <f t="shared" si="14"/>
        <v/>
      </c>
      <c r="F957" s="5">
        <v>0</v>
      </c>
      <c r="G957" s="5">
        <v>0</v>
      </c>
      <c r="H957" s="5">
        <v>0</v>
      </c>
      <c r="I957" s="5"/>
      <c r="J957" s="1" t="s">
        <v>775</v>
      </c>
      <c r="K957" s="1" t="s">
        <v>1466</v>
      </c>
      <c r="L957" s="1" t="s">
        <v>79</v>
      </c>
      <c r="M957" s="1" t="s">
        <v>79</v>
      </c>
      <c r="N957" s="1" t="s">
        <v>79</v>
      </c>
      <c r="O957" s="6">
        <v>44173</v>
      </c>
      <c r="P957" s="6">
        <v>44172</v>
      </c>
      <c r="Q957" s="6"/>
      <c r="R957" s="1" t="s">
        <v>784</v>
      </c>
      <c r="S957" s="1" t="s">
        <v>79</v>
      </c>
      <c r="T957" s="5">
        <v>180</v>
      </c>
      <c r="U957" s="4">
        <v>20</v>
      </c>
      <c r="V957" s="5">
        <v>623</v>
      </c>
      <c r="W957" s="6"/>
      <c r="X957" s="6"/>
      <c r="Y957" s="6"/>
      <c r="Z957" s="6"/>
      <c r="AA957" s="6"/>
      <c r="AB957" s="6"/>
      <c r="AC957" s="6"/>
      <c r="AD957" s="6">
        <v>44268</v>
      </c>
    </row>
    <row r="958" spans="1:30">
      <c r="A958" s="1" t="s">
        <v>772</v>
      </c>
      <c r="B958" s="1" t="s">
        <v>773</v>
      </c>
      <c r="D958" s="1" t="s">
        <v>1468</v>
      </c>
      <c r="E958" s="1" t="str">
        <f t="shared" si="14"/>
        <v/>
      </c>
      <c r="F958" s="5">
        <v>0</v>
      </c>
      <c r="G958" s="5">
        <v>0</v>
      </c>
      <c r="H958" s="5">
        <v>0</v>
      </c>
      <c r="I958" s="5"/>
      <c r="J958" s="1" t="s">
        <v>775</v>
      </c>
      <c r="K958" s="1" t="s">
        <v>1466</v>
      </c>
      <c r="L958" s="1" t="s">
        <v>79</v>
      </c>
      <c r="M958" s="1" t="s">
        <v>79</v>
      </c>
      <c r="N958" s="1" t="s">
        <v>79</v>
      </c>
      <c r="O958" s="6">
        <v>44179</v>
      </c>
      <c r="P958" s="6">
        <v>44175</v>
      </c>
      <c r="Q958" s="6"/>
      <c r="R958" s="1" t="s">
        <v>784</v>
      </c>
      <c r="S958" s="1" t="s">
        <v>79</v>
      </c>
      <c r="T958" s="5">
        <v>180</v>
      </c>
      <c r="U958" s="4">
        <v>20</v>
      </c>
      <c r="V958" s="5">
        <v>620</v>
      </c>
      <c r="W958" s="6"/>
      <c r="X958" s="6"/>
      <c r="Y958" s="6"/>
      <c r="Z958" s="6"/>
      <c r="AA958" s="6"/>
      <c r="AB958" s="6"/>
      <c r="AC958" s="6"/>
      <c r="AD958" s="6">
        <v>44265</v>
      </c>
    </row>
    <row r="959" spans="1:30">
      <c r="A959" s="1" t="s">
        <v>772</v>
      </c>
      <c r="B959" s="1" t="s">
        <v>773</v>
      </c>
      <c r="D959" s="1" t="s">
        <v>1469</v>
      </c>
      <c r="E959" s="1" t="str">
        <f t="shared" si="14"/>
        <v/>
      </c>
      <c r="F959" s="5">
        <v>0</v>
      </c>
      <c r="G959" s="5">
        <v>0</v>
      </c>
      <c r="H959" s="5">
        <v>0</v>
      </c>
      <c r="I959" s="5"/>
      <c r="J959" s="1" t="s">
        <v>775</v>
      </c>
      <c r="K959" s="1" t="s">
        <v>1466</v>
      </c>
      <c r="L959" s="1" t="s">
        <v>79</v>
      </c>
      <c r="M959" s="1" t="s">
        <v>79</v>
      </c>
      <c r="N959" s="1" t="s">
        <v>79</v>
      </c>
      <c r="O959" s="6">
        <v>44180</v>
      </c>
      <c r="P959" s="6">
        <v>44179</v>
      </c>
      <c r="Q959" s="6"/>
      <c r="R959" s="1" t="s">
        <v>784</v>
      </c>
      <c r="S959" s="1" t="s">
        <v>79</v>
      </c>
      <c r="T959" s="5">
        <v>180</v>
      </c>
      <c r="U959" s="4">
        <v>20</v>
      </c>
      <c r="V959" s="5">
        <v>616</v>
      </c>
      <c r="W959" s="6"/>
      <c r="X959" s="6"/>
      <c r="Y959" s="6"/>
      <c r="Z959" s="6"/>
      <c r="AA959" s="6"/>
      <c r="AB959" s="6"/>
      <c r="AC959" s="6"/>
      <c r="AD959" s="6">
        <v>44298</v>
      </c>
    </row>
    <row r="960" spans="1:30">
      <c r="A960" s="1" t="s">
        <v>772</v>
      </c>
      <c r="B960" s="1" t="s">
        <v>773</v>
      </c>
      <c r="D960" s="1" t="s">
        <v>1470</v>
      </c>
      <c r="E960" s="1" t="str">
        <f t="shared" si="14"/>
        <v/>
      </c>
      <c r="F960" s="5">
        <v>0</v>
      </c>
      <c r="G960" s="5">
        <v>0</v>
      </c>
      <c r="H960" s="5">
        <v>0</v>
      </c>
      <c r="I960" s="5"/>
      <c r="J960" s="1" t="s">
        <v>775</v>
      </c>
      <c r="K960" s="1" t="s">
        <v>1466</v>
      </c>
      <c r="L960" s="1" t="s">
        <v>79</v>
      </c>
      <c r="M960" s="1" t="s">
        <v>79</v>
      </c>
      <c r="N960" s="1" t="s">
        <v>79</v>
      </c>
      <c r="O960" s="6">
        <v>44187</v>
      </c>
      <c r="P960" s="6">
        <v>44186</v>
      </c>
      <c r="Q960" s="6"/>
      <c r="R960" s="1" t="s">
        <v>784</v>
      </c>
      <c r="S960" s="1" t="s">
        <v>79</v>
      </c>
      <c r="T960" s="5">
        <v>180</v>
      </c>
      <c r="U960" s="4">
        <v>20</v>
      </c>
      <c r="V960" s="5">
        <v>609</v>
      </c>
      <c r="W960" s="6"/>
      <c r="X960" s="6"/>
      <c r="Y960" s="6"/>
      <c r="Z960" s="6"/>
      <c r="AA960" s="6"/>
      <c r="AB960" s="6"/>
      <c r="AC960" s="6"/>
      <c r="AD960" s="6">
        <v>44282</v>
      </c>
    </row>
    <row r="961" spans="1:30">
      <c r="A961" s="1" t="s">
        <v>772</v>
      </c>
      <c r="B961" s="1" t="s">
        <v>773</v>
      </c>
      <c r="C961" s="1" t="s">
        <v>1010</v>
      </c>
      <c r="D961" s="1" t="s">
        <v>182</v>
      </c>
      <c r="E961" s="1" t="str">
        <f t="shared" si="14"/>
        <v>W07</v>
      </c>
      <c r="F961" s="5">
        <v>10.87</v>
      </c>
      <c r="G961" s="5">
        <v>8.7200000000000006</v>
      </c>
      <c r="H961" s="5">
        <v>8.7200000000000006</v>
      </c>
      <c r="I961" s="5"/>
      <c r="J961" s="1" t="s">
        <v>775</v>
      </c>
      <c r="K961" s="1" t="s">
        <v>1466</v>
      </c>
      <c r="L961" s="1" t="s">
        <v>79</v>
      </c>
      <c r="M961" s="1" t="s">
        <v>79</v>
      </c>
      <c r="N961" s="1" t="s">
        <v>79</v>
      </c>
      <c r="O961" s="6">
        <v>44189</v>
      </c>
      <c r="P961" s="6">
        <v>44187</v>
      </c>
      <c r="Q961" s="6"/>
      <c r="R961" s="1" t="s">
        <v>784</v>
      </c>
      <c r="S961" s="1" t="s">
        <v>79</v>
      </c>
      <c r="T961" s="5">
        <v>180</v>
      </c>
      <c r="U961" s="4">
        <v>20</v>
      </c>
      <c r="V961" s="5">
        <v>608</v>
      </c>
      <c r="W961" s="6"/>
      <c r="X961" s="6"/>
      <c r="Y961" s="6"/>
      <c r="Z961" s="6"/>
      <c r="AA961" s="6"/>
      <c r="AB961" s="6"/>
      <c r="AC961" s="6"/>
      <c r="AD961" s="6">
        <v>44307</v>
      </c>
    </row>
    <row r="962" spans="1:30">
      <c r="A962" s="1" t="s">
        <v>772</v>
      </c>
      <c r="B962" s="1" t="s">
        <v>773</v>
      </c>
      <c r="C962" s="1" t="s">
        <v>848</v>
      </c>
      <c r="D962" s="1" t="s">
        <v>1471</v>
      </c>
      <c r="E962" s="1" t="str">
        <f t="shared" si="14"/>
        <v>W02</v>
      </c>
      <c r="F962" s="5">
        <v>7.58</v>
      </c>
      <c r="G962" s="5">
        <v>6.58</v>
      </c>
      <c r="H962" s="5">
        <v>6.58</v>
      </c>
      <c r="I962" s="5"/>
      <c r="J962" s="1" t="s">
        <v>775</v>
      </c>
      <c r="K962" s="1" t="s">
        <v>1472</v>
      </c>
      <c r="L962" s="1" t="s">
        <v>79</v>
      </c>
      <c r="M962" s="1" t="s">
        <v>79</v>
      </c>
      <c r="N962" s="1" t="s">
        <v>79</v>
      </c>
      <c r="O962" s="6">
        <v>44204</v>
      </c>
      <c r="P962" s="6">
        <v>44203</v>
      </c>
      <c r="Q962" s="6"/>
      <c r="R962" s="1" t="s">
        <v>784</v>
      </c>
      <c r="S962" s="1" t="s">
        <v>79</v>
      </c>
      <c r="T962" s="5">
        <v>180</v>
      </c>
      <c r="U962" s="4">
        <v>19</v>
      </c>
      <c r="V962" s="5">
        <v>592</v>
      </c>
      <c r="W962" s="6"/>
      <c r="X962" s="6"/>
      <c r="Y962" s="6"/>
      <c r="Z962" s="6"/>
      <c r="AA962" s="6"/>
      <c r="AB962" s="6"/>
      <c r="AC962" s="6"/>
      <c r="AD962" s="6">
        <v>44310</v>
      </c>
    </row>
    <row r="963" spans="1:30">
      <c r="A963" s="1" t="s">
        <v>772</v>
      </c>
      <c r="B963" s="1" t="s">
        <v>773</v>
      </c>
      <c r="C963" s="1" t="s">
        <v>904</v>
      </c>
      <c r="D963" s="1" t="s">
        <v>1473</v>
      </c>
      <c r="E963" s="1" t="str">
        <f t="shared" si="14"/>
        <v>W03</v>
      </c>
      <c r="F963" s="5">
        <v>12.75</v>
      </c>
      <c r="G963" s="5">
        <v>10.58</v>
      </c>
      <c r="H963" s="5">
        <v>10.43</v>
      </c>
      <c r="I963" s="5"/>
      <c r="J963" s="1" t="s">
        <v>775</v>
      </c>
      <c r="K963" s="1" t="s">
        <v>1472</v>
      </c>
      <c r="L963" s="1" t="s">
        <v>79</v>
      </c>
      <c r="M963" s="1" t="s">
        <v>79</v>
      </c>
      <c r="N963" s="1" t="s">
        <v>79</v>
      </c>
      <c r="O963" s="6">
        <v>44209</v>
      </c>
      <c r="P963" s="6">
        <v>44207</v>
      </c>
      <c r="Q963" s="6"/>
      <c r="R963" s="1" t="s">
        <v>784</v>
      </c>
      <c r="S963" s="1" t="s">
        <v>79</v>
      </c>
      <c r="T963" s="5">
        <v>180</v>
      </c>
      <c r="U963" s="4">
        <v>19</v>
      </c>
      <c r="V963" s="5">
        <v>588</v>
      </c>
      <c r="W963" s="6"/>
      <c r="X963" s="6"/>
      <c r="Y963" s="6"/>
      <c r="Z963" s="6"/>
      <c r="AA963" s="6"/>
      <c r="AB963" s="6"/>
      <c r="AC963" s="6"/>
      <c r="AD963" s="6">
        <v>44300</v>
      </c>
    </row>
    <row r="964" spans="1:30">
      <c r="A964" s="1" t="s">
        <v>772</v>
      </c>
      <c r="B964" s="1" t="s">
        <v>773</v>
      </c>
      <c r="D964" s="1" t="s">
        <v>1474</v>
      </c>
      <c r="E964" s="1" t="str">
        <f t="shared" si="14"/>
        <v/>
      </c>
      <c r="F964" s="5">
        <v>0</v>
      </c>
      <c r="G964" s="5">
        <v>0</v>
      </c>
      <c r="H964" s="5">
        <v>0</v>
      </c>
      <c r="I964" s="5"/>
      <c r="J964" s="1" t="s">
        <v>775</v>
      </c>
      <c r="K964" s="1" t="s">
        <v>1472</v>
      </c>
      <c r="L964" s="1" t="s">
        <v>79</v>
      </c>
      <c r="M964" s="1" t="s">
        <v>79</v>
      </c>
      <c r="N964" s="1" t="s">
        <v>79</v>
      </c>
      <c r="O964" s="6">
        <v>44209</v>
      </c>
      <c r="P964" s="6">
        <v>44207</v>
      </c>
      <c r="Q964" s="6"/>
      <c r="R964" s="1" t="s">
        <v>784</v>
      </c>
      <c r="S964" s="1" t="s">
        <v>79</v>
      </c>
      <c r="T964" s="5">
        <v>180</v>
      </c>
      <c r="U964" s="4">
        <v>19</v>
      </c>
      <c r="V964" s="5">
        <v>588</v>
      </c>
      <c r="W964" s="6"/>
      <c r="X964" s="6"/>
      <c r="Y964" s="6"/>
      <c r="Z964" s="6"/>
      <c r="AA964" s="6"/>
      <c r="AB964" s="6"/>
      <c r="AC964" s="6"/>
      <c r="AD964" s="6">
        <v>44307</v>
      </c>
    </row>
    <row r="965" spans="1:30">
      <c r="A965" s="1" t="s">
        <v>772</v>
      </c>
      <c r="B965" s="1" t="s">
        <v>773</v>
      </c>
      <c r="C965" s="1" t="s">
        <v>1002</v>
      </c>
      <c r="D965" s="1" t="s">
        <v>279</v>
      </c>
      <c r="E965" s="1" t="str">
        <f t="shared" ref="E965:E1028" si="15">RIGHT(C965,3)</f>
        <v>W06</v>
      </c>
      <c r="F965" s="5">
        <v>6.03</v>
      </c>
      <c r="G965" s="5">
        <v>4.7699999999999996</v>
      </c>
      <c r="H965" s="5">
        <v>4.7699999999999996</v>
      </c>
      <c r="I965" s="5"/>
      <c r="J965" s="1" t="s">
        <v>775</v>
      </c>
      <c r="K965" s="1" t="s">
        <v>1472</v>
      </c>
      <c r="L965" s="1" t="s">
        <v>79</v>
      </c>
      <c r="M965" s="1" t="s">
        <v>79</v>
      </c>
      <c r="N965" s="1" t="s">
        <v>79</v>
      </c>
      <c r="O965" s="6">
        <v>44211</v>
      </c>
      <c r="P965" s="6">
        <v>44211</v>
      </c>
      <c r="Q965" s="6"/>
      <c r="R965" s="1" t="s">
        <v>784</v>
      </c>
      <c r="S965" s="1" t="s">
        <v>79</v>
      </c>
      <c r="T965" s="5">
        <v>180</v>
      </c>
      <c r="U965" s="4">
        <v>19</v>
      </c>
      <c r="V965" s="5">
        <v>584</v>
      </c>
      <c r="W965" s="6"/>
      <c r="X965" s="6"/>
      <c r="Y965" s="6"/>
      <c r="Z965" s="6"/>
      <c r="AA965" s="6"/>
      <c r="AB965" s="6"/>
      <c r="AC965" s="6"/>
      <c r="AD965" s="6">
        <v>44311</v>
      </c>
    </row>
    <row r="966" spans="1:30">
      <c r="A966" s="1" t="s">
        <v>772</v>
      </c>
      <c r="B966" s="1" t="s">
        <v>773</v>
      </c>
      <c r="C966" s="1" t="s">
        <v>989</v>
      </c>
      <c r="D966" s="1" t="s">
        <v>1475</v>
      </c>
      <c r="E966" s="1" t="str">
        <f t="shared" si="15"/>
        <v>W05</v>
      </c>
      <c r="F966" s="5">
        <v>0</v>
      </c>
      <c r="G966" s="5">
        <v>0</v>
      </c>
      <c r="H966" s="5">
        <v>0</v>
      </c>
      <c r="I966" s="5"/>
      <c r="J966" s="1" t="s">
        <v>775</v>
      </c>
      <c r="K966" s="1" t="s">
        <v>1472</v>
      </c>
      <c r="L966" s="1" t="s">
        <v>79</v>
      </c>
      <c r="M966" s="1" t="s">
        <v>79</v>
      </c>
      <c r="N966" s="1" t="s">
        <v>79</v>
      </c>
      <c r="O966" s="6">
        <v>44214</v>
      </c>
      <c r="P966" s="6">
        <v>44214</v>
      </c>
      <c r="Q966" s="6"/>
      <c r="R966" s="1" t="s">
        <v>784</v>
      </c>
      <c r="S966" s="1" t="s">
        <v>79</v>
      </c>
      <c r="T966" s="5">
        <v>180</v>
      </c>
      <c r="U966" s="4">
        <v>19</v>
      </c>
      <c r="V966" s="5">
        <v>581</v>
      </c>
      <c r="W966" s="6"/>
      <c r="X966" s="6"/>
      <c r="Y966" s="6"/>
      <c r="Z966" s="6"/>
      <c r="AA966" s="6"/>
      <c r="AB966" s="6"/>
      <c r="AC966" s="6"/>
      <c r="AD966" s="6">
        <v>44313</v>
      </c>
    </row>
    <row r="967" spans="1:30">
      <c r="A967" s="1" t="s">
        <v>772</v>
      </c>
      <c r="B967" s="1" t="s">
        <v>773</v>
      </c>
      <c r="C967" s="1" t="s">
        <v>989</v>
      </c>
      <c r="D967" s="1" t="s">
        <v>1476</v>
      </c>
      <c r="E967" s="1" t="str">
        <f t="shared" si="15"/>
        <v>W05</v>
      </c>
      <c r="F967" s="5">
        <v>0</v>
      </c>
      <c r="G967" s="5">
        <v>0</v>
      </c>
      <c r="H967" s="5">
        <v>0</v>
      </c>
      <c r="I967" s="5"/>
      <c r="J967" s="1" t="s">
        <v>775</v>
      </c>
      <c r="K967" s="1" t="s">
        <v>1472</v>
      </c>
      <c r="L967" s="1" t="s">
        <v>79</v>
      </c>
      <c r="M967" s="1" t="s">
        <v>79</v>
      </c>
      <c r="N967" s="1" t="s">
        <v>79</v>
      </c>
      <c r="O967" s="6">
        <v>44216</v>
      </c>
      <c r="P967" s="6">
        <v>44215</v>
      </c>
      <c r="Q967" s="6"/>
      <c r="R967" s="1" t="s">
        <v>784</v>
      </c>
      <c r="S967" s="1" t="s">
        <v>79</v>
      </c>
      <c r="T967" s="5">
        <v>180</v>
      </c>
      <c r="U967" s="4">
        <v>19</v>
      </c>
      <c r="V967" s="5">
        <v>580</v>
      </c>
      <c r="W967" s="6"/>
      <c r="X967" s="6"/>
      <c r="Y967" s="6"/>
      <c r="Z967" s="6"/>
      <c r="AA967" s="6"/>
      <c r="AB967" s="6"/>
      <c r="AC967" s="6"/>
      <c r="AD967" s="6">
        <v>44322</v>
      </c>
    </row>
    <row r="968" spans="1:30">
      <c r="A968" s="1" t="s">
        <v>772</v>
      </c>
      <c r="B968" s="1" t="s">
        <v>773</v>
      </c>
      <c r="C968" s="1" t="s">
        <v>989</v>
      </c>
      <c r="D968" s="1" t="s">
        <v>1477</v>
      </c>
      <c r="E968" s="1" t="str">
        <f t="shared" si="15"/>
        <v>W05</v>
      </c>
      <c r="F968" s="5">
        <v>0</v>
      </c>
      <c r="G968" s="5">
        <v>0</v>
      </c>
      <c r="H968" s="5">
        <v>0</v>
      </c>
      <c r="I968" s="5"/>
      <c r="J968" s="1" t="s">
        <v>775</v>
      </c>
      <c r="K968" s="1" t="s">
        <v>1472</v>
      </c>
      <c r="L968" s="1" t="s">
        <v>79</v>
      </c>
      <c r="M968" s="1" t="s">
        <v>79</v>
      </c>
      <c r="N968" s="1" t="s">
        <v>79</v>
      </c>
      <c r="O968" s="6">
        <v>44218</v>
      </c>
      <c r="P968" s="6">
        <v>44217</v>
      </c>
      <c r="Q968" s="6"/>
      <c r="R968" s="1" t="s">
        <v>784</v>
      </c>
      <c r="S968" s="1" t="s">
        <v>79</v>
      </c>
      <c r="T968" s="5">
        <v>180</v>
      </c>
      <c r="U968" s="4">
        <v>19</v>
      </c>
      <c r="V968" s="5">
        <v>578</v>
      </c>
      <c r="W968" s="6"/>
      <c r="X968" s="6"/>
      <c r="Y968" s="6"/>
      <c r="Z968" s="6"/>
      <c r="AA968" s="6"/>
      <c r="AB968" s="6"/>
      <c r="AC968" s="6"/>
      <c r="AD968" s="6">
        <v>44320</v>
      </c>
    </row>
    <row r="969" spans="1:30">
      <c r="A969" s="1" t="s">
        <v>772</v>
      </c>
      <c r="B969" s="1" t="s">
        <v>773</v>
      </c>
      <c r="C969" s="1" t="s">
        <v>989</v>
      </c>
      <c r="D969" s="1" t="s">
        <v>1478</v>
      </c>
      <c r="E969" s="1" t="str">
        <f t="shared" si="15"/>
        <v>W05</v>
      </c>
      <c r="F969" s="5">
        <v>0</v>
      </c>
      <c r="G969" s="5">
        <v>0</v>
      </c>
      <c r="H969" s="5">
        <v>0</v>
      </c>
      <c r="I969" s="5"/>
      <c r="J969" s="1" t="s">
        <v>775</v>
      </c>
      <c r="K969" s="1" t="s">
        <v>1472</v>
      </c>
      <c r="L969" s="1" t="s">
        <v>79</v>
      </c>
      <c r="M969" s="1" t="s">
        <v>79</v>
      </c>
      <c r="N969" s="1" t="s">
        <v>79</v>
      </c>
      <c r="O969" s="6">
        <v>44222</v>
      </c>
      <c r="P969" s="6">
        <v>44221</v>
      </c>
      <c r="Q969" s="6"/>
      <c r="R969" s="1" t="s">
        <v>784</v>
      </c>
      <c r="S969" s="1" t="s">
        <v>79</v>
      </c>
      <c r="T969" s="5">
        <v>180</v>
      </c>
      <c r="U969" s="4">
        <v>18</v>
      </c>
      <c r="V969" s="5">
        <v>574</v>
      </c>
      <c r="W969" s="6"/>
      <c r="X969" s="6"/>
      <c r="Y969" s="6"/>
      <c r="Z969" s="6"/>
      <c r="AA969" s="6"/>
      <c r="AB969" s="6"/>
      <c r="AC969" s="6"/>
      <c r="AD969" s="6">
        <v>44340</v>
      </c>
    </row>
    <row r="970" spans="1:30">
      <c r="A970" s="1" t="s">
        <v>772</v>
      </c>
      <c r="B970" s="1" t="s">
        <v>917</v>
      </c>
      <c r="C970" s="1" t="s">
        <v>858</v>
      </c>
      <c r="D970" s="1" t="s">
        <v>1479</v>
      </c>
      <c r="E970" s="1" t="str">
        <f t="shared" si="15"/>
        <v>W04</v>
      </c>
      <c r="F970" s="5">
        <v>0.5</v>
      </c>
      <c r="G970" s="5">
        <v>0.5</v>
      </c>
      <c r="H970" s="5">
        <v>0.5</v>
      </c>
      <c r="I970" s="5"/>
      <c r="J970" s="1" t="s">
        <v>775</v>
      </c>
      <c r="K970" s="1" t="s">
        <v>1472</v>
      </c>
      <c r="L970" s="1" t="s">
        <v>79</v>
      </c>
      <c r="M970" s="1" t="s">
        <v>79</v>
      </c>
      <c r="N970" s="1" t="s">
        <v>79</v>
      </c>
      <c r="O970" s="6">
        <v>44222</v>
      </c>
      <c r="P970" s="6">
        <v>44221</v>
      </c>
      <c r="Q970" s="6"/>
      <c r="R970" s="1" t="s">
        <v>784</v>
      </c>
      <c r="S970" s="1" t="s">
        <v>79</v>
      </c>
      <c r="T970" s="5">
        <v>180</v>
      </c>
      <c r="U970" s="4">
        <v>18</v>
      </c>
      <c r="V970" s="5">
        <v>574</v>
      </c>
      <c r="W970" s="6"/>
      <c r="X970" s="6"/>
      <c r="Y970" s="6"/>
      <c r="Z970" s="6"/>
      <c r="AA970" s="6"/>
      <c r="AB970" s="6"/>
      <c r="AC970" s="6"/>
      <c r="AD970" s="6">
        <v>44341</v>
      </c>
    </row>
    <row r="971" spans="1:30">
      <c r="A971" s="1" t="s">
        <v>772</v>
      </c>
      <c r="B971" s="1" t="s">
        <v>773</v>
      </c>
      <c r="C971" s="1" t="s">
        <v>1002</v>
      </c>
      <c r="D971" s="1" t="s">
        <v>197</v>
      </c>
      <c r="E971" s="1" t="str">
        <f t="shared" si="15"/>
        <v>W06</v>
      </c>
      <c r="F971" s="5">
        <v>7.96</v>
      </c>
      <c r="G971" s="5">
        <v>6.22</v>
      </c>
      <c r="H971" s="5">
        <v>6.22</v>
      </c>
      <c r="I971" s="5"/>
      <c r="J971" s="1" t="s">
        <v>775</v>
      </c>
      <c r="K971" s="1" t="s">
        <v>1472</v>
      </c>
      <c r="L971" s="1" t="s">
        <v>79</v>
      </c>
      <c r="M971" s="1" t="s">
        <v>79</v>
      </c>
      <c r="N971" s="1" t="s">
        <v>79</v>
      </c>
      <c r="O971" s="6">
        <v>44223</v>
      </c>
      <c r="P971" s="6">
        <v>44223</v>
      </c>
      <c r="Q971" s="6"/>
      <c r="R971" s="1" t="s">
        <v>784</v>
      </c>
      <c r="S971" s="1" t="s">
        <v>79</v>
      </c>
      <c r="T971" s="5">
        <v>180</v>
      </c>
      <c r="U971" s="4">
        <v>18</v>
      </c>
      <c r="V971" s="5">
        <v>572</v>
      </c>
      <c r="W971" s="6"/>
      <c r="X971" s="6"/>
      <c r="Y971" s="6"/>
      <c r="Z971" s="6"/>
      <c r="AA971" s="6"/>
      <c r="AB971" s="6"/>
      <c r="AC971" s="6"/>
      <c r="AD971" s="6">
        <v>44343</v>
      </c>
    </row>
    <row r="972" spans="1:30">
      <c r="A972" s="1" t="s">
        <v>772</v>
      </c>
      <c r="B972" s="1" t="s">
        <v>773</v>
      </c>
      <c r="C972" s="1" t="s">
        <v>1002</v>
      </c>
      <c r="D972" s="1" t="s">
        <v>196</v>
      </c>
      <c r="E972" s="1" t="str">
        <f t="shared" si="15"/>
        <v>W06</v>
      </c>
      <c r="F972" s="5">
        <v>14.5</v>
      </c>
      <c r="G972" s="5">
        <v>11.7</v>
      </c>
      <c r="H972" s="5">
        <v>11.7</v>
      </c>
      <c r="I972" s="5"/>
      <c r="J972" s="1" t="s">
        <v>775</v>
      </c>
      <c r="K972" s="1" t="s">
        <v>1480</v>
      </c>
      <c r="L972" s="1" t="s">
        <v>79</v>
      </c>
      <c r="M972" s="1" t="s">
        <v>79</v>
      </c>
      <c r="N972" s="1" t="s">
        <v>79</v>
      </c>
      <c r="O972" s="6">
        <v>44236</v>
      </c>
      <c r="P972" s="6">
        <v>44236</v>
      </c>
      <c r="Q972" s="6"/>
      <c r="R972" s="1" t="s">
        <v>784</v>
      </c>
      <c r="S972" s="1" t="s">
        <v>79</v>
      </c>
      <c r="T972" s="5">
        <v>180</v>
      </c>
      <c r="U972" s="4">
        <v>18</v>
      </c>
      <c r="V972" s="5">
        <v>559</v>
      </c>
      <c r="W972" s="6"/>
      <c r="X972" s="6"/>
      <c r="Y972" s="6"/>
      <c r="Z972" s="6"/>
      <c r="AA972" s="6"/>
      <c r="AB972" s="6"/>
      <c r="AC972" s="6"/>
      <c r="AD972" s="6">
        <v>44278</v>
      </c>
    </row>
    <row r="973" spans="1:30">
      <c r="A973" s="1" t="s">
        <v>772</v>
      </c>
      <c r="B973" s="1" t="s">
        <v>773</v>
      </c>
      <c r="C973" s="1" t="s">
        <v>989</v>
      </c>
      <c r="D973" s="1" t="s">
        <v>1481</v>
      </c>
      <c r="E973" s="1" t="str">
        <f t="shared" si="15"/>
        <v>W05</v>
      </c>
      <c r="F973" s="5">
        <v>0</v>
      </c>
      <c r="G973" s="5">
        <v>0</v>
      </c>
      <c r="H973" s="5">
        <v>0</v>
      </c>
      <c r="I973" s="5"/>
      <c r="J973" s="1" t="s">
        <v>775</v>
      </c>
      <c r="K973" s="1" t="s">
        <v>1480</v>
      </c>
      <c r="L973" s="1" t="s">
        <v>79</v>
      </c>
      <c r="M973" s="1" t="s">
        <v>79</v>
      </c>
      <c r="N973" s="1" t="s">
        <v>79</v>
      </c>
      <c r="O973" s="6">
        <v>44240</v>
      </c>
      <c r="P973" s="6">
        <v>44238</v>
      </c>
      <c r="Q973" s="6"/>
      <c r="R973" s="1" t="s">
        <v>784</v>
      </c>
      <c r="S973" s="1" t="s">
        <v>79</v>
      </c>
      <c r="T973" s="5">
        <v>180</v>
      </c>
      <c r="U973" s="4">
        <v>18</v>
      </c>
      <c r="V973" s="5">
        <v>557</v>
      </c>
      <c r="W973" s="6"/>
      <c r="X973" s="6"/>
      <c r="Y973" s="6"/>
      <c r="Z973" s="6"/>
      <c r="AA973" s="6"/>
      <c r="AB973" s="6"/>
      <c r="AC973" s="6"/>
      <c r="AD973" s="6">
        <v>44355</v>
      </c>
    </row>
    <row r="974" spans="1:30">
      <c r="A974" s="1" t="s">
        <v>772</v>
      </c>
      <c r="B974" s="1" t="s">
        <v>773</v>
      </c>
      <c r="C974" s="1" t="s">
        <v>989</v>
      </c>
      <c r="D974" s="1" t="s">
        <v>1482</v>
      </c>
      <c r="E974" s="1" t="str">
        <f t="shared" si="15"/>
        <v>W05</v>
      </c>
      <c r="F974" s="5">
        <v>0</v>
      </c>
      <c r="G974" s="5">
        <v>0</v>
      </c>
      <c r="H974" s="5">
        <v>0</v>
      </c>
      <c r="I974" s="5"/>
      <c r="J974" s="1" t="s">
        <v>775</v>
      </c>
      <c r="K974" s="1" t="s">
        <v>1480</v>
      </c>
      <c r="L974" s="1" t="s">
        <v>79</v>
      </c>
      <c r="M974" s="1" t="s">
        <v>79</v>
      </c>
      <c r="N974" s="1" t="s">
        <v>79</v>
      </c>
      <c r="O974" s="6">
        <v>44246</v>
      </c>
      <c r="P974" s="6">
        <v>44245</v>
      </c>
      <c r="Q974" s="6"/>
      <c r="R974" s="1" t="s">
        <v>784</v>
      </c>
      <c r="S974" s="1" t="s">
        <v>79</v>
      </c>
      <c r="T974" s="5">
        <v>180</v>
      </c>
      <c r="U974" s="4">
        <v>18</v>
      </c>
      <c r="V974" s="5">
        <v>550</v>
      </c>
      <c r="W974" s="6"/>
      <c r="X974" s="6"/>
      <c r="Y974" s="6"/>
      <c r="Z974" s="6"/>
      <c r="AA974" s="6"/>
      <c r="AB974" s="6"/>
      <c r="AC974" s="6"/>
      <c r="AD974" s="6">
        <v>44279</v>
      </c>
    </row>
    <row r="975" spans="1:30">
      <c r="A975" s="1" t="s">
        <v>772</v>
      </c>
      <c r="B975" s="1" t="s">
        <v>773</v>
      </c>
      <c r="C975" s="1" t="s">
        <v>989</v>
      </c>
      <c r="D975" s="1" t="s">
        <v>1483</v>
      </c>
      <c r="E975" s="1" t="str">
        <f t="shared" si="15"/>
        <v>W05</v>
      </c>
      <c r="F975" s="5">
        <v>0</v>
      </c>
      <c r="G975" s="5">
        <v>0</v>
      </c>
      <c r="H975" s="5">
        <v>0</v>
      </c>
      <c r="I975" s="5"/>
      <c r="J975" s="1" t="s">
        <v>775</v>
      </c>
      <c r="K975" s="1" t="s">
        <v>1480</v>
      </c>
      <c r="L975" s="1" t="s">
        <v>79</v>
      </c>
      <c r="M975" s="1" t="s">
        <v>79</v>
      </c>
      <c r="N975" s="1" t="s">
        <v>79</v>
      </c>
      <c r="O975" s="6">
        <v>44250</v>
      </c>
      <c r="P975" s="6">
        <v>44249</v>
      </c>
      <c r="Q975" s="6"/>
      <c r="R975" s="1" t="s">
        <v>784</v>
      </c>
      <c r="S975" s="1" t="s">
        <v>79</v>
      </c>
      <c r="T975" s="5">
        <v>180</v>
      </c>
      <c r="U975" s="4">
        <v>17</v>
      </c>
      <c r="V975" s="5">
        <v>546</v>
      </c>
      <c r="W975" s="6"/>
      <c r="X975" s="6"/>
      <c r="Y975" s="6"/>
      <c r="Z975" s="6"/>
      <c r="AA975" s="6"/>
      <c r="AB975" s="6"/>
      <c r="AC975" s="6"/>
      <c r="AD975" s="6">
        <v>44337</v>
      </c>
    </row>
    <row r="976" spans="1:30">
      <c r="A976" s="1" t="s">
        <v>772</v>
      </c>
      <c r="B976" s="1" t="s">
        <v>773</v>
      </c>
      <c r="C976" s="1" t="s">
        <v>989</v>
      </c>
      <c r="D976" s="1" t="s">
        <v>1484</v>
      </c>
      <c r="E976" s="1" t="str">
        <f t="shared" si="15"/>
        <v>W05</v>
      </c>
      <c r="F976" s="5">
        <v>0</v>
      </c>
      <c r="G976" s="5">
        <v>0</v>
      </c>
      <c r="H976" s="5">
        <v>0</v>
      </c>
      <c r="I976" s="5"/>
      <c r="J976" s="1" t="s">
        <v>775</v>
      </c>
      <c r="K976" s="1" t="s">
        <v>1485</v>
      </c>
      <c r="L976" s="1" t="s">
        <v>79</v>
      </c>
      <c r="M976" s="1" t="s">
        <v>79</v>
      </c>
      <c r="N976" s="1" t="s">
        <v>79</v>
      </c>
      <c r="O976" s="6">
        <v>44256</v>
      </c>
      <c r="P976" s="6">
        <v>44256</v>
      </c>
      <c r="Q976" s="6"/>
      <c r="R976" s="1" t="s">
        <v>784</v>
      </c>
      <c r="S976" s="1" t="s">
        <v>79</v>
      </c>
      <c r="T976" s="5">
        <v>180</v>
      </c>
      <c r="U976" s="4">
        <v>17</v>
      </c>
      <c r="V976" s="5">
        <v>539</v>
      </c>
      <c r="W976" s="6"/>
      <c r="X976" s="6"/>
      <c r="Y976" s="6"/>
      <c r="Z976" s="6"/>
      <c r="AA976" s="6"/>
      <c r="AB976" s="6"/>
      <c r="AC976" s="6"/>
      <c r="AD976" s="6">
        <v>44342</v>
      </c>
    </row>
    <row r="977" spans="1:30">
      <c r="A977" s="1" t="s">
        <v>772</v>
      </c>
      <c r="B977" s="1" t="s">
        <v>773</v>
      </c>
      <c r="C977" s="1" t="s">
        <v>989</v>
      </c>
      <c r="D977" s="1" t="s">
        <v>1486</v>
      </c>
      <c r="E977" s="1" t="str">
        <f t="shared" si="15"/>
        <v>W05</v>
      </c>
      <c r="F977" s="5">
        <v>0</v>
      </c>
      <c r="G977" s="5">
        <v>0</v>
      </c>
      <c r="H977" s="5">
        <v>0</v>
      </c>
      <c r="I977" s="5"/>
      <c r="J977" s="1" t="s">
        <v>775</v>
      </c>
      <c r="K977" s="1" t="s">
        <v>1485</v>
      </c>
      <c r="L977" s="1" t="s">
        <v>79</v>
      </c>
      <c r="M977" s="1" t="s">
        <v>79</v>
      </c>
      <c r="N977" s="1" t="s">
        <v>79</v>
      </c>
      <c r="O977" s="6">
        <v>44258</v>
      </c>
      <c r="P977" s="6">
        <v>44257</v>
      </c>
      <c r="Q977" s="6"/>
      <c r="R977" s="1" t="s">
        <v>784</v>
      </c>
      <c r="S977" s="1" t="s">
        <v>79</v>
      </c>
      <c r="T977" s="5">
        <v>180</v>
      </c>
      <c r="U977" s="4">
        <v>17</v>
      </c>
      <c r="V977" s="5">
        <v>538</v>
      </c>
      <c r="W977" s="6"/>
      <c r="X977" s="6"/>
      <c r="Y977" s="6"/>
      <c r="Z977" s="6"/>
      <c r="AA977" s="6"/>
      <c r="AB977" s="6"/>
      <c r="AC977" s="6"/>
      <c r="AD977" s="6">
        <v>44344</v>
      </c>
    </row>
    <row r="978" spans="1:30">
      <c r="A978" s="1" t="s">
        <v>772</v>
      </c>
      <c r="B978" s="1" t="s">
        <v>773</v>
      </c>
      <c r="C978" s="1" t="s">
        <v>989</v>
      </c>
      <c r="D978" s="1" t="s">
        <v>1487</v>
      </c>
      <c r="E978" s="1" t="str">
        <f t="shared" si="15"/>
        <v>W05</v>
      </c>
      <c r="F978" s="5">
        <v>0</v>
      </c>
      <c r="G978" s="5">
        <v>0</v>
      </c>
      <c r="H978" s="5">
        <v>0</v>
      </c>
      <c r="I978" s="5"/>
      <c r="J978" s="1" t="s">
        <v>775</v>
      </c>
      <c r="K978" s="1" t="s">
        <v>1485</v>
      </c>
      <c r="L978" s="1" t="s">
        <v>79</v>
      </c>
      <c r="M978" s="1" t="s">
        <v>79</v>
      </c>
      <c r="N978" s="1" t="s">
        <v>79</v>
      </c>
      <c r="O978" s="6">
        <v>44258</v>
      </c>
      <c r="P978" s="6">
        <v>44257</v>
      </c>
      <c r="Q978" s="6"/>
      <c r="R978" s="1" t="s">
        <v>784</v>
      </c>
      <c r="S978" s="1" t="s">
        <v>79</v>
      </c>
      <c r="T978" s="5">
        <v>180</v>
      </c>
      <c r="U978" s="4">
        <v>17</v>
      </c>
      <c r="V978" s="5">
        <v>538</v>
      </c>
      <c r="W978" s="6"/>
      <c r="X978" s="6"/>
      <c r="Y978" s="6"/>
      <c r="Z978" s="6"/>
      <c r="AA978" s="6"/>
      <c r="AB978" s="6"/>
      <c r="AC978" s="6"/>
      <c r="AD978" s="6">
        <v>44361</v>
      </c>
    </row>
    <row r="979" spans="1:30">
      <c r="A979" s="1" t="s">
        <v>772</v>
      </c>
      <c r="B979" s="1" t="s">
        <v>773</v>
      </c>
      <c r="C979" s="1" t="s">
        <v>989</v>
      </c>
      <c r="D979" s="1" t="s">
        <v>1488</v>
      </c>
      <c r="E979" s="1" t="str">
        <f t="shared" si="15"/>
        <v>W05</v>
      </c>
      <c r="F979" s="5">
        <v>0</v>
      </c>
      <c r="G979" s="5">
        <v>0</v>
      </c>
      <c r="H979" s="5">
        <v>0</v>
      </c>
      <c r="I979" s="5"/>
      <c r="J979" s="1" t="s">
        <v>775</v>
      </c>
      <c r="K979" s="1" t="s">
        <v>1485</v>
      </c>
      <c r="L979" s="1" t="s">
        <v>79</v>
      </c>
      <c r="M979" s="1" t="s">
        <v>79</v>
      </c>
      <c r="N979" s="1" t="s">
        <v>79</v>
      </c>
      <c r="O979" s="6">
        <v>44265</v>
      </c>
      <c r="P979" s="6">
        <v>44265</v>
      </c>
      <c r="Q979" s="6"/>
      <c r="R979" s="1" t="s">
        <v>784</v>
      </c>
      <c r="S979" s="1" t="s">
        <v>79</v>
      </c>
      <c r="T979" s="5">
        <v>180</v>
      </c>
      <c r="U979" s="4">
        <v>17</v>
      </c>
      <c r="V979" s="5">
        <v>530</v>
      </c>
      <c r="W979" s="6"/>
      <c r="X979" s="6"/>
      <c r="Y979" s="6"/>
      <c r="Z979" s="6"/>
      <c r="AA979" s="6"/>
      <c r="AB979" s="6"/>
      <c r="AC979" s="6"/>
      <c r="AD979" s="6">
        <v>44363</v>
      </c>
    </row>
    <row r="980" spans="1:30">
      <c r="A980" s="1" t="s">
        <v>772</v>
      </c>
      <c r="B980" s="1" t="s">
        <v>773</v>
      </c>
      <c r="C980" s="1" t="s">
        <v>858</v>
      </c>
      <c r="D980" s="1" t="s">
        <v>1489</v>
      </c>
      <c r="E980" s="1" t="str">
        <f t="shared" si="15"/>
        <v>W04</v>
      </c>
      <c r="F980" s="5">
        <v>1.56</v>
      </c>
      <c r="G980" s="5">
        <v>1.56</v>
      </c>
      <c r="H980" s="5">
        <v>1.56</v>
      </c>
      <c r="I980" s="5"/>
      <c r="J980" s="1" t="s">
        <v>775</v>
      </c>
      <c r="K980" s="1" t="s">
        <v>1485</v>
      </c>
      <c r="L980" s="1" t="s">
        <v>79</v>
      </c>
      <c r="M980" s="1" t="s">
        <v>79</v>
      </c>
      <c r="N980" s="1" t="s">
        <v>79</v>
      </c>
      <c r="O980" s="6">
        <v>44285</v>
      </c>
      <c r="P980" s="6">
        <v>44284</v>
      </c>
      <c r="Q980" s="6"/>
      <c r="R980" s="1" t="s">
        <v>784</v>
      </c>
      <c r="S980" s="1" t="s">
        <v>79</v>
      </c>
      <c r="T980" s="5">
        <v>180</v>
      </c>
      <c r="U980" s="4">
        <v>16</v>
      </c>
      <c r="V980" s="5">
        <v>511</v>
      </c>
      <c r="W980" s="6"/>
      <c r="X980" s="6"/>
      <c r="Y980" s="6"/>
      <c r="Z980" s="6"/>
      <c r="AA980" s="6"/>
      <c r="AB980" s="6"/>
      <c r="AC980" s="6"/>
      <c r="AD980" s="6">
        <v>44361</v>
      </c>
    </row>
    <row r="981" spans="1:30">
      <c r="A981" s="1" t="s">
        <v>772</v>
      </c>
      <c r="B981" s="1" t="s">
        <v>773</v>
      </c>
      <c r="C981" s="1" t="s">
        <v>1002</v>
      </c>
      <c r="D981" s="1" t="s">
        <v>310</v>
      </c>
      <c r="E981" s="1" t="str">
        <f t="shared" si="15"/>
        <v>W06</v>
      </c>
      <c r="F981" s="5">
        <v>4.3</v>
      </c>
      <c r="G981" s="5">
        <v>3.42</v>
      </c>
      <c r="H981" s="5">
        <v>3.42</v>
      </c>
      <c r="I981" s="5"/>
      <c r="J981" s="1" t="s">
        <v>775</v>
      </c>
      <c r="K981" s="1" t="s">
        <v>1485</v>
      </c>
      <c r="L981" s="1" t="s">
        <v>79</v>
      </c>
      <c r="M981" s="1" t="s">
        <v>79</v>
      </c>
      <c r="N981" s="1" t="s">
        <v>79</v>
      </c>
      <c r="O981" s="6">
        <v>44285</v>
      </c>
      <c r="P981" s="6">
        <v>44284</v>
      </c>
      <c r="Q981" s="6"/>
      <c r="R981" s="1" t="s">
        <v>784</v>
      </c>
      <c r="S981" s="1" t="s">
        <v>79</v>
      </c>
      <c r="T981" s="5">
        <v>180</v>
      </c>
      <c r="U981" s="4">
        <v>16</v>
      </c>
      <c r="V981" s="5">
        <v>511</v>
      </c>
      <c r="W981" s="6"/>
      <c r="X981" s="6"/>
      <c r="Y981" s="6"/>
      <c r="Z981" s="6"/>
      <c r="AA981" s="6"/>
      <c r="AB981" s="6"/>
      <c r="AC981" s="6"/>
      <c r="AD981" s="6">
        <v>44372</v>
      </c>
    </row>
    <row r="982" spans="1:30">
      <c r="A982" s="1" t="s">
        <v>772</v>
      </c>
      <c r="B982" s="1" t="s">
        <v>773</v>
      </c>
      <c r="C982" s="1" t="s">
        <v>989</v>
      </c>
      <c r="D982" s="1" t="s">
        <v>1490</v>
      </c>
      <c r="E982" s="1" t="str">
        <f t="shared" si="15"/>
        <v>W05</v>
      </c>
      <c r="F982" s="5">
        <v>0</v>
      </c>
      <c r="G982" s="5">
        <v>0</v>
      </c>
      <c r="H982" s="5">
        <v>0</v>
      </c>
      <c r="I982" s="5"/>
      <c r="J982" s="1" t="s">
        <v>775</v>
      </c>
      <c r="K982" s="1" t="s">
        <v>1491</v>
      </c>
      <c r="L982" s="1" t="s">
        <v>79</v>
      </c>
      <c r="M982" s="1" t="s">
        <v>79</v>
      </c>
      <c r="N982" s="1" t="s">
        <v>79</v>
      </c>
      <c r="O982" s="6">
        <v>44291</v>
      </c>
      <c r="P982" s="6">
        <v>44291</v>
      </c>
      <c r="Q982" s="6"/>
      <c r="R982" s="1" t="s">
        <v>784</v>
      </c>
      <c r="S982" s="1" t="s">
        <v>79</v>
      </c>
      <c r="T982" s="5">
        <v>180</v>
      </c>
      <c r="U982" s="4">
        <v>16</v>
      </c>
      <c r="V982" s="5">
        <v>504</v>
      </c>
      <c r="W982" s="6"/>
      <c r="X982" s="6"/>
      <c r="Y982" s="6"/>
      <c r="Z982" s="6"/>
      <c r="AA982" s="6"/>
      <c r="AB982" s="6"/>
      <c r="AC982" s="6"/>
      <c r="AD982" s="6">
        <v>44373</v>
      </c>
    </row>
    <row r="983" spans="1:30">
      <c r="A983" s="1" t="s">
        <v>772</v>
      </c>
      <c r="B983" s="1" t="s">
        <v>773</v>
      </c>
      <c r="C983" s="1" t="s">
        <v>989</v>
      </c>
      <c r="D983" s="1" t="s">
        <v>1492</v>
      </c>
      <c r="E983" s="1" t="str">
        <f t="shared" si="15"/>
        <v>W05</v>
      </c>
      <c r="F983" s="5">
        <v>0</v>
      </c>
      <c r="G983" s="5">
        <v>0</v>
      </c>
      <c r="H983" s="5">
        <v>0</v>
      </c>
      <c r="I983" s="5"/>
      <c r="J983" s="1" t="s">
        <v>775</v>
      </c>
      <c r="K983" s="1" t="s">
        <v>1491</v>
      </c>
      <c r="L983" s="1" t="s">
        <v>79</v>
      </c>
      <c r="M983" s="1" t="s">
        <v>79</v>
      </c>
      <c r="N983" s="1" t="s">
        <v>79</v>
      </c>
      <c r="O983" s="6">
        <v>44291</v>
      </c>
      <c r="P983" s="6">
        <v>44291</v>
      </c>
      <c r="Q983" s="6"/>
      <c r="R983" s="1" t="s">
        <v>784</v>
      </c>
      <c r="S983" s="1" t="s">
        <v>79</v>
      </c>
      <c r="T983" s="5">
        <v>180</v>
      </c>
      <c r="U983" s="4">
        <v>16</v>
      </c>
      <c r="V983" s="5">
        <v>504</v>
      </c>
      <c r="W983" s="6"/>
      <c r="X983" s="6"/>
      <c r="Y983" s="6"/>
      <c r="Z983" s="6"/>
      <c r="AA983" s="6"/>
      <c r="AB983" s="6"/>
      <c r="AC983" s="6"/>
      <c r="AD983" s="6">
        <v>44373</v>
      </c>
    </row>
    <row r="984" spans="1:30">
      <c r="A984" s="1" t="s">
        <v>772</v>
      </c>
      <c r="B984" s="1" t="s">
        <v>773</v>
      </c>
      <c r="C984" s="1" t="s">
        <v>989</v>
      </c>
      <c r="D984" s="1" t="s">
        <v>1493</v>
      </c>
      <c r="E984" s="1" t="str">
        <f t="shared" si="15"/>
        <v>W05</v>
      </c>
      <c r="F984" s="5">
        <v>0</v>
      </c>
      <c r="G984" s="5">
        <v>0</v>
      </c>
      <c r="H984" s="5">
        <v>0</v>
      </c>
      <c r="I984" s="5"/>
      <c r="J984" s="1" t="s">
        <v>775</v>
      </c>
      <c r="K984" s="1" t="s">
        <v>1491</v>
      </c>
      <c r="L984" s="1" t="s">
        <v>79</v>
      </c>
      <c r="M984" s="1" t="s">
        <v>79</v>
      </c>
      <c r="N984" s="1" t="s">
        <v>79</v>
      </c>
      <c r="O984" s="6">
        <v>44291</v>
      </c>
      <c r="P984" s="6">
        <v>44291</v>
      </c>
      <c r="Q984" s="6"/>
      <c r="R984" s="1" t="s">
        <v>784</v>
      </c>
      <c r="S984" s="1" t="s">
        <v>79</v>
      </c>
      <c r="T984" s="5">
        <v>180</v>
      </c>
      <c r="U984" s="4">
        <v>16</v>
      </c>
      <c r="V984" s="5">
        <v>504</v>
      </c>
      <c r="W984" s="6"/>
      <c r="X984" s="6"/>
      <c r="Y984" s="6"/>
      <c r="Z984" s="6"/>
      <c r="AA984" s="6"/>
      <c r="AB984" s="6"/>
      <c r="AC984" s="6"/>
      <c r="AD984" s="6">
        <v>44358</v>
      </c>
    </row>
    <row r="985" spans="1:30">
      <c r="A985" s="1" t="s">
        <v>772</v>
      </c>
      <c r="B985" s="1" t="s">
        <v>773</v>
      </c>
      <c r="C985" s="1" t="s">
        <v>1010</v>
      </c>
      <c r="D985" s="1" t="s">
        <v>1494</v>
      </c>
      <c r="E985" s="1" t="str">
        <f t="shared" si="15"/>
        <v>W07</v>
      </c>
      <c r="F985" s="5">
        <v>0</v>
      </c>
      <c r="G985" s="5">
        <v>0</v>
      </c>
      <c r="H985" s="5">
        <v>0</v>
      </c>
      <c r="I985" s="5"/>
      <c r="J985" s="1" t="s">
        <v>775</v>
      </c>
      <c r="K985" s="1" t="s">
        <v>1491</v>
      </c>
      <c r="L985" s="1" t="s">
        <v>79</v>
      </c>
      <c r="M985" s="1" t="s">
        <v>79</v>
      </c>
      <c r="N985" s="1" t="s">
        <v>79</v>
      </c>
      <c r="O985" s="6">
        <v>44291</v>
      </c>
      <c r="P985" s="6">
        <v>44291</v>
      </c>
      <c r="Q985" s="6"/>
      <c r="R985" s="1" t="s">
        <v>784</v>
      </c>
      <c r="S985" s="1" t="s">
        <v>79</v>
      </c>
      <c r="T985" s="5">
        <v>180</v>
      </c>
      <c r="U985" s="4">
        <v>16</v>
      </c>
      <c r="V985" s="5">
        <v>504</v>
      </c>
      <c r="W985" s="6"/>
      <c r="X985" s="6"/>
      <c r="Y985" s="6"/>
      <c r="Z985" s="6"/>
      <c r="AA985" s="6"/>
      <c r="AB985" s="6"/>
      <c r="AC985" s="6"/>
      <c r="AD985" s="6">
        <v>44364</v>
      </c>
    </row>
    <row r="986" spans="1:30">
      <c r="A986" s="1" t="s">
        <v>772</v>
      </c>
      <c r="B986" s="1" t="s">
        <v>773</v>
      </c>
      <c r="C986" s="1" t="s">
        <v>858</v>
      </c>
      <c r="D986" s="1" t="s">
        <v>1495</v>
      </c>
      <c r="E986" s="1" t="str">
        <f t="shared" si="15"/>
        <v>W04</v>
      </c>
      <c r="F986" s="5">
        <v>0</v>
      </c>
      <c r="G986" s="5">
        <v>0</v>
      </c>
      <c r="H986" s="5">
        <v>0</v>
      </c>
      <c r="I986" s="5"/>
      <c r="J986" s="1" t="s">
        <v>775</v>
      </c>
      <c r="K986" s="1" t="s">
        <v>1491</v>
      </c>
      <c r="L986" s="1" t="s">
        <v>79</v>
      </c>
      <c r="M986" s="1" t="s">
        <v>79</v>
      </c>
      <c r="N986" s="1" t="s">
        <v>79</v>
      </c>
      <c r="O986" s="6">
        <v>44293</v>
      </c>
      <c r="P986" s="6">
        <v>44292</v>
      </c>
      <c r="Q986" s="6"/>
      <c r="R986" s="1" t="s">
        <v>784</v>
      </c>
      <c r="S986" s="1" t="s">
        <v>79</v>
      </c>
      <c r="T986" s="5">
        <v>180</v>
      </c>
      <c r="U986" s="4">
        <v>16</v>
      </c>
      <c r="V986" s="5">
        <v>503</v>
      </c>
      <c r="W986" s="6"/>
      <c r="X986" s="6"/>
      <c r="Y986" s="6"/>
      <c r="Z986" s="6"/>
      <c r="AA986" s="6"/>
      <c r="AB986" s="6"/>
      <c r="AC986" s="6"/>
      <c r="AD986" s="6">
        <v>44371</v>
      </c>
    </row>
    <row r="987" spans="1:30">
      <c r="A987" s="1" t="s">
        <v>772</v>
      </c>
      <c r="B987" s="1" t="s">
        <v>773</v>
      </c>
      <c r="C987" s="1" t="s">
        <v>858</v>
      </c>
      <c r="D987" s="1" t="s">
        <v>1496</v>
      </c>
      <c r="E987" s="1" t="str">
        <f t="shared" si="15"/>
        <v>W04</v>
      </c>
      <c r="F987" s="5">
        <v>0</v>
      </c>
      <c r="G987" s="5">
        <v>0</v>
      </c>
      <c r="H987" s="5">
        <v>0</v>
      </c>
      <c r="I987" s="5"/>
      <c r="J987" s="1" t="s">
        <v>775</v>
      </c>
      <c r="K987" s="1" t="s">
        <v>1491</v>
      </c>
      <c r="L987" s="1" t="s">
        <v>79</v>
      </c>
      <c r="M987" s="1" t="s">
        <v>79</v>
      </c>
      <c r="N987" s="1" t="s">
        <v>79</v>
      </c>
      <c r="O987" s="6">
        <v>44301</v>
      </c>
      <c r="P987" s="6">
        <v>44270</v>
      </c>
      <c r="Q987" s="6"/>
      <c r="R987" s="1" t="s">
        <v>784</v>
      </c>
      <c r="S987" s="1" t="s">
        <v>79</v>
      </c>
      <c r="T987" s="5">
        <v>180</v>
      </c>
      <c r="U987" s="4">
        <v>17</v>
      </c>
      <c r="V987" s="5">
        <v>525</v>
      </c>
      <c r="W987" s="6"/>
      <c r="X987" s="6"/>
      <c r="Y987" s="6"/>
      <c r="Z987" s="6"/>
      <c r="AA987" s="6"/>
      <c r="AB987" s="6"/>
      <c r="AC987" s="6"/>
      <c r="AD987" s="6">
        <v>44377</v>
      </c>
    </row>
    <row r="988" spans="1:30">
      <c r="A988" s="1" t="s">
        <v>772</v>
      </c>
      <c r="B988" s="1" t="s">
        <v>773</v>
      </c>
      <c r="C988" s="1" t="s">
        <v>1002</v>
      </c>
      <c r="D988" s="1" t="s">
        <v>1497</v>
      </c>
      <c r="E988" s="1" t="str">
        <f t="shared" si="15"/>
        <v>W06</v>
      </c>
      <c r="F988" s="5">
        <v>0</v>
      </c>
      <c r="G988" s="5">
        <v>0</v>
      </c>
      <c r="H988" s="5">
        <v>0</v>
      </c>
      <c r="I988" s="5"/>
      <c r="J988" s="1" t="s">
        <v>775</v>
      </c>
      <c r="K988" s="1" t="s">
        <v>1491</v>
      </c>
      <c r="L988" s="1" t="s">
        <v>79</v>
      </c>
      <c r="M988" s="1" t="s">
        <v>79</v>
      </c>
      <c r="N988" s="1" t="s">
        <v>79</v>
      </c>
      <c r="O988" s="6">
        <v>44307</v>
      </c>
      <c r="P988" s="6">
        <v>44307</v>
      </c>
      <c r="Q988" s="6"/>
      <c r="R988" s="1" t="s">
        <v>784</v>
      </c>
      <c r="S988" s="1" t="s">
        <v>79</v>
      </c>
      <c r="T988" s="5">
        <v>180</v>
      </c>
      <c r="U988" s="4">
        <v>16</v>
      </c>
      <c r="V988" s="5">
        <v>488</v>
      </c>
      <c r="W988" s="6"/>
      <c r="X988" s="6"/>
      <c r="Y988" s="6"/>
      <c r="Z988" s="6"/>
      <c r="AA988" s="6"/>
      <c r="AB988" s="6"/>
      <c r="AC988" s="6"/>
      <c r="AD988" s="6">
        <v>44398</v>
      </c>
    </row>
    <row r="989" spans="1:30">
      <c r="A989" s="1" t="s">
        <v>772</v>
      </c>
      <c r="B989" s="1" t="s">
        <v>773</v>
      </c>
      <c r="C989" s="1" t="s">
        <v>1010</v>
      </c>
      <c r="D989" s="1" t="s">
        <v>1498</v>
      </c>
      <c r="E989" s="1" t="str">
        <f t="shared" si="15"/>
        <v>W07</v>
      </c>
      <c r="F989" s="5">
        <v>0</v>
      </c>
      <c r="G989" s="5">
        <v>0</v>
      </c>
      <c r="H989" s="5">
        <v>0</v>
      </c>
      <c r="I989" s="5"/>
      <c r="J989" s="1" t="s">
        <v>775</v>
      </c>
      <c r="K989" s="1" t="s">
        <v>1491</v>
      </c>
      <c r="L989" s="1" t="s">
        <v>79</v>
      </c>
      <c r="M989" s="1" t="s">
        <v>79</v>
      </c>
      <c r="N989" s="1" t="s">
        <v>79</v>
      </c>
      <c r="O989" s="6">
        <v>44307</v>
      </c>
      <c r="P989" s="6">
        <v>44307</v>
      </c>
      <c r="Q989" s="6"/>
      <c r="R989" s="1" t="s">
        <v>784</v>
      </c>
      <c r="S989" s="1" t="s">
        <v>79</v>
      </c>
      <c r="T989" s="5">
        <v>180</v>
      </c>
      <c r="U989" s="4">
        <v>16</v>
      </c>
      <c r="V989" s="5">
        <v>488</v>
      </c>
      <c r="W989" s="6"/>
      <c r="X989" s="6"/>
      <c r="Y989" s="6"/>
      <c r="Z989" s="6"/>
      <c r="AA989" s="6"/>
      <c r="AB989" s="6"/>
      <c r="AC989" s="6"/>
      <c r="AD989" s="6">
        <v>44404</v>
      </c>
    </row>
    <row r="990" spans="1:30">
      <c r="A990" s="1" t="s">
        <v>772</v>
      </c>
      <c r="B990" s="1" t="s">
        <v>773</v>
      </c>
      <c r="C990" s="1" t="s">
        <v>1010</v>
      </c>
      <c r="D990" s="1" t="s">
        <v>1499</v>
      </c>
      <c r="E990" s="1" t="str">
        <f t="shared" si="15"/>
        <v>W07</v>
      </c>
      <c r="F990" s="5">
        <v>0</v>
      </c>
      <c r="G990" s="5">
        <v>0</v>
      </c>
      <c r="H990" s="5">
        <v>0</v>
      </c>
      <c r="I990" s="5"/>
      <c r="J990" s="1" t="s">
        <v>775</v>
      </c>
      <c r="K990" s="1" t="s">
        <v>1491</v>
      </c>
      <c r="L990" s="1" t="s">
        <v>79</v>
      </c>
      <c r="M990" s="1" t="s">
        <v>79</v>
      </c>
      <c r="N990" s="1" t="s">
        <v>79</v>
      </c>
      <c r="O990" s="6">
        <v>44307</v>
      </c>
      <c r="P990" s="6">
        <v>44307</v>
      </c>
      <c r="Q990" s="6"/>
      <c r="R990" s="1" t="s">
        <v>784</v>
      </c>
      <c r="S990" s="1" t="s">
        <v>79</v>
      </c>
      <c r="T990" s="5">
        <v>180</v>
      </c>
      <c r="U990" s="4">
        <v>16</v>
      </c>
      <c r="V990" s="5">
        <v>488</v>
      </c>
      <c r="W990" s="6"/>
      <c r="X990" s="6"/>
      <c r="Y990" s="6"/>
      <c r="Z990" s="6"/>
      <c r="AA990" s="6"/>
      <c r="AB990" s="6"/>
      <c r="AC990" s="6"/>
      <c r="AD990" s="6">
        <v>44370</v>
      </c>
    </row>
    <row r="991" spans="1:30">
      <c r="A991" s="1" t="s">
        <v>772</v>
      </c>
      <c r="B991" s="1" t="s">
        <v>773</v>
      </c>
      <c r="C991" s="1" t="s">
        <v>1010</v>
      </c>
      <c r="D991" s="1" t="s">
        <v>1500</v>
      </c>
      <c r="E991" s="1" t="str">
        <f t="shared" si="15"/>
        <v>W07</v>
      </c>
      <c r="F991" s="5">
        <v>0</v>
      </c>
      <c r="G991" s="5">
        <v>0</v>
      </c>
      <c r="H991" s="5">
        <v>0</v>
      </c>
      <c r="I991" s="5"/>
      <c r="J991" s="1" t="s">
        <v>775</v>
      </c>
      <c r="K991" s="1" t="s">
        <v>1491</v>
      </c>
      <c r="L991" s="1" t="s">
        <v>79</v>
      </c>
      <c r="M991" s="1" t="s">
        <v>79</v>
      </c>
      <c r="N991" s="1" t="s">
        <v>79</v>
      </c>
      <c r="O991" s="6">
        <v>44314</v>
      </c>
      <c r="P991" s="6">
        <v>44313</v>
      </c>
      <c r="Q991" s="6"/>
      <c r="R991" s="1" t="s">
        <v>784</v>
      </c>
      <c r="S991" s="1" t="s">
        <v>79</v>
      </c>
      <c r="T991" s="5">
        <v>180</v>
      </c>
      <c r="U991" s="4">
        <v>15</v>
      </c>
      <c r="V991" s="5">
        <v>482</v>
      </c>
      <c r="W991" s="6"/>
      <c r="X991" s="6"/>
      <c r="Y991" s="6"/>
      <c r="Z991" s="6"/>
      <c r="AA991" s="6"/>
      <c r="AB991" s="6"/>
      <c r="AC991" s="6"/>
      <c r="AD991" s="6">
        <v>44410</v>
      </c>
    </row>
    <row r="992" spans="1:30">
      <c r="A992" s="1" t="s">
        <v>772</v>
      </c>
      <c r="B992" s="1" t="s">
        <v>773</v>
      </c>
      <c r="C992" s="1" t="s">
        <v>858</v>
      </c>
      <c r="D992" s="1" t="s">
        <v>1501</v>
      </c>
      <c r="E992" s="1" t="str">
        <f t="shared" si="15"/>
        <v>W04</v>
      </c>
      <c r="F992" s="5">
        <v>0</v>
      </c>
      <c r="G992" s="5">
        <v>0</v>
      </c>
      <c r="H992" s="5">
        <v>0</v>
      </c>
      <c r="I992" s="5"/>
      <c r="J992" s="1" t="s">
        <v>775</v>
      </c>
      <c r="K992" s="1" t="s">
        <v>1491</v>
      </c>
      <c r="L992" s="1" t="s">
        <v>79</v>
      </c>
      <c r="M992" s="1" t="s">
        <v>79</v>
      </c>
      <c r="N992" s="1" t="s">
        <v>79</v>
      </c>
      <c r="O992" s="6">
        <v>44314</v>
      </c>
      <c r="P992" s="6">
        <v>44313</v>
      </c>
      <c r="Q992" s="6"/>
      <c r="R992" s="1" t="s">
        <v>784</v>
      </c>
      <c r="S992" s="1" t="s">
        <v>79</v>
      </c>
      <c r="T992" s="5">
        <v>180</v>
      </c>
      <c r="U992" s="4">
        <v>15</v>
      </c>
      <c r="V992" s="5">
        <v>482</v>
      </c>
      <c r="W992" s="6"/>
      <c r="X992" s="6"/>
      <c r="Y992" s="6"/>
      <c r="Z992" s="6"/>
      <c r="AA992" s="6"/>
      <c r="AB992" s="6"/>
      <c r="AC992" s="6"/>
      <c r="AD992" s="6">
        <v>44372</v>
      </c>
    </row>
    <row r="993" spans="1:30">
      <c r="A993" s="1" t="s">
        <v>772</v>
      </c>
      <c r="B993" s="1" t="s">
        <v>773</v>
      </c>
      <c r="C993" s="1" t="s">
        <v>858</v>
      </c>
      <c r="D993" s="1" t="s">
        <v>1502</v>
      </c>
      <c r="E993" s="1" t="str">
        <f t="shared" si="15"/>
        <v>W04</v>
      </c>
      <c r="F993" s="5">
        <v>0</v>
      </c>
      <c r="G993" s="5">
        <v>0</v>
      </c>
      <c r="H993" s="5">
        <v>0</v>
      </c>
      <c r="I993" s="5"/>
      <c r="J993" s="1" t="s">
        <v>775</v>
      </c>
      <c r="K993" s="1" t="s">
        <v>1491</v>
      </c>
      <c r="L993" s="1" t="s">
        <v>79</v>
      </c>
      <c r="M993" s="1" t="s">
        <v>79</v>
      </c>
      <c r="N993" s="1" t="s">
        <v>79</v>
      </c>
      <c r="O993" s="6">
        <v>44314</v>
      </c>
      <c r="P993" s="6">
        <v>44313</v>
      </c>
      <c r="Q993" s="6"/>
      <c r="R993" s="1" t="s">
        <v>784</v>
      </c>
      <c r="S993" s="1" t="s">
        <v>79</v>
      </c>
      <c r="T993" s="5">
        <v>180</v>
      </c>
      <c r="U993" s="4">
        <v>15</v>
      </c>
      <c r="V993" s="5">
        <v>482</v>
      </c>
      <c r="W993" s="6"/>
      <c r="X993" s="6"/>
      <c r="Y993" s="6"/>
      <c r="Z993" s="6"/>
      <c r="AA993" s="6"/>
      <c r="AB993" s="6"/>
      <c r="AC993" s="6"/>
      <c r="AD993" s="6">
        <v>44403</v>
      </c>
    </row>
    <row r="994" spans="1:30">
      <c r="A994" s="1" t="s">
        <v>772</v>
      </c>
      <c r="B994" s="1" t="s">
        <v>773</v>
      </c>
      <c r="C994" s="1" t="s">
        <v>1002</v>
      </c>
      <c r="D994" s="1" t="s">
        <v>1503</v>
      </c>
      <c r="E994" s="1" t="str">
        <f t="shared" si="15"/>
        <v>W06</v>
      </c>
      <c r="F994" s="5">
        <v>0</v>
      </c>
      <c r="G994" s="5">
        <v>0</v>
      </c>
      <c r="H994" s="5">
        <v>0</v>
      </c>
      <c r="I994" s="5"/>
      <c r="J994" s="1" t="s">
        <v>775</v>
      </c>
      <c r="K994" s="1" t="s">
        <v>1491</v>
      </c>
      <c r="L994" s="1" t="s">
        <v>79</v>
      </c>
      <c r="M994" s="1" t="s">
        <v>79</v>
      </c>
      <c r="N994" s="1" t="s">
        <v>79</v>
      </c>
      <c r="O994" s="6">
        <v>44314</v>
      </c>
      <c r="P994" s="6">
        <v>44313</v>
      </c>
      <c r="Q994" s="6"/>
      <c r="R994" s="1" t="s">
        <v>784</v>
      </c>
      <c r="S994" s="1" t="s">
        <v>79</v>
      </c>
      <c r="T994" s="5">
        <v>180</v>
      </c>
      <c r="U994" s="4">
        <v>15</v>
      </c>
      <c r="V994" s="5">
        <v>482</v>
      </c>
      <c r="W994" s="6"/>
      <c r="X994" s="6"/>
      <c r="Y994" s="6"/>
      <c r="Z994" s="6"/>
      <c r="AA994" s="6"/>
      <c r="AB994" s="6"/>
      <c r="AC994" s="6"/>
      <c r="AD994" s="6">
        <v>44391</v>
      </c>
    </row>
    <row r="995" spans="1:30">
      <c r="A995" s="1" t="s">
        <v>772</v>
      </c>
      <c r="B995" s="1" t="s">
        <v>773</v>
      </c>
      <c r="C995" s="1" t="s">
        <v>1010</v>
      </c>
      <c r="D995" s="1" t="s">
        <v>1504</v>
      </c>
      <c r="E995" s="1" t="str">
        <f t="shared" si="15"/>
        <v>W07</v>
      </c>
      <c r="F995" s="5">
        <v>0</v>
      </c>
      <c r="G995" s="5">
        <v>0</v>
      </c>
      <c r="H995" s="5">
        <v>0</v>
      </c>
      <c r="I995" s="5"/>
      <c r="J995" s="1" t="s">
        <v>775</v>
      </c>
      <c r="K995" s="1" t="s">
        <v>1505</v>
      </c>
      <c r="L995" s="1" t="s">
        <v>79</v>
      </c>
      <c r="M995" s="1" t="s">
        <v>79</v>
      </c>
      <c r="N995" s="1" t="s">
        <v>79</v>
      </c>
      <c r="O995" s="6">
        <v>44337</v>
      </c>
      <c r="P995" s="6">
        <v>44337</v>
      </c>
      <c r="Q995" s="6"/>
      <c r="R995" s="1" t="s">
        <v>784</v>
      </c>
      <c r="S995" s="1" t="s">
        <v>79</v>
      </c>
      <c r="T995" s="5">
        <v>0</v>
      </c>
      <c r="U995" s="4">
        <v>15</v>
      </c>
      <c r="V995" s="5">
        <v>458</v>
      </c>
      <c r="W995" s="6"/>
      <c r="X995" s="6"/>
      <c r="Y995" s="6"/>
      <c r="Z995" s="6"/>
      <c r="AA995" s="6"/>
      <c r="AB995" s="6"/>
      <c r="AC995" s="6"/>
      <c r="AD995" s="6">
        <v>44406</v>
      </c>
    </row>
    <row r="996" spans="1:30">
      <c r="A996" s="1" t="s">
        <v>772</v>
      </c>
      <c r="B996" s="1" t="s">
        <v>773</v>
      </c>
      <c r="C996" s="1" t="s">
        <v>1010</v>
      </c>
      <c r="D996" s="1" t="s">
        <v>1506</v>
      </c>
      <c r="E996" s="1" t="str">
        <f t="shared" si="15"/>
        <v>W07</v>
      </c>
      <c r="F996" s="5">
        <v>0</v>
      </c>
      <c r="G996" s="5">
        <v>0</v>
      </c>
      <c r="H996" s="5">
        <v>0</v>
      </c>
      <c r="I996" s="5"/>
      <c r="J996" s="1" t="s">
        <v>775</v>
      </c>
      <c r="K996" s="1" t="s">
        <v>1505</v>
      </c>
      <c r="L996" s="1" t="s">
        <v>79</v>
      </c>
      <c r="M996" s="1" t="s">
        <v>79</v>
      </c>
      <c r="N996" s="1" t="s">
        <v>79</v>
      </c>
      <c r="O996" s="6">
        <v>44337</v>
      </c>
      <c r="P996" s="6">
        <v>44337</v>
      </c>
      <c r="Q996" s="6"/>
      <c r="R996" s="1" t="s">
        <v>784</v>
      </c>
      <c r="S996" s="1" t="s">
        <v>79</v>
      </c>
      <c r="T996" s="5">
        <v>180</v>
      </c>
      <c r="U996" s="4">
        <v>15</v>
      </c>
      <c r="V996" s="5">
        <v>458</v>
      </c>
      <c r="W996" s="6"/>
      <c r="X996" s="6"/>
      <c r="Y996" s="6"/>
      <c r="Z996" s="6"/>
      <c r="AA996" s="6"/>
      <c r="AB996" s="6"/>
      <c r="AC996" s="6"/>
      <c r="AD996" s="6">
        <v>44406</v>
      </c>
    </row>
    <row r="997" spans="1:30">
      <c r="A997" s="1" t="s">
        <v>772</v>
      </c>
      <c r="B997" s="1" t="s">
        <v>773</v>
      </c>
      <c r="C997" s="1" t="s">
        <v>989</v>
      </c>
      <c r="D997" s="1" t="s">
        <v>1507</v>
      </c>
      <c r="E997" s="1" t="str">
        <f t="shared" si="15"/>
        <v>W05</v>
      </c>
      <c r="F997" s="5">
        <v>0</v>
      </c>
      <c r="G997" s="5">
        <v>0</v>
      </c>
      <c r="H997" s="5">
        <v>0</v>
      </c>
      <c r="I997" s="5"/>
      <c r="J997" s="1" t="s">
        <v>775</v>
      </c>
      <c r="K997" s="1" t="s">
        <v>1505</v>
      </c>
      <c r="L997" s="1" t="s">
        <v>79</v>
      </c>
      <c r="M997" s="1" t="s">
        <v>79</v>
      </c>
      <c r="N997" s="1" t="s">
        <v>79</v>
      </c>
      <c r="O997" s="6">
        <v>44337</v>
      </c>
      <c r="P997" s="6">
        <v>44337</v>
      </c>
      <c r="Q997" s="6"/>
      <c r="R997" s="1" t="s">
        <v>784</v>
      </c>
      <c r="S997" s="1" t="s">
        <v>79</v>
      </c>
      <c r="T997" s="5">
        <v>180</v>
      </c>
      <c r="U997" s="4">
        <v>15</v>
      </c>
      <c r="V997" s="5">
        <v>458</v>
      </c>
      <c r="W997" s="6"/>
      <c r="X997" s="6"/>
      <c r="Y997" s="6"/>
      <c r="Z997" s="6"/>
      <c r="AA997" s="6"/>
      <c r="AB997" s="6"/>
      <c r="AC997" s="6"/>
      <c r="AD997" s="6">
        <v>44407</v>
      </c>
    </row>
    <row r="998" spans="1:30">
      <c r="A998" s="1" t="s">
        <v>772</v>
      </c>
      <c r="B998" s="1" t="s">
        <v>773</v>
      </c>
      <c r="C998" s="1" t="s">
        <v>989</v>
      </c>
      <c r="D998" s="1" t="s">
        <v>1508</v>
      </c>
      <c r="E998" s="1" t="str">
        <f t="shared" si="15"/>
        <v>W05</v>
      </c>
      <c r="F998" s="5">
        <v>0</v>
      </c>
      <c r="G998" s="5">
        <v>0</v>
      </c>
      <c r="H998" s="5">
        <v>0</v>
      </c>
      <c r="I998" s="5"/>
      <c r="J998" s="1" t="s">
        <v>775</v>
      </c>
      <c r="K998" s="1" t="s">
        <v>1505</v>
      </c>
      <c r="L998" s="1" t="s">
        <v>79</v>
      </c>
      <c r="M998" s="1" t="s">
        <v>79</v>
      </c>
      <c r="N998" s="1" t="s">
        <v>79</v>
      </c>
      <c r="O998" s="6">
        <v>44343</v>
      </c>
      <c r="P998" s="6">
        <v>44343</v>
      </c>
      <c r="Q998" s="6"/>
      <c r="R998" s="1" t="s">
        <v>784</v>
      </c>
      <c r="S998" s="1" t="s">
        <v>79</v>
      </c>
      <c r="T998" s="5">
        <v>180</v>
      </c>
      <c r="U998" s="4">
        <v>14</v>
      </c>
      <c r="V998" s="5">
        <v>452</v>
      </c>
      <c r="W998" s="6"/>
      <c r="X998" s="6"/>
      <c r="Y998" s="6"/>
      <c r="Z998" s="6"/>
      <c r="AA998" s="6"/>
      <c r="AB998" s="6"/>
      <c r="AC998" s="6"/>
      <c r="AD998" s="6">
        <v>44439</v>
      </c>
    </row>
    <row r="999" spans="1:30">
      <c r="A999" s="1" t="s">
        <v>772</v>
      </c>
      <c r="B999" s="1" t="s">
        <v>773</v>
      </c>
      <c r="C999" s="1" t="s">
        <v>774</v>
      </c>
      <c r="D999" s="1" t="s">
        <v>660</v>
      </c>
      <c r="E999" s="1" t="str">
        <f t="shared" si="15"/>
        <v>W01</v>
      </c>
      <c r="F999" s="5">
        <v>4.2</v>
      </c>
      <c r="G999" s="5">
        <v>3.45</v>
      </c>
      <c r="H999" s="5">
        <v>3.45</v>
      </c>
      <c r="I999" s="5"/>
      <c r="J999" s="1" t="s">
        <v>775</v>
      </c>
      <c r="K999" s="1" t="s">
        <v>1509</v>
      </c>
      <c r="L999" s="1" t="s">
        <v>79</v>
      </c>
      <c r="M999" s="1" t="s">
        <v>79</v>
      </c>
      <c r="N999" s="1" t="s">
        <v>79</v>
      </c>
      <c r="O999" s="6">
        <v>44355</v>
      </c>
      <c r="P999" s="6">
        <v>44354</v>
      </c>
      <c r="Q999" s="6"/>
      <c r="R999" s="1" t="s">
        <v>784</v>
      </c>
      <c r="S999" s="1" t="s">
        <v>853</v>
      </c>
      <c r="T999" s="5">
        <v>0</v>
      </c>
      <c r="U999" s="4">
        <v>14</v>
      </c>
      <c r="V999" s="5">
        <v>441</v>
      </c>
      <c r="W999" s="6"/>
      <c r="X999" s="6"/>
      <c r="Y999" s="6"/>
      <c r="Z999" s="6"/>
      <c r="AA999" s="6"/>
      <c r="AB999" s="6"/>
      <c r="AC999" s="6"/>
      <c r="AD999" s="6">
        <v>44442</v>
      </c>
    </row>
    <row r="1000" spans="1:30">
      <c r="A1000" s="1" t="s">
        <v>772</v>
      </c>
      <c r="B1000" s="1" t="s">
        <v>773</v>
      </c>
      <c r="C1000" s="1" t="s">
        <v>774</v>
      </c>
      <c r="D1000" s="1" t="s">
        <v>662</v>
      </c>
      <c r="E1000" s="1" t="str">
        <f t="shared" si="15"/>
        <v>W01</v>
      </c>
      <c r="F1000" s="5">
        <v>2.79</v>
      </c>
      <c r="G1000" s="5">
        <v>2.25</v>
      </c>
      <c r="H1000" s="5">
        <v>2.25</v>
      </c>
      <c r="I1000" s="5"/>
      <c r="J1000" s="1" t="s">
        <v>775</v>
      </c>
      <c r="K1000" s="1" t="s">
        <v>1509</v>
      </c>
      <c r="L1000" s="1" t="s">
        <v>79</v>
      </c>
      <c r="M1000" s="1" t="s">
        <v>79</v>
      </c>
      <c r="N1000" s="1" t="s">
        <v>79</v>
      </c>
      <c r="O1000" s="6">
        <v>44356</v>
      </c>
      <c r="P1000" s="6">
        <v>44355</v>
      </c>
      <c r="Q1000" s="6"/>
      <c r="R1000" s="1" t="s">
        <v>784</v>
      </c>
      <c r="S1000" s="1" t="s">
        <v>79</v>
      </c>
      <c r="T1000" s="5">
        <v>180</v>
      </c>
      <c r="U1000" s="4">
        <v>14</v>
      </c>
      <c r="V1000" s="5">
        <v>440</v>
      </c>
      <c r="W1000" s="6"/>
      <c r="X1000" s="6"/>
      <c r="Y1000" s="6"/>
      <c r="Z1000" s="6"/>
      <c r="AA1000" s="6"/>
      <c r="AB1000" s="6"/>
      <c r="AC1000" s="6"/>
      <c r="AD1000" s="6">
        <v>44455</v>
      </c>
    </row>
    <row r="1001" spans="1:30">
      <c r="A1001" s="1" t="s">
        <v>772</v>
      </c>
      <c r="B1001" s="1" t="s">
        <v>773</v>
      </c>
      <c r="C1001" s="1" t="s">
        <v>989</v>
      </c>
      <c r="D1001" s="1" t="s">
        <v>1510</v>
      </c>
      <c r="E1001" s="1" t="str">
        <f t="shared" si="15"/>
        <v>W05</v>
      </c>
      <c r="F1001" s="5">
        <v>0</v>
      </c>
      <c r="G1001" s="5">
        <v>0</v>
      </c>
      <c r="H1001" s="5">
        <v>0</v>
      </c>
      <c r="I1001" s="5"/>
      <c r="J1001" s="1" t="s">
        <v>775</v>
      </c>
      <c r="K1001" s="1" t="s">
        <v>1509</v>
      </c>
      <c r="L1001" s="1" t="s">
        <v>79</v>
      </c>
      <c r="M1001" s="1" t="s">
        <v>79</v>
      </c>
      <c r="N1001" s="1" t="s">
        <v>79</v>
      </c>
      <c r="O1001" s="6">
        <v>44356</v>
      </c>
      <c r="P1001" s="6">
        <v>44355</v>
      </c>
      <c r="Q1001" s="6"/>
      <c r="R1001" s="1" t="s">
        <v>784</v>
      </c>
      <c r="S1001" s="1" t="s">
        <v>79</v>
      </c>
      <c r="T1001" s="5">
        <v>180</v>
      </c>
      <c r="U1001" s="4">
        <v>14</v>
      </c>
      <c r="V1001" s="5">
        <v>440</v>
      </c>
      <c r="W1001" s="6"/>
      <c r="X1001" s="6"/>
      <c r="Y1001" s="6"/>
      <c r="Z1001" s="6"/>
      <c r="AA1001" s="6"/>
      <c r="AB1001" s="6"/>
      <c r="AC1001" s="6"/>
      <c r="AD1001" s="6">
        <v>44461</v>
      </c>
    </row>
    <row r="1002" spans="1:30">
      <c r="A1002" s="1" t="s">
        <v>772</v>
      </c>
      <c r="B1002" s="1" t="s">
        <v>773</v>
      </c>
      <c r="C1002" s="1" t="s">
        <v>989</v>
      </c>
      <c r="D1002" s="1" t="s">
        <v>1511</v>
      </c>
      <c r="E1002" s="1" t="str">
        <f t="shared" si="15"/>
        <v>W05</v>
      </c>
      <c r="F1002" s="5">
        <v>0</v>
      </c>
      <c r="G1002" s="5">
        <v>0</v>
      </c>
      <c r="H1002" s="5">
        <v>0</v>
      </c>
      <c r="I1002" s="5"/>
      <c r="J1002" s="1" t="s">
        <v>775</v>
      </c>
      <c r="K1002" s="1" t="s">
        <v>1509</v>
      </c>
      <c r="L1002" s="1" t="s">
        <v>79</v>
      </c>
      <c r="M1002" s="1" t="s">
        <v>79</v>
      </c>
      <c r="N1002" s="1" t="s">
        <v>79</v>
      </c>
      <c r="O1002" s="6">
        <v>44356</v>
      </c>
      <c r="P1002" s="6">
        <v>44355</v>
      </c>
      <c r="Q1002" s="6"/>
      <c r="R1002" s="1" t="s">
        <v>784</v>
      </c>
      <c r="S1002" s="1" t="s">
        <v>79</v>
      </c>
      <c r="T1002" s="5">
        <v>180</v>
      </c>
      <c r="U1002" s="4">
        <v>14</v>
      </c>
      <c r="V1002" s="5">
        <v>440</v>
      </c>
      <c r="W1002" s="6"/>
      <c r="X1002" s="6"/>
      <c r="Y1002" s="6"/>
      <c r="Z1002" s="6"/>
      <c r="AA1002" s="6"/>
      <c r="AB1002" s="6"/>
      <c r="AC1002" s="6"/>
      <c r="AD1002" s="6">
        <v>44408</v>
      </c>
    </row>
    <row r="1003" spans="1:30">
      <c r="A1003" s="1" t="s">
        <v>772</v>
      </c>
      <c r="B1003" s="1" t="s">
        <v>917</v>
      </c>
      <c r="C1003" s="1" t="s">
        <v>858</v>
      </c>
      <c r="D1003" s="1" t="s">
        <v>1512</v>
      </c>
      <c r="E1003" s="1" t="str">
        <f t="shared" si="15"/>
        <v>W04</v>
      </c>
      <c r="F1003" s="5">
        <v>4.21</v>
      </c>
      <c r="G1003" s="5">
        <v>3.64</v>
      </c>
      <c r="H1003" s="5">
        <v>3.64</v>
      </c>
      <c r="I1003" s="5"/>
      <c r="J1003" s="1" t="s">
        <v>775</v>
      </c>
      <c r="K1003" s="1" t="s">
        <v>1509</v>
      </c>
      <c r="L1003" s="1" t="s">
        <v>79</v>
      </c>
      <c r="M1003" s="1" t="s">
        <v>79</v>
      </c>
      <c r="N1003" s="1" t="s">
        <v>79</v>
      </c>
      <c r="O1003" s="6">
        <v>44363</v>
      </c>
      <c r="P1003" s="6">
        <v>44363</v>
      </c>
      <c r="Q1003" s="6"/>
      <c r="R1003" s="1" t="s">
        <v>784</v>
      </c>
      <c r="S1003" s="1" t="s">
        <v>79</v>
      </c>
      <c r="T1003" s="5">
        <v>180</v>
      </c>
      <c r="U1003" s="4">
        <v>14</v>
      </c>
      <c r="V1003" s="5">
        <v>432</v>
      </c>
      <c r="W1003" s="6"/>
      <c r="X1003" s="6"/>
      <c r="Y1003" s="6"/>
      <c r="Z1003" s="6"/>
      <c r="AA1003" s="6"/>
      <c r="AB1003" s="6"/>
      <c r="AC1003" s="6"/>
      <c r="AD1003" s="6">
        <v>44462</v>
      </c>
    </row>
    <row r="1004" spans="1:30">
      <c r="A1004" s="1" t="s">
        <v>772</v>
      </c>
      <c r="B1004" s="1" t="s">
        <v>773</v>
      </c>
      <c r="C1004" s="1" t="s">
        <v>904</v>
      </c>
      <c r="D1004" s="1" t="s">
        <v>360</v>
      </c>
      <c r="E1004" s="1" t="str">
        <f t="shared" si="15"/>
        <v>W03</v>
      </c>
      <c r="F1004" s="5">
        <v>13.42</v>
      </c>
      <c r="G1004" s="5">
        <v>10.66</v>
      </c>
      <c r="H1004" s="5">
        <v>10.66</v>
      </c>
      <c r="I1004" s="5"/>
      <c r="J1004" s="1" t="s">
        <v>775</v>
      </c>
      <c r="K1004" s="1" t="s">
        <v>1509</v>
      </c>
      <c r="L1004" s="1" t="s">
        <v>79</v>
      </c>
      <c r="M1004" s="1" t="s">
        <v>79</v>
      </c>
      <c r="N1004" s="1" t="s">
        <v>79</v>
      </c>
      <c r="O1004" s="6">
        <v>44363</v>
      </c>
      <c r="P1004" s="6">
        <v>44363</v>
      </c>
      <c r="Q1004" s="6"/>
      <c r="R1004" s="1" t="s">
        <v>784</v>
      </c>
      <c r="S1004" s="1" t="s">
        <v>79</v>
      </c>
      <c r="T1004" s="5">
        <v>180</v>
      </c>
      <c r="U1004" s="4">
        <v>14</v>
      </c>
      <c r="V1004" s="5">
        <v>432</v>
      </c>
      <c r="W1004" s="6"/>
      <c r="X1004" s="6"/>
      <c r="Y1004" s="6"/>
      <c r="Z1004" s="6"/>
      <c r="AA1004" s="6"/>
      <c r="AB1004" s="6"/>
      <c r="AC1004" s="6"/>
      <c r="AD1004" s="6">
        <v>44427</v>
      </c>
    </row>
    <row r="1005" spans="1:30">
      <c r="A1005" s="1" t="s">
        <v>772</v>
      </c>
      <c r="B1005" s="1" t="s">
        <v>773</v>
      </c>
      <c r="C1005" s="1" t="s">
        <v>989</v>
      </c>
      <c r="D1005" s="1" t="s">
        <v>1513</v>
      </c>
      <c r="E1005" s="1" t="str">
        <f t="shared" si="15"/>
        <v>W05</v>
      </c>
      <c r="F1005" s="5">
        <v>0</v>
      </c>
      <c r="G1005" s="5">
        <v>0</v>
      </c>
      <c r="H1005" s="5">
        <v>0</v>
      </c>
      <c r="I1005" s="5"/>
      <c r="J1005" s="1" t="s">
        <v>775</v>
      </c>
      <c r="K1005" s="1" t="s">
        <v>1509</v>
      </c>
      <c r="L1005" s="1" t="s">
        <v>79</v>
      </c>
      <c r="M1005" s="1" t="s">
        <v>79</v>
      </c>
      <c r="N1005" s="1" t="s">
        <v>79</v>
      </c>
      <c r="O1005" s="6">
        <v>44363</v>
      </c>
      <c r="P1005" s="6">
        <v>44363</v>
      </c>
      <c r="Q1005" s="6"/>
      <c r="R1005" s="1" t="s">
        <v>784</v>
      </c>
      <c r="S1005" s="1" t="s">
        <v>79</v>
      </c>
      <c r="T1005" s="5">
        <v>180</v>
      </c>
      <c r="U1005" s="4">
        <v>14</v>
      </c>
      <c r="V1005" s="5">
        <v>432</v>
      </c>
      <c r="W1005" s="6"/>
      <c r="X1005" s="6"/>
      <c r="Y1005" s="6"/>
      <c r="Z1005" s="6"/>
      <c r="AA1005" s="6"/>
      <c r="AB1005" s="6"/>
      <c r="AC1005" s="6"/>
      <c r="AD1005" s="6">
        <v>44441</v>
      </c>
    </row>
    <row r="1006" spans="1:30">
      <c r="A1006" s="1" t="s">
        <v>772</v>
      </c>
      <c r="B1006" s="1" t="s">
        <v>773</v>
      </c>
      <c r="C1006" s="1" t="s">
        <v>989</v>
      </c>
      <c r="D1006" s="1" t="s">
        <v>1514</v>
      </c>
      <c r="E1006" s="1" t="str">
        <f t="shared" si="15"/>
        <v>W05</v>
      </c>
      <c r="F1006" s="5">
        <v>0</v>
      </c>
      <c r="G1006" s="5">
        <v>0</v>
      </c>
      <c r="H1006" s="5">
        <v>0</v>
      </c>
      <c r="I1006" s="5"/>
      <c r="J1006" s="1" t="s">
        <v>775</v>
      </c>
      <c r="K1006" s="1" t="s">
        <v>1509</v>
      </c>
      <c r="L1006" s="1" t="s">
        <v>79</v>
      </c>
      <c r="M1006" s="1" t="s">
        <v>79</v>
      </c>
      <c r="N1006" s="1" t="s">
        <v>79</v>
      </c>
      <c r="O1006" s="6">
        <v>44370</v>
      </c>
      <c r="P1006" s="6">
        <v>44370</v>
      </c>
      <c r="Q1006" s="6"/>
      <c r="R1006" s="1" t="s">
        <v>784</v>
      </c>
      <c r="S1006" s="1" t="s">
        <v>79</v>
      </c>
      <c r="T1006" s="5">
        <v>180</v>
      </c>
      <c r="U1006" s="4">
        <v>13</v>
      </c>
      <c r="V1006" s="5">
        <v>425</v>
      </c>
      <c r="W1006" s="6"/>
      <c r="X1006" s="6"/>
      <c r="Y1006" s="6"/>
      <c r="Z1006" s="6"/>
      <c r="AA1006" s="6"/>
      <c r="AB1006" s="6"/>
      <c r="AC1006" s="6"/>
      <c r="AD1006" s="6">
        <v>44426</v>
      </c>
    </row>
    <row r="1007" spans="1:30">
      <c r="A1007" s="1" t="s">
        <v>772</v>
      </c>
      <c r="B1007" s="1" t="s">
        <v>773</v>
      </c>
      <c r="C1007" s="1" t="s">
        <v>989</v>
      </c>
      <c r="D1007" s="1" t="s">
        <v>1515</v>
      </c>
      <c r="E1007" s="1" t="str">
        <f t="shared" si="15"/>
        <v>W05</v>
      </c>
      <c r="F1007" s="5">
        <v>0</v>
      </c>
      <c r="G1007" s="5">
        <v>0</v>
      </c>
      <c r="H1007" s="5">
        <v>0</v>
      </c>
      <c r="I1007" s="5"/>
      <c r="J1007" s="1" t="s">
        <v>775</v>
      </c>
      <c r="K1007" s="1" t="s">
        <v>1509</v>
      </c>
      <c r="L1007" s="1" t="s">
        <v>79</v>
      </c>
      <c r="M1007" s="1" t="s">
        <v>79</v>
      </c>
      <c r="N1007" s="1" t="s">
        <v>79</v>
      </c>
      <c r="O1007" s="6">
        <v>44377</v>
      </c>
      <c r="P1007" s="6">
        <v>44377</v>
      </c>
      <c r="Q1007" s="6"/>
      <c r="R1007" s="1" t="s">
        <v>784</v>
      </c>
      <c r="S1007" s="1" t="s">
        <v>79</v>
      </c>
      <c r="T1007" s="5">
        <v>180</v>
      </c>
      <c r="U1007" s="4">
        <v>13</v>
      </c>
      <c r="V1007" s="5">
        <v>418</v>
      </c>
      <c r="W1007" s="6"/>
      <c r="X1007" s="6"/>
      <c r="Y1007" s="6"/>
      <c r="Z1007" s="6"/>
      <c r="AA1007" s="6"/>
      <c r="AB1007" s="6"/>
      <c r="AC1007" s="6"/>
      <c r="AD1007" s="6">
        <v>44448</v>
      </c>
    </row>
    <row r="1008" spans="1:30">
      <c r="A1008" s="1" t="s">
        <v>772</v>
      </c>
      <c r="B1008" s="1" t="s">
        <v>773</v>
      </c>
      <c r="C1008" s="1" t="s">
        <v>989</v>
      </c>
      <c r="D1008" s="1" t="s">
        <v>1516</v>
      </c>
      <c r="E1008" s="1" t="str">
        <f t="shared" si="15"/>
        <v>W05</v>
      </c>
      <c r="F1008" s="5">
        <v>0</v>
      </c>
      <c r="G1008" s="5">
        <v>0</v>
      </c>
      <c r="H1008" s="5">
        <v>0</v>
      </c>
      <c r="I1008" s="5"/>
      <c r="J1008" s="1" t="s">
        <v>775</v>
      </c>
      <c r="K1008" s="1" t="s">
        <v>1509</v>
      </c>
      <c r="L1008" s="1" t="s">
        <v>79</v>
      </c>
      <c r="M1008" s="1" t="s">
        <v>79</v>
      </c>
      <c r="N1008" s="1" t="s">
        <v>79</v>
      </c>
      <c r="O1008" s="6">
        <v>44377</v>
      </c>
      <c r="P1008" s="6">
        <v>44377</v>
      </c>
      <c r="Q1008" s="6"/>
      <c r="R1008" s="1" t="s">
        <v>784</v>
      </c>
      <c r="S1008" s="1" t="s">
        <v>79</v>
      </c>
      <c r="T1008" s="5">
        <v>180</v>
      </c>
      <c r="U1008" s="4">
        <v>13</v>
      </c>
      <c r="V1008" s="5">
        <v>418</v>
      </c>
      <c r="W1008" s="6"/>
      <c r="X1008" s="6"/>
      <c r="Y1008" s="6"/>
      <c r="Z1008" s="6"/>
      <c r="AA1008" s="6"/>
      <c r="AB1008" s="6"/>
      <c r="AC1008" s="6"/>
      <c r="AD1008" s="6">
        <v>44449</v>
      </c>
    </row>
    <row r="1009" spans="1:30">
      <c r="A1009" s="1" t="s">
        <v>772</v>
      </c>
      <c r="B1009" s="1" t="s">
        <v>773</v>
      </c>
      <c r="C1009" s="1" t="s">
        <v>774</v>
      </c>
      <c r="D1009" s="1" t="s">
        <v>1517</v>
      </c>
      <c r="E1009" s="1" t="str">
        <f t="shared" si="15"/>
        <v>W01</v>
      </c>
      <c r="F1009" s="5">
        <v>0</v>
      </c>
      <c r="G1009" s="5">
        <v>0</v>
      </c>
      <c r="H1009" s="5">
        <v>0</v>
      </c>
      <c r="I1009" s="5"/>
      <c r="J1009" s="1" t="s">
        <v>775</v>
      </c>
      <c r="K1009" s="1" t="s">
        <v>1509</v>
      </c>
      <c r="L1009" s="1" t="s">
        <v>79</v>
      </c>
      <c r="M1009" s="1" t="s">
        <v>79</v>
      </c>
      <c r="N1009" s="1" t="s">
        <v>79</v>
      </c>
      <c r="O1009" s="6">
        <v>44377</v>
      </c>
      <c r="P1009" s="6">
        <v>44377</v>
      </c>
      <c r="Q1009" s="6"/>
      <c r="R1009" s="1" t="s">
        <v>784</v>
      </c>
      <c r="S1009" s="1" t="s">
        <v>79</v>
      </c>
      <c r="T1009" s="5">
        <v>180</v>
      </c>
      <c r="U1009" s="4">
        <v>13</v>
      </c>
      <c r="V1009" s="5">
        <v>418</v>
      </c>
      <c r="W1009" s="6"/>
      <c r="X1009" s="6"/>
      <c r="Y1009" s="6"/>
      <c r="Z1009" s="6"/>
      <c r="AA1009" s="6"/>
      <c r="AB1009" s="6"/>
      <c r="AC1009" s="6"/>
      <c r="AD1009" s="6">
        <v>44453</v>
      </c>
    </row>
    <row r="1010" spans="1:30">
      <c r="A1010" s="1" t="s">
        <v>772</v>
      </c>
      <c r="B1010" s="1" t="s">
        <v>773</v>
      </c>
      <c r="C1010" s="1" t="s">
        <v>774</v>
      </c>
      <c r="D1010" s="1" t="s">
        <v>1518</v>
      </c>
      <c r="E1010" s="1" t="str">
        <f t="shared" si="15"/>
        <v>W01</v>
      </c>
      <c r="F1010" s="5">
        <v>0</v>
      </c>
      <c r="G1010" s="5">
        <v>0</v>
      </c>
      <c r="H1010" s="5">
        <v>0</v>
      </c>
      <c r="I1010" s="5"/>
      <c r="J1010" s="1" t="s">
        <v>775</v>
      </c>
      <c r="K1010" s="1" t="s">
        <v>1519</v>
      </c>
      <c r="L1010" s="1" t="s">
        <v>79</v>
      </c>
      <c r="M1010" s="1" t="s">
        <v>79</v>
      </c>
      <c r="N1010" s="1" t="s">
        <v>79</v>
      </c>
      <c r="O1010" s="6">
        <v>44391</v>
      </c>
      <c r="P1010" s="6">
        <v>44390</v>
      </c>
      <c r="Q1010" s="6"/>
      <c r="R1010" s="1" t="s">
        <v>784</v>
      </c>
      <c r="S1010" s="1" t="s">
        <v>79</v>
      </c>
      <c r="T1010" s="5">
        <v>180</v>
      </c>
      <c r="U1010" s="4">
        <v>13</v>
      </c>
      <c r="V1010" s="5">
        <v>405</v>
      </c>
      <c r="W1010" s="6"/>
      <c r="X1010" s="6"/>
      <c r="Y1010" s="6"/>
      <c r="Z1010" s="6"/>
      <c r="AA1010" s="6"/>
      <c r="AB1010" s="6"/>
      <c r="AC1010" s="6"/>
      <c r="AD1010" s="6">
        <v>44456</v>
      </c>
    </row>
    <row r="1011" spans="1:30">
      <c r="A1011" s="1" t="s">
        <v>772</v>
      </c>
      <c r="B1011" s="1" t="s">
        <v>773</v>
      </c>
      <c r="C1011" s="1" t="s">
        <v>774</v>
      </c>
      <c r="D1011" s="1" t="s">
        <v>1520</v>
      </c>
      <c r="E1011" s="1" t="str">
        <f t="shared" si="15"/>
        <v>W01</v>
      </c>
      <c r="F1011" s="5">
        <v>0</v>
      </c>
      <c r="G1011" s="5">
        <v>0</v>
      </c>
      <c r="H1011" s="5">
        <v>0</v>
      </c>
      <c r="I1011" s="5"/>
      <c r="J1011" s="1" t="s">
        <v>775</v>
      </c>
      <c r="K1011" s="1" t="s">
        <v>1519</v>
      </c>
      <c r="L1011" s="1" t="s">
        <v>79</v>
      </c>
      <c r="M1011" s="1" t="s">
        <v>79</v>
      </c>
      <c r="N1011" s="1" t="s">
        <v>79</v>
      </c>
      <c r="O1011" s="6">
        <v>44393</v>
      </c>
      <c r="P1011" s="6">
        <v>44392</v>
      </c>
      <c r="Q1011" s="6"/>
      <c r="R1011" s="1" t="s">
        <v>784</v>
      </c>
      <c r="S1011" s="1" t="s">
        <v>79</v>
      </c>
      <c r="T1011" s="5">
        <v>180</v>
      </c>
      <c r="U1011" s="4">
        <v>13</v>
      </c>
      <c r="V1011" s="5">
        <v>403</v>
      </c>
      <c r="W1011" s="6"/>
      <c r="X1011" s="6"/>
      <c r="Y1011" s="6"/>
      <c r="Z1011" s="6"/>
      <c r="AA1011" s="6"/>
      <c r="AB1011" s="6"/>
      <c r="AC1011" s="6"/>
      <c r="AD1011" s="6">
        <v>44441</v>
      </c>
    </row>
    <row r="1012" spans="1:30">
      <c r="A1012" s="1" t="s">
        <v>772</v>
      </c>
      <c r="B1012" s="1" t="s">
        <v>773</v>
      </c>
      <c r="C1012" s="1" t="s">
        <v>774</v>
      </c>
      <c r="D1012" s="1" t="s">
        <v>1521</v>
      </c>
      <c r="E1012" s="1" t="str">
        <f t="shared" si="15"/>
        <v>W01</v>
      </c>
      <c r="F1012" s="5">
        <v>0</v>
      </c>
      <c r="G1012" s="5">
        <v>0</v>
      </c>
      <c r="H1012" s="5">
        <v>0</v>
      </c>
      <c r="I1012" s="5"/>
      <c r="J1012" s="1" t="s">
        <v>775</v>
      </c>
      <c r="K1012" s="1" t="s">
        <v>1519</v>
      </c>
      <c r="L1012" s="1" t="s">
        <v>79</v>
      </c>
      <c r="M1012" s="1" t="s">
        <v>79</v>
      </c>
      <c r="N1012" s="1" t="s">
        <v>79</v>
      </c>
      <c r="O1012" s="6">
        <v>44393</v>
      </c>
      <c r="P1012" s="6">
        <v>44392</v>
      </c>
      <c r="Q1012" s="6"/>
      <c r="R1012" s="1" t="s">
        <v>784</v>
      </c>
      <c r="S1012" s="1" t="s">
        <v>79</v>
      </c>
      <c r="T1012" s="5">
        <v>180</v>
      </c>
      <c r="U1012" s="4">
        <v>13</v>
      </c>
      <c r="V1012" s="5">
        <v>403</v>
      </c>
      <c r="W1012" s="6"/>
      <c r="X1012" s="6"/>
      <c r="Y1012" s="6"/>
      <c r="Z1012" s="6"/>
      <c r="AA1012" s="6"/>
      <c r="AB1012" s="6"/>
      <c r="AC1012" s="6"/>
      <c r="AD1012" s="6">
        <v>44442</v>
      </c>
    </row>
    <row r="1013" spans="1:30">
      <c r="A1013" s="1" t="s">
        <v>772</v>
      </c>
      <c r="B1013" s="1" t="s">
        <v>773</v>
      </c>
      <c r="C1013" s="1" t="s">
        <v>904</v>
      </c>
      <c r="D1013" s="1" t="s">
        <v>1522</v>
      </c>
      <c r="E1013" s="1" t="str">
        <f t="shared" si="15"/>
        <v>W03</v>
      </c>
      <c r="F1013" s="5">
        <v>0</v>
      </c>
      <c r="G1013" s="5">
        <v>0</v>
      </c>
      <c r="H1013" s="5">
        <v>0</v>
      </c>
      <c r="I1013" s="5"/>
      <c r="J1013" s="1" t="s">
        <v>775</v>
      </c>
      <c r="K1013" s="1" t="s">
        <v>1519</v>
      </c>
      <c r="L1013" s="1" t="s">
        <v>79</v>
      </c>
      <c r="M1013" s="1" t="s">
        <v>79</v>
      </c>
      <c r="N1013" s="1" t="s">
        <v>79</v>
      </c>
      <c r="O1013" s="6">
        <v>44403</v>
      </c>
      <c r="P1013" s="6">
        <v>44403</v>
      </c>
      <c r="Q1013" s="6"/>
      <c r="R1013" s="1" t="s">
        <v>784</v>
      </c>
      <c r="S1013" s="1" t="s">
        <v>79</v>
      </c>
      <c r="T1013" s="5">
        <v>180</v>
      </c>
      <c r="U1013" s="4">
        <v>12</v>
      </c>
      <c r="V1013" s="5">
        <v>392</v>
      </c>
      <c r="W1013" s="6"/>
      <c r="X1013" s="6"/>
      <c r="Y1013" s="6"/>
      <c r="Z1013" s="6"/>
      <c r="AA1013" s="6"/>
      <c r="AB1013" s="6"/>
      <c r="AC1013" s="6"/>
      <c r="AD1013" s="6">
        <v>44463</v>
      </c>
    </row>
    <row r="1014" spans="1:30">
      <c r="A1014" s="1" t="s">
        <v>772</v>
      </c>
      <c r="B1014" s="1" t="s">
        <v>773</v>
      </c>
      <c r="C1014" s="1" t="s">
        <v>774</v>
      </c>
      <c r="D1014" s="1" t="s">
        <v>1523</v>
      </c>
      <c r="E1014" s="1" t="str">
        <f t="shared" si="15"/>
        <v>W01</v>
      </c>
      <c r="F1014" s="5">
        <v>0</v>
      </c>
      <c r="G1014" s="5">
        <v>0</v>
      </c>
      <c r="H1014" s="5">
        <v>0</v>
      </c>
      <c r="I1014" s="5"/>
      <c r="J1014" s="1" t="s">
        <v>775</v>
      </c>
      <c r="K1014" s="1" t="s">
        <v>1519</v>
      </c>
      <c r="L1014" s="1" t="s">
        <v>79</v>
      </c>
      <c r="M1014" s="1" t="s">
        <v>79</v>
      </c>
      <c r="N1014" s="1" t="s">
        <v>79</v>
      </c>
      <c r="O1014" s="6">
        <v>44403</v>
      </c>
      <c r="P1014" s="6">
        <v>44403</v>
      </c>
      <c r="Q1014" s="6"/>
      <c r="R1014" s="1" t="s">
        <v>784</v>
      </c>
      <c r="S1014" s="1" t="s">
        <v>79</v>
      </c>
      <c r="T1014" s="5">
        <v>180</v>
      </c>
      <c r="U1014" s="4">
        <v>12</v>
      </c>
      <c r="V1014" s="5">
        <v>392</v>
      </c>
      <c r="W1014" s="6"/>
      <c r="X1014" s="6"/>
      <c r="Y1014" s="6"/>
      <c r="Z1014" s="6"/>
      <c r="AA1014" s="6"/>
      <c r="AB1014" s="6"/>
      <c r="AC1014" s="6"/>
      <c r="AD1014" s="6">
        <v>44462</v>
      </c>
    </row>
    <row r="1015" spans="1:30">
      <c r="A1015" s="1" t="s">
        <v>772</v>
      </c>
      <c r="B1015" s="1" t="s">
        <v>773</v>
      </c>
      <c r="C1015" s="1" t="s">
        <v>904</v>
      </c>
      <c r="D1015" s="1" t="s">
        <v>1524</v>
      </c>
      <c r="E1015" s="1" t="str">
        <f t="shared" si="15"/>
        <v>W03</v>
      </c>
      <c r="F1015" s="5">
        <v>0</v>
      </c>
      <c r="G1015" s="5">
        <v>0</v>
      </c>
      <c r="H1015" s="5">
        <v>0</v>
      </c>
      <c r="I1015" s="5"/>
      <c r="J1015" s="1" t="s">
        <v>775</v>
      </c>
      <c r="K1015" s="1" t="s">
        <v>1519</v>
      </c>
      <c r="L1015" s="1" t="s">
        <v>79</v>
      </c>
      <c r="M1015" s="1" t="s">
        <v>79</v>
      </c>
      <c r="N1015" s="1" t="s">
        <v>79</v>
      </c>
      <c r="O1015" s="6">
        <v>44407</v>
      </c>
      <c r="P1015" s="6">
        <v>44406</v>
      </c>
      <c r="Q1015" s="6"/>
      <c r="R1015" s="1" t="s">
        <v>784</v>
      </c>
      <c r="S1015" s="1" t="s">
        <v>79</v>
      </c>
      <c r="T1015" s="5">
        <v>180</v>
      </c>
      <c r="U1015" s="4">
        <v>12</v>
      </c>
      <c r="V1015" s="5">
        <v>389</v>
      </c>
      <c r="W1015" s="6"/>
      <c r="X1015" s="6"/>
      <c r="Y1015" s="6"/>
      <c r="Z1015" s="6"/>
      <c r="AA1015" s="6"/>
      <c r="AB1015" s="6"/>
      <c r="AC1015" s="6"/>
      <c r="AD1015" s="6">
        <v>44467</v>
      </c>
    </row>
    <row r="1016" spans="1:30">
      <c r="A1016" s="1" t="s">
        <v>772</v>
      </c>
      <c r="B1016" s="1" t="s">
        <v>773</v>
      </c>
      <c r="C1016" s="1" t="s">
        <v>904</v>
      </c>
      <c r="D1016" s="1" t="s">
        <v>1525</v>
      </c>
      <c r="E1016" s="1" t="str">
        <f t="shared" si="15"/>
        <v>W03</v>
      </c>
      <c r="F1016" s="5">
        <v>0</v>
      </c>
      <c r="G1016" s="5">
        <v>0</v>
      </c>
      <c r="H1016" s="5">
        <v>0</v>
      </c>
      <c r="I1016" s="5"/>
      <c r="J1016" s="1" t="s">
        <v>775</v>
      </c>
      <c r="K1016" s="1" t="s">
        <v>1519</v>
      </c>
      <c r="L1016" s="1" t="s">
        <v>79</v>
      </c>
      <c r="M1016" s="1" t="s">
        <v>79</v>
      </c>
      <c r="N1016" s="1" t="s">
        <v>79</v>
      </c>
      <c r="O1016" s="6">
        <v>44407</v>
      </c>
      <c r="P1016" s="6">
        <v>44406</v>
      </c>
      <c r="Q1016" s="6"/>
      <c r="R1016" s="1" t="s">
        <v>784</v>
      </c>
      <c r="S1016" s="1" t="s">
        <v>79</v>
      </c>
      <c r="T1016" s="5">
        <v>180</v>
      </c>
      <c r="U1016" s="4">
        <v>12</v>
      </c>
      <c r="V1016" s="5">
        <v>389</v>
      </c>
      <c r="W1016" s="6"/>
      <c r="X1016" s="6"/>
      <c r="Y1016" s="6"/>
      <c r="Z1016" s="6"/>
      <c r="AA1016" s="6"/>
      <c r="AB1016" s="6"/>
      <c r="AC1016" s="6"/>
      <c r="AD1016" s="6">
        <v>44467</v>
      </c>
    </row>
    <row r="1017" spans="1:30">
      <c r="A1017" s="1" t="s">
        <v>772</v>
      </c>
      <c r="B1017" s="1" t="s">
        <v>773</v>
      </c>
      <c r="C1017" s="1" t="s">
        <v>858</v>
      </c>
      <c r="D1017" s="1" t="s">
        <v>1526</v>
      </c>
      <c r="E1017" s="1" t="str">
        <f t="shared" si="15"/>
        <v>W04</v>
      </c>
      <c r="F1017" s="5">
        <v>0</v>
      </c>
      <c r="G1017" s="5">
        <v>0</v>
      </c>
      <c r="H1017" s="5">
        <v>0</v>
      </c>
      <c r="I1017" s="5"/>
      <c r="J1017" s="1" t="s">
        <v>775</v>
      </c>
      <c r="K1017" s="1" t="s">
        <v>1519</v>
      </c>
      <c r="L1017" s="1" t="s">
        <v>79</v>
      </c>
      <c r="M1017" s="1" t="s">
        <v>79</v>
      </c>
      <c r="N1017" s="1" t="s">
        <v>79</v>
      </c>
      <c r="O1017" s="6">
        <v>44407</v>
      </c>
      <c r="P1017" s="6">
        <v>44406</v>
      </c>
      <c r="Q1017" s="6"/>
      <c r="R1017" s="1" t="s">
        <v>784</v>
      </c>
      <c r="S1017" s="1" t="s">
        <v>79</v>
      </c>
      <c r="T1017" s="5">
        <v>180</v>
      </c>
      <c r="U1017" s="4">
        <v>12</v>
      </c>
      <c r="V1017" s="5">
        <v>389</v>
      </c>
      <c r="W1017" s="6"/>
      <c r="X1017" s="6"/>
      <c r="Y1017" s="6"/>
      <c r="Z1017" s="6"/>
      <c r="AA1017" s="6"/>
      <c r="AB1017" s="6"/>
      <c r="AC1017" s="6"/>
      <c r="AD1017" s="6">
        <v>44478</v>
      </c>
    </row>
    <row r="1018" spans="1:30">
      <c r="A1018" s="1" t="s">
        <v>772</v>
      </c>
      <c r="B1018" s="1" t="s">
        <v>773</v>
      </c>
      <c r="C1018" s="1" t="s">
        <v>858</v>
      </c>
      <c r="D1018" s="1" t="s">
        <v>1527</v>
      </c>
      <c r="E1018" s="1" t="str">
        <f t="shared" si="15"/>
        <v>W04</v>
      </c>
      <c r="F1018" s="5">
        <v>0</v>
      </c>
      <c r="G1018" s="5">
        <v>0</v>
      </c>
      <c r="H1018" s="5">
        <v>0</v>
      </c>
      <c r="I1018" s="5"/>
      <c r="J1018" s="1" t="s">
        <v>775</v>
      </c>
      <c r="K1018" s="1" t="s">
        <v>1528</v>
      </c>
      <c r="L1018" s="1" t="s">
        <v>79</v>
      </c>
      <c r="M1018" s="1" t="s">
        <v>79</v>
      </c>
      <c r="N1018" s="1" t="s">
        <v>79</v>
      </c>
      <c r="O1018" s="6">
        <v>44420</v>
      </c>
      <c r="P1018" s="6">
        <v>44418</v>
      </c>
      <c r="Q1018" s="6"/>
      <c r="R1018" s="1" t="s">
        <v>784</v>
      </c>
      <c r="S1018" s="1" t="s">
        <v>79</v>
      </c>
      <c r="T1018" s="5">
        <v>180</v>
      </c>
      <c r="U1018" s="4">
        <v>12</v>
      </c>
      <c r="V1018" s="5">
        <v>377</v>
      </c>
      <c r="W1018" s="6"/>
      <c r="X1018" s="6"/>
      <c r="Y1018" s="6"/>
      <c r="Z1018" s="6"/>
      <c r="AA1018" s="6"/>
      <c r="AB1018" s="6"/>
      <c r="AC1018" s="6"/>
      <c r="AD1018" s="6">
        <v>44453</v>
      </c>
    </row>
    <row r="1019" spans="1:30">
      <c r="A1019" s="1" t="s">
        <v>772</v>
      </c>
      <c r="B1019" s="1" t="s">
        <v>773</v>
      </c>
      <c r="C1019" s="1" t="s">
        <v>904</v>
      </c>
      <c r="D1019" s="1" t="s">
        <v>1529</v>
      </c>
      <c r="E1019" s="1" t="str">
        <f t="shared" si="15"/>
        <v>W03</v>
      </c>
      <c r="F1019" s="5">
        <v>0</v>
      </c>
      <c r="G1019" s="5">
        <v>0</v>
      </c>
      <c r="H1019" s="5">
        <v>0</v>
      </c>
      <c r="I1019" s="5"/>
      <c r="J1019" s="1" t="s">
        <v>775</v>
      </c>
      <c r="K1019" s="1" t="s">
        <v>1528</v>
      </c>
      <c r="L1019" s="1" t="s">
        <v>79</v>
      </c>
      <c r="M1019" s="1" t="s">
        <v>79</v>
      </c>
      <c r="N1019" s="1" t="s">
        <v>79</v>
      </c>
      <c r="O1019" s="6">
        <v>44420</v>
      </c>
      <c r="P1019" s="6">
        <v>44418</v>
      </c>
      <c r="Q1019" s="6"/>
      <c r="R1019" s="1" t="s">
        <v>784</v>
      </c>
      <c r="S1019" s="1" t="s">
        <v>79</v>
      </c>
      <c r="T1019" s="5">
        <v>180</v>
      </c>
      <c r="U1019" s="4">
        <v>12</v>
      </c>
      <c r="V1019" s="5">
        <v>377</v>
      </c>
      <c r="W1019" s="6"/>
      <c r="X1019" s="6"/>
      <c r="Y1019" s="6"/>
      <c r="Z1019" s="6"/>
      <c r="AA1019" s="6"/>
      <c r="AB1019" s="6"/>
      <c r="AC1019" s="6"/>
      <c r="AD1019" s="6">
        <v>44476</v>
      </c>
    </row>
    <row r="1020" spans="1:30">
      <c r="A1020" s="1" t="s">
        <v>772</v>
      </c>
      <c r="B1020" s="1" t="s">
        <v>773</v>
      </c>
      <c r="C1020" s="1" t="s">
        <v>989</v>
      </c>
      <c r="D1020" s="1" t="s">
        <v>1530</v>
      </c>
      <c r="E1020" s="1" t="str">
        <f t="shared" si="15"/>
        <v>W05</v>
      </c>
      <c r="F1020" s="5">
        <v>0</v>
      </c>
      <c r="G1020" s="5">
        <v>0</v>
      </c>
      <c r="H1020" s="5">
        <v>0</v>
      </c>
      <c r="I1020" s="5"/>
      <c r="J1020" s="1" t="s">
        <v>775</v>
      </c>
      <c r="K1020" s="1" t="s">
        <v>1528</v>
      </c>
      <c r="L1020" s="1" t="s">
        <v>79</v>
      </c>
      <c r="M1020" s="1" t="s">
        <v>79</v>
      </c>
      <c r="N1020" s="1" t="s">
        <v>79</v>
      </c>
      <c r="O1020" s="6">
        <v>44421</v>
      </c>
      <c r="P1020" s="6">
        <v>44421</v>
      </c>
      <c r="Q1020" s="6"/>
      <c r="R1020" s="1" t="s">
        <v>784</v>
      </c>
      <c r="S1020" s="1" t="s">
        <v>79</v>
      </c>
      <c r="T1020" s="5">
        <v>180</v>
      </c>
      <c r="U1020" s="4">
        <v>12</v>
      </c>
      <c r="V1020" s="5">
        <v>374</v>
      </c>
      <c r="W1020" s="6"/>
      <c r="X1020" s="6"/>
      <c r="Y1020" s="6"/>
      <c r="Z1020" s="6"/>
      <c r="AA1020" s="6"/>
      <c r="AB1020" s="6"/>
      <c r="AC1020" s="6"/>
      <c r="AD1020" s="6">
        <v>44483</v>
      </c>
    </row>
    <row r="1021" spans="1:30">
      <c r="A1021" s="1" t="s">
        <v>772</v>
      </c>
      <c r="B1021" s="1" t="s">
        <v>773</v>
      </c>
      <c r="C1021" s="1" t="s">
        <v>989</v>
      </c>
      <c r="D1021" s="1" t="s">
        <v>1531</v>
      </c>
      <c r="E1021" s="1" t="str">
        <f t="shared" si="15"/>
        <v>W05</v>
      </c>
      <c r="F1021" s="5">
        <v>0</v>
      </c>
      <c r="G1021" s="5">
        <v>0</v>
      </c>
      <c r="H1021" s="5">
        <v>0</v>
      </c>
      <c r="I1021" s="5"/>
      <c r="J1021" s="1" t="s">
        <v>775</v>
      </c>
      <c r="K1021" s="1" t="s">
        <v>1528</v>
      </c>
      <c r="L1021" s="1" t="s">
        <v>79</v>
      </c>
      <c r="M1021" s="1" t="s">
        <v>79</v>
      </c>
      <c r="N1021" s="1" t="s">
        <v>79</v>
      </c>
      <c r="O1021" s="6">
        <v>44421</v>
      </c>
      <c r="P1021" s="6">
        <v>44421</v>
      </c>
      <c r="Q1021" s="6"/>
      <c r="R1021" s="1" t="s">
        <v>784</v>
      </c>
      <c r="S1021" s="1" t="s">
        <v>79</v>
      </c>
      <c r="T1021" s="5">
        <v>180</v>
      </c>
      <c r="U1021" s="4">
        <v>12</v>
      </c>
      <c r="V1021" s="5">
        <v>374</v>
      </c>
      <c r="W1021" s="6"/>
      <c r="X1021" s="6"/>
      <c r="Y1021" s="6"/>
      <c r="Z1021" s="6"/>
      <c r="AA1021" s="6"/>
      <c r="AB1021" s="6"/>
      <c r="AC1021" s="6"/>
      <c r="AD1021" s="6">
        <v>44484</v>
      </c>
    </row>
    <row r="1022" spans="1:30">
      <c r="A1022" s="1" t="s">
        <v>772</v>
      </c>
      <c r="B1022" s="1" t="s">
        <v>773</v>
      </c>
      <c r="C1022" s="1" t="s">
        <v>989</v>
      </c>
      <c r="D1022" s="1" t="s">
        <v>1532</v>
      </c>
      <c r="E1022" s="1" t="str">
        <f t="shared" si="15"/>
        <v>W05</v>
      </c>
      <c r="F1022" s="5">
        <v>0</v>
      </c>
      <c r="G1022" s="5">
        <v>0</v>
      </c>
      <c r="H1022" s="5">
        <v>0</v>
      </c>
      <c r="I1022" s="5"/>
      <c r="J1022" s="1" t="s">
        <v>775</v>
      </c>
      <c r="K1022" s="1" t="s">
        <v>1528</v>
      </c>
      <c r="L1022" s="1" t="s">
        <v>79</v>
      </c>
      <c r="M1022" s="1" t="s">
        <v>79</v>
      </c>
      <c r="N1022" s="1" t="s">
        <v>79</v>
      </c>
      <c r="O1022" s="6">
        <v>44422</v>
      </c>
      <c r="P1022" s="6">
        <v>44421</v>
      </c>
      <c r="Q1022" s="6"/>
      <c r="R1022" s="1" t="s">
        <v>784</v>
      </c>
      <c r="S1022" s="1" t="s">
        <v>79</v>
      </c>
      <c r="T1022" s="5">
        <v>180</v>
      </c>
      <c r="U1022" s="4">
        <v>12</v>
      </c>
      <c r="V1022" s="5">
        <v>374</v>
      </c>
      <c r="W1022" s="6"/>
      <c r="X1022" s="6"/>
      <c r="Y1022" s="6"/>
      <c r="Z1022" s="6"/>
      <c r="AA1022" s="6"/>
      <c r="AB1022" s="6"/>
      <c r="AC1022" s="6"/>
      <c r="AD1022" s="6">
        <v>44487</v>
      </c>
    </row>
    <row r="1023" spans="1:30">
      <c r="A1023" s="1" t="s">
        <v>772</v>
      </c>
      <c r="B1023" s="1" t="s">
        <v>773</v>
      </c>
      <c r="C1023" s="1" t="s">
        <v>989</v>
      </c>
      <c r="D1023" s="1" t="s">
        <v>1533</v>
      </c>
      <c r="E1023" s="1" t="str">
        <f t="shared" si="15"/>
        <v>W05</v>
      </c>
      <c r="F1023" s="5">
        <v>0</v>
      </c>
      <c r="G1023" s="5">
        <v>0</v>
      </c>
      <c r="H1023" s="5">
        <v>0</v>
      </c>
      <c r="I1023" s="5"/>
      <c r="J1023" s="1" t="s">
        <v>775</v>
      </c>
      <c r="K1023" s="1" t="s">
        <v>1528</v>
      </c>
      <c r="L1023" s="1" t="s">
        <v>79</v>
      </c>
      <c r="M1023" s="1" t="s">
        <v>79</v>
      </c>
      <c r="N1023" s="1" t="s">
        <v>79</v>
      </c>
      <c r="O1023" s="6">
        <v>44422</v>
      </c>
      <c r="P1023" s="6">
        <v>44421</v>
      </c>
      <c r="Q1023" s="6"/>
      <c r="R1023" s="1" t="s">
        <v>784</v>
      </c>
      <c r="S1023" s="1" t="s">
        <v>79</v>
      </c>
      <c r="T1023" s="5">
        <v>180</v>
      </c>
      <c r="U1023" s="4">
        <v>12</v>
      </c>
      <c r="V1023" s="5">
        <v>374</v>
      </c>
      <c r="W1023" s="6"/>
      <c r="X1023" s="6"/>
      <c r="Y1023" s="6"/>
      <c r="Z1023" s="6"/>
      <c r="AA1023" s="6"/>
      <c r="AB1023" s="6"/>
      <c r="AC1023" s="6"/>
      <c r="AD1023" s="6">
        <v>44490</v>
      </c>
    </row>
    <row r="1024" spans="1:30">
      <c r="A1024" s="1" t="s">
        <v>772</v>
      </c>
      <c r="B1024" s="1" t="s">
        <v>773</v>
      </c>
      <c r="C1024" s="1" t="s">
        <v>989</v>
      </c>
      <c r="D1024" s="1" t="s">
        <v>1534</v>
      </c>
      <c r="E1024" s="1" t="str">
        <f t="shared" si="15"/>
        <v>W05</v>
      </c>
      <c r="F1024" s="5">
        <v>0</v>
      </c>
      <c r="G1024" s="5">
        <v>0</v>
      </c>
      <c r="H1024" s="5">
        <v>0</v>
      </c>
      <c r="I1024" s="5"/>
      <c r="J1024" s="1" t="s">
        <v>775</v>
      </c>
      <c r="K1024" s="1" t="s">
        <v>1528</v>
      </c>
      <c r="L1024" s="1" t="s">
        <v>79</v>
      </c>
      <c r="M1024" s="1" t="s">
        <v>79</v>
      </c>
      <c r="N1024" s="1" t="s">
        <v>79</v>
      </c>
      <c r="O1024" s="6">
        <v>44429</v>
      </c>
      <c r="P1024" s="6">
        <v>44428</v>
      </c>
      <c r="Q1024" s="6"/>
      <c r="R1024" s="1" t="s">
        <v>784</v>
      </c>
      <c r="S1024" s="1" t="s">
        <v>79</v>
      </c>
      <c r="T1024" s="5">
        <v>180</v>
      </c>
      <c r="U1024" s="4">
        <v>12</v>
      </c>
      <c r="V1024" s="5">
        <v>367</v>
      </c>
      <c r="W1024" s="6"/>
      <c r="X1024" s="6"/>
      <c r="Y1024" s="6"/>
      <c r="Z1024" s="6"/>
      <c r="AA1024" s="6"/>
      <c r="AB1024" s="6"/>
      <c r="AC1024" s="6"/>
      <c r="AD1024" s="6">
        <v>44455</v>
      </c>
    </row>
    <row r="1025" spans="1:30">
      <c r="A1025" s="1" t="s">
        <v>772</v>
      </c>
      <c r="B1025" s="1" t="s">
        <v>773</v>
      </c>
      <c r="C1025" s="1" t="s">
        <v>989</v>
      </c>
      <c r="D1025" s="1" t="s">
        <v>1535</v>
      </c>
      <c r="E1025" s="1" t="str">
        <f t="shared" si="15"/>
        <v>W05</v>
      </c>
      <c r="F1025" s="5">
        <v>0</v>
      </c>
      <c r="G1025" s="5">
        <v>0</v>
      </c>
      <c r="H1025" s="5">
        <v>0</v>
      </c>
      <c r="I1025" s="5"/>
      <c r="J1025" s="1" t="s">
        <v>775</v>
      </c>
      <c r="K1025" s="1" t="s">
        <v>1528</v>
      </c>
      <c r="L1025" s="1" t="s">
        <v>79</v>
      </c>
      <c r="M1025" s="1" t="s">
        <v>79</v>
      </c>
      <c r="N1025" s="1" t="s">
        <v>79</v>
      </c>
      <c r="O1025" s="6">
        <v>44434</v>
      </c>
      <c r="P1025" s="6">
        <v>44432</v>
      </c>
      <c r="Q1025" s="6"/>
      <c r="R1025" s="1" t="s">
        <v>784</v>
      </c>
      <c r="S1025" s="1" t="s">
        <v>79</v>
      </c>
      <c r="T1025" s="5">
        <v>180</v>
      </c>
      <c r="U1025" s="4">
        <v>11</v>
      </c>
      <c r="V1025" s="5">
        <v>363</v>
      </c>
      <c r="W1025" s="6"/>
      <c r="X1025" s="6"/>
      <c r="Y1025" s="6"/>
      <c r="Z1025" s="6"/>
      <c r="AA1025" s="6"/>
      <c r="AB1025" s="6"/>
      <c r="AC1025" s="6"/>
      <c r="AD1025" s="6">
        <v>44492</v>
      </c>
    </row>
    <row r="1026" spans="1:30">
      <c r="A1026" s="1" t="s">
        <v>772</v>
      </c>
      <c r="B1026" s="1" t="s">
        <v>773</v>
      </c>
      <c r="C1026" s="1" t="s">
        <v>989</v>
      </c>
      <c r="D1026" s="1" t="s">
        <v>1536</v>
      </c>
      <c r="E1026" s="1" t="str">
        <f t="shared" si="15"/>
        <v>W05</v>
      </c>
      <c r="F1026" s="5">
        <v>0</v>
      </c>
      <c r="G1026" s="5">
        <v>0</v>
      </c>
      <c r="H1026" s="5">
        <v>0</v>
      </c>
      <c r="I1026" s="5"/>
      <c r="J1026" s="1" t="s">
        <v>775</v>
      </c>
      <c r="K1026" s="1" t="s">
        <v>1528</v>
      </c>
      <c r="L1026" s="1" t="s">
        <v>79</v>
      </c>
      <c r="M1026" s="1" t="s">
        <v>79</v>
      </c>
      <c r="N1026" s="1" t="s">
        <v>79</v>
      </c>
      <c r="O1026" s="6">
        <v>44434</v>
      </c>
      <c r="P1026" s="6">
        <v>44432</v>
      </c>
      <c r="Q1026" s="6"/>
      <c r="R1026" s="1" t="s">
        <v>784</v>
      </c>
      <c r="S1026" s="1" t="s">
        <v>79</v>
      </c>
      <c r="T1026" s="5">
        <v>180</v>
      </c>
      <c r="U1026" s="4">
        <v>11</v>
      </c>
      <c r="V1026" s="5">
        <v>363</v>
      </c>
      <c r="W1026" s="6"/>
      <c r="X1026" s="6"/>
      <c r="Y1026" s="6"/>
      <c r="Z1026" s="6"/>
      <c r="AA1026" s="6"/>
      <c r="AB1026" s="6"/>
      <c r="AC1026" s="6"/>
      <c r="AD1026" s="6">
        <v>44481</v>
      </c>
    </row>
    <row r="1027" spans="1:30">
      <c r="A1027" s="1" t="s">
        <v>772</v>
      </c>
      <c r="B1027" s="1" t="s">
        <v>773</v>
      </c>
      <c r="C1027" s="1" t="s">
        <v>1010</v>
      </c>
      <c r="D1027" s="1" t="s">
        <v>1537</v>
      </c>
      <c r="E1027" s="1" t="str">
        <f t="shared" si="15"/>
        <v>W07</v>
      </c>
      <c r="F1027" s="5">
        <v>0</v>
      </c>
      <c r="G1027" s="5">
        <v>0</v>
      </c>
      <c r="H1027" s="5">
        <v>0</v>
      </c>
      <c r="I1027" s="5"/>
      <c r="J1027" s="1" t="s">
        <v>775</v>
      </c>
      <c r="K1027" s="1" t="s">
        <v>1528</v>
      </c>
      <c r="L1027" s="1" t="s">
        <v>79</v>
      </c>
      <c r="M1027" s="1" t="s">
        <v>79</v>
      </c>
      <c r="N1027" s="1" t="s">
        <v>79</v>
      </c>
      <c r="O1027" s="6">
        <v>44434</v>
      </c>
      <c r="P1027" s="6">
        <v>44432</v>
      </c>
      <c r="Q1027" s="6"/>
      <c r="R1027" s="1" t="s">
        <v>784</v>
      </c>
      <c r="S1027" s="1" t="s">
        <v>79</v>
      </c>
      <c r="T1027" s="5">
        <v>180</v>
      </c>
      <c r="U1027" s="4">
        <v>11</v>
      </c>
      <c r="V1027" s="5">
        <v>363</v>
      </c>
      <c r="W1027" s="6"/>
      <c r="X1027" s="6"/>
      <c r="Y1027" s="6"/>
      <c r="Z1027" s="6"/>
      <c r="AA1027" s="6"/>
      <c r="AB1027" s="6"/>
      <c r="AC1027" s="6"/>
      <c r="AD1027" s="6">
        <v>44493</v>
      </c>
    </row>
    <row r="1028" spans="1:30">
      <c r="A1028" s="1" t="s">
        <v>772</v>
      </c>
      <c r="B1028" s="1" t="s">
        <v>773</v>
      </c>
      <c r="C1028" s="1" t="s">
        <v>1010</v>
      </c>
      <c r="D1028" s="1" t="s">
        <v>1538</v>
      </c>
      <c r="E1028" s="1" t="str">
        <f t="shared" si="15"/>
        <v>W07</v>
      </c>
      <c r="F1028" s="5">
        <v>0</v>
      </c>
      <c r="G1028" s="5">
        <v>0</v>
      </c>
      <c r="H1028" s="5">
        <v>0</v>
      </c>
      <c r="I1028" s="5"/>
      <c r="J1028" s="1" t="s">
        <v>775</v>
      </c>
      <c r="K1028" s="1" t="s">
        <v>1528</v>
      </c>
      <c r="L1028" s="1" t="s">
        <v>79</v>
      </c>
      <c r="M1028" s="1" t="s">
        <v>79</v>
      </c>
      <c r="N1028" s="1" t="s">
        <v>79</v>
      </c>
      <c r="O1028" s="6">
        <v>44434</v>
      </c>
      <c r="P1028" s="6">
        <v>44432</v>
      </c>
      <c r="Q1028" s="6"/>
      <c r="R1028" s="1" t="s">
        <v>784</v>
      </c>
      <c r="S1028" s="1" t="s">
        <v>79</v>
      </c>
      <c r="T1028" s="5">
        <v>180</v>
      </c>
      <c r="U1028" s="4">
        <v>11</v>
      </c>
      <c r="V1028" s="5">
        <v>363</v>
      </c>
      <c r="W1028" s="6"/>
      <c r="X1028" s="6"/>
      <c r="Y1028" s="6"/>
      <c r="Z1028" s="6"/>
      <c r="AA1028" s="6"/>
      <c r="AB1028" s="6"/>
      <c r="AC1028" s="6"/>
      <c r="AD1028" s="6">
        <v>44498</v>
      </c>
    </row>
    <row r="1029" spans="1:30">
      <c r="A1029" s="1" t="s">
        <v>772</v>
      </c>
      <c r="B1029" s="1" t="s">
        <v>773</v>
      </c>
      <c r="C1029" s="1" t="s">
        <v>1010</v>
      </c>
      <c r="D1029" s="1" t="s">
        <v>1539</v>
      </c>
      <c r="E1029" s="1" t="str">
        <f t="shared" ref="E1029:E1092" si="16">RIGHT(C1029,3)</f>
        <v>W07</v>
      </c>
      <c r="F1029" s="5">
        <v>0</v>
      </c>
      <c r="G1029" s="5">
        <v>0</v>
      </c>
      <c r="H1029" s="5">
        <v>0</v>
      </c>
      <c r="I1029" s="5"/>
      <c r="J1029" s="1" t="s">
        <v>775</v>
      </c>
      <c r="K1029" s="1" t="s">
        <v>1528</v>
      </c>
      <c r="L1029" s="1" t="s">
        <v>79</v>
      </c>
      <c r="M1029" s="1" t="s">
        <v>79</v>
      </c>
      <c r="N1029" s="1" t="s">
        <v>79</v>
      </c>
      <c r="O1029" s="6">
        <v>44434</v>
      </c>
      <c r="P1029" s="6">
        <v>44432</v>
      </c>
      <c r="Q1029" s="6"/>
      <c r="R1029" s="1" t="s">
        <v>784</v>
      </c>
      <c r="S1029" s="1" t="s">
        <v>79</v>
      </c>
      <c r="T1029" s="5">
        <v>180</v>
      </c>
      <c r="U1029" s="4">
        <v>11</v>
      </c>
      <c r="V1029" s="5">
        <v>363</v>
      </c>
      <c r="W1029" s="6"/>
      <c r="X1029" s="6"/>
      <c r="Y1029" s="6"/>
      <c r="Z1029" s="6"/>
      <c r="AA1029" s="6"/>
      <c r="AB1029" s="6"/>
      <c r="AC1029" s="6"/>
      <c r="AD1029" s="6">
        <v>44498</v>
      </c>
    </row>
    <row r="1030" spans="1:30">
      <c r="A1030" s="1" t="s">
        <v>772</v>
      </c>
      <c r="B1030" s="1" t="s">
        <v>773</v>
      </c>
      <c r="C1030" s="1" t="s">
        <v>1010</v>
      </c>
      <c r="D1030" s="1" t="s">
        <v>1540</v>
      </c>
      <c r="E1030" s="1" t="str">
        <f t="shared" si="16"/>
        <v>W07</v>
      </c>
      <c r="F1030" s="5">
        <v>0</v>
      </c>
      <c r="G1030" s="5">
        <v>0</v>
      </c>
      <c r="H1030" s="5">
        <v>0</v>
      </c>
      <c r="I1030" s="5"/>
      <c r="J1030" s="1" t="s">
        <v>775</v>
      </c>
      <c r="K1030" s="1" t="s">
        <v>1528</v>
      </c>
      <c r="L1030" s="1" t="s">
        <v>79</v>
      </c>
      <c r="M1030" s="1" t="s">
        <v>79</v>
      </c>
      <c r="N1030" s="1" t="s">
        <v>79</v>
      </c>
      <c r="O1030" s="6">
        <v>44434</v>
      </c>
      <c r="P1030" s="6">
        <v>44432</v>
      </c>
      <c r="Q1030" s="6"/>
      <c r="R1030" s="1" t="s">
        <v>784</v>
      </c>
      <c r="S1030" s="1" t="s">
        <v>79</v>
      </c>
      <c r="T1030" s="5">
        <v>180</v>
      </c>
      <c r="U1030" s="4">
        <v>11</v>
      </c>
      <c r="V1030" s="5">
        <v>363</v>
      </c>
      <c r="W1030" s="6"/>
      <c r="X1030" s="6"/>
      <c r="Y1030" s="6"/>
      <c r="Z1030" s="6"/>
      <c r="AA1030" s="6"/>
      <c r="AB1030" s="6"/>
      <c r="AC1030" s="6"/>
      <c r="AD1030" s="6">
        <v>44490</v>
      </c>
    </row>
    <row r="1031" spans="1:30">
      <c r="A1031" s="1" t="s">
        <v>772</v>
      </c>
      <c r="B1031" s="1" t="s">
        <v>773</v>
      </c>
      <c r="C1031" s="1" t="s">
        <v>989</v>
      </c>
      <c r="D1031" s="1" t="s">
        <v>1541</v>
      </c>
      <c r="E1031" s="1" t="str">
        <f t="shared" si="16"/>
        <v>W05</v>
      </c>
      <c r="F1031" s="5">
        <v>0</v>
      </c>
      <c r="G1031" s="5">
        <v>0</v>
      </c>
      <c r="H1031" s="5">
        <v>0</v>
      </c>
      <c r="I1031" s="5"/>
      <c r="J1031" s="1" t="s">
        <v>775</v>
      </c>
      <c r="K1031" s="1" t="s">
        <v>1542</v>
      </c>
      <c r="L1031" s="1" t="s">
        <v>79</v>
      </c>
      <c r="M1031" s="1" t="s">
        <v>79</v>
      </c>
      <c r="N1031" s="1" t="s">
        <v>79</v>
      </c>
      <c r="O1031" s="6">
        <v>44447</v>
      </c>
      <c r="P1031" s="6">
        <v>44447</v>
      </c>
      <c r="Q1031" s="6"/>
      <c r="R1031" s="1" t="s">
        <v>784</v>
      </c>
      <c r="S1031" s="1" t="s">
        <v>79</v>
      </c>
      <c r="T1031" s="5">
        <v>180</v>
      </c>
      <c r="U1031" s="4">
        <v>11</v>
      </c>
      <c r="V1031" s="5">
        <v>348</v>
      </c>
      <c r="W1031" s="6"/>
      <c r="X1031" s="6"/>
      <c r="Y1031" s="6"/>
      <c r="Z1031" s="6"/>
      <c r="AA1031" s="6"/>
      <c r="AB1031" s="6"/>
      <c r="AC1031" s="6"/>
      <c r="AD1031" s="6">
        <v>44499</v>
      </c>
    </row>
    <row r="1032" spans="1:30">
      <c r="A1032" s="1" t="s">
        <v>772</v>
      </c>
      <c r="B1032" s="1" t="s">
        <v>773</v>
      </c>
      <c r="C1032" s="1" t="s">
        <v>989</v>
      </c>
      <c r="D1032" s="1" t="s">
        <v>1543</v>
      </c>
      <c r="E1032" s="1" t="str">
        <f t="shared" si="16"/>
        <v>W05</v>
      </c>
      <c r="F1032" s="5">
        <v>0</v>
      </c>
      <c r="G1032" s="5">
        <v>0</v>
      </c>
      <c r="H1032" s="5">
        <v>0</v>
      </c>
      <c r="I1032" s="5"/>
      <c r="J1032" s="1" t="s">
        <v>775</v>
      </c>
      <c r="K1032" s="1" t="s">
        <v>1542</v>
      </c>
      <c r="L1032" s="1" t="s">
        <v>79</v>
      </c>
      <c r="M1032" s="1" t="s">
        <v>79</v>
      </c>
      <c r="N1032" s="1" t="s">
        <v>79</v>
      </c>
      <c r="O1032" s="6">
        <v>44447</v>
      </c>
      <c r="P1032" s="6">
        <v>44447</v>
      </c>
      <c r="Q1032" s="6"/>
      <c r="R1032" s="1" t="s">
        <v>784</v>
      </c>
      <c r="S1032" s="1" t="s">
        <v>79</v>
      </c>
      <c r="T1032" s="5">
        <v>180</v>
      </c>
      <c r="U1032" s="4">
        <v>11</v>
      </c>
      <c r="V1032" s="5">
        <v>348</v>
      </c>
      <c r="W1032" s="6"/>
      <c r="X1032" s="6"/>
      <c r="Y1032" s="6"/>
      <c r="Z1032" s="6"/>
      <c r="AA1032" s="6"/>
      <c r="AB1032" s="6"/>
      <c r="AC1032" s="6"/>
      <c r="AD1032" s="6">
        <v>44500</v>
      </c>
    </row>
    <row r="1033" spans="1:30">
      <c r="A1033" s="1" t="s">
        <v>772</v>
      </c>
      <c r="B1033" s="1" t="s">
        <v>773</v>
      </c>
      <c r="C1033" s="1" t="s">
        <v>858</v>
      </c>
      <c r="D1033" s="1" t="s">
        <v>1544</v>
      </c>
      <c r="E1033" s="1" t="str">
        <f t="shared" si="16"/>
        <v>W04</v>
      </c>
      <c r="F1033" s="5">
        <v>0</v>
      </c>
      <c r="G1033" s="5">
        <v>0</v>
      </c>
      <c r="H1033" s="5">
        <v>0</v>
      </c>
      <c r="I1033" s="5"/>
      <c r="J1033" s="1" t="s">
        <v>775</v>
      </c>
      <c r="K1033" s="1" t="s">
        <v>1542</v>
      </c>
      <c r="L1033" s="1" t="s">
        <v>79</v>
      </c>
      <c r="M1033" s="1" t="s">
        <v>79</v>
      </c>
      <c r="N1033" s="1" t="s">
        <v>79</v>
      </c>
      <c r="O1033" s="6">
        <v>44447</v>
      </c>
      <c r="P1033" s="6">
        <v>44447</v>
      </c>
      <c r="Q1033" s="6"/>
      <c r="R1033" s="1" t="s">
        <v>784</v>
      </c>
      <c r="S1033" s="1" t="s">
        <v>79</v>
      </c>
      <c r="T1033" s="5">
        <v>180</v>
      </c>
      <c r="U1033" s="4">
        <v>11</v>
      </c>
      <c r="V1033" s="5">
        <v>348</v>
      </c>
      <c r="W1033" s="6"/>
      <c r="X1033" s="6"/>
      <c r="Y1033" s="6"/>
      <c r="Z1033" s="6"/>
      <c r="AA1033" s="6"/>
      <c r="AB1033" s="6"/>
      <c r="AC1033" s="6"/>
      <c r="AD1033" s="6">
        <v>44519</v>
      </c>
    </row>
    <row r="1034" spans="1:30">
      <c r="A1034" s="1" t="s">
        <v>772</v>
      </c>
      <c r="B1034" s="1" t="s">
        <v>773</v>
      </c>
      <c r="C1034" s="1" t="s">
        <v>848</v>
      </c>
      <c r="D1034" s="1" t="s">
        <v>1545</v>
      </c>
      <c r="E1034" s="1" t="str">
        <f t="shared" si="16"/>
        <v>W02</v>
      </c>
      <c r="F1034" s="5">
        <v>0</v>
      </c>
      <c r="G1034" s="5">
        <v>0</v>
      </c>
      <c r="H1034" s="5">
        <v>0</v>
      </c>
      <c r="I1034" s="5"/>
      <c r="J1034" s="1" t="s">
        <v>775</v>
      </c>
      <c r="K1034" s="1" t="s">
        <v>1542</v>
      </c>
      <c r="L1034" s="1" t="s">
        <v>79</v>
      </c>
      <c r="M1034" s="1" t="s">
        <v>79</v>
      </c>
      <c r="N1034" s="1" t="s">
        <v>79</v>
      </c>
      <c r="O1034" s="6">
        <v>44455</v>
      </c>
      <c r="P1034" s="6">
        <v>44454</v>
      </c>
      <c r="Q1034" s="6"/>
      <c r="R1034" s="1" t="s">
        <v>784</v>
      </c>
      <c r="S1034" s="1" t="s">
        <v>79</v>
      </c>
      <c r="T1034" s="5">
        <v>180</v>
      </c>
      <c r="U1034" s="4">
        <v>11</v>
      </c>
      <c r="V1034" s="5">
        <v>341</v>
      </c>
      <c r="W1034" s="6"/>
      <c r="X1034" s="6"/>
      <c r="Y1034" s="6"/>
      <c r="Z1034" s="6"/>
      <c r="AA1034" s="6"/>
      <c r="AB1034" s="6"/>
      <c r="AC1034" s="6"/>
      <c r="AD1034" s="6">
        <v>44522</v>
      </c>
    </row>
    <row r="1035" spans="1:30">
      <c r="A1035" s="1" t="s">
        <v>772</v>
      </c>
      <c r="B1035" s="1" t="s">
        <v>773</v>
      </c>
      <c r="C1035" s="1" t="s">
        <v>774</v>
      </c>
      <c r="D1035" s="1" t="s">
        <v>1546</v>
      </c>
      <c r="E1035" s="1" t="str">
        <f t="shared" si="16"/>
        <v>W01</v>
      </c>
      <c r="F1035" s="5">
        <v>0</v>
      </c>
      <c r="G1035" s="5">
        <v>0</v>
      </c>
      <c r="H1035" s="5">
        <v>0</v>
      </c>
      <c r="I1035" s="5"/>
      <c r="J1035" s="1" t="s">
        <v>775</v>
      </c>
      <c r="K1035" s="1" t="s">
        <v>1542</v>
      </c>
      <c r="L1035" s="1" t="s">
        <v>79</v>
      </c>
      <c r="M1035" s="1" t="s">
        <v>79</v>
      </c>
      <c r="N1035" s="1" t="s">
        <v>79</v>
      </c>
      <c r="O1035" s="6">
        <v>44455</v>
      </c>
      <c r="P1035" s="6">
        <v>44454</v>
      </c>
      <c r="Q1035" s="6"/>
      <c r="R1035" s="1" t="s">
        <v>784</v>
      </c>
      <c r="S1035" s="1" t="s">
        <v>79</v>
      </c>
      <c r="T1035" s="5">
        <v>180</v>
      </c>
      <c r="U1035" s="4">
        <v>11</v>
      </c>
      <c r="V1035" s="5">
        <v>341</v>
      </c>
      <c r="W1035" s="6"/>
      <c r="X1035" s="6"/>
      <c r="Y1035" s="6"/>
      <c r="Z1035" s="6"/>
      <c r="AA1035" s="6"/>
      <c r="AB1035" s="6"/>
      <c r="AC1035" s="6"/>
      <c r="AD1035" s="6">
        <v>44533</v>
      </c>
    </row>
    <row r="1036" spans="1:30">
      <c r="A1036" s="1" t="s">
        <v>772</v>
      </c>
      <c r="B1036" s="1" t="s">
        <v>773</v>
      </c>
      <c r="C1036" s="1" t="s">
        <v>774</v>
      </c>
      <c r="D1036" s="1" t="s">
        <v>1547</v>
      </c>
      <c r="E1036" s="1" t="str">
        <f t="shared" si="16"/>
        <v>W01</v>
      </c>
      <c r="F1036" s="5">
        <v>0</v>
      </c>
      <c r="G1036" s="5">
        <v>0</v>
      </c>
      <c r="H1036" s="5">
        <v>0</v>
      </c>
      <c r="I1036" s="5"/>
      <c r="J1036" s="1" t="s">
        <v>775</v>
      </c>
      <c r="K1036" s="1" t="s">
        <v>1542</v>
      </c>
      <c r="L1036" s="1" t="s">
        <v>79</v>
      </c>
      <c r="M1036" s="1" t="s">
        <v>79</v>
      </c>
      <c r="N1036" s="1" t="s">
        <v>79</v>
      </c>
      <c r="O1036" s="6">
        <v>44455</v>
      </c>
      <c r="P1036" s="6">
        <v>44454</v>
      </c>
      <c r="Q1036" s="6"/>
      <c r="R1036" s="1" t="s">
        <v>784</v>
      </c>
      <c r="S1036" s="1" t="s">
        <v>79</v>
      </c>
      <c r="T1036" s="5">
        <v>180</v>
      </c>
      <c r="U1036" s="4">
        <v>11</v>
      </c>
      <c r="V1036" s="5">
        <v>341</v>
      </c>
      <c r="W1036" s="6"/>
      <c r="X1036" s="6"/>
      <c r="Y1036" s="6"/>
      <c r="Z1036" s="6"/>
      <c r="AA1036" s="6"/>
      <c r="AB1036" s="6"/>
      <c r="AC1036" s="6"/>
      <c r="AD1036" s="6">
        <v>44499</v>
      </c>
    </row>
    <row r="1037" spans="1:30">
      <c r="A1037" s="1" t="s">
        <v>772</v>
      </c>
      <c r="B1037" s="1" t="s">
        <v>773</v>
      </c>
      <c r="C1037" s="1" t="s">
        <v>774</v>
      </c>
      <c r="D1037" s="1" t="s">
        <v>1548</v>
      </c>
      <c r="E1037" s="1" t="str">
        <f t="shared" si="16"/>
        <v>W01</v>
      </c>
      <c r="F1037" s="5">
        <v>0</v>
      </c>
      <c r="G1037" s="5">
        <v>0</v>
      </c>
      <c r="H1037" s="5">
        <v>0</v>
      </c>
      <c r="I1037" s="5"/>
      <c r="J1037" s="1" t="s">
        <v>775</v>
      </c>
      <c r="K1037" s="1" t="s">
        <v>1542</v>
      </c>
      <c r="L1037" s="1" t="s">
        <v>79</v>
      </c>
      <c r="M1037" s="1" t="s">
        <v>79</v>
      </c>
      <c r="N1037" s="1" t="s">
        <v>79</v>
      </c>
      <c r="O1037" s="6">
        <v>44455</v>
      </c>
      <c r="P1037" s="6">
        <v>44454</v>
      </c>
      <c r="Q1037" s="6"/>
      <c r="R1037" s="1" t="s">
        <v>784</v>
      </c>
      <c r="S1037" s="1" t="s">
        <v>79</v>
      </c>
      <c r="T1037" s="5">
        <v>180</v>
      </c>
      <c r="U1037" s="4">
        <v>11</v>
      </c>
      <c r="V1037" s="5">
        <v>341</v>
      </c>
      <c r="W1037" s="6"/>
      <c r="X1037" s="6"/>
      <c r="Y1037" s="6"/>
      <c r="Z1037" s="6"/>
      <c r="AA1037" s="6"/>
      <c r="AB1037" s="6"/>
      <c r="AC1037" s="6"/>
      <c r="AD1037" s="6">
        <v>44500</v>
      </c>
    </row>
    <row r="1038" spans="1:30">
      <c r="A1038" s="1" t="s">
        <v>772</v>
      </c>
      <c r="B1038" s="1" t="s">
        <v>773</v>
      </c>
      <c r="C1038" s="1" t="s">
        <v>774</v>
      </c>
      <c r="D1038" s="1" t="s">
        <v>1549</v>
      </c>
      <c r="E1038" s="1" t="str">
        <f t="shared" si="16"/>
        <v>W01</v>
      </c>
      <c r="F1038" s="5">
        <v>0</v>
      </c>
      <c r="G1038" s="5">
        <v>0</v>
      </c>
      <c r="H1038" s="5">
        <v>0</v>
      </c>
      <c r="I1038" s="5"/>
      <c r="J1038" s="1" t="s">
        <v>775</v>
      </c>
      <c r="K1038" s="1" t="s">
        <v>1542</v>
      </c>
      <c r="L1038" s="1" t="s">
        <v>79</v>
      </c>
      <c r="M1038" s="1" t="s">
        <v>79</v>
      </c>
      <c r="N1038" s="1" t="s">
        <v>79</v>
      </c>
      <c r="O1038" s="6">
        <v>44455</v>
      </c>
      <c r="P1038" s="6">
        <v>44454</v>
      </c>
      <c r="Q1038" s="6"/>
      <c r="R1038" s="1" t="s">
        <v>784</v>
      </c>
      <c r="S1038" s="1" t="s">
        <v>79</v>
      </c>
      <c r="T1038" s="5">
        <v>180</v>
      </c>
      <c r="U1038" s="4">
        <v>11</v>
      </c>
      <c r="V1038" s="5">
        <v>341</v>
      </c>
      <c r="W1038" s="6"/>
      <c r="X1038" s="6"/>
      <c r="Y1038" s="6"/>
      <c r="Z1038" s="6"/>
      <c r="AA1038" s="6"/>
      <c r="AB1038" s="6"/>
      <c r="AC1038" s="6"/>
      <c r="AD1038" s="6">
        <v>44512</v>
      </c>
    </row>
    <row r="1039" spans="1:30">
      <c r="A1039" s="1" t="s">
        <v>772</v>
      </c>
      <c r="B1039" s="1" t="s">
        <v>773</v>
      </c>
      <c r="C1039" s="1" t="s">
        <v>774</v>
      </c>
      <c r="D1039" s="1" t="s">
        <v>1550</v>
      </c>
      <c r="E1039" s="1" t="str">
        <f t="shared" si="16"/>
        <v>W01</v>
      </c>
      <c r="F1039" s="5">
        <v>0</v>
      </c>
      <c r="G1039" s="5">
        <v>0</v>
      </c>
      <c r="H1039" s="5">
        <v>0</v>
      </c>
      <c r="I1039" s="5"/>
      <c r="J1039" s="1" t="s">
        <v>775</v>
      </c>
      <c r="K1039" s="1" t="s">
        <v>1542</v>
      </c>
      <c r="L1039" s="1" t="s">
        <v>79</v>
      </c>
      <c r="M1039" s="1" t="s">
        <v>79</v>
      </c>
      <c r="N1039" s="1" t="s">
        <v>79</v>
      </c>
      <c r="O1039" s="6">
        <v>44455</v>
      </c>
      <c r="P1039" s="6">
        <v>44454</v>
      </c>
      <c r="Q1039" s="6"/>
      <c r="R1039" s="1" t="s">
        <v>784</v>
      </c>
      <c r="S1039" s="1" t="s">
        <v>79</v>
      </c>
      <c r="T1039" s="5">
        <v>180</v>
      </c>
      <c r="U1039" s="4">
        <v>11</v>
      </c>
      <c r="V1039" s="5">
        <v>341</v>
      </c>
      <c r="W1039" s="6"/>
      <c r="X1039" s="6"/>
      <c r="Y1039" s="6"/>
      <c r="Z1039" s="6"/>
      <c r="AA1039" s="6"/>
      <c r="AB1039" s="6"/>
      <c r="AC1039" s="6"/>
      <c r="AD1039" s="6">
        <v>44515</v>
      </c>
    </row>
    <row r="1040" spans="1:30">
      <c r="A1040" s="1" t="s">
        <v>772</v>
      </c>
      <c r="B1040" s="1" t="s">
        <v>773</v>
      </c>
      <c r="C1040" s="1" t="s">
        <v>774</v>
      </c>
      <c r="D1040" s="1" t="s">
        <v>1551</v>
      </c>
      <c r="E1040" s="1" t="str">
        <f t="shared" si="16"/>
        <v>W01</v>
      </c>
      <c r="F1040" s="5">
        <v>0</v>
      </c>
      <c r="G1040" s="5">
        <v>0</v>
      </c>
      <c r="H1040" s="5">
        <v>0</v>
      </c>
      <c r="I1040" s="5"/>
      <c r="J1040" s="1" t="s">
        <v>775</v>
      </c>
      <c r="K1040" s="1" t="s">
        <v>1542</v>
      </c>
      <c r="L1040" s="1" t="s">
        <v>79</v>
      </c>
      <c r="M1040" s="1" t="s">
        <v>79</v>
      </c>
      <c r="N1040" s="1" t="s">
        <v>79</v>
      </c>
      <c r="O1040" s="6">
        <v>44461</v>
      </c>
      <c r="P1040" s="6">
        <v>44460</v>
      </c>
      <c r="Q1040" s="6"/>
      <c r="R1040" s="1" t="s">
        <v>784</v>
      </c>
      <c r="S1040" s="1" t="s">
        <v>79</v>
      </c>
      <c r="T1040" s="5">
        <v>180</v>
      </c>
      <c r="U1040" s="4">
        <v>11</v>
      </c>
      <c r="V1040" s="5">
        <v>335</v>
      </c>
      <c r="W1040" s="6"/>
      <c r="X1040" s="6"/>
      <c r="Y1040" s="6"/>
      <c r="Z1040" s="6"/>
      <c r="AA1040" s="6"/>
      <c r="AB1040" s="6"/>
      <c r="AC1040" s="6"/>
      <c r="AD1040" s="6">
        <v>44463</v>
      </c>
    </row>
    <row r="1041" spans="1:30">
      <c r="A1041" s="1" t="s">
        <v>772</v>
      </c>
      <c r="B1041" s="1" t="s">
        <v>773</v>
      </c>
      <c r="C1041" s="1" t="s">
        <v>774</v>
      </c>
      <c r="D1041" s="1" t="s">
        <v>1552</v>
      </c>
      <c r="E1041" s="1" t="str">
        <f t="shared" si="16"/>
        <v>W01</v>
      </c>
      <c r="F1041" s="5">
        <v>0</v>
      </c>
      <c r="G1041" s="5">
        <v>0</v>
      </c>
      <c r="H1041" s="5">
        <v>0</v>
      </c>
      <c r="I1041" s="5"/>
      <c r="J1041" s="1" t="s">
        <v>775</v>
      </c>
      <c r="K1041" s="1" t="s">
        <v>1542</v>
      </c>
      <c r="L1041" s="1" t="s">
        <v>79</v>
      </c>
      <c r="M1041" s="1" t="s">
        <v>79</v>
      </c>
      <c r="N1041" s="1" t="s">
        <v>79</v>
      </c>
      <c r="O1041" s="6">
        <v>44463</v>
      </c>
      <c r="P1041" s="6">
        <v>44463</v>
      </c>
      <c r="Q1041" s="6"/>
      <c r="R1041" s="1" t="s">
        <v>784</v>
      </c>
      <c r="S1041" s="1" t="s">
        <v>79</v>
      </c>
      <c r="T1041" s="5">
        <v>180</v>
      </c>
      <c r="U1041" s="4">
        <v>10</v>
      </c>
      <c r="V1041" s="5">
        <v>332</v>
      </c>
      <c r="W1041" s="6"/>
      <c r="X1041" s="6"/>
      <c r="Y1041" s="6"/>
      <c r="Z1041" s="6"/>
      <c r="AA1041" s="6"/>
      <c r="AB1041" s="6"/>
      <c r="AC1041" s="6"/>
      <c r="AD1041" s="6">
        <v>44539</v>
      </c>
    </row>
    <row r="1042" spans="1:30">
      <c r="A1042" s="1" t="s">
        <v>772</v>
      </c>
      <c r="B1042" s="1" t="s">
        <v>773</v>
      </c>
      <c r="C1042" s="1" t="s">
        <v>774</v>
      </c>
      <c r="D1042" s="1" t="s">
        <v>1553</v>
      </c>
      <c r="E1042" s="1" t="str">
        <f t="shared" si="16"/>
        <v>W01</v>
      </c>
      <c r="F1042" s="5">
        <v>0</v>
      </c>
      <c r="G1042" s="5">
        <v>0</v>
      </c>
      <c r="H1042" s="5">
        <v>0</v>
      </c>
      <c r="I1042" s="5"/>
      <c r="J1042" s="1" t="s">
        <v>775</v>
      </c>
      <c r="K1042" s="1" t="s">
        <v>1542</v>
      </c>
      <c r="L1042" s="1" t="s">
        <v>79</v>
      </c>
      <c r="M1042" s="1" t="s">
        <v>79</v>
      </c>
      <c r="N1042" s="1" t="s">
        <v>79</v>
      </c>
      <c r="O1042" s="6">
        <v>44463</v>
      </c>
      <c r="P1042" s="6">
        <v>44463</v>
      </c>
      <c r="Q1042" s="6"/>
      <c r="R1042" s="1" t="s">
        <v>784</v>
      </c>
      <c r="S1042" s="1" t="s">
        <v>79</v>
      </c>
      <c r="T1042" s="5">
        <v>180</v>
      </c>
      <c r="U1042" s="4">
        <v>10</v>
      </c>
      <c r="V1042" s="5">
        <v>332</v>
      </c>
      <c r="W1042" s="6"/>
      <c r="X1042" s="6"/>
      <c r="Y1042" s="6"/>
      <c r="Z1042" s="6"/>
      <c r="AA1042" s="6"/>
      <c r="AB1042" s="6"/>
      <c r="AC1042" s="6"/>
      <c r="AD1042" s="6">
        <v>44519</v>
      </c>
    </row>
    <row r="1043" spans="1:30">
      <c r="A1043" s="1" t="s">
        <v>772</v>
      </c>
      <c r="B1043" s="1" t="s">
        <v>773</v>
      </c>
      <c r="C1043" s="1" t="s">
        <v>774</v>
      </c>
      <c r="D1043" s="1" t="s">
        <v>1554</v>
      </c>
      <c r="E1043" s="1" t="str">
        <f t="shared" si="16"/>
        <v>W01</v>
      </c>
      <c r="F1043" s="5">
        <v>0</v>
      </c>
      <c r="G1043" s="5">
        <v>0</v>
      </c>
      <c r="H1043" s="5">
        <v>0</v>
      </c>
      <c r="I1043" s="5"/>
      <c r="J1043" s="1" t="s">
        <v>775</v>
      </c>
      <c r="K1043" s="1" t="s">
        <v>1542</v>
      </c>
      <c r="L1043" s="1" t="s">
        <v>79</v>
      </c>
      <c r="M1043" s="1" t="s">
        <v>79</v>
      </c>
      <c r="N1043" s="1" t="s">
        <v>79</v>
      </c>
      <c r="O1043" s="6">
        <v>44469</v>
      </c>
      <c r="P1043" s="6">
        <v>44469</v>
      </c>
      <c r="Q1043" s="6"/>
      <c r="R1043" s="1" t="s">
        <v>784</v>
      </c>
      <c r="S1043" s="1" t="s">
        <v>79</v>
      </c>
      <c r="T1043" s="5">
        <v>180</v>
      </c>
      <c r="U1043" s="4">
        <v>10</v>
      </c>
      <c r="V1043" s="5">
        <v>326</v>
      </c>
      <c r="W1043" s="6"/>
      <c r="X1043" s="6"/>
      <c r="Y1043" s="6"/>
      <c r="Z1043" s="6"/>
      <c r="AA1043" s="6"/>
      <c r="AB1043" s="6"/>
      <c r="AC1043" s="6"/>
      <c r="AD1043" s="6">
        <v>44526</v>
      </c>
    </row>
    <row r="1044" spans="1:30">
      <c r="A1044" s="1" t="s">
        <v>772</v>
      </c>
      <c r="B1044" s="1" t="s">
        <v>773</v>
      </c>
      <c r="C1044" s="1" t="s">
        <v>774</v>
      </c>
      <c r="D1044" s="1" t="s">
        <v>1555</v>
      </c>
      <c r="E1044" s="1" t="str">
        <f t="shared" si="16"/>
        <v>W01</v>
      </c>
      <c r="F1044" s="5">
        <v>0</v>
      </c>
      <c r="G1044" s="5">
        <v>0</v>
      </c>
      <c r="H1044" s="5">
        <v>0</v>
      </c>
      <c r="I1044" s="5"/>
      <c r="J1044" s="1" t="s">
        <v>775</v>
      </c>
      <c r="K1044" s="1" t="s">
        <v>1542</v>
      </c>
      <c r="L1044" s="1" t="s">
        <v>79</v>
      </c>
      <c r="M1044" s="1" t="s">
        <v>79</v>
      </c>
      <c r="N1044" s="1" t="s">
        <v>79</v>
      </c>
      <c r="O1044" s="6">
        <v>44469</v>
      </c>
      <c r="P1044" s="6">
        <v>44469</v>
      </c>
      <c r="Q1044" s="6"/>
      <c r="R1044" s="1" t="s">
        <v>784</v>
      </c>
      <c r="S1044" s="1" t="s">
        <v>79</v>
      </c>
      <c r="T1044" s="5">
        <v>180</v>
      </c>
      <c r="U1044" s="4">
        <v>10</v>
      </c>
      <c r="V1044" s="5">
        <v>326</v>
      </c>
      <c r="W1044" s="6"/>
      <c r="X1044" s="6"/>
      <c r="Y1044" s="6"/>
      <c r="Z1044" s="6"/>
      <c r="AA1044" s="6"/>
      <c r="AB1044" s="6"/>
      <c r="AC1044" s="6"/>
      <c r="AD1044" s="6">
        <v>44556</v>
      </c>
    </row>
    <row r="1045" spans="1:30">
      <c r="A1045" s="1" t="s">
        <v>772</v>
      </c>
      <c r="B1045" s="1" t="s">
        <v>773</v>
      </c>
      <c r="C1045" s="1" t="s">
        <v>774</v>
      </c>
      <c r="D1045" s="1" t="s">
        <v>1556</v>
      </c>
      <c r="E1045" s="1" t="str">
        <f t="shared" si="16"/>
        <v>W01</v>
      </c>
      <c r="F1045" s="5">
        <v>0</v>
      </c>
      <c r="G1045" s="5">
        <v>0</v>
      </c>
      <c r="H1045" s="5">
        <v>0</v>
      </c>
      <c r="I1045" s="5"/>
      <c r="J1045" s="1" t="s">
        <v>775</v>
      </c>
      <c r="K1045" s="1" t="s">
        <v>1557</v>
      </c>
      <c r="L1045" s="1" t="s">
        <v>79</v>
      </c>
      <c r="M1045" s="1" t="s">
        <v>79</v>
      </c>
      <c r="N1045" s="1" t="s">
        <v>79</v>
      </c>
      <c r="O1045" s="6">
        <v>44474</v>
      </c>
      <c r="P1045" s="6">
        <v>44474</v>
      </c>
      <c r="Q1045" s="6"/>
      <c r="R1045" s="1" t="s">
        <v>784</v>
      </c>
      <c r="S1045" s="1" t="s">
        <v>79</v>
      </c>
      <c r="T1045" s="5">
        <v>180</v>
      </c>
      <c r="U1045" s="4">
        <v>10</v>
      </c>
      <c r="V1045" s="5">
        <v>321</v>
      </c>
      <c r="W1045" s="6"/>
      <c r="X1045" s="6"/>
      <c r="Y1045" s="6"/>
      <c r="Z1045" s="6"/>
      <c r="AA1045" s="6"/>
      <c r="AB1045" s="6"/>
      <c r="AC1045" s="6"/>
      <c r="AD1045" s="6">
        <v>44539</v>
      </c>
    </row>
    <row r="1046" spans="1:30">
      <c r="A1046" s="1" t="s">
        <v>772</v>
      </c>
      <c r="B1046" s="1" t="s">
        <v>773</v>
      </c>
      <c r="C1046" s="1" t="s">
        <v>774</v>
      </c>
      <c r="D1046" s="1" t="s">
        <v>1558</v>
      </c>
      <c r="E1046" s="1" t="str">
        <f t="shared" si="16"/>
        <v>W01</v>
      </c>
      <c r="F1046" s="5">
        <v>0</v>
      </c>
      <c r="G1046" s="5">
        <v>0</v>
      </c>
      <c r="H1046" s="5">
        <v>0</v>
      </c>
      <c r="I1046" s="5"/>
      <c r="J1046" s="1" t="s">
        <v>775</v>
      </c>
      <c r="K1046" s="1" t="s">
        <v>1557</v>
      </c>
      <c r="L1046" s="1" t="s">
        <v>79</v>
      </c>
      <c r="M1046" s="1" t="s">
        <v>79</v>
      </c>
      <c r="N1046" s="1" t="s">
        <v>79</v>
      </c>
      <c r="O1046" s="6">
        <v>44496</v>
      </c>
      <c r="P1046" s="6">
        <v>44494</v>
      </c>
      <c r="Q1046" s="6">
        <v>44494</v>
      </c>
      <c r="R1046" s="1" t="s">
        <v>784</v>
      </c>
      <c r="S1046" s="1" t="s">
        <v>79</v>
      </c>
      <c r="T1046" s="5">
        <v>180</v>
      </c>
      <c r="U1046" s="4">
        <v>9</v>
      </c>
      <c r="V1046" s="5">
        <v>301</v>
      </c>
      <c r="W1046" s="6"/>
      <c r="X1046" s="6"/>
      <c r="Y1046" s="6"/>
      <c r="Z1046" s="6"/>
      <c r="AA1046" s="6"/>
      <c r="AB1046" s="6"/>
      <c r="AC1046" s="6"/>
      <c r="AD1046" s="6">
        <v>44564</v>
      </c>
    </row>
    <row r="1047" spans="1:30">
      <c r="A1047" s="1" t="s">
        <v>772</v>
      </c>
      <c r="B1047" s="1" t="s">
        <v>773</v>
      </c>
      <c r="C1047" s="1" t="s">
        <v>774</v>
      </c>
      <c r="D1047" s="1" t="s">
        <v>1559</v>
      </c>
      <c r="E1047" s="1" t="str">
        <f t="shared" si="16"/>
        <v>W01</v>
      </c>
      <c r="F1047" s="5">
        <v>0</v>
      </c>
      <c r="G1047" s="5">
        <v>0</v>
      </c>
      <c r="H1047" s="5">
        <v>0</v>
      </c>
      <c r="I1047" s="5"/>
      <c r="J1047" s="1" t="s">
        <v>775</v>
      </c>
      <c r="K1047" s="1" t="s">
        <v>1557</v>
      </c>
      <c r="L1047" s="1" t="s">
        <v>79</v>
      </c>
      <c r="M1047" s="1" t="s">
        <v>79</v>
      </c>
      <c r="N1047" s="1" t="s">
        <v>79</v>
      </c>
      <c r="O1047" s="6">
        <v>44496</v>
      </c>
      <c r="P1047" s="6">
        <v>44495</v>
      </c>
      <c r="Q1047" s="6">
        <v>44495</v>
      </c>
      <c r="R1047" s="1" t="s">
        <v>784</v>
      </c>
      <c r="S1047" s="1" t="s">
        <v>79</v>
      </c>
      <c r="T1047" s="5">
        <v>180</v>
      </c>
      <c r="U1047" s="4">
        <v>9</v>
      </c>
      <c r="V1047" s="5">
        <v>300</v>
      </c>
      <c r="W1047" s="6"/>
      <c r="X1047" s="6"/>
      <c r="Y1047" s="6"/>
      <c r="Z1047" s="6"/>
      <c r="AA1047" s="6"/>
      <c r="AB1047" s="6"/>
      <c r="AC1047" s="6"/>
      <c r="AD1047" s="6">
        <v>44545</v>
      </c>
    </row>
    <row r="1048" spans="1:30">
      <c r="A1048" s="1" t="s">
        <v>772</v>
      </c>
      <c r="B1048" s="1" t="s">
        <v>773</v>
      </c>
      <c r="C1048" s="1" t="s">
        <v>848</v>
      </c>
      <c r="D1048" s="1" t="s">
        <v>1560</v>
      </c>
      <c r="E1048" s="1" t="str">
        <f t="shared" si="16"/>
        <v>W02</v>
      </c>
      <c r="F1048" s="5">
        <v>0</v>
      </c>
      <c r="G1048" s="5">
        <v>0</v>
      </c>
      <c r="H1048" s="5">
        <v>0</v>
      </c>
      <c r="I1048" s="5"/>
      <c r="J1048" s="1" t="s">
        <v>775</v>
      </c>
      <c r="K1048" s="1" t="s">
        <v>1557</v>
      </c>
      <c r="L1048" s="1" t="s">
        <v>79</v>
      </c>
      <c r="M1048" s="1" t="s">
        <v>79</v>
      </c>
      <c r="N1048" s="1" t="s">
        <v>79</v>
      </c>
      <c r="O1048" s="6">
        <v>44497</v>
      </c>
      <c r="P1048" s="6">
        <v>44497</v>
      </c>
      <c r="Q1048" s="6">
        <v>44497</v>
      </c>
      <c r="R1048" s="1" t="s">
        <v>784</v>
      </c>
      <c r="S1048" s="1" t="s">
        <v>79</v>
      </c>
      <c r="T1048" s="5">
        <v>180</v>
      </c>
      <c r="U1048" s="4">
        <v>9</v>
      </c>
      <c r="V1048" s="5">
        <v>298</v>
      </c>
      <c r="W1048" s="6"/>
      <c r="X1048" s="6"/>
      <c r="Y1048" s="6"/>
      <c r="Z1048" s="6"/>
      <c r="AA1048" s="6"/>
      <c r="AB1048" s="6"/>
      <c r="AC1048" s="6"/>
      <c r="AD1048" s="6">
        <v>44571</v>
      </c>
    </row>
    <row r="1049" spans="1:30">
      <c r="A1049" s="1" t="s">
        <v>772</v>
      </c>
      <c r="B1049" s="1" t="s">
        <v>773</v>
      </c>
      <c r="C1049" s="1" t="s">
        <v>848</v>
      </c>
      <c r="D1049" s="1" t="s">
        <v>1561</v>
      </c>
      <c r="E1049" s="1" t="str">
        <f t="shared" si="16"/>
        <v>W02</v>
      </c>
      <c r="F1049" s="5">
        <v>0</v>
      </c>
      <c r="G1049" s="5">
        <v>0</v>
      </c>
      <c r="H1049" s="5">
        <v>0</v>
      </c>
      <c r="I1049" s="5"/>
      <c r="J1049" s="1" t="s">
        <v>775</v>
      </c>
      <c r="K1049" s="1" t="s">
        <v>1562</v>
      </c>
      <c r="L1049" s="1" t="s">
        <v>79</v>
      </c>
      <c r="M1049" s="1" t="s">
        <v>79</v>
      </c>
      <c r="N1049" s="1" t="s">
        <v>79</v>
      </c>
      <c r="O1049" s="6">
        <v>44501</v>
      </c>
      <c r="P1049" s="6">
        <v>44501</v>
      </c>
      <c r="Q1049" s="6">
        <v>44501</v>
      </c>
      <c r="R1049" s="1" t="s">
        <v>784</v>
      </c>
      <c r="S1049" s="1" t="s">
        <v>79</v>
      </c>
      <c r="T1049" s="5">
        <v>180</v>
      </c>
      <c r="U1049" s="4">
        <v>9</v>
      </c>
      <c r="V1049" s="5">
        <v>294</v>
      </c>
      <c r="W1049" s="6"/>
      <c r="X1049" s="6"/>
      <c r="Y1049" s="6"/>
      <c r="Z1049" s="6"/>
      <c r="AA1049" s="6"/>
      <c r="AB1049" s="6"/>
      <c r="AC1049" s="6"/>
      <c r="AD1049" s="6">
        <v>44545</v>
      </c>
    </row>
    <row r="1050" spans="1:30">
      <c r="A1050" s="1" t="s">
        <v>772</v>
      </c>
      <c r="B1050" s="1" t="s">
        <v>773</v>
      </c>
      <c r="C1050" s="1" t="s">
        <v>848</v>
      </c>
      <c r="D1050" s="1" t="s">
        <v>1563</v>
      </c>
      <c r="E1050" s="1" t="str">
        <f t="shared" si="16"/>
        <v>W02</v>
      </c>
      <c r="F1050" s="5">
        <v>0</v>
      </c>
      <c r="G1050" s="5">
        <v>0</v>
      </c>
      <c r="H1050" s="5">
        <v>0</v>
      </c>
      <c r="I1050" s="5"/>
      <c r="J1050" s="1" t="s">
        <v>775</v>
      </c>
      <c r="K1050" s="1" t="s">
        <v>1562</v>
      </c>
      <c r="L1050" s="1" t="s">
        <v>79</v>
      </c>
      <c r="M1050" s="1" t="s">
        <v>79</v>
      </c>
      <c r="N1050" s="1" t="s">
        <v>79</v>
      </c>
      <c r="O1050" s="6">
        <v>44502</v>
      </c>
      <c r="P1050" s="6">
        <v>44502</v>
      </c>
      <c r="Q1050" s="6">
        <v>44502</v>
      </c>
      <c r="R1050" s="1" t="s">
        <v>784</v>
      </c>
      <c r="S1050" s="1" t="s">
        <v>79</v>
      </c>
      <c r="T1050" s="5">
        <v>180</v>
      </c>
      <c r="U1050" s="4">
        <v>9</v>
      </c>
      <c r="V1050" s="5">
        <v>293</v>
      </c>
      <c r="W1050" s="6"/>
      <c r="X1050" s="6"/>
      <c r="Y1050" s="6"/>
      <c r="Z1050" s="6"/>
      <c r="AA1050" s="6"/>
      <c r="AB1050" s="6"/>
      <c r="AC1050" s="6"/>
      <c r="AD1050" s="6">
        <v>44572</v>
      </c>
    </row>
    <row r="1051" spans="1:30">
      <c r="A1051" s="1" t="s">
        <v>772</v>
      </c>
      <c r="B1051" s="1" t="s">
        <v>773</v>
      </c>
      <c r="C1051" s="1" t="s">
        <v>989</v>
      </c>
      <c r="D1051" s="1" t="s">
        <v>1564</v>
      </c>
      <c r="E1051" s="1" t="str">
        <f t="shared" si="16"/>
        <v>W05</v>
      </c>
      <c r="F1051" s="5">
        <v>0</v>
      </c>
      <c r="G1051" s="5">
        <v>0</v>
      </c>
      <c r="H1051" s="5">
        <v>0</v>
      </c>
      <c r="I1051" s="5"/>
      <c r="J1051" s="1" t="s">
        <v>775</v>
      </c>
      <c r="K1051" s="1" t="s">
        <v>1562</v>
      </c>
      <c r="L1051" s="1" t="s">
        <v>79</v>
      </c>
      <c r="M1051" s="1" t="s">
        <v>79</v>
      </c>
      <c r="N1051" s="1" t="s">
        <v>79</v>
      </c>
      <c r="O1051" s="6">
        <v>44503</v>
      </c>
      <c r="P1051" s="6">
        <v>44502</v>
      </c>
      <c r="Q1051" s="6">
        <v>44502</v>
      </c>
      <c r="R1051" s="1" t="s">
        <v>784</v>
      </c>
      <c r="S1051" s="1" t="s">
        <v>79</v>
      </c>
      <c r="T1051" s="5">
        <v>180</v>
      </c>
      <c r="U1051" s="4">
        <v>9</v>
      </c>
      <c r="V1051" s="5">
        <v>293</v>
      </c>
      <c r="W1051" s="6"/>
      <c r="X1051" s="6"/>
      <c r="Y1051" s="6"/>
      <c r="Z1051" s="6"/>
      <c r="AA1051" s="6"/>
      <c r="AB1051" s="6"/>
      <c r="AC1051" s="6"/>
      <c r="AD1051" s="6">
        <v>44546</v>
      </c>
    </row>
    <row r="1052" spans="1:30">
      <c r="A1052" s="1" t="s">
        <v>772</v>
      </c>
      <c r="B1052" s="1" t="s">
        <v>773</v>
      </c>
      <c r="C1052" s="1" t="s">
        <v>989</v>
      </c>
      <c r="D1052" s="1" t="s">
        <v>1565</v>
      </c>
      <c r="E1052" s="1" t="str">
        <f t="shared" si="16"/>
        <v>W05</v>
      </c>
      <c r="F1052" s="5">
        <v>0</v>
      </c>
      <c r="G1052" s="5">
        <v>0</v>
      </c>
      <c r="H1052" s="5">
        <v>0</v>
      </c>
      <c r="I1052" s="5"/>
      <c r="J1052" s="1" t="s">
        <v>775</v>
      </c>
      <c r="K1052" s="1" t="s">
        <v>1562</v>
      </c>
      <c r="L1052" s="1" t="s">
        <v>79</v>
      </c>
      <c r="M1052" s="1" t="s">
        <v>79</v>
      </c>
      <c r="N1052" s="1" t="s">
        <v>79</v>
      </c>
      <c r="O1052" s="6">
        <v>44504</v>
      </c>
      <c r="P1052" s="6">
        <v>44502</v>
      </c>
      <c r="Q1052" s="6">
        <v>44502</v>
      </c>
      <c r="R1052" s="1" t="s">
        <v>784</v>
      </c>
      <c r="S1052" s="1" t="s">
        <v>79</v>
      </c>
      <c r="T1052" s="5">
        <v>180</v>
      </c>
      <c r="U1052" s="4">
        <v>9</v>
      </c>
      <c r="V1052" s="5">
        <v>293</v>
      </c>
      <c r="W1052" s="6"/>
      <c r="X1052" s="6"/>
      <c r="Y1052" s="6"/>
      <c r="Z1052" s="6"/>
      <c r="AA1052" s="6"/>
      <c r="AB1052" s="6"/>
      <c r="AC1052" s="6"/>
      <c r="AD1052" s="6">
        <v>44559</v>
      </c>
    </row>
    <row r="1053" spans="1:30">
      <c r="A1053" s="1" t="s">
        <v>772</v>
      </c>
      <c r="B1053" s="1" t="s">
        <v>773</v>
      </c>
      <c r="C1053" s="1" t="s">
        <v>989</v>
      </c>
      <c r="D1053" s="1" t="s">
        <v>1566</v>
      </c>
      <c r="E1053" s="1" t="str">
        <f t="shared" si="16"/>
        <v>W05</v>
      </c>
      <c r="F1053" s="5">
        <v>0</v>
      </c>
      <c r="G1053" s="5">
        <v>0</v>
      </c>
      <c r="H1053" s="5">
        <v>0</v>
      </c>
      <c r="I1053" s="5"/>
      <c r="J1053" s="1" t="s">
        <v>775</v>
      </c>
      <c r="K1053" s="1" t="s">
        <v>1562</v>
      </c>
      <c r="L1053" s="1" t="s">
        <v>79</v>
      </c>
      <c r="M1053" s="1" t="s">
        <v>79</v>
      </c>
      <c r="N1053" s="1" t="s">
        <v>79</v>
      </c>
      <c r="O1053" s="6">
        <v>44505</v>
      </c>
      <c r="P1053" s="6">
        <v>44505</v>
      </c>
      <c r="Q1053" s="6">
        <v>44505</v>
      </c>
      <c r="R1053" s="1" t="s">
        <v>784</v>
      </c>
      <c r="S1053" s="1" t="s">
        <v>79</v>
      </c>
      <c r="T1053" s="5">
        <v>180</v>
      </c>
      <c r="U1053" s="4">
        <v>9</v>
      </c>
      <c r="V1053" s="5">
        <v>290</v>
      </c>
      <c r="W1053" s="6"/>
      <c r="X1053" s="6"/>
      <c r="Y1053" s="6"/>
      <c r="Z1053" s="6"/>
      <c r="AA1053" s="6"/>
      <c r="AB1053" s="6"/>
      <c r="AC1053" s="6"/>
      <c r="AD1053" s="6">
        <v>44579</v>
      </c>
    </row>
    <row r="1054" spans="1:30">
      <c r="A1054" s="1" t="s">
        <v>772</v>
      </c>
      <c r="B1054" s="1" t="s">
        <v>773</v>
      </c>
      <c r="C1054" s="1" t="s">
        <v>989</v>
      </c>
      <c r="D1054" s="1" t="s">
        <v>1567</v>
      </c>
      <c r="E1054" s="1" t="str">
        <f t="shared" si="16"/>
        <v>W05</v>
      </c>
      <c r="F1054" s="5">
        <v>0</v>
      </c>
      <c r="G1054" s="5">
        <v>0</v>
      </c>
      <c r="H1054" s="5">
        <v>0</v>
      </c>
      <c r="I1054" s="5"/>
      <c r="J1054" s="1" t="s">
        <v>775</v>
      </c>
      <c r="K1054" s="1" t="s">
        <v>1562</v>
      </c>
      <c r="L1054" s="1" t="s">
        <v>79</v>
      </c>
      <c r="M1054" s="1" t="s">
        <v>79</v>
      </c>
      <c r="N1054" s="1" t="s">
        <v>79</v>
      </c>
      <c r="O1054" s="6">
        <v>44510</v>
      </c>
      <c r="P1054" s="6">
        <v>44510</v>
      </c>
      <c r="Q1054" s="6">
        <v>44510</v>
      </c>
      <c r="R1054" s="1" t="s">
        <v>784</v>
      </c>
      <c r="S1054" s="1" t="s">
        <v>79</v>
      </c>
      <c r="T1054" s="5">
        <v>180</v>
      </c>
      <c r="U1054" s="4">
        <v>9</v>
      </c>
      <c r="V1054" s="5">
        <v>285</v>
      </c>
      <c r="W1054" s="6"/>
      <c r="X1054" s="6"/>
      <c r="Y1054" s="6"/>
      <c r="Z1054" s="6"/>
      <c r="AA1054" s="6"/>
      <c r="AB1054" s="6"/>
      <c r="AC1054" s="6"/>
      <c r="AD1054" s="6">
        <v>44552</v>
      </c>
    </row>
    <row r="1055" spans="1:30">
      <c r="A1055" s="1" t="s">
        <v>772</v>
      </c>
      <c r="B1055" s="1" t="s">
        <v>773</v>
      </c>
      <c r="C1055" s="1" t="s">
        <v>774</v>
      </c>
      <c r="D1055" s="1" t="s">
        <v>661</v>
      </c>
      <c r="E1055" s="1" t="str">
        <f t="shared" si="16"/>
        <v>W01</v>
      </c>
      <c r="F1055" s="5">
        <v>9.7100000000000009</v>
      </c>
      <c r="G1055" s="5">
        <v>7.14</v>
      </c>
      <c r="H1055" s="5">
        <v>7.14</v>
      </c>
      <c r="I1055" s="5"/>
      <c r="J1055" s="1" t="s">
        <v>775</v>
      </c>
      <c r="K1055" s="1" t="s">
        <v>1562</v>
      </c>
      <c r="L1055" s="1" t="s">
        <v>79</v>
      </c>
      <c r="M1055" s="1" t="s">
        <v>79</v>
      </c>
      <c r="N1055" s="1" t="s">
        <v>79</v>
      </c>
      <c r="O1055" s="6">
        <v>44512</v>
      </c>
      <c r="P1055" s="6">
        <v>44512</v>
      </c>
      <c r="Q1055" s="6">
        <v>44512</v>
      </c>
      <c r="R1055" s="1" t="s">
        <v>784</v>
      </c>
      <c r="S1055" s="1" t="s">
        <v>79</v>
      </c>
      <c r="T1055" s="5">
        <v>180</v>
      </c>
      <c r="U1055" s="4">
        <v>9</v>
      </c>
      <c r="V1055" s="5">
        <v>283</v>
      </c>
      <c r="W1055" s="6"/>
      <c r="X1055" s="6"/>
      <c r="Y1055" s="6"/>
      <c r="Z1055" s="6"/>
      <c r="AA1055" s="6"/>
      <c r="AB1055" s="6"/>
      <c r="AC1055" s="6"/>
      <c r="AD1055" s="6">
        <v>44581</v>
      </c>
    </row>
    <row r="1056" spans="1:30">
      <c r="A1056" s="1" t="s">
        <v>772</v>
      </c>
      <c r="B1056" s="1" t="s">
        <v>773</v>
      </c>
      <c r="C1056" s="1" t="s">
        <v>774</v>
      </c>
      <c r="D1056" s="1" t="s">
        <v>679</v>
      </c>
      <c r="E1056" s="1" t="str">
        <f t="shared" si="16"/>
        <v>W01</v>
      </c>
      <c r="F1056" s="5">
        <v>3.59</v>
      </c>
      <c r="G1056" s="5">
        <v>2.64</v>
      </c>
      <c r="H1056" s="5">
        <v>2.64</v>
      </c>
      <c r="I1056" s="5"/>
      <c r="J1056" s="1" t="s">
        <v>775</v>
      </c>
      <c r="K1056" s="1" t="s">
        <v>1562</v>
      </c>
      <c r="L1056" s="1" t="s">
        <v>79</v>
      </c>
      <c r="M1056" s="1" t="s">
        <v>79</v>
      </c>
      <c r="N1056" s="1" t="s">
        <v>79</v>
      </c>
      <c r="O1056" s="6">
        <v>44515</v>
      </c>
      <c r="P1056" s="6">
        <v>44515</v>
      </c>
      <c r="Q1056" s="6">
        <v>44515</v>
      </c>
      <c r="R1056" s="1" t="s">
        <v>784</v>
      </c>
      <c r="S1056" s="1" t="s">
        <v>79</v>
      </c>
      <c r="T1056" s="5">
        <v>180</v>
      </c>
      <c r="U1056" s="4">
        <v>9</v>
      </c>
      <c r="V1056" s="5">
        <v>280</v>
      </c>
      <c r="W1056" s="6"/>
      <c r="X1056" s="6"/>
      <c r="Y1056" s="6"/>
      <c r="Z1056" s="6"/>
      <c r="AA1056" s="6"/>
      <c r="AB1056" s="6"/>
      <c r="AC1056" s="6"/>
      <c r="AD1056" s="6">
        <v>44583</v>
      </c>
    </row>
    <row r="1057" spans="1:30">
      <c r="A1057" s="1" t="s">
        <v>772</v>
      </c>
      <c r="B1057" s="1" t="s">
        <v>773</v>
      </c>
      <c r="C1057" s="1" t="s">
        <v>989</v>
      </c>
      <c r="D1057" s="1" t="s">
        <v>1568</v>
      </c>
      <c r="E1057" s="1" t="str">
        <f t="shared" si="16"/>
        <v>W05</v>
      </c>
      <c r="F1057" s="5">
        <v>0</v>
      </c>
      <c r="G1057" s="5">
        <v>0</v>
      </c>
      <c r="H1057" s="5">
        <v>0</v>
      </c>
      <c r="I1057" s="5"/>
      <c r="J1057" s="1" t="s">
        <v>775</v>
      </c>
      <c r="K1057" s="1" t="s">
        <v>1562</v>
      </c>
      <c r="L1057" s="1" t="s">
        <v>79</v>
      </c>
      <c r="M1057" s="1" t="s">
        <v>79</v>
      </c>
      <c r="N1057" s="1" t="s">
        <v>79</v>
      </c>
      <c r="O1057" s="6">
        <v>44518</v>
      </c>
      <c r="P1057" s="6">
        <v>44516</v>
      </c>
      <c r="Q1057" s="6">
        <v>44516</v>
      </c>
      <c r="R1057" s="1" t="s">
        <v>784</v>
      </c>
      <c r="S1057" s="1" t="s">
        <v>79</v>
      </c>
      <c r="T1057" s="5">
        <v>180</v>
      </c>
      <c r="U1057" s="4">
        <v>9</v>
      </c>
      <c r="V1057" s="5">
        <v>279</v>
      </c>
      <c r="W1057" s="6"/>
      <c r="X1057" s="6"/>
      <c r="Y1057" s="6"/>
      <c r="Z1057" s="6"/>
      <c r="AA1057" s="6"/>
      <c r="AB1057" s="6"/>
      <c r="AC1057" s="6"/>
      <c r="AD1057" s="6">
        <v>44591</v>
      </c>
    </row>
    <row r="1058" spans="1:30">
      <c r="A1058" s="1" t="s">
        <v>772</v>
      </c>
      <c r="B1058" s="1" t="s">
        <v>773</v>
      </c>
      <c r="C1058" s="1" t="s">
        <v>989</v>
      </c>
      <c r="D1058" s="1" t="s">
        <v>1569</v>
      </c>
      <c r="E1058" s="1" t="str">
        <f t="shared" si="16"/>
        <v>W05</v>
      </c>
      <c r="F1058" s="5">
        <v>0</v>
      </c>
      <c r="G1058" s="5">
        <v>0</v>
      </c>
      <c r="H1058" s="5">
        <v>0</v>
      </c>
      <c r="I1058" s="5"/>
      <c r="J1058" s="1" t="s">
        <v>775</v>
      </c>
      <c r="K1058" s="1" t="s">
        <v>1562</v>
      </c>
      <c r="L1058" s="1" t="s">
        <v>79</v>
      </c>
      <c r="M1058" s="1" t="s">
        <v>79</v>
      </c>
      <c r="N1058" s="1" t="s">
        <v>79</v>
      </c>
      <c r="O1058" s="6">
        <v>44518</v>
      </c>
      <c r="P1058" s="6">
        <v>44516</v>
      </c>
      <c r="Q1058" s="6">
        <v>44516</v>
      </c>
      <c r="R1058" s="1" t="s">
        <v>784</v>
      </c>
      <c r="S1058" s="1" t="s">
        <v>79</v>
      </c>
      <c r="T1058" s="5">
        <v>180</v>
      </c>
      <c r="U1058" s="4">
        <v>9</v>
      </c>
      <c r="V1058" s="5">
        <v>279</v>
      </c>
      <c r="W1058" s="6"/>
      <c r="X1058" s="6"/>
      <c r="Y1058" s="6"/>
      <c r="Z1058" s="6"/>
      <c r="AA1058" s="6"/>
      <c r="AB1058" s="6"/>
      <c r="AC1058" s="6"/>
      <c r="AD1058" s="6">
        <v>44590</v>
      </c>
    </row>
    <row r="1059" spans="1:30">
      <c r="A1059" s="1" t="s">
        <v>772</v>
      </c>
      <c r="B1059" s="1" t="s">
        <v>773</v>
      </c>
      <c r="C1059" s="1" t="s">
        <v>989</v>
      </c>
      <c r="D1059" s="1" t="s">
        <v>1570</v>
      </c>
      <c r="E1059" s="1" t="str">
        <f t="shared" si="16"/>
        <v>W05</v>
      </c>
      <c r="F1059" s="5">
        <v>0</v>
      </c>
      <c r="G1059" s="5">
        <v>0</v>
      </c>
      <c r="H1059" s="5">
        <v>0</v>
      </c>
      <c r="I1059" s="5"/>
      <c r="J1059" s="1" t="s">
        <v>775</v>
      </c>
      <c r="K1059" s="1" t="s">
        <v>1562</v>
      </c>
      <c r="L1059" s="1" t="s">
        <v>79</v>
      </c>
      <c r="M1059" s="1" t="s">
        <v>79</v>
      </c>
      <c r="N1059" s="1" t="s">
        <v>79</v>
      </c>
      <c r="O1059" s="6">
        <v>44519</v>
      </c>
      <c r="P1059" s="6">
        <v>44516</v>
      </c>
      <c r="Q1059" s="6">
        <v>44516</v>
      </c>
      <c r="R1059" s="1" t="s">
        <v>784</v>
      </c>
      <c r="S1059" s="1" t="s">
        <v>79</v>
      </c>
      <c r="T1059" s="5">
        <v>180</v>
      </c>
      <c r="U1059" s="4">
        <v>9</v>
      </c>
      <c r="V1059" s="5">
        <v>279</v>
      </c>
      <c r="W1059" s="6"/>
      <c r="X1059" s="6"/>
      <c r="Y1059" s="6"/>
      <c r="Z1059" s="6"/>
      <c r="AA1059" s="6"/>
      <c r="AB1059" s="6"/>
      <c r="AC1059" s="6"/>
      <c r="AD1059" s="6">
        <v>44591</v>
      </c>
    </row>
    <row r="1060" spans="1:30">
      <c r="A1060" s="1" t="s">
        <v>772</v>
      </c>
      <c r="B1060" s="1" t="s">
        <v>773</v>
      </c>
      <c r="C1060" s="1" t="s">
        <v>989</v>
      </c>
      <c r="D1060" s="1" t="s">
        <v>1571</v>
      </c>
      <c r="E1060" s="1" t="str">
        <f t="shared" si="16"/>
        <v>W05</v>
      </c>
      <c r="F1060" s="5">
        <v>0</v>
      </c>
      <c r="G1060" s="5">
        <v>0</v>
      </c>
      <c r="H1060" s="5">
        <v>0</v>
      </c>
      <c r="I1060" s="5"/>
      <c r="J1060" s="1" t="s">
        <v>775</v>
      </c>
      <c r="K1060" s="1" t="s">
        <v>1562</v>
      </c>
      <c r="L1060" s="1" t="s">
        <v>79</v>
      </c>
      <c r="M1060" s="1" t="s">
        <v>79</v>
      </c>
      <c r="N1060" s="1" t="s">
        <v>79</v>
      </c>
      <c r="O1060" s="6">
        <v>44525</v>
      </c>
      <c r="P1060" s="6">
        <v>44525</v>
      </c>
      <c r="Q1060" s="6">
        <v>44525</v>
      </c>
      <c r="R1060" s="1" t="s">
        <v>784</v>
      </c>
      <c r="S1060" s="1" t="s">
        <v>79</v>
      </c>
      <c r="T1060" s="5">
        <v>180</v>
      </c>
      <c r="U1060" s="4">
        <v>8</v>
      </c>
      <c r="V1060" s="5">
        <v>270</v>
      </c>
      <c r="W1060" s="6"/>
      <c r="X1060" s="6"/>
      <c r="Y1060" s="6"/>
      <c r="Z1060" s="6"/>
      <c r="AA1060" s="6"/>
      <c r="AB1060" s="6"/>
      <c r="AC1060" s="6"/>
      <c r="AD1060" s="6">
        <v>44597</v>
      </c>
    </row>
    <row r="1061" spans="1:30">
      <c r="A1061" s="1" t="s">
        <v>772</v>
      </c>
      <c r="B1061" s="1" t="s">
        <v>773</v>
      </c>
      <c r="C1061" s="1" t="s">
        <v>904</v>
      </c>
      <c r="D1061" s="1" t="s">
        <v>689</v>
      </c>
      <c r="E1061" s="1" t="str">
        <f t="shared" si="16"/>
        <v>W03</v>
      </c>
      <c r="F1061" s="5">
        <v>9.8000000000000007</v>
      </c>
      <c r="G1061" s="5">
        <v>8.02</v>
      </c>
      <c r="H1061" s="5">
        <v>7.61</v>
      </c>
      <c r="I1061" s="5"/>
      <c r="J1061" s="1" t="s">
        <v>775</v>
      </c>
      <c r="K1061" s="1" t="s">
        <v>1562</v>
      </c>
      <c r="L1061" s="1" t="s">
        <v>79</v>
      </c>
      <c r="M1061" s="1" t="s">
        <v>79</v>
      </c>
      <c r="N1061" s="1" t="s">
        <v>79</v>
      </c>
      <c r="O1061" s="6">
        <v>44525</v>
      </c>
      <c r="P1061" s="6">
        <v>44525</v>
      </c>
      <c r="Q1061" s="6">
        <v>44525</v>
      </c>
      <c r="R1061" s="1" t="s">
        <v>784</v>
      </c>
      <c r="S1061" s="1" t="s">
        <v>79</v>
      </c>
      <c r="T1061" s="5">
        <v>180</v>
      </c>
      <c r="U1061" s="4">
        <v>8</v>
      </c>
      <c r="V1061" s="5">
        <v>270</v>
      </c>
      <c r="W1061" s="6"/>
      <c r="X1061" s="6"/>
      <c r="Y1061" s="6"/>
      <c r="Z1061" s="6"/>
      <c r="AA1061" s="6"/>
      <c r="AB1061" s="6"/>
      <c r="AC1061" s="6"/>
      <c r="AD1061" s="6">
        <v>44598</v>
      </c>
    </row>
    <row r="1062" spans="1:30">
      <c r="A1062" s="1" t="s">
        <v>772</v>
      </c>
      <c r="B1062" s="1" t="s">
        <v>773</v>
      </c>
      <c r="C1062" s="1" t="s">
        <v>904</v>
      </c>
      <c r="D1062" s="1" t="s">
        <v>145</v>
      </c>
      <c r="E1062" s="1" t="str">
        <f t="shared" si="16"/>
        <v>W03</v>
      </c>
      <c r="F1062" s="5">
        <v>10.119999999999999</v>
      </c>
      <c r="G1062" s="5">
        <v>8.26</v>
      </c>
      <c r="H1062" s="5">
        <v>8.26</v>
      </c>
      <c r="I1062" s="5"/>
      <c r="J1062" s="1" t="s">
        <v>775</v>
      </c>
      <c r="K1062" s="1" t="s">
        <v>1562</v>
      </c>
      <c r="L1062" s="1" t="s">
        <v>79</v>
      </c>
      <c r="M1062" s="1" t="s">
        <v>79</v>
      </c>
      <c r="N1062" s="1" t="s">
        <v>79</v>
      </c>
      <c r="O1062" s="6">
        <v>44529</v>
      </c>
      <c r="P1062" s="6">
        <v>44529</v>
      </c>
      <c r="Q1062" s="6">
        <v>44529</v>
      </c>
      <c r="R1062" s="1" t="s">
        <v>784</v>
      </c>
      <c r="S1062" s="1" t="s">
        <v>79</v>
      </c>
      <c r="T1062" s="5">
        <v>180</v>
      </c>
      <c r="U1062" s="4">
        <v>8</v>
      </c>
      <c r="V1062" s="5">
        <v>266</v>
      </c>
      <c r="W1062" s="6"/>
      <c r="X1062" s="6"/>
      <c r="Y1062" s="6"/>
      <c r="Z1062" s="6"/>
      <c r="AA1062" s="6"/>
      <c r="AB1062" s="6"/>
      <c r="AC1062" s="6"/>
      <c r="AD1062" s="6">
        <v>44580</v>
      </c>
    </row>
    <row r="1063" spans="1:30">
      <c r="A1063" s="1" t="s">
        <v>772</v>
      </c>
      <c r="B1063" s="1" t="s">
        <v>773</v>
      </c>
      <c r="C1063" s="1" t="s">
        <v>904</v>
      </c>
      <c r="D1063" s="1" t="s">
        <v>146</v>
      </c>
      <c r="E1063" s="1" t="str">
        <f t="shared" si="16"/>
        <v>W03</v>
      </c>
      <c r="F1063" s="5">
        <v>4.18</v>
      </c>
      <c r="G1063" s="5">
        <v>3.37</v>
      </c>
      <c r="H1063" s="5">
        <v>3.37</v>
      </c>
      <c r="I1063" s="5"/>
      <c r="J1063" s="1" t="s">
        <v>775</v>
      </c>
      <c r="K1063" s="1" t="s">
        <v>1562</v>
      </c>
      <c r="L1063" s="1" t="s">
        <v>79</v>
      </c>
      <c r="M1063" s="1" t="s">
        <v>79</v>
      </c>
      <c r="N1063" s="1" t="s">
        <v>79</v>
      </c>
      <c r="O1063" s="6">
        <v>44530</v>
      </c>
      <c r="P1063" s="6">
        <v>44529</v>
      </c>
      <c r="Q1063" s="6">
        <v>44529</v>
      </c>
      <c r="R1063" s="1" t="s">
        <v>784</v>
      </c>
      <c r="S1063" s="1" t="s">
        <v>79</v>
      </c>
      <c r="T1063" s="5">
        <v>180</v>
      </c>
      <c r="U1063" s="4">
        <v>8</v>
      </c>
      <c r="V1063" s="5">
        <v>266</v>
      </c>
      <c r="W1063" s="6"/>
      <c r="X1063" s="6"/>
      <c r="Y1063" s="6"/>
      <c r="Z1063" s="6"/>
      <c r="AA1063" s="6"/>
      <c r="AB1063" s="6"/>
      <c r="AC1063" s="6"/>
      <c r="AD1063" s="6">
        <v>44582</v>
      </c>
    </row>
    <row r="1064" spans="1:30">
      <c r="A1064" s="1" t="s">
        <v>772</v>
      </c>
      <c r="B1064" s="1" t="s">
        <v>773</v>
      </c>
      <c r="C1064" s="1" t="s">
        <v>989</v>
      </c>
      <c r="D1064" s="1" t="s">
        <v>1572</v>
      </c>
      <c r="E1064" s="1" t="str">
        <f t="shared" si="16"/>
        <v>W05</v>
      </c>
      <c r="F1064" s="5">
        <v>0</v>
      </c>
      <c r="G1064" s="5">
        <v>0</v>
      </c>
      <c r="H1064" s="5">
        <v>0</v>
      </c>
      <c r="I1064" s="5"/>
      <c r="J1064" s="1" t="s">
        <v>775</v>
      </c>
      <c r="K1064" s="1" t="s">
        <v>1562</v>
      </c>
      <c r="L1064" s="1" t="s">
        <v>79</v>
      </c>
      <c r="M1064" s="1" t="s">
        <v>79</v>
      </c>
      <c r="N1064" s="1" t="s">
        <v>79</v>
      </c>
      <c r="O1064" s="6">
        <v>44530</v>
      </c>
      <c r="P1064" s="6">
        <v>44529</v>
      </c>
      <c r="Q1064" s="6">
        <v>44529</v>
      </c>
      <c r="R1064" s="1" t="s">
        <v>784</v>
      </c>
      <c r="S1064" s="1" t="s">
        <v>79</v>
      </c>
      <c r="T1064" s="5">
        <v>180</v>
      </c>
      <c r="U1064" s="4">
        <v>8</v>
      </c>
      <c r="V1064" s="5">
        <v>266</v>
      </c>
      <c r="W1064" s="6"/>
      <c r="X1064" s="6"/>
      <c r="Y1064" s="6"/>
      <c r="Z1064" s="6"/>
      <c r="AA1064" s="6"/>
      <c r="AB1064" s="6"/>
      <c r="AC1064" s="6"/>
      <c r="AD1064" s="6">
        <v>44598</v>
      </c>
    </row>
    <row r="1065" spans="1:30">
      <c r="A1065" s="1" t="s">
        <v>772</v>
      </c>
      <c r="B1065" s="1" t="s">
        <v>773</v>
      </c>
      <c r="C1065" s="1" t="s">
        <v>989</v>
      </c>
      <c r="D1065" s="1" t="s">
        <v>1573</v>
      </c>
      <c r="E1065" s="1" t="str">
        <f t="shared" si="16"/>
        <v>W05</v>
      </c>
      <c r="F1065" s="5">
        <v>0</v>
      </c>
      <c r="G1065" s="5">
        <v>0</v>
      </c>
      <c r="H1065" s="5">
        <v>0</v>
      </c>
      <c r="I1065" s="5"/>
      <c r="J1065" s="1" t="s">
        <v>775</v>
      </c>
      <c r="K1065" s="1" t="s">
        <v>1574</v>
      </c>
      <c r="L1065" s="1" t="s">
        <v>79</v>
      </c>
      <c r="M1065" s="1" t="s">
        <v>79</v>
      </c>
      <c r="N1065" s="1" t="s">
        <v>79</v>
      </c>
      <c r="O1065" s="6">
        <v>44531</v>
      </c>
      <c r="P1065" s="6">
        <v>44531</v>
      </c>
      <c r="Q1065" s="6">
        <v>44531</v>
      </c>
      <c r="R1065" s="1" t="s">
        <v>784</v>
      </c>
      <c r="S1065" s="1" t="s">
        <v>79</v>
      </c>
      <c r="T1065" s="5">
        <v>180</v>
      </c>
      <c r="U1065" s="4">
        <v>8</v>
      </c>
      <c r="V1065" s="5">
        <v>264</v>
      </c>
      <c r="W1065" s="6"/>
      <c r="X1065" s="6"/>
      <c r="Y1065" s="6"/>
      <c r="Z1065" s="6"/>
      <c r="AA1065" s="6"/>
      <c r="AB1065" s="6"/>
      <c r="AC1065" s="6"/>
      <c r="AD1065" s="6">
        <v>44586</v>
      </c>
    </row>
    <row r="1066" spans="1:30">
      <c r="A1066" s="1" t="s">
        <v>772</v>
      </c>
      <c r="B1066" s="1" t="s">
        <v>773</v>
      </c>
      <c r="C1066" s="1" t="s">
        <v>989</v>
      </c>
      <c r="D1066" s="1" t="s">
        <v>1575</v>
      </c>
      <c r="E1066" s="1" t="str">
        <f t="shared" si="16"/>
        <v>W05</v>
      </c>
      <c r="F1066" s="5">
        <v>0</v>
      </c>
      <c r="G1066" s="5">
        <v>0</v>
      </c>
      <c r="H1066" s="5">
        <v>0</v>
      </c>
      <c r="I1066" s="5"/>
      <c r="J1066" s="1" t="s">
        <v>775</v>
      </c>
      <c r="K1066" s="1" t="s">
        <v>1574</v>
      </c>
      <c r="L1066" s="1" t="s">
        <v>79</v>
      </c>
      <c r="M1066" s="1" t="s">
        <v>79</v>
      </c>
      <c r="N1066" s="1" t="s">
        <v>79</v>
      </c>
      <c r="O1066" s="6">
        <v>44536</v>
      </c>
      <c r="P1066" s="6">
        <v>44536</v>
      </c>
      <c r="Q1066" s="6">
        <v>44536</v>
      </c>
      <c r="R1066" s="1" t="s">
        <v>784</v>
      </c>
      <c r="S1066" s="1" t="s">
        <v>79</v>
      </c>
      <c r="T1066" s="5">
        <v>180</v>
      </c>
      <c r="U1066" s="4">
        <v>8</v>
      </c>
      <c r="V1066" s="5">
        <v>259</v>
      </c>
      <c r="W1066" s="6"/>
      <c r="X1066" s="6"/>
      <c r="Y1066" s="6"/>
      <c r="Z1066" s="6"/>
      <c r="AA1066" s="6"/>
      <c r="AB1066" s="6"/>
      <c r="AC1066" s="6"/>
      <c r="AD1066" s="6">
        <v>44603</v>
      </c>
    </row>
    <row r="1067" spans="1:30">
      <c r="A1067" s="1" t="s">
        <v>772</v>
      </c>
      <c r="B1067" s="1" t="s">
        <v>773</v>
      </c>
      <c r="C1067" s="1" t="s">
        <v>989</v>
      </c>
      <c r="D1067" s="1" t="s">
        <v>1576</v>
      </c>
      <c r="E1067" s="1" t="str">
        <f t="shared" si="16"/>
        <v>W05</v>
      </c>
      <c r="F1067" s="5">
        <v>0</v>
      </c>
      <c r="G1067" s="5">
        <v>0</v>
      </c>
      <c r="H1067" s="5">
        <v>0</v>
      </c>
      <c r="I1067" s="5"/>
      <c r="J1067" s="1" t="s">
        <v>775</v>
      </c>
      <c r="K1067" s="1" t="s">
        <v>1574</v>
      </c>
      <c r="L1067" s="1" t="s">
        <v>79</v>
      </c>
      <c r="M1067" s="1" t="s">
        <v>79</v>
      </c>
      <c r="N1067" s="1" t="s">
        <v>79</v>
      </c>
      <c r="O1067" s="6">
        <v>44536</v>
      </c>
      <c r="P1067" s="6">
        <v>44536</v>
      </c>
      <c r="Q1067" s="6">
        <v>44536</v>
      </c>
      <c r="R1067" s="1" t="s">
        <v>784</v>
      </c>
      <c r="S1067" s="1" t="s">
        <v>79</v>
      </c>
      <c r="T1067" s="5">
        <v>180</v>
      </c>
      <c r="U1067" s="4">
        <v>8</v>
      </c>
      <c r="V1067" s="5">
        <v>259</v>
      </c>
      <c r="W1067" s="6"/>
      <c r="X1067" s="6"/>
      <c r="Y1067" s="6"/>
      <c r="Z1067" s="6"/>
      <c r="AA1067" s="6"/>
      <c r="AB1067" s="6"/>
      <c r="AC1067" s="6"/>
      <c r="AD1067" s="6">
        <v>44604</v>
      </c>
    </row>
    <row r="1068" spans="1:30">
      <c r="A1068" s="1" t="s">
        <v>772</v>
      </c>
      <c r="B1068" s="1" t="s">
        <v>773</v>
      </c>
      <c r="C1068" s="1" t="s">
        <v>989</v>
      </c>
      <c r="D1068" s="1" t="s">
        <v>1577</v>
      </c>
      <c r="E1068" s="1" t="str">
        <f t="shared" si="16"/>
        <v>W05</v>
      </c>
      <c r="F1068" s="5">
        <v>0</v>
      </c>
      <c r="G1068" s="5">
        <v>0</v>
      </c>
      <c r="H1068" s="5">
        <v>0</v>
      </c>
      <c r="I1068" s="5"/>
      <c r="J1068" s="1" t="s">
        <v>775</v>
      </c>
      <c r="K1068" s="1" t="s">
        <v>1574</v>
      </c>
      <c r="L1068" s="1" t="s">
        <v>79</v>
      </c>
      <c r="M1068" s="1" t="s">
        <v>79</v>
      </c>
      <c r="N1068" s="1" t="s">
        <v>79</v>
      </c>
      <c r="O1068" s="6">
        <v>44536</v>
      </c>
      <c r="P1068" s="6">
        <v>44536</v>
      </c>
      <c r="Q1068" s="6">
        <v>44536</v>
      </c>
      <c r="R1068" s="1" t="s">
        <v>784</v>
      </c>
      <c r="S1068" s="1" t="s">
        <v>79</v>
      </c>
      <c r="T1068" s="5">
        <v>180</v>
      </c>
      <c r="U1068" s="4">
        <v>8</v>
      </c>
      <c r="V1068" s="5">
        <v>259</v>
      </c>
      <c r="W1068" s="6"/>
      <c r="X1068" s="6"/>
      <c r="Y1068" s="6"/>
      <c r="Z1068" s="6"/>
      <c r="AA1068" s="6"/>
      <c r="AB1068" s="6"/>
      <c r="AC1068" s="6"/>
      <c r="AD1068" s="6">
        <v>44548</v>
      </c>
    </row>
    <row r="1069" spans="1:30">
      <c r="A1069" s="1" t="s">
        <v>772</v>
      </c>
      <c r="B1069" s="1" t="s">
        <v>773</v>
      </c>
      <c r="C1069" s="1" t="s">
        <v>989</v>
      </c>
      <c r="D1069" s="1" t="s">
        <v>1578</v>
      </c>
      <c r="E1069" s="1" t="str">
        <f t="shared" si="16"/>
        <v>W05</v>
      </c>
      <c r="F1069" s="5">
        <v>0</v>
      </c>
      <c r="G1069" s="5">
        <v>0</v>
      </c>
      <c r="H1069" s="5">
        <v>0</v>
      </c>
      <c r="I1069" s="5"/>
      <c r="J1069" s="1" t="s">
        <v>775</v>
      </c>
      <c r="K1069" s="1" t="s">
        <v>1574</v>
      </c>
      <c r="L1069" s="1" t="s">
        <v>79</v>
      </c>
      <c r="M1069" s="1" t="s">
        <v>79</v>
      </c>
      <c r="N1069" s="1" t="s">
        <v>79</v>
      </c>
      <c r="O1069" s="6">
        <v>44544</v>
      </c>
      <c r="P1069" s="6">
        <v>44544</v>
      </c>
      <c r="Q1069" s="6">
        <v>44544</v>
      </c>
      <c r="R1069" s="1" t="s">
        <v>784</v>
      </c>
      <c r="S1069" s="1" t="s">
        <v>79</v>
      </c>
      <c r="T1069" s="5">
        <v>180</v>
      </c>
      <c r="U1069" s="4">
        <v>8</v>
      </c>
      <c r="V1069" s="5">
        <v>251</v>
      </c>
      <c r="W1069" s="6"/>
      <c r="X1069" s="6"/>
      <c r="Y1069" s="6"/>
      <c r="Z1069" s="6"/>
      <c r="AA1069" s="6"/>
      <c r="AB1069" s="6"/>
      <c r="AC1069" s="6"/>
      <c r="AD1069" s="6">
        <v>44590</v>
      </c>
    </row>
    <row r="1070" spans="1:30">
      <c r="A1070" s="1" t="s">
        <v>772</v>
      </c>
      <c r="B1070" s="1" t="s">
        <v>917</v>
      </c>
      <c r="C1070" s="1" t="s">
        <v>989</v>
      </c>
      <c r="D1070" s="1" t="s">
        <v>1579</v>
      </c>
      <c r="E1070" s="1" t="str">
        <f t="shared" si="16"/>
        <v>W05</v>
      </c>
      <c r="F1070" s="5">
        <v>4.21</v>
      </c>
      <c r="G1070" s="5">
        <v>3.64</v>
      </c>
      <c r="H1070" s="5">
        <v>3.64</v>
      </c>
      <c r="I1070" s="5"/>
      <c r="J1070" s="1" t="s">
        <v>775</v>
      </c>
      <c r="K1070" s="1" t="s">
        <v>1574</v>
      </c>
      <c r="L1070" s="1" t="s">
        <v>79</v>
      </c>
      <c r="M1070" s="1" t="s">
        <v>79</v>
      </c>
      <c r="N1070" s="1" t="s">
        <v>79</v>
      </c>
      <c r="O1070" s="6">
        <v>44544</v>
      </c>
      <c r="P1070" s="6">
        <v>44544</v>
      </c>
      <c r="Q1070" s="6">
        <v>44544</v>
      </c>
      <c r="R1070" s="1" t="s">
        <v>784</v>
      </c>
      <c r="S1070" s="1" t="s">
        <v>79</v>
      </c>
      <c r="T1070" s="5">
        <v>180</v>
      </c>
      <c r="U1070" s="4">
        <v>8</v>
      </c>
      <c r="V1070" s="5">
        <v>251</v>
      </c>
      <c r="W1070" s="6"/>
      <c r="X1070" s="6"/>
      <c r="Y1070" s="6"/>
      <c r="Z1070" s="6"/>
      <c r="AA1070" s="6"/>
      <c r="AB1070" s="6"/>
      <c r="AC1070" s="6"/>
      <c r="AD1070" s="6">
        <v>44603</v>
      </c>
    </row>
    <row r="1071" spans="1:30">
      <c r="A1071" s="1" t="s">
        <v>772</v>
      </c>
      <c r="B1071" s="1" t="s">
        <v>917</v>
      </c>
      <c r="C1071" s="1" t="s">
        <v>989</v>
      </c>
      <c r="D1071" s="1" t="s">
        <v>1580</v>
      </c>
      <c r="E1071" s="1" t="str">
        <f t="shared" si="16"/>
        <v>W05</v>
      </c>
      <c r="F1071" s="5">
        <v>1.62</v>
      </c>
      <c r="G1071" s="5">
        <v>1.3</v>
      </c>
      <c r="H1071" s="5">
        <v>1.3</v>
      </c>
      <c r="I1071" s="5"/>
      <c r="J1071" s="1" t="s">
        <v>775</v>
      </c>
      <c r="K1071" s="1" t="s">
        <v>1574</v>
      </c>
      <c r="L1071" s="1" t="s">
        <v>79</v>
      </c>
      <c r="M1071" s="1" t="s">
        <v>79</v>
      </c>
      <c r="N1071" s="1" t="s">
        <v>79</v>
      </c>
      <c r="O1071" s="6">
        <v>44546</v>
      </c>
      <c r="P1071" s="6">
        <v>44546</v>
      </c>
      <c r="Q1071" s="6">
        <v>44546</v>
      </c>
      <c r="R1071" s="1" t="s">
        <v>784</v>
      </c>
      <c r="S1071" s="1" t="s">
        <v>79</v>
      </c>
      <c r="T1071" s="5">
        <v>180</v>
      </c>
      <c r="U1071" s="4">
        <v>8</v>
      </c>
      <c r="V1071" s="5">
        <v>249</v>
      </c>
      <c r="W1071" s="6"/>
      <c r="X1071" s="6"/>
      <c r="Y1071" s="6"/>
      <c r="Z1071" s="6"/>
      <c r="AA1071" s="6"/>
      <c r="AB1071" s="6"/>
      <c r="AC1071" s="6"/>
      <c r="AD1071" s="6">
        <v>44614</v>
      </c>
    </row>
    <row r="1072" spans="1:30">
      <c r="A1072" s="1" t="s">
        <v>772</v>
      </c>
      <c r="B1072" s="1" t="s">
        <v>917</v>
      </c>
      <c r="C1072" s="1" t="s">
        <v>989</v>
      </c>
      <c r="D1072" s="1" t="s">
        <v>1581</v>
      </c>
      <c r="E1072" s="1" t="str">
        <f t="shared" si="16"/>
        <v>W05</v>
      </c>
      <c r="F1072" s="5">
        <v>1.07</v>
      </c>
      <c r="G1072" s="5">
        <v>0.91</v>
      </c>
      <c r="H1072" s="5">
        <v>0.91</v>
      </c>
      <c r="I1072" s="5"/>
      <c r="J1072" s="1" t="s">
        <v>775</v>
      </c>
      <c r="K1072" s="1" t="s">
        <v>1574</v>
      </c>
      <c r="L1072" s="1" t="s">
        <v>79</v>
      </c>
      <c r="M1072" s="1" t="s">
        <v>79</v>
      </c>
      <c r="N1072" s="1" t="s">
        <v>79</v>
      </c>
      <c r="O1072" s="6">
        <v>44548</v>
      </c>
      <c r="P1072" s="6">
        <v>44548</v>
      </c>
      <c r="Q1072" s="6">
        <v>44548</v>
      </c>
      <c r="R1072" s="1" t="s">
        <v>784</v>
      </c>
      <c r="S1072" s="1" t="s">
        <v>79</v>
      </c>
      <c r="T1072" s="5">
        <v>180</v>
      </c>
      <c r="U1072" s="4">
        <v>8</v>
      </c>
      <c r="V1072" s="5">
        <v>247</v>
      </c>
      <c r="W1072" s="6"/>
      <c r="X1072" s="6"/>
      <c r="Y1072" s="6"/>
      <c r="Z1072" s="6"/>
      <c r="AA1072" s="6"/>
      <c r="AB1072" s="6"/>
      <c r="AC1072" s="6"/>
      <c r="AD1072" s="6">
        <v>44611</v>
      </c>
    </row>
    <row r="1073" spans="1:30">
      <c r="A1073" s="1" t="s">
        <v>772</v>
      </c>
      <c r="B1073" s="1" t="s">
        <v>773</v>
      </c>
      <c r="C1073" s="1" t="s">
        <v>904</v>
      </c>
      <c r="D1073" s="1" t="s">
        <v>1582</v>
      </c>
      <c r="E1073" s="1" t="str">
        <f t="shared" si="16"/>
        <v>W03</v>
      </c>
      <c r="F1073" s="5">
        <v>1.22</v>
      </c>
      <c r="G1073" s="5">
        <v>1.22</v>
      </c>
      <c r="H1073" s="5">
        <v>1.22</v>
      </c>
      <c r="I1073" s="5"/>
      <c r="J1073" s="1" t="s">
        <v>775</v>
      </c>
      <c r="K1073" s="1" t="s">
        <v>1574</v>
      </c>
      <c r="L1073" s="1" t="s">
        <v>79</v>
      </c>
      <c r="M1073" s="1" t="s">
        <v>79</v>
      </c>
      <c r="N1073" s="1" t="s">
        <v>79</v>
      </c>
      <c r="O1073" s="6">
        <v>44551</v>
      </c>
      <c r="P1073" s="6">
        <v>44551</v>
      </c>
      <c r="Q1073" s="6">
        <v>44551</v>
      </c>
      <c r="R1073" s="1" t="s">
        <v>784</v>
      </c>
      <c r="S1073" s="1" t="s">
        <v>79</v>
      </c>
      <c r="T1073" s="5">
        <v>180</v>
      </c>
      <c r="U1073" s="4">
        <v>8</v>
      </c>
      <c r="V1073" s="5">
        <v>244</v>
      </c>
      <c r="W1073" s="6"/>
      <c r="X1073" s="6"/>
      <c r="Y1073" s="6"/>
      <c r="Z1073" s="6"/>
      <c r="AA1073" s="6"/>
      <c r="AB1073" s="6"/>
      <c r="AC1073" s="6"/>
      <c r="AD1073" s="6">
        <v>44601</v>
      </c>
    </row>
    <row r="1074" spans="1:30">
      <c r="A1074" s="1" t="s">
        <v>772</v>
      </c>
      <c r="B1074" s="1" t="s">
        <v>773</v>
      </c>
      <c r="C1074" s="1" t="s">
        <v>989</v>
      </c>
      <c r="D1074" s="1" t="s">
        <v>1583</v>
      </c>
      <c r="E1074" s="1" t="str">
        <f t="shared" si="16"/>
        <v>W05</v>
      </c>
      <c r="F1074" s="5">
        <v>0</v>
      </c>
      <c r="G1074" s="5">
        <v>0</v>
      </c>
      <c r="H1074" s="5">
        <v>0</v>
      </c>
      <c r="I1074" s="5"/>
      <c r="J1074" s="1" t="s">
        <v>775</v>
      </c>
      <c r="K1074" s="1" t="s">
        <v>1574</v>
      </c>
      <c r="L1074" s="1" t="s">
        <v>79</v>
      </c>
      <c r="M1074" s="1" t="s">
        <v>79</v>
      </c>
      <c r="N1074" s="1" t="s">
        <v>79</v>
      </c>
      <c r="O1074" s="6">
        <v>44554</v>
      </c>
      <c r="P1074" s="6">
        <v>44554</v>
      </c>
      <c r="Q1074" s="6">
        <v>44554</v>
      </c>
      <c r="R1074" s="1" t="s">
        <v>784</v>
      </c>
      <c r="S1074" s="1" t="s">
        <v>79</v>
      </c>
      <c r="T1074" s="5">
        <v>180</v>
      </c>
      <c r="U1074" s="4">
        <v>7</v>
      </c>
      <c r="V1074" s="5">
        <v>241</v>
      </c>
      <c r="W1074" s="6"/>
      <c r="X1074" s="6"/>
      <c r="Y1074" s="6"/>
      <c r="Z1074" s="6"/>
      <c r="AA1074" s="6"/>
      <c r="AB1074" s="6"/>
      <c r="AC1074" s="6"/>
      <c r="AD1074" s="6">
        <v>44609</v>
      </c>
    </row>
    <row r="1075" spans="1:30">
      <c r="A1075" s="1" t="s">
        <v>772</v>
      </c>
      <c r="B1075" s="1" t="s">
        <v>773</v>
      </c>
      <c r="C1075" s="1" t="s">
        <v>989</v>
      </c>
      <c r="D1075" s="1" t="s">
        <v>1584</v>
      </c>
      <c r="E1075" s="1" t="str">
        <f t="shared" si="16"/>
        <v>W05</v>
      </c>
      <c r="F1075" s="5">
        <v>0</v>
      </c>
      <c r="G1075" s="5">
        <v>0</v>
      </c>
      <c r="H1075" s="5">
        <v>0</v>
      </c>
      <c r="I1075" s="5"/>
      <c r="J1075" s="1" t="s">
        <v>775</v>
      </c>
      <c r="K1075" s="1" t="s">
        <v>1574</v>
      </c>
      <c r="L1075" s="1" t="s">
        <v>79</v>
      </c>
      <c r="M1075" s="1" t="s">
        <v>79</v>
      </c>
      <c r="N1075" s="1" t="s">
        <v>79</v>
      </c>
      <c r="O1075" s="6">
        <v>44557</v>
      </c>
      <c r="P1075" s="6">
        <v>44557</v>
      </c>
      <c r="Q1075" s="6">
        <v>44557</v>
      </c>
      <c r="R1075" s="1" t="s">
        <v>784</v>
      </c>
      <c r="S1075" s="1" t="s">
        <v>79</v>
      </c>
      <c r="T1075" s="5">
        <v>180</v>
      </c>
      <c r="U1075" s="4">
        <v>7</v>
      </c>
      <c r="V1075" s="5">
        <v>238</v>
      </c>
      <c r="W1075" s="6"/>
      <c r="X1075" s="6"/>
      <c r="Y1075" s="6"/>
      <c r="Z1075" s="6"/>
      <c r="AA1075" s="6"/>
      <c r="AB1075" s="6"/>
      <c r="AC1075" s="6"/>
      <c r="AD1075" s="6">
        <v>44624</v>
      </c>
    </row>
    <row r="1076" spans="1:30">
      <c r="A1076" s="1" t="s">
        <v>772</v>
      </c>
      <c r="B1076" s="1" t="s">
        <v>773</v>
      </c>
      <c r="C1076" s="1" t="s">
        <v>989</v>
      </c>
      <c r="D1076" s="1" t="s">
        <v>1585</v>
      </c>
      <c r="E1076" s="1" t="str">
        <f t="shared" si="16"/>
        <v>W05</v>
      </c>
      <c r="F1076" s="5">
        <v>0</v>
      </c>
      <c r="G1076" s="5">
        <v>0</v>
      </c>
      <c r="H1076" s="5">
        <v>0</v>
      </c>
      <c r="I1076" s="5"/>
      <c r="J1076" s="1" t="s">
        <v>775</v>
      </c>
      <c r="K1076" s="1" t="s">
        <v>1574</v>
      </c>
      <c r="L1076" s="1" t="s">
        <v>79</v>
      </c>
      <c r="M1076" s="1" t="s">
        <v>79</v>
      </c>
      <c r="N1076" s="1" t="s">
        <v>79</v>
      </c>
      <c r="O1076" s="6">
        <v>44561</v>
      </c>
      <c r="P1076" s="6">
        <v>44561</v>
      </c>
      <c r="Q1076" s="6">
        <v>44561</v>
      </c>
      <c r="R1076" s="1" t="s">
        <v>784</v>
      </c>
      <c r="S1076" s="1" t="s">
        <v>79</v>
      </c>
      <c r="T1076" s="5">
        <v>180</v>
      </c>
      <c r="U1076" s="4">
        <v>7</v>
      </c>
      <c r="V1076" s="5">
        <v>234</v>
      </c>
      <c r="W1076" s="6"/>
      <c r="X1076" s="6"/>
      <c r="Y1076" s="6"/>
      <c r="Z1076" s="6"/>
      <c r="AA1076" s="6"/>
      <c r="AB1076" s="6"/>
      <c r="AC1076" s="6"/>
      <c r="AD1076" s="6">
        <v>44664</v>
      </c>
    </row>
    <row r="1077" spans="1:30">
      <c r="A1077" s="1" t="s">
        <v>772</v>
      </c>
      <c r="B1077" s="1" t="s">
        <v>773</v>
      </c>
      <c r="C1077" s="1" t="s">
        <v>989</v>
      </c>
      <c r="D1077" s="1" t="s">
        <v>1586</v>
      </c>
      <c r="E1077" s="1" t="str">
        <f t="shared" si="16"/>
        <v>W05</v>
      </c>
      <c r="F1077" s="5">
        <v>0</v>
      </c>
      <c r="G1077" s="5">
        <v>0</v>
      </c>
      <c r="H1077" s="5">
        <v>0</v>
      </c>
      <c r="I1077" s="5"/>
      <c r="J1077" s="1" t="s">
        <v>775</v>
      </c>
      <c r="K1077" s="1" t="s">
        <v>1574</v>
      </c>
      <c r="L1077" s="1" t="s">
        <v>79</v>
      </c>
      <c r="M1077" s="1" t="s">
        <v>79</v>
      </c>
      <c r="N1077" s="1" t="s">
        <v>79</v>
      </c>
      <c r="O1077" s="6">
        <v>44561</v>
      </c>
      <c r="P1077" s="6">
        <v>44561</v>
      </c>
      <c r="Q1077" s="6">
        <v>44561</v>
      </c>
      <c r="R1077" s="1" t="s">
        <v>784</v>
      </c>
      <c r="S1077" s="1" t="s">
        <v>79</v>
      </c>
      <c r="T1077" s="5">
        <v>180</v>
      </c>
      <c r="U1077" s="4">
        <v>7</v>
      </c>
      <c r="V1077" s="5">
        <v>234</v>
      </c>
      <c r="W1077" s="6"/>
      <c r="X1077" s="6"/>
      <c r="Y1077" s="6"/>
      <c r="Z1077" s="6"/>
      <c r="AA1077" s="6"/>
      <c r="AB1077" s="6"/>
      <c r="AC1077" s="6"/>
      <c r="AD1077" s="6">
        <v>44624</v>
      </c>
    </row>
    <row r="1078" spans="1:30">
      <c r="A1078" s="1" t="s">
        <v>772</v>
      </c>
      <c r="B1078" s="1" t="s">
        <v>773</v>
      </c>
      <c r="C1078" s="1" t="s">
        <v>989</v>
      </c>
      <c r="D1078" s="1" t="s">
        <v>1587</v>
      </c>
      <c r="E1078" s="1" t="str">
        <f t="shared" si="16"/>
        <v>W05</v>
      </c>
      <c r="F1078" s="5">
        <v>0</v>
      </c>
      <c r="G1078" s="5">
        <v>0</v>
      </c>
      <c r="H1078" s="5">
        <v>0</v>
      </c>
      <c r="I1078" s="5"/>
      <c r="J1078" s="1" t="s">
        <v>775</v>
      </c>
      <c r="K1078" s="1" t="s">
        <v>1588</v>
      </c>
      <c r="L1078" s="1" t="s">
        <v>79</v>
      </c>
      <c r="M1078" s="1" t="s">
        <v>79</v>
      </c>
      <c r="N1078" s="1" t="s">
        <v>79</v>
      </c>
      <c r="O1078" s="6">
        <v>44564</v>
      </c>
      <c r="P1078" s="6">
        <v>44564</v>
      </c>
      <c r="Q1078" s="6">
        <v>44564</v>
      </c>
      <c r="R1078" s="1" t="s">
        <v>784</v>
      </c>
      <c r="S1078" s="1" t="s">
        <v>79</v>
      </c>
      <c r="T1078" s="5">
        <v>180</v>
      </c>
      <c r="U1078" s="4">
        <v>7</v>
      </c>
      <c r="V1078" s="5">
        <v>231</v>
      </c>
      <c r="W1078" s="6"/>
      <c r="X1078" s="6"/>
      <c r="Y1078" s="6"/>
      <c r="Z1078" s="6"/>
      <c r="AA1078" s="6"/>
      <c r="AB1078" s="6"/>
      <c r="AC1078" s="6"/>
      <c r="AD1078" s="6">
        <v>44625</v>
      </c>
    </row>
    <row r="1079" spans="1:30">
      <c r="A1079" s="1" t="s">
        <v>772</v>
      </c>
      <c r="B1079" s="1" t="s">
        <v>773</v>
      </c>
      <c r="C1079" s="1" t="s">
        <v>989</v>
      </c>
      <c r="D1079" s="1" t="s">
        <v>1589</v>
      </c>
      <c r="E1079" s="1" t="str">
        <f t="shared" si="16"/>
        <v>W05</v>
      </c>
      <c r="F1079" s="5">
        <v>0</v>
      </c>
      <c r="G1079" s="5">
        <v>0</v>
      </c>
      <c r="H1079" s="5">
        <v>0</v>
      </c>
      <c r="I1079" s="5"/>
      <c r="J1079" s="1" t="s">
        <v>775</v>
      </c>
      <c r="K1079" s="1" t="s">
        <v>1588</v>
      </c>
      <c r="L1079" s="1" t="s">
        <v>79</v>
      </c>
      <c r="M1079" s="1" t="s">
        <v>79</v>
      </c>
      <c r="N1079" s="1" t="s">
        <v>79</v>
      </c>
      <c r="O1079" s="6">
        <v>44567</v>
      </c>
      <c r="P1079" s="6">
        <v>44566</v>
      </c>
      <c r="Q1079" s="6">
        <v>44566</v>
      </c>
      <c r="R1079" s="1" t="s">
        <v>784</v>
      </c>
      <c r="S1079" s="1" t="s">
        <v>79</v>
      </c>
      <c r="T1079" s="5">
        <v>180</v>
      </c>
      <c r="U1079" s="4">
        <v>7</v>
      </c>
      <c r="V1079" s="5">
        <v>229</v>
      </c>
      <c r="W1079" s="6"/>
      <c r="X1079" s="6"/>
      <c r="Y1079" s="6"/>
      <c r="Z1079" s="6"/>
      <c r="AA1079" s="6"/>
      <c r="AB1079" s="6"/>
      <c r="AC1079" s="6"/>
      <c r="AD1079" s="6">
        <v>44629</v>
      </c>
    </row>
    <row r="1080" spans="1:30">
      <c r="A1080" s="1" t="s">
        <v>772</v>
      </c>
      <c r="B1080" s="1" t="s">
        <v>773</v>
      </c>
      <c r="C1080" s="1" t="s">
        <v>774</v>
      </c>
      <c r="D1080" s="1" t="s">
        <v>1590</v>
      </c>
      <c r="E1080" s="1" t="str">
        <f t="shared" si="16"/>
        <v>W01</v>
      </c>
      <c r="F1080" s="5">
        <v>0.52</v>
      </c>
      <c r="G1080" s="5">
        <v>0.52</v>
      </c>
      <c r="H1080" s="5">
        <v>0.52</v>
      </c>
      <c r="I1080" s="5"/>
      <c r="J1080" s="1" t="s">
        <v>775</v>
      </c>
      <c r="K1080" s="1" t="s">
        <v>1588</v>
      </c>
      <c r="L1080" s="1" t="s">
        <v>79</v>
      </c>
      <c r="M1080" s="1" t="s">
        <v>79</v>
      </c>
      <c r="N1080" s="1" t="s">
        <v>79</v>
      </c>
      <c r="O1080" s="6">
        <v>44567</v>
      </c>
      <c r="P1080" s="6">
        <v>44566</v>
      </c>
      <c r="Q1080" s="6">
        <v>44566</v>
      </c>
      <c r="R1080" s="1" t="s">
        <v>784</v>
      </c>
      <c r="S1080" s="1" t="s">
        <v>79</v>
      </c>
      <c r="T1080" s="5">
        <v>180</v>
      </c>
      <c r="U1080" s="4">
        <v>7</v>
      </c>
      <c r="V1080" s="5">
        <v>229</v>
      </c>
      <c r="W1080" s="6"/>
      <c r="X1080" s="6"/>
      <c r="Y1080" s="6"/>
      <c r="Z1080" s="6"/>
      <c r="AA1080" s="6"/>
      <c r="AB1080" s="6"/>
      <c r="AC1080" s="6"/>
      <c r="AD1080" s="6">
        <v>44630</v>
      </c>
    </row>
    <row r="1081" spans="1:30">
      <c r="A1081" s="1" t="s">
        <v>772</v>
      </c>
      <c r="B1081" s="1" t="s">
        <v>773</v>
      </c>
      <c r="C1081" s="1" t="s">
        <v>774</v>
      </c>
      <c r="D1081" s="1" t="s">
        <v>672</v>
      </c>
      <c r="E1081" s="1" t="str">
        <f t="shared" si="16"/>
        <v>W01</v>
      </c>
      <c r="F1081" s="5">
        <v>0.48</v>
      </c>
      <c r="G1081" s="5">
        <v>0.48</v>
      </c>
      <c r="H1081" s="5">
        <v>0.48</v>
      </c>
      <c r="I1081" s="5"/>
      <c r="J1081" s="1" t="s">
        <v>775</v>
      </c>
      <c r="K1081" s="1" t="s">
        <v>1588</v>
      </c>
      <c r="L1081" s="1" t="s">
        <v>79</v>
      </c>
      <c r="M1081" s="1" t="s">
        <v>79</v>
      </c>
      <c r="N1081" s="1" t="s">
        <v>79</v>
      </c>
      <c r="O1081" s="6">
        <v>44569</v>
      </c>
      <c r="P1081" s="6">
        <v>44568</v>
      </c>
      <c r="Q1081" s="6">
        <v>44568</v>
      </c>
      <c r="R1081" s="1" t="s">
        <v>784</v>
      </c>
      <c r="S1081" s="1" t="s">
        <v>79</v>
      </c>
      <c r="T1081" s="5">
        <v>180</v>
      </c>
      <c r="U1081" s="4">
        <v>7</v>
      </c>
      <c r="V1081" s="5">
        <v>227</v>
      </c>
      <c r="W1081" s="6"/>
      <c r="X1081" s="6"/>
      <c r="Y1081" s="6"/>
      <c r="Z1081" s="6"/>
      <c r="AA1081" s="6"/>
      <c r="AB1081" s="6"/>
      <c r="AC1081" s="6"/>
      <c r="AD1081" s="6">
        <v>44610</v>
      </c>
    </row>
    <row r="1082" spans="1:30">
      <c r="A1082" s="1" t="s">
        <v>772</v>
      </c>
      <c r="B1082" s="1" t="s">
        <v>773</v>
      </c>
      <c r="C1082" s="1" t="s">
        <v>858</v>
      </c>
      <c r="D1082" s="1" t="s">
        <v>1591</v>
      </c>
      <c r="E1082" s="1" t="str">
        <f t="shared" si="16"/>
        <v>W04</v>
      </c>
      <c r="F1082" s="5">
        <v>11.04</v>
      </c>
      <c r="G1082" s="5">
        <v>8.8800000000000008</v>
      </c>
      <c r="H1082" s="5">
        <v>8.8800000000000008</v>
      </c>
      <c r="I1082" s="5"/>
      <c r="J1082" s="1" t="s">
        <v>775</v>
      </c>
      <c r="K1082" s="1" t="s">
        <v>1588</v>
      </c>
      <c r="L1082" s="1" t="s">
        <v>79</v>
      </c>
      <c r="M1082" s="1" t="s">
        <v>79</v>
      </c>
      <c r="N1082" s="1" t="s">
        <v>79</v>
      </c>
      <c r="O1082" s="6">
        <v>44569</v>
      </c>
      <c r="P1082" s="6">
        <v>44569</v>
      </c>
      <c r="Q1082" s="6">
        <v>44569</v>
      </c>
      <c r="R1082" s="1" t="s">
        <v>784</v>
      </c>
      <c r="S1082" s="1" t="s">
        <v>79</v>
      </c>
      <c r="T1082" s="5">
        <v>180</v>
      </c>
      <c r="U1082" s="4">
        <v>7</v>
      </c>
      <c r="V1082" s="5">
        <v>226</v>
      </c>
      <c r="W1082" s="6"/>
      <c r="X1082" s="6"/>
      <c r="Y1082" s="6"/>
      <c r="Z1082" s="6"/>
      <c r="AA1082" s="6"/>
      <c r="AB1082" s="6"/>
      <c r="AC1082" s="6"/>
      <c r="AD1082" s="6">
        <v>44617</v>
      </c>
    </row>
    <row r="1083" spans="1:30">
      <c r="A1083" s="1" t="s">
        <v>772</v>
      </c>
      <c r="B1083" s="1" t="s">
        <v>773</v>
      </c>
      <c r="C1083" s="1" t="s">
        <v>858</v>
      </c>
      <c r="D1083" s="1" t="s">
        <v>682</v>
      </c>
      <c r="E1083" s="1" t="str">
        <f t="shared" si="16"/>
        <v>W04</v>
      </c>
      <c r="F1083" s="5">
        <v>8</v>
      </c>
      <c r="G1083" s="5">
        <v>6.52</v>
      </c>
      <c r="H1083" s="5">
        <v>6.52</v>
      </c>
      <c r="I1083" s="5"/>
      <c r="J1083" s="1" t="s">
        <v>775</v>
      </c>
      <c r="K1083" s="1" t="s">
        <v>1588</v>
      </c>
      <c r="L1083" s="1" t="s">
        <v>79</v>
      </c>
      <c r="M1083" s="1" t="s">
        <v>79</v>
      </c>
      <c r="N1083" s="1" t="s">
        <v>79</v>
      </c>
      <c r="O1083" s="6">
        <v>44572</v>
      </c>
      <c r="P1083" s="6">
        <v>44572</v>
      </c>
      <c r="Q1083" s="6">
        <v>44572</v>
      </c>
      <c r="R1083" s="1" t="s">
        <v>784</v>
      </c>
      <c r="S1083" s="1" t="s">
        <v>79</v>
      </c>
      <c r="T1083" s="5">
        <v>180</v>
      </c>
      <c r="U1083" s="4">
        <v>7</v>
      </c>
      <c r="V1083" s="5">
        <v>223</v>
      </c>
      <c r="W1083" s="6"/>
      <c r="X1083" s="6"/>
      <c r="Y1083" s="6"/>
      <c r="Z1083" s="6"/>
      <c r="AA1083" s="6"/>
      <c r="AB1083" s="6"/>
      <c r="AC1083" s="6"/>
      <c r="AD1083" s="6">
        <v>44631</v>
      </c>
    </row>
    <row r="1084" spans="1:30">
      <c r="A1084" s="1" t="s">
        <v>772</v>
      </c>
      <c r="B1084" s="1" t="s">
        <v>773</v>
      </c>
      <c r="C1084" s="1" t="s">
        <v>904</v>
      </c>
      <c r="D1084" s="1" t="s">
        <v>1592</v>
      </c>
      <c r="E1084" s="1" t="str">
        <f t="shared" si="16"/>
        <v>W03</v>
      </c>
      <c r="F1084" s="5">
        <v>6.14</v>
      </c>
      <c r="G1084" s="5">
        <v>4.9800000000000004</v>
      </c>
      <c r="H1084" s="5">
        <v>4.9800000000000004</v>
      </c>
      <c r="I1084" s="5"/>
      <c r="J1084" s="1" t="s">
        <v>775</v>
      </c>
      <c r="K1084" s="1" t="s">
        <v>1588</v>
      </c>
      <c r="L1084" s="1" t="s">
        <v>79</v>
      </c>
      <c r="M1084" s="1" t="s">
        <v>79</v>
      </c>
      <c r="N1084" s="1" t="s">
        <v>79</v>
      </c>
      <c r="O1084" s="6">
        <v>44574</v>
      </c>
      <c r="P1084" s="6">
        <v>44573</v>
      </c>
      <c r="Q1084" s="6">
        <v>44573</v>
      </c>
      <c r="R1084" s="1" t="s">
        <v>784</v>
      </c>
      <c r="S1084" s="1" t="s">
        <v>79</v>
      </c>
      <c r="T1084" s="5">
        <v>180</v>
      </c>
      <c r="U1084" s="4">
        <v>7</v>
      </c>
      <c r="V1084" s="5">
        <v>222</v>
      </c>
      <c r="W1084" s="6"/>
      <c r="X1084" s="6"/>
      <c r="Y1084" s="6"/>
      <c r="Z1084" s="6"/>
      <c r="AA1084" s="6"/>
      <c r="AB1084" s="6"/>
      <c r="AC1084" s="6"/>
      <c r="AD1084" s="6">
        <v>44609</v>
      </c>
    </row>
    <row r="1085" spans="1:30">
      <c r="A1085" s="1" t="s">
        <v>772</v>
      </c>
      <c r="B1085" s="1" t="s">
        <v>773</v>
      </c>
      <c r="C1085" s="1" t="s">
        <v>904</v>
      </c>
      <c r="D1085" s="1" t="s">
        <v>1593</v>
      </c>
      <c r="E1085" s="1" t="str">
        <f t="shared" si="16"/>
        <v>W03</v>
      </c>
      <c r="F1085" s="5">
        <v>6.12</v>
      </c>
      <c r="G1085" s="5">
        <v>4.95</v>
      </c>
      <c r="H1085" s="5">
        <v>3.61</v>
      </c>
      <c r="I1085" s="5"/>
      <c r="J1085" s="1" t="s">
        <v>775</v>
      </c>
      <c r="K1085" s="1" t="s">
        <v>1588</v>
      </c>
      <c r="L1085" s="1" t="s">
        <v>79</v>
      </c>
      <c r="M1085" s="1" t="s">
        <v>79</v>
      </c>
      <c r="N1085" s="1" t="s">
        <v>79</v>
      </c>
      <c r="O1085" s="6">
        <v>44575</v>
      </c>
      <c r="P1085" s="6">
        <v>44575</v>
      </c>
      <c r="Q1085" s="6">
        <v>44575</v>
      </c>
      <c r="R1085" s="1" t="s">
        <v>784</v>
      </c>
      <c r="S1085" s="1" t="s">
        <v>79</v>
      </c>
      <c r="T1085" s="5">
        <v>180</v>
      </c>
      <c r="U1085" s="4">
        <v>7</v>
      </c>
      <c r="V1085" s="5">
        <v>220</v>
      </c>
      <c r="W1085" s="6"/>
      <c r="X1085" s="6"/>
      <c r="Y1085" s="6"/>
      <c r="Z1085" s="6"/>
      <c r="AA1085" s="6"/>
      <c r="AB1085" s="6"/>
      <c r="AC1085" s="6"/>
      <c r="AD1085" s="6">
        <v>44624</v>
      </c>
    </row>
    <row r="1086" spans="1:30">
      <c r="A1086" s="1" t="s">
        <v>772</v>
      </c>
      <c r="B1086" s="1" t="s">
        <v>773</v>
      </c>
      <c r="C1086" s="1" t="s">
        <v>904</v>
      </c>
      <c r="D1086" s="1" t="s">
        <v>1594</v>
      </c>
      <c r="E1086" s="1" t="str">
        <f t="shared" si="16"/>
        <v>W03</v>
      </c>
      <c r="F1086" s="5">
        <v>5.74</v>
      </c>
      <c r="G1086" s="5">
        <v>4.53</v>
      </c>
      <c r="H1086" s="5">
        <v>4.13</v>
      </c>
      <c r="I1086" s="5"/>
      <c r="J1086" s="1" t="s">
        <v>775</v>
      </c>
      <c r="K1086" s="1" t="s">
        <v>1588</v>
      </c>
      <c r="L1086" s="1" t="s">
        <v>79</v>
      </c>
      <c r="M1086" s="1" t="s">
        <v>79</v>
      </c>
      <c r="N1086" s="1" t="s">
        <v>79</v>
      </c>
      <c r="O1086" s="6">
        <v>44578</v>
      </c>
      <c r="P1086" s="6">
        <v>44578</v>
      </c>
      <c r="Q1086" s="6">
        <v>44578</v>
      </c>
      <c r="R1086" s="1" t="s">
        <v>784</v>
      </c>
      <c r="S1086" s="1" t="s">
        <v>79</v>
      </c>
      <c r="T1086" s="5">
        <v>180</v>
      </c>
      <c r="U1086" s="4">
        <v>7</v>
      </c>
      <c r="V1086" s="5">
        <v>217</v>
      </c>
      <c r="W1086" s="6"/>
      <c r="X1086" s="6"/>
      <c r="Y1086" s="6"/>
      <c r="Z1086" s="6"/>
      <c r="AA1086" s="6"/>
      <c r="AB1086" s="6"/>
      <c r="AC1086" s="6"/>
      <c r="AD1086" s="6">
        <v>44612</v>
      </c>
    </row>
    <row r="1087" spans="1:30">
      <c r="A1087" s="1" t="s">
        <v>772</v>
      </c>
      <c r="B1087" s="1" t="s">
        <v>773</v>
      </c>
      <c r="C1087" s="1" t="s">
        <v>989</v>
      </c>
      <c r="D1087" s="1" t="s">
        <v>1595</v>
      </c>
      <c r="E1087" s="1" t="str">
        <f t="shared" si="16"/>
        <v>W05</v>
      </c>
      <c r="F1087" s="5">
        <v>0</v>
      </c>
      <c r="G1087" s="5">
        <v>0</v>
      </c>
      <c r="H1087" s="5">
        <v>0</v>
      </c>
      <c r="I1087" s="5"/>
      <c r="J1087" s="1" t="s">
        <v>775</v>
      </c>
      <c r="K1087" s="1" t="s">
        <v>1588</v>
      </c>
      <c r="L1087" s="1" t="s">
        <v>79</v>
      </c>
      <c r="M1087" s="1" t="s">
        <v>79</v>
      </c>
      <c r="N1087" s="1" t="s">
        <v>79</v>
      </c>
      <c r="O1087" s="6">
        <v>44581</v>
      </c>
      <c r="P1087" s="6">
        <v>44580</v>
      </c>
      <c r="Q1087" s="6">
        <v>44580</v>
      </c>
      <c r="R1087" s="1" t="s">
        <v>784</v>
      </c>
      <c r="S1087" s="1" t="s">
        <v>79</v>
      </c>
      <c r="T1087" s="5">
        <v>180</v>
      </c>
      <c r="U1087" s="4">
        <v>7</v>
      </c>
      <c r="V1087" s="5">
        <v>215</v>
      </c>
      <c r="W1087" s="6"/>
      <c r="X1087" s="6"/>
      <c r="Y1087" s="6"/>
      <c r="Z1087" s="6"/>
      <c r="AA1087" s="6"/>
      <c r="AB1087" s="6"/>
      <c r="AC1087" s="6"/>
      <c r="AD1087" s="6">
        <v>44629</v>
      </c>
    </row>
    <row r="1088" spans="1:30">
      <c r="A1088" s="1" t="s">
        <v>772</v>
      </c>
      <c r="B1088" s="1" t="s">
        <v>773</v>
      </c>
      <c r="C1088" s="1" t="s">
        <v>989</v>
      </c>
      <c r="D1088" s="1" t="s">
        <v>1596</v>
      </c>
      <c r="E1088" s="1" t="str">
        <f t="shared" si="16"/>
        <v>W05</v>
      </c>
      <c r="F1088" s="5">
        <v>0</v>
      </c>
      <c r="G1088" s="5">
        <v>0</v>
      </c>
      <c r="H1088" s="5">
        <v>0</v>
      </c>
      <c r="I1088" s="5"/>
      <c r="J1088" s="1" t="s">
        <v>775</v>
      </c>
      <c r="K1088" s="1" t="s">
        <v>1588</v>
      </c>
      <c r="L1088" s="1" t="s">
        <v>79</v>
      </c>
      <c r="M1088" s="1" t="s">
        <v>79</v>
      </c>
      <c r="N1088" s="1" t="s">
        <v>79</v>
      </c>
      <c r="O1088" s="6">
        <v>44581</v>
      </c>
      <c r="P1088" s="6">
        <v>44581</v>
      </c>
      <c r="Q1088" s="6">
        <v>44581</v>
      </c>
      <c r="R1088" s="1" t="s">
        <v>784</v>
      </c>
      <c r="S1088" s="1" t="s">
        <v>79</v>
      </c>
      <c r="T1088" s="5">
        <v>180</v>
      </c>
      <c r="U1088" s="4">
        <v>7</v>
      </c>
      <c r="V1088" s="5">
        <v>214</v>
      </c>
      <c r="W1088" s="6"/>
      <c r="X1088" s="6"/>
      <c r="Y1088" s="6"/>
      <c r="Z1088" s="6"/>
      <c r="AA1088" s="6"/>
      <c r="AB1088" s="6"/>
      <c r="AC1088" s="6"/>
      <c r="AD1088" s="6">
        <v>44644</v>
      </c>
    </row>
    <row r="1089" spans="1:30">
      <c r="A1089" s="1" t="s">
        <v>772</v>
      </c>
      <c r="B1089" s="1" t="s">
        <v>773</v>
      </c>
      <c r="C1089" s="1" t="s">
        <v>989</v>
      </c>
      <c r="D1089" s="1" t="s">
        <v>1597</v>
      </c>
      <c r="E1089" s="1" t="str">
        <f t="shared" si="16"/>
        <v>W05</v>
      </c>
      <c r="F1089" s="5">
        <v>0</v>
      </c>
      <c r="G1089" s="5">
        <v>0</v>
      </c>
      <c r="H1089" s="5">
        <v>0</v>
      </c>
      <c r="I1089" s="5"/>
      <c r="J1089" s="1" t="s">
        <v>775</v>
      </c>
      <c r="K1089" s="1" t="s">
        <v>1588</v>
      </c>
      <c r="L1089" s="1" t="s">
        <v>79</v>
      </c>
      <c r="M1089" s="1" t="s">
        <v>79</v>
      </c>
      <c r="N1089" s="1" t="s">
        <v>79</v>
      </c>
      <c r="O1089" s="6">
        <v>44585</v>
      </c>
      <c r="P1089" s="6">
        <v>44585</v>
      </c>
      <c r="Q1089" s="6">
        <v>44585</v>
      </c>
      <c r="R1089" s="1" t="s">
        <v>784</v>
      </c>
      <c r="S1089" s="1" t="s">
        <v>79</v>
      </c>
      <c r="T1089" s="5">
        <v>180</v>
      </c>
      <c r="U1089" s="4">
        <v>6</v>
      </c>
      <c r="V1089" s="5">
        <v>210</v>
      </c>
      <c r="W1089" s="6"/>
      <c r="X1089" s="6"/>
      <c r="Y1089" s="6"/>
      <c r="Z1089" s="6"/>
      <c r="AA1089" s="6"/>
      <c r="AB1089" s="6"/>
      <c r="AC1089" s="6"/>
      <c r="AD1089" s="6">
        <v>44657</v>
      </c>
    </row>
    <row r="1090" spans="1:30">
      <c r="A1090" s="1" t="s">
        <v>772</v>
      </c>
      <c r="B1090" s="1" t="s">
        <v>773</v>
      </c>
      <c r="C1090" s="1" t="s">
        <v>848</v>
      </c>
      <c r="D1090" s="1" t="s">
        <v>268</v>
      </c>
      <c r="E1090" s="1" t="str">
        <f t="shared" si="16"/>
        <v>W02</v>
      </c>
      <c r="F1090" s="5">
        <v>9.9</v>
      </c>
      <c r="G1090" s="5">
        <v>8.1</v>
      </c>
      <c r="H1090" s="5">
        <v>8.1</v>
      </c>
      <c r="I1090" s="5"/>
      <c r="J1090" s="1" t="s">
        <v>775</v>
      </c>
      <c r="K1090" s="1" t="s">
        <v>1588</v>
      </c>
      <c r="L1090" s="1" t="s">
        <v>79</v>
      </c>
      <c r="M1090" s="1" t="s">
        <v>79</v>
      </c>
      <c r="N1090" s="1" t="s">
        <v>79</v>
      </c>
      <c r="O1090" s="6">
        <v>44586</v>
      </c>
      <c r="P1090" s="6">
        <v>44586</v>
      </c>
      <c r="Q1090" s="6">
        <v>44586</v>
      </c>
      <c r="R1090" s="1" t="s">
        <v>784</v>
      </c>
      <c r="S1090" s="1" t="s">
        <v>79</v>
      </c>
      <c r="T1090" s="5">
        <v>180</v>
      </c>
      <c r="U1090" s="4">
        <v>6</v>
      </c>
      <c r="V1090" s="5">
        <v>209</v>
      </c>
      <c r="W1090" s="6"/>
      <c r="X1090" s="6"/>
      <c r="Y1090" s="6"/>
      <c r="Z1090" s="6"/>
      <c r="AA1090" s="6"/>
      <c r="AB1090" s="6"/>
      <c r="AC1090" s="6"/>
      <c r="AD1090" s="6">
        <v>44638</v>
      </c>
    </row>
    <row r="1091" spans="1:30">
      <c r="A1091" s="1" t="s">
        <v>772</v>
      </c>
      <c r="B1091" s="1" t="s">
        <v>773</v>
      </c>
      <c r="C1091" s="1" t="s">
        <v>989</v>
      </c>
      <c r="D1091" s="1" t="s">
        <v>1598</v>
      </c>
      <c r="E1091" s="1" t="str">
        <f t="shared" si="16"/>
        <v>W05</v>
      </c>
      <c r="F1091" s="5">
        <v>0</v>
      </c>
      <c r="G1091" s="5">
        <v>0</v>
      </c>
      <c r="H1091" s="5">
        <v>0</v>
      </c>
      <c r="I1091" s="5"/>
      <c r="J1091" s="1" t="s">
        <v>775</v>
      </c>
      <c r="K1091" s="1" t="s">
        <v>1588</v>
      </c>
      <c r="L1091" s="1" t="s">
        <v>79</v>
      </c>
      <c r="M1091" s="1" t="s">
        <v>79</v>
      </c>
      <c r="N1091" s="1" t="s">
        <v>79</v>
      </c>
      <c r="O1091" s="6">
        <v>44588</v>
      </c>
      <c r="P1091" s="6">
        <v>44588</v>
      </c>
      <c r="Q1091" s="6">
        <v>44588</v>
      </c>
      <c r="R1091" s="1" t="s">
        <v>784</v>
      </c>
      <c r="S1091" s="1" t="s">
        <v>79</v>
      </c>
      <c r="T1091" s="5">
        <v>180</v>
      </c>
      <c r="U1091" s="4">
        <v>6</v>
      </c>
      <c r="V1091" s="5">
        <v>207</v>
      </c>
      <c r="W1091" s="6"/>
      <c r="X1091" s="6"/>
      <c r="Y1091" s="6"/>
      <c r="Z1091" s="6"/>
      <c r="AA1091" s="6"/>
      <c r="AB1091" s="6"/>
      <c r="AC1091" s="6"/>
      <c r="AD1091" s="6">
        <v>44644</v>
      </c>
    </row>
    <row r="1092" spans="1:30">
      <c r="A1092" s="1" t="s">
        <v>772</v>
      </c>
      <c r="B1092" s="1" t="s">
        <v>773</v>
      </c>
      <c r="C1092" s="1" t="s">
        <v>989</v>
      </c>
      <c r="D1092" s="1" t="s">
        <v>1599</v>
      </c>
      <c r="E1092" s="1" t="str">
        <f t="shared" si="16"/>
        <v>W05</v>
      </c>
      <c r="F1092" s="5">
        <v>0</v>
      </c>
      <c r="G1092" s="5">
        <v>0</v>
      </c>
      <c r="H1092" s="5">
        <v>0</v>
      </c>
      <c r="I1092" s="5"/>
      <c r="J1092" s="1" t="s">
        <v>775</v>
      </c>
      <c r="K1092" s="1" t="s">
        <v>1588</v>
      </c>
      <c r="L1092" s="1" t="s">
        <v>79</v>
      </c>
      <c r="M1092" s="1" t="s">
        <v>79</v>
      </c>
      <c r="N1092" s="1" t="s">
        <v>79</v>
      </c>
      <c r="O1092" s="6">
        <v>44588</v>
      </c>
      <c r="P1092" s="6">
        <v>44588</v>
      </c>
      <c r="Q1092" s="6">
        <v>44588</v>
      </c>
      <c r="R1092" s="1" t="s">
        <v>784</v>
      </c>
      <c r="S1092" s="1" t="s">
        <v>79</v>
      </c>
      <c r="T1092" s="5">
        <v>180</v>
      </c>
      <c r="U1092" s="4">
        <v>6</v>
      </c>
      <c r="V1092" s="5">
        <v>207</v>
      </c>
      <c r="W1092" s="6"/>
      <c r="X1092" s="6"/>
      <c r="Y1092" s="6"/>
      <c r="Z1092" s="6"/>
      <c r="AA1092" s="6"/>
      <c r="AB1092" s="6"/>
      <c r="AC1092" s="6"/>
      <c r="AD1092" s="6">
        <v>44632</v>
      </c>
    </row>
    <row r="1093" spans="1:30">
      <c r="A1093" s="1" t="s">
        <v>772</v>
      </c>
      <c r="B1093" s="1" t="s">
        <v>773</v>
      </c>
      <c r="C1093" s="1" t="s">
        <v>989</v>
      </c>
      <c r="D1093" s="1" t="s">
        <v>1600</v>
      </c>
      <c r="E1093" s="1" t="str">
        <f t="shared" ref="E1093:E1156" si="17">RIGHT(C1093,3)</f>
        <v>W05</v>
      </c>
      <c r="F1093" s="5">
        <v>0</v>
      </c>
      <c r="G1093" s="5">
        <v>0</v>
      </c>
      <c r="H1093" s="5">
        <v>0</v>
      </c>
      <c r="I1093" s="5"/>
      <c r="J1093" s="1" t="s">
        <v>775</v>
      </c>
      <c r="K1093" s="1" t="s">
        <v>1588</v>
      </c>
      <c r="L1093" s="1" t="s">
        <v>79</v>
      </c>
      <c r="M1093" s="1" t="s">
        <v>79</v>
      </c>
      <c r="N1093" s="1" t="s">
        <v>79</v>
      </c>
      <c r="O1093" s="6">
        <v>44590</v>
      </c>
      <c r="P1093" s="6">
        <v>44590</v>
      </c>
      <c r="Q1093" s="6">
        <v>44590</v>
      </c>
      <c r="R1093" s="1" t="s">
        <v>784</v>
      </c>
      <c r="S1093" s="1" t="s">
        <v>79</v>
      </c>
      <c r="T1093" s="5">
        <v>180</v>
      </c>
      <c r="U1093" s="4">
        <v>6</v>
      </c>
      <c r="V1093" s="5">
        <v>205</v>
      </c>
      <c r="W1093" s="6"/>
      <c r="X1093" s="6"/>
      <c r="Y1093" s="6"/>
      <c r="Z1093" s="6"/>
      <c r="AA1093" s="6"/>
      <c r="AB1093" s="6"/>
      <c r="AC1093" s="6"/>
      <c r="AD1093" s="6">
        <v>44645</v>
      </c>
    </row>
    <row r="1094" spans="1:30">
      <c r="A1094" s="1" t="s">
        <v>772</v>
      </c>
      <c r="B1094" s="1" t="s">
        <v>773</v>
      </c>
      <c r="C1094" s="1" t="s">
        <v>989</v>
      </c>
      <c r="D1094" s="1" t="s">
        <v>1601</v>
      </c>
      <c r="E1094" s="1" t="str">
        <f t="shared" si="17"/>
        <v>W05</v>
      </c>
      <c r="F1094" s="5">
        <v>0</v>
      </c>
      <c r="G1094" s="5">
        <v>0</v>
      </c>
      <c r="H1094" s="5">
        <v>0</v>
      </c>
      <c r="I1094" s="5"/>
      <c r="J1094" s="1" t="s">
        <v>775</v>
      </c>
      <c r="K1094" s="1" t="s">
        <v>1602</v>
      </c>
      <c r="L1094" s="1" t="s">
        <v>79</v>
      </c>
      <c r="M1094" s="1" t="s">
        <v>79</v>
      </c>
      <c r="N1094" s="1" t="s">
        <v>79</v>
      </c>
      <c r="O1094" s="6">
        <v>44594</v>
      </c>
      <c r="P1094" s="6">
        <v>44590</v>
      </c>
      <c r="Q1094" s="6">
        <v>44590</v>
      </c>
      <c r="R1094" s="1" t="s">
        <v>784</v>
      </c>
      <c r="S1094" s="1" t="s">
        <v>79</v>
      </c>
      <c r="T1094" s="5">
        <v>180</v>
      </c>
      <c r="U1094" s="4">
        <v>6</v>
      </c>
      <c r="V1094" s="5">
        <v>205</v>
      </c>
      <c r="W1094" s="6"/>
      <c r="X1094" s="6"/>
      <c r="Y1094" s="6"/>
      <c r="Z1094" s="6"/>
      <c r="AA1094" s="6"/>
      <c r="AB1094" s="6"/>
      <c r="AC1094" s="6"/>
      <c r="AD1094" s="6">
        <v>44656</v>
      </c>
    </row>
    <row r="1095" spans="1:30">
      <c r="A1095" s="1" t="s">
        <v>772</v>
      </c>
      <c r="B1095" s="1" t="s">
        <v>773</v>
      </c>
      <c r="C1095" s="1" t="s">
        <v>989</v>
      </c>
      <c r="D1095" s="1" t="s">
        <v>1603</v>
      </c>
      <c r="E1095" s="1" t="str">
        <f t="shared" si="17"/>
        <v>W05</v>
      </c>
      <c r="F1095" s="5">
        <v>0</v>
      </c>
      <c r="G1095" s="5">
        <v>0</v>
      </c>
      <c r="H1095" s="5">
        <v>0</v>
      </c>
      <c r="I1095" s="5"/>
      <c r="J1095" s="1" t="s">
        <v>775</v>
      </c>
      <c r="K1095" s="1" t="s">
        <v>1602</v>
      </c>
      <c r="L1095" s="1" t="s">
        <v>79</v>
      </c>
      <c r="M1095" s="1" t="s">
        <v>79</v>
      </c>
      <c r="N1095" s="1" t="s">
        <v>79</v>
      </c>
      <c r="O1095" s="6">
        <v>44594</v>
      </c>
      <c r="P1095" s="6">
        <v>44594</v>
      </c>
      <c r="Q1095" s="6">
        <v>44594</v>
      </c>
      <c r="R1095" s="1" t="s">
        <v>784</v>
      </c>
      <c r="S1095" s="1" t="s">
        <v>79</v>
      </c>
      <c r="T1095" s="5">
        <v>180</v>
      </c>
      <c r="U1095" s="4">
        <v>6</v>
      </c>
      <c r="V1095" s="5">
        <v>201</v>
      </c>
      <c r="W1095" s="6"/>
      <c r="X1095" s="6"/>
      <c r="Y1095" s="6"/>
      <c r="Z1095" s="6"/>
      <c r="AA1095" s="6"/>
      <c r="AB1095" s="6"/>
      <c r="AC1095" s="6"/>
      <c r="AD1095" s="6">
        <v>44658</v>
      </c>
    </row>
    <row r="1096" spans="1:30">
      <c r="A1096" s="1" t="s">
        <v>772</v>
      </c>
      <c r="B1096" s="1" t="s">
        <v>773</v>
      </c>
      <c r="C1096" s="1" t="s">
        <v>1010</v>
      </c>
      <c r="D1096" s="1" t="s">
        <v>1604</v>
      </c>
      <c r="E1096" s="1" t="str">
        <f t="shared" si="17"/>
        <v>W07</v>
      </c>
      <c r="F1096" s="5">
        <v>0</v>
      </c>
      <c r="G1096" s="5">
        <v>0</v>
      </c>
      <c r="H1096" s="5">
        <v>0</v>
      </c>
      <c r="I1096" s="5"/>
      <c r="J1096" s="1" t="s">
        <v>775</v>
      </c>
      <c r="K1096" s="1" t="s">
        <v>1602</v>
      </c>
      <c r="L1096" s="1" t="s">
        <v>79</v>
      </c>
      <c r="M1096" s="1" t="s">
        <v>79</v>
      </c>
      <c r="N1096" s="1" t="s">
        <v>79</v>
      </c>
      <c r="O1096" s="6">
        <v>44596</v>
      </c>
      <c r="P1096" s="6">
        <v>44595</v>
      </c>
      <c r="Q1096" s="6">
        <v>44595</v>
      </c>
      <c r="R1096" s="1" t="s">
        <v>784</v>
      </c>
      <c r="S1096" s="1" t="s">
        <v>79</v>
      </c>
      <c r="T1096" s="5">
        <v>180</v>
      </c>
      <c r="U1096" s="4">
        <v>6</v>
      </c>
      <c r="V1096" s="5">
        <v>200</v>
      </c>
      <c r="W1096" s="6"/>
      <c r="X1096" s="6"/>
      <c r="Y1096" s="6"/>
      <c r="Z1096" s="6"/>
      <c r="AA1096" s="6"/>
      <c r="AB1096" s="6"/>
      <c r="AC1096" s="6"/>
      <c r="AD1096" s="6">
        <v>44669</v>
      </c>
    </row>
    <row r="1097" spans="1:30">
      <c r="A1097" s="1" t="s">
        <v>772</v>
      </c>
      <c r="B1097" s="1" t="s">
        <v>773</v>
      </c>
      <c r="C1097" s="1" t="s">
        <v>848</v>
      </c>
      <c r="D1097" s="1" t="s">
        <v>1605</v>
      </c>
      <c r="E1097" s="1" t="str">
        <f t="shared" si="17"/>
        <v>W02</v>
      </c>
      <c r="F1097" s="5">
        <v>0</v>
      </c>
      <c r="G1097" s="5">
        <v>0</v>
      </c>
      <c r="H1097" s="5">
        <v>0</v>
      </c>
      <c r="I1097" s="5"/>
      <c r="J1097" s="1" t="s">
        <v>775</v>
      </c>
      <c r="K1097" s="1" t="s">
        <v>1602</v>
      </c>
      <c r="L1097" s="1" t="s">
        <v>79</v>
      </c>
      <c r="M1097" s="1" t="s">
        <v>79</v>
      </c>
      <c r="N1097" s="1" t="s">
        <v>79</v>
      </c>
      <c r="O1097" s="6">
        <v>44596</v>
      </c>
      <c r="P1097" s="6">
        <v>44596</v>
      </c>
      <c r="Q1097" s="6">
        <v>44596</v>
      </c>
      <c r="R1097" s="1" t="s">
        <v>784</v>
      </c>
      <c r="S1097" s="1" t="s">
        <v>79</v>
      </c>
      <c r="T1097" s="5">
        <v>180</v>
      </c>
      <c r="U1097" s="4">
        <v>6</v>
      </c>
      <c r="V1097" s="5">
        <v>199</v>
      </c>
      <c r="W1097" s="6"/>
      <c r="X1097" s="6"/>
      <c r="Y1097" s="6"/>
      <c r="Z1097" s="6"/>
      <c r="AA1097" s="6"/>
      <c r="AB1097" s="6"/>
      <c r="AC1097" s="6"/>
      <c r="AD1097" s="6">
        <v>44669</v>
      </c>
    </row>
    <row r="1098" spans="1:30">
      <c r="A1098" s="1" t="s">
        <v>772</v>
      </c>
      <c r="B1098" s="1" t="s">
        <v>773</v>
      </c>
      <c r="C1098" s="1" t="s">
        <v>904</v>
      </c>
      <c r="D1098" s="1" t="s">
        <v>1606</v>
      </c>
      <c r="E1098" s="1" t="str">
        <f t="shared" si="17"/>
        <v>W03</v>
      </c>
      <c r="F1098" s="5">
        <v>0</v>
      </c>
      <c r="G1098" s="5">
        <v>0</v>
      </c>
      <c r="H1098" s="5">
        <v>0</v>
      </c>
      <c r="I1098" s="5"/>
      <c r="J1098" s="1" t="s">
        <v>775</v>
      </c>
      <c r="K1098" s="1" t="s">
        <v>1602</v>
      </c>
      <c r="L1098" s="1" t="s">
        <v>79</v>
      </c>
      <c r="M1098" s="1" t="s">
        <v>79</v>
      </c>
      <c r="N1098" s="1" t="s">
        <v>79</v>
      </c>
      <c r="O1098" s="6">
        <v>44602</v>
      </c>
      <c r="P1098" s="6">
        <v>44600</v>
      </c>
      <c r="Q1098" s="6">
        <v>44600</v>
      </c>
      <c r="R1098" s="1" t="s">
        <v>784</v>
      </c>
      <c r="S1098" s="1" t="s">
        <v>79</v>
      </c>
      <c r="T1098" s="5">
        <v>180</v>
      </c>
      <c r="U1098" s="4">
        <v>6</v>
      </c>
      <c r="V1098" s="5">
        <v>195</v>
      </c>
      <c r="W1098" s="6"/>
      <c r="X1098" s="6"/>
      <c r="Y1098" s="6"/>
      <c r="Z1098" s="6"/>
      <c r="AA1098" s="6"/>
      <c r="AB1098" s="6"/>
      <c r="AC1098" s="6"/>
      <c r="AD1098" s="6">
        <v>44672</v>
      </c>
    </row>
    <row r="1099" spans="1:30">
      <c r="A1099" s="1" t="s">
        <v>772</v>
      </c>
      <c r="B1099" s="1" t="s">
        <v>773</v>
      </c>
      <c r="C1099" s="1" t="s">
        <v>858</v>
      </c>
      <c r="D1099" s="1" t="s">
        <v>1607</v>
      </c>
      <c r="E1099" s="1" t="str">
        <f t="shared" si="17"/>
        <v>W04</v>
      </c>
      <c r="F1099" s="5">
        <v>0</v>
      </c>
      <c r="G1099" s="5">
        <v>0</v>
      </c>
      <c r="H1099" s="5">
        <v>0</v>
      </c>
      <c r="I1099" s="5"/>
      <c r="J1099" s="1" t="s">
        <v>775</v>
      </c>
      <c r="K1099" s="1" t="s">
        <v>1602</v>
      </c>
      <c r="L1099" s="1" t="s">
        <v>79</v>
      </c>
      <c r="M1099" s="1" t="s">
        <v>79</v>
      </c>
      <c r="N1099" s="1" t="s">
        <v>79</v>
      </c>
      <c r="O1099" s="6">
        <v>44602</v>
      </c>
      <c r="P1099" s="6">
        <v>44602</v>
      </c>
      <c r="Q1099" s="6">
        <v>44602</v>
      </c>
      <c r="R1099" s="1" t="s">
        <v>784</v>
      </c>
      <c r="S1099" s="1" t="s">
        <v>79</v>
      </c>
      <c r="T1099" s="5">
        <v>180</v>
      </c>
      <c r="U1099" s="4">
        <v>6</v>
      </c>
      <c r="V1099" s="5">
        <v>193</v>
      </c>
      <c r="W1099" s="6"/>
      <c r="X1099" s="6"/>
      <c r="Y1099" s="6"/>
      <c r="Z1099" s="6"/>
      <c r="AA1099" s="6"/>
      <c r="AB1099" s="6"/>
      <c r="AC1099" s="6"/>
      <c r="AD1099" s="6">
        <v>44649</v>
      </c>
    </row>
    <row r="1100" spans="1:30">
      <c r="A1100" s="1" t="s">
        <v>772</v>
      </c>
      <c r="B1100" s="1" t="s">
        <v>773</v>
      </c>
      <c r="C1100" s="1" t="s">
        <v>858</v>
      </c>
      <c r="D1100" s="1" t="s">
        <v>1608</v>
      </c>
      <c r="E1100" s="1" t="str">
        <f t="shared" si="17"/>
        <v>W04</v>
      </c>
      <c r="F1100" s="5">
        <v>0</v>
      </c>
      <c r="G1100" s="5">
        <v>0</v>
      </c>
      <c r="H1100" s="5">
        <v>0</v>
      </c>
      <c r="I1100" s="5"/>
      <c r="J1100" s="1" t="s">
        <v>775</v>
      </c>
      <c r="K1100" s="1" t="s">
        <v>1602</v>
      </c>
      <c r="L1100" s="1" t="s">
        <v>79</v>
      </c>
      <c r="M1100" s="1" t="s">
        <v>79</v>
      </c>
      <c r="N1100" s="1" t="s">
        <v>79</v>
      </c>
      <c r="O1100" s="6">
        <v>44603</v>
      </c>
      <c r="P1100" s="6">
        <v>44603</v>
      </c>
      <c r="Q1100" s="6">
        <v>44603</v>
      </c>
      <c r="R1100" s="1" t="s">
        <v>784</v>
      </c>
      <c r="S1100" s="1" t="s">
        <v>79</v>
      </c>
      <c r="T1100" s="5">
        <v>180</v>
      </c>
      <c r="U1100" s="4">
        <v>6</v>
      </c>
      <c r="V1100" s="5">
        <v>192</v>
      </c>
      <c r="W1100" s="6"/>
      <c r="X1100" s="6"/>
      <c r="Y1100" s="6"/>
      <c r="Z1100" s="6"/>
      <c r="AA1100" s="6"/>
      <c r="AB1100" s="6"/>
      <c r="AC1100" s="6"/>
      <c r="AD1100" s="6">
        <v>44665</v>
      </c>
    </row>
    <row r="1101" spans="1:30">
      <c r="A1101" s="1" t="s">
        <v>772</v>
      </c>
      <c r="B1101" s="1" t="s">
        <v>773</v>
      </c>
      <c r="C1101" s="1" t="s">
        <v>989</v>
      </c>
      <c r="D1101" s="1" t="s">
        <v>1609</v>
      </c>
      <c r="E1101" s="1" t="str">
        <f t="shared" si="17"/>
        <v>W05</v>
      </c>
      <c r="F1101" s="5">
        <v>0</v>
      </c>
      <c r="G1101" s="5">
        <v>0</v>
      </c>
      <c r="H1101" s="5">
        <v>0</v>
      </c>
      <c r="I1101" s="5"/>
      <c r="J1101" s="1" t="s">
        <v>775</v>
      </c>
      <c r="K1101" s="1" t="s">
        <v>1602</v>
      </c>
      <c r="L1101" s="1" t="s">
        <v>79</v>
      </c>
      <c r="M1101" s="1" t="s">
        <v>79</v>
      </c>
      <c r="N1101" s="1" t="s">
        <v>79</v>
      </c>
      <c r="O1101" s="6">
        <v>44603</v>
      </c>
      <c r="P1101" s="6">
        <v>44603</v>
      </c>
      <c r="Q1101" s="6">
        <v>44603</v>
      </c>
      <c r="R1101" s="1" t="s">
        <v>784</v>
      </c>
      <c r="S1101" s="1" t="s">
        <v>79</v>
      </c>
      <c r="T1101" s="5">
        <v>180</v>
      </c>
      <c r="U1101" s="4">
        <v>6</v>
      </c>
      <c r="V1101" s="5">
        <v>192</v>
      </c>
      <c r="W1101" s="6"/>
      <c r="X1101" s="6"/>
      <c r="Y1101" s="6"/>
      <c r="Z1101" s="6"/>
      <c r="AA1101" s="6"/>
      <c r="AB1101" s="6"/>
      <c r="AC1101" s="6"/>
      <c r="AD1101" s="6">
        <v>44649</v>
      </c>
    </row>
    <row r="1102" spans="1:30">
      <c r="A1102" s="1" t="s">
        <v>772</v>
      </c>
      <c r="B1102" s="1" t="s">
        <v>773</v>
      </c>
      <c r="C1102" s="1" t="s">
        <v>989</v>
      </c>
      <c r="D1102" s="1" t="s">
        <v>1610</v>
      </c>
      <c r="E1102" s="1" t="str">
        <f t="shared" si="17"/>
        <v>W05</v>
      </c>
      <c r="F1102" s="5">
        <v>0</v>
      </c>
      <c r="G1102" s="5">
        <v>0</v>
      </c>
      <c r="H1102" s="5">
        <v>0</v>
      </c>
      <c r="I1102" s="5"/>
      <c r="J1102" s="1" t="s">
        <v>775</v>
      </c>
      <c r="K1102" s="1" t="s">
        <v>1602</v>
      </c>
      <c r="L1102" s="1" t="s">
        <v>79</v>
      </c>
      <c r="M1102" s="1" t="s">
        <v>79</v>
      </c>
      <c r="N1102" s="1" t="s">
        <v>79</v>
      </c>
      <c r="O1102" s="6">
        <v>44606</v>
      </c>
      <c r="P1102" s="6">
        <v>44606</v>
      </c>
      <c r="Q1102" s="6">
        <v>44606</v>
      </c>
      <c r="R1102" s="1" t="s">
        <v>784</v>
      </c>
      <c r="S1102" s="1" t="s">
        <v>79</v>
      </c>
      <c r="T1102" s="5">
        <v>180</v>
      </c>
      <c r="U1102" s="4">
        <v>6</v>
      </c>
      <c r="V1102" s="5">
        <v>189</v>
      </c>
      <c r="W1102" s="6"/>
      <c r="X1102" s="6"/>
      <c r="Y1102" s="6"/>
      <c r="Z1102" s="6"/>
      <c r="AA1102" s="6"/>
      <c r="AB1102" s="6"/>
      <c r="AC1102" s="6"/>
      <c r="AD1102" s="6">
        <v>44698</v>
      </c>
    </row>
    <row r="1103" spans="1:30">
      <c r="A1103" s="1" t="s">
        <v>772</v>
      </c>
      <c r="B1103" s="1" t="s">
        <v>773</v>
      </c>
      <c r="C1103" s="1" t="s">
        <v>989</v>
      </c>
      <c r="D1103" s="1" t="s">
        <v>1611</v>
      </c>
      <c r="E1103" s="1" t="str">
        <f t="shared" si="17"/>
        <v>W05</v>
      </c>
      <c r="F1103" s="5">
        <v>0</v>
      </c>
      <c r="G1103" s="5">
        <v>0</v>
      </c>
      <c r="H1103" s="5">
        <v>0</v>
      </c>
      <c r="I1103" s="5"/>
      <c r="J1103" s="1" t="s">
        <v>775</v>
      </c>
      <c r="K1103" s="1" t="s">
        <v>1602</v>
      </c>
      <c r="L1103" s="1" t="s">
        <v>79</v>
      </c>
      <c r="M1103" s="1" t="s">
        <v>79</v>
      </c>
      <c r="N1103" s="1" t="s">
        <v>79</v>
      </c>
      <c r="O1103" s="6">
        <v>44606</v>
      </c>
      <c r="P1103" s="6">
        <v>44606</v>
      </c>
      <c r="Q1103" s="6">
        <v>44606</v>
      </c>
      <c r="R1103" s="1" t="s">
        <v>784</v>
      </c>
      <c r="S1103" s="1" t="s">
        <v>79</v>
      </c>
      <c r="T1103" s="5">
        <v>180</v>
      </c>
      <c r="U1103" s="4">
        <v>6</v>
      </c>
      <c r="V1103" s="5">
        <v>189</v>
      </c>
      <c r="W1103" s="6"/>
      <c r="X1103" s="6"/>
      <c r="Y1103" s="6"/>
      <c r="Z1103" s="6"/>
      <c r="AA1103" s="6"/>
      <c r="AB1103" s="6"/>
      <c r="AC1103" s="6"/>
      <c r="AD1103" s="6">
        <v>44673</v>
      </c>
    </row>
    <row r="1104" spans="1:30">
      <c r="A1104" s="1" t="s">
        <v>772</v>
      </c>
      <c r="B1104" s="1" t="s">
        <v>773</v>
      </c>
      <c r="C1104" s="1" t="s">
        <v>848</v>
      </c>
      <c r="D1104" s="1" t="s">
        <v>1612</v>
      </c>
      <c r="E1104" s="1" t="str">
        <f t="shared" si="17"/>
        <v>W02</v>
      </c>
      <c r="F1104" s="5">
        <v>0</v>
      </c>
      <c r="G1104" s="5">
        <v>0</v>
      </c>
      <c r="H1104" s="5">
        <v>0</v>
      </c>
      <c r="I1104" s="5"/>
      <c r="J1104" s="1" t="s">
        <v>775</v>
      </c>
      <c r="K1104" s="1" t="s">
        <v>1602</v>
      </c>
      <c r="L1104" s="1" t="s">
        <v>79</v>
      </c>
      <c r="M1104" s="1" t="s">
        <v>79</v>
      </c>
      <c r="N1104" s="1" t="s">
        <v>79</v>
      </c>
      <c r="O1104" s="6">
        <v>44610</v>
      </c>
      <c r="P1104" s="6">
        <v>44610</v>
      </c>
      <c r="Q1104" s="6">
        <v>44610</v>
      </c>
      <c r="R1104" s="1" t="s">
        <v>784</v>
      </c>
      <c r="S1104" s="1" t="s">
        <v>79</v>
      </c>
      <c r="T1104" s="5">
        <v>180</v>
      </c>
      <c r="U1104" s="4">
        <v>6</v>
      </c>
      <c r="V1104" s="5">
        <v>185</v>
      </c>
      <c r="W1104" s="6"/>
      <c r="X1104" s="6"/>
      <c r="Y1104" s="6"/>
      <c r="Z1104" s="6"/>
      <c r="AA1104" s="6"/>
      <c r="AB1104" s="6"/>
      <c r="AC1104" s="6"/>
      <c r="AD1104" s="6">
        <v>44664</v>
      </c>
    </row>
    <row r="1105" spans="1:30">
      <c r="A1105" s="1" t="s">
        <v>772</v>
      </c>
      <c r="B1105" s="1" t="s">
        <v>773</v>
      </c>
      <c r="C1105" s="1" t="s">
        <v>904</v>
      </c>
      <c r="D1105" s="1" t="s">
        <v>1613</v>
      </c>
      <c r="E1105" s="1" t="str">
        <f t="shared" si="17"/>
        <v>W03</v>
      </c>
      <c r="F1105" s="5">
        <v>0</v>
      </c>
      <c r="G1105" s="5">
        <v>0</v>
      </c>
      <c r="H1105" s="5">
        <v>0</v>
      </c>
      <c r="I1105" s="5"/>
      <c r="J1105" s="1" t="s">
        <v>775</v>
      </c>
      <c r="K1105" s="1" t="s">
        <v>1602</v>
      </c>
      <c r="L1105" s="1" t="s">
        <v>79</v>
      </c>
      <c r="M1105" s="1" t="s">
        <v>79</v>
      </c>
      <c r="N1105" s="1" t="s">
        <v>79</v>
      </c>
      <c r="O1105" s="6">
        <v>44613</v>
      </c>
      <c r="P1105" s="6">
        <v>44613</v>
      </c>
      <c r="Q1105" s="6">
        <v>44613</v>
      </c>
      <c r="R1105" s="1" t="s">
        <v>784</v>
      </c>
      <c r="S1105" s="1" t="s">
        <v>79</v>
      </c>
      <c r="T1105" s="5">
        <v>180</v>
      </c>
      <c r="U1105" s="4">
        <v>5</v>
      </c>
      <c r="V1105" s="5">
        <v>182</v>
      </c>
      <c r="W1105" s="6"/>
      <c r="X1105" s="6"/>
      <c r="Y1105" s="6"/>
      <c r="Z1105" s="6"/>
      <c r="AA1105" s="6"/>
      <c r="AB1105" s="6"/>
      <c r="AC1105" s="6"/>
      <c r="AD1105" s="6">
        <v>44665</v>
      </c>
    </row>
    <row r="1106" spans="1:30">
      <c r="A1106" s="1" t="s">
        <v>772</v>
      </c>
      <c r="B1106" s="1" t="s">
        <v>773</v>
      </c>
      <c r="D1106" s="1" t="s">
        <v>1614</v>
      </c>
      <c r="E1106" s="1" t="str">
        <f t="shared" si="17"/>
        <v/>
      </c>
      <c r="F1106" s="5">
        <v>0</v>
      </c>
      <c r="G1106" s="5">
        <v>0</v>
      </c>
      <c r="H1106" s="5">
        <v>0</v>
      </c>
      <c r="I1106" s="5"/>
      <c r="J1106" s="1" t="s">
        <v>775</v>
      </c>
      <c r="K1106" s="1" t="s">
        <v>1602</v>
      </c>
      <c r="L1106" s="1" t="s">
        <v>79</v>
      </c>
      <c r="M1106" s="1" t="s">
        <v>79</v>
      </c>
      <c r="N1106" s="1" t="s">
        <v>79</v>
      </c>
      <c r="O1106" s="6">
        <v>44614</v>
      </c>
      <c r="P1106" s="6">
        <v>44614</v>
      </c>
      <c r="Q1106" s="6">
        <v>44614</v>
      </c>
      <c r="R1106" s="1" t="s">
        <v>784</v>
      </c>
      <c r="S1106" s="1" t="s">
        <v>79</v>
      </c>
      <c r="T1106" s="5">
        <v>180</v>
      </c>
      <c r="U1106" s="4">
        <v>5</v>
      </c>
      <c r="V1106" s="5">
        <v>181</v>
      </c>
      <c r="W1106" s="6"/>
      <c r="X1106" s="6"/>
      <c r="Y1106" s="6"/>
      <c r="Z1106" s="6"/>
      <c r="AA1106" s="6"/>
      <c r="AB1106" s="6"/>
      <c r="AC1106" s="6"/>
      <c r="AD1106" s="6">
        <v>44674</v>
      </c>
    </row>
    <row r="1107" spans="1:30">
      <c r="A1107" s="1" t="s">
        <v>772</v>
      </c>
      <c r="B1107" s="1" t="s">
        <v>773</v>
      </c>
      <c r="C1107" s="1" t="s">
        <v>989</v>
      </c>
      <c r="D1107" s="1" t="s">
        <v>1615</v>
      </c>
      <c r="E1107" s="1" t="str">
        <f t="shared" si="17"/>
        <v>W05</v>
      </c>
      <c r="F1107" s="5">
        <v>0</v>
      </c>
      <c r="G1107" s="5">
        <v>0</v>
      </c>
      <c r="H1107" s="5">
        <v>0</v>
      </c>
      <c r="I1107" s="5"/>
      <c r="J1107" s="1" t="s">
        <v>775</v>
      </c>
      <c r="K1107" s="1" t="s">
        <v>1602</v>
      </c>
      <c r="L1107" s="1" t="s">
        <v>79</v>
      </c>
      <c r="M1107" s="1" t="s">
        <v>79</v>
      </c>
      <c r="N1107" s="1" t="s">
        <v>79</v>
      </c>
      <c r="O1107" s="6">
        <v>44615</v>
      </c>
      <c r="P1107" s="6">
        <v>44615</v>
      </c>
      <c r="Q1107" s="6">
        <v>44615</v>
      </c>
      <c r="R1107" s="1" t="s">
        <v>784</v>
      </c>
      <c r="S1107" s="1" t="s">
        <v>79</v>
      </c>
      <c r="T1107" s="5">
        <v>180</v>
      </c>
      <c r="U1107" s="4">
        <v>5</v>
      </c>
      <c r="V1107" s="5">
        <v>180</v>
      </c>
      <c r="W1107" s="6"/>
      <c r="X1107" s="6"/>
      <c r="Y1107" s="6"/>
      <c r="Z1107" s="6"/>
      <c r="AA1107" s="6"/>
      <c r="AB1107" s="6"/>
      <c r="AC1107" s="6"/>
      <c r="AD1107" s="6">
        <v>44675</v>
      </c>
    </row>
    <row r="1108" spans="1:30">
      <c r="A1108" s="1" t="s">
        <v>772</v>
      </c>
      <c r="B1108" s="1" t="s">
        <v>773</v>
      </c>
      <c r="C1108" s="1" t="s">
        <v>989</v>
      </c>
      <c r="D1108" s="1" t="s">
        <v>1616</v>
      </c>
      <c r="E1108" s="1" t="str">
        <f t="shared" si="17"/>
        <v>W05</v>
      </c>
      <c r="F1108" s="5">
        <v>0</v>
      </c>
      <c r="G1108" s="5">
        <v>0</v>
      </c>
      <c r="H1108" s="5">
        <v>0</v>
      </c>
      <c r="I1108" s="5"/>
      <c r="J1108" s="1" t="s">
        <v>775</v>
      </c>
      <c r="K1108" s="1" t="s">
        <v>1602</v>
      </c>
      <c r="L1108" s="1" t="s">
        <v>79</v>
      </c>
      <c r="M1108" s="1" t="s">
        <v>79</v>
      </c>
      <c r="N1108" s="1" t="s">
        <v>79</v>
      </c>
      <c r="O1108" s="6">
        <v>44616</v>
      </c>
      <c r="P1108" s="6">
        <v>44616</v>
      </c>
      <c r="Q1108" s="6">
        <v>44616</v>
      </c>
      <c r="R1108" s="1" t="s">
        <v>784</v>
      </c>
      <c r="S1108" s="1" t="s">
        <v>79</v>
      </c>
      <c r="T1108" s="5">
        <v>180</v>
      </c>
      <c r="U1108" s="4">
        <v>5</v>
      </c>
      <c r="V1108" s="5">
        <v>179</v>
      </c>
      <c r="W1108" s="6"/>
      <c r="X1108" s="6"/>
      <c r="Y1108" s="6"/>
      <c r="Z1108" s="6"/>
      <c r="AA1108" s="6"/>
      <c r="AB1108" s="6"/>
      <c r="AC1108" s="6"/>
      <c r="AD1108" s="6">
        <v>44676</v>
      </c>
    </row>
    <row r="1109" spans="1:30">
      <c r="A1109" s="1" t="s">
        <v>772</v>
      </c>
      <c r="B1109" s="1" t="s">
        <v>773</v>
      </c>
      <c r="C1109" s="1" t="s">
        <v>989</v>
      </c>
      <c r="D1109" s="1" t="s">
        <v>1617</v>
      </c>
      <c r="E1109" s="1" t="str">
        <f t="shared" si="17"/>
        <v>W05</v>
      </c>
      <c r="F1109" s="5">
        <v>0</v>
      </c>
      <c r="G1109" s="5">
        <v>0</v>
      </c>
      <c r="H1109" s="5">
        <v>0</v>
      </c>
      <c r="I1109" s="5"/>
      <c r="J1109" s="1" t="s">
        <v>775</v>
      </c>
      <c r="K1109" s="1" t="s">
        <v>1602</v>
      </c>
      <c r="L1109" s="1" t="s">
        <v>79</v>
      </c>
      <c r="M1109" s="1" t="s">
        <v>79</v>
      </c>
      <c r="N1109" s="1" t="s">
        <v>79</v>
      </c>
      <c r="O1109" s="6">
        <v>44617</v>
      </c>
      <c r="P1109" s="6">
        <v>44617</v>
      </c>
      <c r="Q1109" s="6">
        <v>44617</v>
      </c>
      <c r="R1109" s="1" t="s">
        <v>784</v>
      </c>
      <c r="S1109" s="1" t="s">
        <v>79</v>
      </c>
      <c r="T1109" s="5">
        <v>180</v>
      </c>
      <c r="U1109" s="4">
        <v>5</v>
      </c>
      <c r="V1109" s="5">
        <v>178</v>
      </c>
      <c r="W1109" s="6"/>
      <c r="X1109" s="6"/>
      <c r="Y1109" s="6"/>
      <c r="Z1109" s="6"/>
      <c r="AA1109" s="6"/>
      <c r="AB1109" s="6"/>
      <c r="AC1109" s="6"/>
      <c r="AD1109" s="6">
        <v>44678</v>
      </c>
    </row>
    <row r="1110" spans="1:30">
      <c r="A1110" s="1" t="s">
        <v>772</v>
      </c>
      <c r="B1110" s="1" t="s">
        <v>773</v>
      </c>
      <c r="C1110" s="1" t="s">
        <v>989</v>
      </c>
      <c r="D1110" s="1" t="s">
        <v>1618</v>
      </c>
      <c r="E1110" s="1" t="str">
        <f t="shared" si="17"/>
        <v>W05</v>
      </c>
      <c r="F1110" s="5">
        <v>0</v>
      </c>
      <c r="G1110" s="5">
        <v>0</v>
      </c>
      <c r="H1110" s="5">
        <v>0</v>
      </c>
      <c r="I1110" s="5"/>
      <c r="J1110" s="1" t="s">
        <v>775</v>
      </c>
      <c r="K1110" s="1" t="s">
        <v>1602</v>
      </c>
      <c r="L1110" s="1" t="s">
        <v>79</v>
      </c>
      <c r="M1110" s="1" t="s">
        <v>79</v>
      </c>
      <c r="N1110" s="1" t="s">
        <v>79</v>
      </c>
      <c r="O1110" s="6">
        <v>44617</v>
      </c>
      <c r="P1110" s="6">
        <v>44617</v>
      </c>
      <c r="Q1110" s="6">
        <v>44617</v>
      </c>
      <c r="R1110" s="1" t="s">
        <v>784</v>
      </c>
      <c r="S1110" s="1" t="s">
        <v>79</v>
      </c>
      <c r="T1110" s="5">
        <v>180</v>
      </c>
      <c r="U1110" s="4">
        <v>5</v>
      </c>
      <c r="V1110" s="5">
        <v>178</v>
      </c>
      <c r="W1110" s="6"/>
      <c r="X1110" s="6"/>
      <c r="Y1110" s="6"/>
      <c r="Z1110" s="6"/>
      <c r="AA1110" s="6"/>
      <c r="AB1110" s="6"/>
      <c r="AC1110" s="6"/>
      <c r="AD1110" s="6">
        <v>44743</v>
      </c>
    </row>
    <row r="1111" spans="1:30">
      <c r="A1111" s="1" t="s">
        <v>772</v>
      </c>
      <c r="B1111" s="1" t="s">
        <v>773</v>
      </c>
      <c r="C1111" s="1" t="s">
        <v>989</v>
      </c>
      <c r="D1111" s="1" t="s">
        <v>1619</v>
      </c>
      <c r="E1111" s="1" t="str">
        <f t="shared" si="17"/>
        <v>W05</v>
      </c>
      <c r="F1111" s="5">
        <v>0</v>
      </c>
      <c r="G1111" s="5">
        <v>0</v>
      </c>
      <c r="H1111" s="5">
        <v>0</v>
      </c>
      <c r="I1111" s="5"/>
      <c r="J1111" s="1" t="s">
        <v>775</v>
      </c>
      <c r="K1111" s="1" t="s">
        <v>1620</v>
      </c>
      <c r="L1111" s="1" t="s">
        <v>79</v>
      </c>
      <c r="M1111" s="1" t="s">
        <v>79</v>
      </c>
      <c r="N1111" s="1" t="s">
        <v>79</v>
      </c>
      <c r="O1111" s="6">
        <v>44624</v>
      </c>
      <c r="P1111" s="6">
        <v>44624</v>
      </c>
      <c r="Q1111" s="6">
        <v>44624</v>
      </c>
      <c r="R1111" s="1" t="s">
        <v>784</v>
      </c>
      <c r="S1111" s="1" t="s">
        <v>79</v>
      </c>
      <c r="T1111" s="5">
        <v>180</v>
      </c>
      <c r="U1111" s="4">
        <v>5</v>
      </c>
      <c r="V1111" s="5">
        <v>171</v>
      </c>
      <c r="W1111" s="6"/>
      <c r="X1111" s="6"/>
      <c r="Y1111" s="6"/>
      <c r="Z1111" s="6"/>
      <c r="AA1111" s="6"/>
      <c r="AB1111" s="6"/>
      <c r="AC1111" s="6"/>
      <c r="AD1111" s="6">
        <v>44678</v>
      </c>
    </row>
    <row r="1112" spans="1:30">
      <c r="A1112" s="1" t="s">
        <v>772</v>
      </c>
      <c r="B1112" s="1" t="s">
        <v>773</v>
      </c>
      <c r="C1112" s="1" t="s">
        <v>989</v>
      </c>
      <c r="D1112" s="1" t="s">
        <v>1621</v>
      </c>
      <c r="E1112" s="1" t="str">
        <f t="shared" si="17"/>
        <v>W05</v>
      </c>
      <c r="F1112" s="5">
        <v>0</v>
      </c>
      <c r="G1112" s="5">
        <v>0</v>
      </c>
      <c r="H1112" s="5">
        <v>0</v>
      </c>
      <c r="I1112" s="5"/>
      <c r="J1112" s="1" t="s">
        <v>775</v>
      </c>
      <c r="K1112" s="1" t="s">
        <v>1620</v>
      </c>
      <c r="L1112" s="1" t="s">
        <v>79</v>
      </c>
      <c r="M1112" s="1" t="s">
        <v>79</v>
      </c>
      <c r="N1112" s="1" t="s">
        <v>79</v>
      </c>
      <c r="O1112" s="6">
        <v>44627</v>
      </c>
      <c r="P1112" s="6">
        <v>44627</v>
      </c>
      <c r="Q1112" s="6">
        <v>44627</v>
      </c>
      <c r="R1112" s="1" t="s">
        <v>784</v>
      </c>
      <c r="S1112" s="1" t="s">
        <v>79</v>
      </c>
      <c r="T1112" s="5">
        <v>180</v>
      </c>
      <c r="U1112" s="4">
        <v>5</v>
      </c>
      <c r="V1112" s="5">
        <v>168</v>
      </c>
      <c r="W1112" s="6"/>
      <c r="X1112" s="6"/>
      <c r="Y1112" s="6"/>
      <c r="Z1112" s="6"/>
      <c r="AA1112" s="6"/>
      <c r="AB1112" s="6"/>
      <c r="AC1112" s="6"/>
      <c r="AD1112" s="6">
        <v>44700</v>
      </c>
    </row>
    <row r="1113" spans="1:30">
      <c r="A1113" s="1" t="s">
        <v>772</v>
      </c>
      <c r="B1113" s="1" t="s">
        <v>773</v>
      </c>
      <c r="C1113" s="1" t="s">
        <v>989</v>
      </c>
      <c r="D1113" s="1" t="s">
        <v>1622</v>
      </c>
      <c r="E1113" s="1" t="str">
        <f t="shared" si="17"/>
        <v>W05</v>
      </c>
      <c r="F1113" s="5">
        <v>0</v>
      </c>
      <c r="G1113" s="5">
        <v>0</v>
      </c>
      <c r="H1113" s="5">
        <v>0</v>
      </c>
      <c r="I1113" s="5"/>
      <c r="J1113" s="1" t="s">
        <v>775</v>
      </c>
      <c r="K1113" s="1" t="s">
        <v>1620</v>
      </c>
      <c r="L1113" s="1" t="s">
        <v>79</v>
      </c>
      <c r="M1113" s="1" t="s">
        <v>79</v>
      </c>
      <c r="N1113" s="1" t="s">
        <v>79</v>
      </c>
      <c r="O1113" s="6">
        <v>44629</v>
      </c>
      <c r="P1113" s="6">
        <v>44629</v>
      </c>
      <c r="Q1113" s="6">
        <v>44629</v>
      </c>
      <c r="R1113" s="1" t="s">
        <v>784</v>
      </c>
      <c r="S1113" s="1" t="s">
        <v>79</v>
      </c>
      <c r="T1113" s="5">
        <v>180</v>
      </c>
      <c r="U1113" s="4">
        <v>5</v>
      </c>
      <c r="V1113" s="5">
        <v>166</v>
      </c>
      <c r="W1113" s="6"/>
      <c r="X1113" s="6"/>
      <c r="Y1113" s="6"/>
      <c r="Z1113" s="6"/>
      <c r="AA1113" s="6"/>
      <c r="AB1113" s="6"/>
      <c r="AC1113" s="6"/>
      <c r="AD1113" s="6">
        <v>44691</v>
      </c>
    </row>
    <row r="1114" spans="1:30">
      <c r="A1114" s="1" t="s">
        <v>772</v>
      </c>
      <c r="B1114" s="1" t="s">
        <v>773</v>
      </c>
      <c r="C1114" s="1" t="s">
        <v>989</v>
      </c>
      <c r="D1114" s="1" t="s">
        <v>1623</v>
      </c>
      <c r="E1114" s="1" t="str">
        <f t="shared" si="17"/>
        <v>W05</v>
      </c>
      <c r="F1114" s="5">
        <v>0</v>
      </c>
      <c r="G1114" s="5">
        <v>0</v>
      </c>
      <c r="H1114" s="5">
        <v>0</v>
      </c>
      <c r="I1114" s="5"/>
      <c r="J1114" s="1" t="s">
        <v>775</v>
      </c>
      <c r="K1114" s="1" t="s">
        <v>1620</v>
      </c>
      <c r="L1114" s="1" t="s">
        <v>79</v>
      </c>
      <c r="M1114" s="1" t="s">
        <v>79</v>
      </c>
      <c r="N1114" s="1" t="s">
        <v>79</v>
      </c>
      <c r="O1114" s="6">
        <v>44635</v>
      </c>
      <c r="P1114" s="6">
        <v>44634</v>
      </c>
      <c r="Q1114" s="6">
        <v>44634</v>
      </c>
      <c r="R1114" s="1" t="s">
        <v>784</v>
      </c>
      <c r="S1114" s="1" t="s">
        <v>79</v>
      </c>
      <c r="T1114" s="5">
        <v>180</v>
      </c>
      <c r="U1114" s="4">
        <v>5</v>
      </c>
      <c r="V1114" s="5">
        <v>161</v>
      </c>
      <c r="W1114" s="6"/>
      <c r="X1114" s="6"/>
      <c r="Y1114" s="6"/>
      <c r="Z1114" s="6"/>
      <c r="AA1114" s="6"/>
      <c r="AB1114" s="6"/>
      <c r="AC1114" s="6"/>
      <c r="AD1114" s="6">
        <v>44702</v>
      </c>
    </row>
    <row r="1115" spans="1:30">
      <c r="A1115" s="1" t="s">
        <v>772</v>
      </c>
      <c r="B1115" s="1" t="s">
        <v>773</v>
      </c>
      <c r="C1115" s="1" t="s">
        <v>989</v>
      </c>
      <c r="D1115" s="1" t="s">
        <v>1624</v>
      </c>
      <c r="E1115" s="1" t="str">
        <f t="shared" si="17"/>
        <v>W05</v>
      </c>
      <c r="F1115" s="5">
        <v>0</v>
      </c>
      <c r="G1115" s="5">
        <v>0</v>
      </c>
      <c r="H1115" s="5">
        <v>0</v>
      </c>
      <c r="I1115" s="5"/>
      <c r="J1115" s="1" t="s">
        <v>775</v>
      </c>
      <c r="K1115" s="1" t="s">
        <v>1620</v>
      </c>
      <c r="L1115" s="1" t="s">
        <v>79</v>
      </c>
      <c r="M1115" s="1" t="s">
        <v>79</v>
      </c>
      <c r="N1115" s="1" t="s">
        <v>79</v>
      </c>
      <c r="O1115" s="6">
        <v>44635</v>
      </c>
      <c r="P1115" s="6">
        <v>44635</v>
      </c>
      <c r="Q1115" s="6">
        <v>44635</v>
      </c>
      <c r="R1115" s="1" t="s">
        <v>784</v>
      </c>
      <c r="S1115" s="1" t="s">
        <v>79</v>
      </c>
      <c r="T1115" s="5">
        <v>180</v>
      </c>
      <c r="U1115" s="4">
        <v>5</v>
      </c>
      <c r="V1115" s="5">
        <v>160</v>
      </c>
      <c r="W1115" s="6"/>
      <c r="X1115" s="6"/>
      <c r="Y1115" s="6"/>
      <c r="Z1115" s="6"/>
      <c r="AA1115" s="6"/>
      <c r="AB1115" s="6"/>
      <c r="AC1115" s="6"/>
      <c r="AD1115" s="6">
        <v>44703</v>
      </c>
    </row>
    <row r="1116" spans="1:30">
      <c r="A1116" s="1" t="s">
        <v>772</v>
      </c>
      <c r="B1116" s="1" t="s">
        <v>773</v>
      </c>
      <c r="C1116" s="1" t="s">
        <v>989</v>
      </c>
      <c r="D1116" s="1" t="s">
        <v>1625</v>
      </c>
      <c r="E1116" s="1" t="str">
        <f t="shared" si="17"/>
        <v>W05</v>
      </c>
      <c r="F1116" s="5">
        <v>0</v>
      </c>
      <c r="G1116" s="5">
        <v>0</v>
      </c>
      <c r="H1116" s="5">
        <v>0</v>
      </c>
      <c r="I1116" s="5"/>
      <c r="J1116" s="1" t="s">
        <v>775</v>
      </c>
      <c r="K1116" s="1" t="s">
        <v>1620</v>
      </c>
      <c r="L1116" s="1" t="s">
        <v>79</v>
      </c>
      <c r="M1116" s="1" t="s">
        <v>79</v>
      </c>
      <c r="N1116" s="1" t="s">
        <v>79</v>
      </c>
      <c r="O1116" s="6">
        <v>44637</v>
      </c>
      <c r="P1116" s="6">
        <v>44637</v>
      </c>
      <c r="Q1116" s="6">
        <v>44637</v>
      </c>
      <c r="R1116" s="1" t="s">
        <v>784</v>
      </c>
      <c r="S1116" s="1" t="s">
        <v>79</v>
      </c>
      <c r="T1116" s="5">
        <v>180</v>
      </c>
      <c r="U1116" s="4">
        <v>5</v>
      </c>
      <c r="V1116" s="5">
        <v>158</v>
      </c>
      <c r="W1116" s="6"/>
      <c r="X1116" s="6"/>
      <c r="Y1116" s="6"/>
      <c r="Z1116" s="6"/>
      <c r="AA1116" s="6"/>
      <c r="AB1116" s="6"/>
      <c r="AC1116" s="6"/>
      <c r="AD1116" s="6">
        <v>44705</v>
      </c>
    </row>
    <row r="1117" spans="1:30">
      <c r="A1117" s="1" t="s">
        <v>772</v>
      </c>
      <c r="B1117" s="1" t="s">
        <v>773</v>
      </c>
      <c r="C1117" s="1" t="s">
        <v>989</v>
      </c>
      <c r="D1117" s="1" t="s">
        <v>1626</v>
      </c>
      <c r="E1117" s="1" t="str">
        <f t="shared" si="17"/>
        <v>W05</v>
      </c>
      <c r="F1117" s="5">
        <v>0</v>
      </c>
      <c r="G1117" s="5">
        <v>0</v>
      </c>
      <c r="H1117" s="5">
        <v>0</v>
      </c>
      <c r="I1117" s="5"/>
      <c r="J1117" s="1" t="s">
        <v>775</v>
      </c>
      <c r="K1117" s="1" t="s">
        <v>1620</v>
      </c>
      <c r="L1117" s="1" t="s">
        <v>79</v>
      </c>
      <c r="M1117" s="1" t="s">
        <v>79</v>
      </c>
      <c r="N1117" s="1" t="s">
        <v>79</v>
      </c>
      <c r="O1117" s="6">
        <v>44637</v>
      </c>
      <c r="P1117" s="6">
        <v>44637</v>
      </c>
      <c r="Q1117" s="6">
        <v>44637</v>
      </c>
      <c r="R1117" s="1" t="s">
        <v>784</v>
      </c>
      <c r="S1117" s="1" t="s">
        <v>79</v>
      </c>
      <c r="T1117" s="5">
        <v>180</v>
      </c>
      <c r="U1117" s="4">
        <v>5</v>
      </c>
      <c r="V1117" s="5">
        <v>158</v>
      </c>
      <c r="W1117" s="6"/>
      <c r="X1117" s="6"/>
      <c r="Y1117" s="6"/>
      <c r="Z1117" s="6"/>
      <c r="AA1117" s="6"/>
      <c r="AB1117" s="6"/>
      <c r="AC1117" s="6"/>
      <c r="AD1117" s="6">
        <v>44706</v>
      </c>
    </row>
    <row r="1118" spans="1:30">
      <c r="A1118" s="1" t="s">
        <v>772</v>
      </c>
      <c r="B1118" s="1" t="s">
        <v>773</v>
      </c>
      <c r="C1118" s="1" t="s">
        <v>989</v>
      </c>
      <c r="D1118" s="1" t="s">
        <v>1627</v>
      </c>
      <c r="E1118" s="1" t="str">
        <f t="shared" si="17"/>
        <v>W05</v>
      </c>
      <c r="F1118" s="5">
        <v>0</v>
      </c>
      <c r="G1118" s="5">
        <v>0</v>
      </c>
      <c r="H1118" s="5">
        <v>0</v>
      </c>
      <c r="I1118" s="5"/>
      <c r="J1118" s="1" t="s">
        <v>775</v>
      </c>
      <c r="K1118" s="1" t="s">
        <v>1620</v>
      </c>
      <c r="L1118" s="1" t="s">
        <v>79</v>
      </c>
      <c r="M1118" s="1" t="s">
        <v>79</v>
      </c>
      <c r="N1118" s="1" t="s">
        <v>79</v>
      </c>
      <c r="O1118" s="6">
        <v>44641</v>
      </c>
      <c r="P1118" s="6">
        <v>44641</v>
      </c>
      <c r="Q1118" s="6">
        <v>44641</v>
      </c>
      <c r="R1118" s="1" t="s">
        <v>784</v>
      </c>
      <c r="S1118" s="1" t="s">
        <v>79</v>
      </c>
      <c r="T1118" s="5">
        <v>180</v>
      </c>
      <c r="U1118" s="4">
        <v>5</v>
      </c>
      <c r="V1118" s="5">
        <v>154</v>
      </c>
      <c r="W1118" s="6"/>
      <c r="X1118" s="6"/>
      <c r="Y1118" s="6"/>
      <c r="Z1118" s="6"/>
      <c r="AA1118" s="6"/>
      <c r="AB1118" s="6"/>
      <c r="AC1118" s="6"/>
      <c r="AD1118" s="6">
        <v>44757</v>
      </c>
    </row>
    <row r="1119" spans="1:30">
      <c r="A1119" s="1" t="s">
        <v>772</v>
      </c>
      <c r="B1119" s="1" t="s">
        <v>773</v>
      </c>
      <c r="C1119" s="1" t="s">
        <v>989</v>
      </c>
      <c r="D1119" s="1" t="s">
        <v>1628</v>
      </c>
      <c r="E1119" s="1" t="str">
        <f t="shared" si="17"/>
        <v>W05</v>
      </c>
      <c r="F1119" s="5">
        <v>0</v>
      </c>
      <c r="G1119" s="5">
        <v>0</v>
      </c>
      <c r="H1119" s="5">
        <v>0</v>
      </c>
      <c r="I1119" s="5"/>
      <c r="J1119" s="1" t="s">
        <v>775</v>
      </c>
      <c r="K1119" s="1" t="s">
        <v>1620</v>
      </c>
      <c r="L1119" s="1" t="s">
        <v>79</v>
      </c>
      <c r="M1119" s="1" t="s">
        <v>79</v>
      </c>
      <c r="N1119" s="1" t="s">
        <v>79</v>
      </c>
      <c r="O1119" s="6">
        <v>44643</v>
      </c>
      <c r="P1119" s="6">
        <v>44643</v>
      </c>
      <c r="Q1119" s="6">
        <v>44643</v>
      </c>
      <c r="R1119" s="1" t="s">
        <v>784</v>
      </c>
      <c r="S1119" s="1" t="s">
        <v>79</v>
      </c>
      <c r="T1119" s="5">
        <v>180</v>
      </c>
      <c r="U1119" s="4">
        <v>5</v>
      </c>
      <c r="V1119" s="5">
        <v>152</v>
      </c>
      <c r="W1119" s="6"/>
      <c r="X1119" s="6"/>
      <c r="Y1119" s="6"/>
      <c r="Z1119" s="6"/>
      <c r="AA1119" s="6"/>
      <c r="AB1119" s="6"/>
      <c r="AC1119" s="6"/>
      <c r="AD1119" s="6">
        <v>44709</v>
      </c>
    </row>
    <row r="1120" spans="1:30">
      <c r="A1120" s="1" t="s">
        <v>772</v>
      </c>
      <c r="B1120" s="1" t="s">
        <v>773</v>
      </c>
      <c r="C1120" s="1" t="s">
        <v>989</v>
      </c>
      <c r="D1120" s="1" t="s">
        <v>1629</v>
      </c>
      <c r="E1120" s="1" t="str">
        <f t="shared" si="17"/>
        <v>W05</v>
      </c>
      <c r="F1120" s="5">
        <v>0</v>
      </c>
      <c r="G1120" s="5">
        <v>0</v>
      </c>
      <c r="H1120" s="5">
        <v>0</v>
      </c>
      <c r="I1120" s="5"/>
      <c r="J1120" s="1" t="s">
        <v>775</v>
      </c>
      <c r="K1120" s="1" t="s">
        <v>1620</v>
      </c>
      <c r="L1120" s="1" t="s">
        <v>79</v>
      </c>
      <c r="M1120" s="1" t="s">
        <v>79</v>
      </c>
      <c r="N1120" s="1" t="s">
        <v>79</v>
      </c>
      <c r="O1120" s="6">
        <v>44644</v>
      </c>
      <c r="P1120" s="6">
        <v>44644</v>
      </c>
      <c r="Q1120" s="6">
        <v>44644</v>
      </c>
      <c r="R1120" s="1" t="s">
        <v>784</v>
      </c>
      <c r="S1120" s="1" t="s">
        <v>79</v>
      </c>
      <c r="T1120" s="5">
        <v>180</v>
      </c>
      <c r="U1120" s="4">
        <v>4</v>
      </c>
      <c r="V1120" s="5">
        <v>151</v>
      </c>
      <c r="W1120" s="6"/>
      <c r="X1120" s="6"/>
      <c r="Y1120" s="6"/>
      <c r="Z1120" s="6"/>
      <c r="AA1120" s="6"/>
      <c r="AB1120" s="6"/>
      <c r="AC1120" s="6"/>
      <c r="AD1120" s="6">
        <v>44711</v>
      </c>
    </row>
    <row r="1121" spans="1:30">
      <c r="A1121" s="1" t="s">
        <v>772</v>
      </c>
      <c r="B1121" s="1" t="s">
        <v>773</v>
      </c>
      <c r="C1121" s="1" t="s">
        <v>989</v>
      </c>
      <c r="D1121" s="1" t="s">
        <v>1630</v>
      </c>
      <c r="E1121" s="1" t="str">
        <f t="shared" si="17"/>
        <v>W05</v>
      </c>
      <c r="F1121" s="5">
        <v>0</v>
      </c>
      <c r="G1121" s="5">
        <v>0</v>
      </c>
      <c r="H1121" s="5">
        <v>0</v>
      </c>
      <c r="I1121" s="5"/>
      <c r="J1121" s="1" t="s">
        <v>775</v>
      </c>
      <c r="K1121" s="1" t="s">
        <v>1620</v>
      </c>
      <c r="L1121" s="1" t="s">
        <v>79</v>
      </c>
      <c r="M1121" s="1" t="s">
        <v>79</v>
      </c>
      <c r="N1121" s="1" t="s">
        <v>79</v>
      </c>
      <c r="O1121" s="6">
        <v>44644</v>
      </c>
      <c r="P1121" s="6">
        <v>44644</v>
      </c>
      <c r="Q1121" s="6">
        <v>44644</v>
      </c>
      <c r="R1121" s="1" t="s">
        <v>784</v>
      </c>
      <c r="S1121" s="1" t="s">
        <v>79</v>
      </c>
      <c r="T1121" s="5">
        <v>180</v>
      </c>
      <c r="U1121" s="4">
        <v>4</v>
      </c>
      <c r="V1121" s="5">
        <v>151</v>
      </c>
      <c r="W1121" s="6"/>
      <c r="X1121" s="6"/>
      <c r="Y1121" s="6"/>
      <c r="Z1121" s="6"/>
      <c r="AA1121" s="6"/>
      <c r="AB1121" s="6"/>
      <c r="AC1121" s="6"/>
      <c r="AD1121" s="6">
        <v>44715</v>
      </c>
    </row>
    <row r="1122" spans="1:30">
      <c r="A1122" s="1" t="s">
        <v>772</v>
      </c>
      <c r="B1122" s="1" t="s">
        <v>773</v>
      </c>
      <c r="C1122" s="1" t="s">
        <v>989</v>
      </c>
      <c r="D1122" s="1" t="s">
        <v>1631</v>
      </c>
      <c r="E1122" s="1" t="str">
        <f t="shared" si="17"/>
        <v>W05</v>
      </c>
      <c r="F1122" s="5">
        <v>0</v>
      </c>
      <c r="G1122" s="5">
        <v>0</v>
      </c>
      <c r="H1122" s="5">
        <v>0</v>
      </c>
      <c r="I1122" s="5"/>
      <c r="J1122" s="1" t="s">
        <v>775</v>
      </c>
      <c r="K1122" s="1" t="s">
        <v>1620</v>
      </c>
      <c r="L1122" s="1" t="s">
        <v>79</v>
      </c>
      <c r="M1122" s="1" t="s">
        <v>79</v>
      </c>
      <c r="N1122" s="1" t="s">
        <v>79</v>
      </c>
      <c r="O1122" s="6">
        <v>44648</v>
      </c>
      <c r="P1122" s="6">
        <v>44648</v>
      </c>
      <c r="Q1122" s="6">
        <v>44648</v>
      </c>
      <c r="R1122" s="1" t="s">
        <v>784</v>
      </c>
      <c r="S1122" s="1" t="s">
        <v>79</v>
      </c>
      <c r="T1122" s="5">
        <v>180</v>
      </c>
      <c r="U1122" s="4">
        <v>4</v>
      </c>
      <c r="V1122" s="5">
        <v>147</v>
      </c>
      <c r="W1122" s="6"/>
      <c r="X1122" s="6"/>
      <c r="Y1122" s="6"/>
      <c r="Z1122" s="6"/>
      <c r="AA1122" s="6"/>
      <c r="AB1122" s="6"/>
      <c r="AC1122" s="6"/>
      <c r="AD1122" s="6">
        <v>44705</v>
      </c>
    </row>
    <row r="1123" spans="1:30">
      <c r="A1123" s="1" t="s">
        <v>772</v>
      </c>
      <c r="B1123" s="1" t="s">
        <v>773</v>
      </c>
      <c r="C1123" s="1" t="s">
        <v>989</v>
      </c>
      <c r="D1123" s="1" t="s">
        <v>1632</v>
      </c>
      <c r="E1123" s="1" t="str">
        <f t="shared" si="17"/>
        <v>W05</v>
      </c>
      <c r="F1123" s="5">
        <v>0</v>
      </c>
      <c r="G1123" s="5">
        <v>0</v>
      </c>
      <c r="H1123" s="5">
        <v>0</v>
      </c>
      <c r="I1123" s="5"/>
      <c r="J1123" s="1" t="s">
        <v>775</v>
      </c>
      <c r="K1123" s="1" t="s">
        <v>1620</v>
      </c>
      <c r="L1123" s="1" t="s">
        <v>79</v>
      </c>
      <c r="M1123" s="1" t="s">
        <v>79</v>
      </c>
      <c r="N1123" s="1" t="s">
        <v>79</v>
      </c>
      <c r="O1123" s="6">
        <v>44648</v>
      </c>
      <c r="P1123" s="6">
        <v>44648</v>
      </c>
      <c r="Q1123" s="6">
        <v>44648</v>
      </c>
      <c r="R1123" s="1" t="s">
        <v>784</v>
      </c>
      <c r="S1123" s="1" t="s">
        <v>79</v>
      </c>
      <c r="T1123" s="5">
        <v>180</v>
      </c>
      <c r="U1123" s="4">
        <v>4</v>
      </c>
      <c r="V1123" s="5">
        <v>147</v>
      </c>
      <c r="W1123" s="6"/>
      <c r="X1123" s="6"/>
      <c r="Y1123" s="6"/>
      <c r="Z1123" s="6"/>
      <c r="AA1123" s="6"/>
      <c r="AB1123" s="6"/>
      <c r="AC1123" s="6"/>
      <c r="AD1123" s="6">
        <v>44721</v>
      </c>
    </row>
    <row r="1124" spans="1:30">
      <c r="A1124" s="1" t="s">
        <v>772</v>
      </c>
      <c r="B1124" s="1" t="s">
        <v>773</v>
      </c>
      <c r="C1124" s="1" t="s">
        <v>848</v>
      </c>
      <c r="D1124" s="1" t="s">
        <v>1633</v>
      </c>
      <c r="E1124" s="1" t="str">
        <f t="shared" si="17"/>
        <v>W02</v>
      </c>
      <c r="F1124" s="5">
        <v>0</v>
      </c>
      <c r="G1124" s="5">
        <v>0</v>
      </c>
      <c r="H1124" s="5">
        <v>0</v>
      </c>
      <c r="I1124" s="5"/>
      <c r="J1124" s="1" t="s">
        <v>775</v>
      </c>
      <c r="K1124" s="1" t="s">
        <v>1620</v>
      </c>
      <c r="L1124" s="1" t="s">
        <v>79</v>
      </c>
      <c r="M1124" s="1" t="s">
        <v>79</v>
      </c>
      <c r="N1124" s="1" t="s">
        <v>79</v>
      </c>
      <c r="O1124" s="6">
        <v>44650</v>
      </c>
      <c r="P1124" s="6">
        <v>44650</v>
      </c>
      <c r="Q1124" s="6">
        <v>44650</v>
      </c>
      <c r="R1124" s="1" t="s">
        <v>784</v>
      </c>
      <c r="S1124" s="1" t="s">
        <v>79</v>
      </c>
      <c r="T1124" s="5">
        <v>180</v>
      </c>
      <c r="U1124" s="4">
        <v>4</v>
      </c>
      <c r="V1124" s="5">
        <v>145</v>
      </c>
      <c r="W1124" s="6"/>
      <c r="X1124" s="6"/>
      <c r="Y1124" s="6"/>
      <c r="Z1124" s="6"/>
      <c r="AA1124" s="6"/>
      <c r="AB1124" s="6"/>
      <c r="AC1124" s="6"/>
      <c r="AD1124" s="6">
        <v>44706</v>
      </c>
    </row>
    <row r="1125" spans="1:30">
      <c r="A1125" s="1" t="s">
        <v>772</v>
      </c>
      <c r="B1125" s="1" t="s">
        <v>773</v>
      </c>
      <c r="C1125" s="1" t="s">
        <v>989</v>
      </c>
      <c r="D1125" s="1" t="s">
        <v>1634</v>
      </c>
      <c r="E1125" s="1" t="str">
        <f t="shared" si="17"/>
        <v>W05</v>
      </c>
      <c r="F1125" s="5">
        <v>0</v>
      </c>
      <c r="G1125" s="5">
        <v>0</v>
      </c>
      <c r="H1125" s="5">
        <v>0</v>
      </c>
      <c r="I1125" s="5"/>
      <c r="J1125" s="1" t="s">
        <v>775</v>
      </c>
      <c r="K1125" s="1" t="s">
        <v>1620</v>
      </c>
      <c r="L1125" s="1" t="s">
        <v>79</v>
      </c>
      <c r="M1125" s="1" t="s">
        <v>79</v>
      </c>
      <c r="N1125" s="1" t="s">
        <v>79</v>
      </c>
      <c r="O1125" s="6">
        <v>44650</v>
      </c>
      <c r="P1125" s="6">
        <v>44650</v>
      </c>
      <c r="Q1125" s="6">
        <v>44650</v>
      </c>
      <c r="R1125" s="1" t="s">
        <v>784</v>
      </c>
      <c r="S1125" s="1" t="s">
        <v>79</v>
      </c>
      <c r="T1125" s="5">
        <v>180</v>
      </c>
      <c r="U1125" s="4">
        <v>4</v>
      </c>
      <c r="V1125" s="5">
        <v>145</v>
      </c>
      <c r="W1125" s="6"/>
      <c r="X1125" s="6"/>
      <c r="Y1125" s="6"/>
      <c r="Z1125" s="6"/>
      <c r="AA1125" s="6"/>
      <c r="AB1125" s="6"/>
      <c r="AC1125" s="6"/>
      <c r="AD1125" s="6">
        <v>44722</v>
      </c>
    </row>
    <row r="1126" spans="1:30">
      <c r="A1126" s="1" t="s">
        <v>772</v>
      </c>
      <c r="B1126" s="1" t="s">
        <v>773</v>
      </c>
      <c r="C1126" s="1" t="s">
        <v>989</v>
      </c>
      <c r="D1126" s="1" t="s">
        <v>1635</v>
      </c>
      <c r="E1126" s="1" t="str">
        <f t="shared" si="17"/>
        <v>W05</v>
      </c>
      <c r="F1126" s="5">
        <v>0</v>
      </c>
      <c r="G1126" s="5">
        <v>0</v>
      </c>
      <c r="H1126" s="5">
        <v>0</v>
      </c>
      <c r="I1126" s="5"/>
      <c r="J1126" s="1" t="s">
        <v>775</v>
      </c>
      <c r="K1126" s="1" t="s">
        <v>1636</v>
      </c>
      <c r="L1126" s="1" t="s">
        <v>79</v>
      </c>
      <c r="M1126" s="1" t="s">
        <v>79</v>
      </c>
      <c r="N1126" s="1" t="s">
        <v>79</v>
      </c>
      <c r="O1126" s="6">
        <v>44655</v>
      </c>
      <c r="P1126" s="6">
        <v>44655</v>
      </c>
      <c r="Q1126" s="6">
        <v>44655</v>
      </c>
      <c r="R1126" s="1" t="s">
        <v>784</v>
      </c>
      <c r="S1126" s="1" t="s">
        <v>79</v>
      </c>
      <c r="T1126" s="5">
        <v>180</v>
      </c>
      <c r="U1126" s="4">
        <v>4</v>
      </c>
      <c r="V1126" s="5">
        <v>140</v>
      </c>
      <c r="W1126" s="6"/>
      <c r="X1126" s="6"/>
      <c r="Y1126" s="6"/>
      <c r="Z1126" s="6"/>
      <c r="AA1126" s="6"/>
      <c r="AB1126" s="6"/>
      <c r="AC1126" s="6"/>
      <c r="AD1126" s="6">
        <v>44730</v>
      </c>
    </row>
    <row r="1127" spans="1:30">
      <c r="A1127" s="1" t="s">
        <v>772</v>
      </c>
      <c r="B1127" s="1" t="s">
        <v>773</v>
      </c>
      <c r="C1127" s="1" t="s">
        <v>989</v>
      </c>
      <c r="D1127" s="1" t="s">
        <v>1637</v>
      </c>
      <c r="E1127" s="1" t="str">
        <f t="shared" si="17"/>
        <v>W05</v>
      </c>
      <c r="F1127" s="5">
        <v>0</v>
      </c>
      <c r="G1127" s="5">
        <v>0</v>
      </c>
      <c r="H1127" s="5">
        <v>0</v>
      </c>
      <c r="I1127" s="5"/>
      <c r="J1127" s="1" t="s">
        <v>775</v>
      </c>
      <c r="K1127" s="1" t="s">
        <v>1636</v>
      </c>
      <c r="L1127" s="1" t="s">
        <v>79</v>
      </c>
      <c r="M1127" s="1" t="s">
        <v>79</v>
      </c>
      <c r="N1127" s="1" t="s">
        <v>79</v>
      </c>
      <c r="O1127" s="6">
        <v>44655</v>
      </c>
      <c r="P1127" s="6">
        <v>44655</v>
      </c>
      <c r="Q1127" s="6">
        <v>44655</v>
      </c>
      <c r="R1127" s="1" t="s">
        <v>784</v>
      </c>
      <c r="S1127" s="1" t="s">
        <v>79</v>
      </c>
      <c r="T1127" s="5">
        <v>180</v>
      </c>
      <c r="U1127" s="4">
        <v>4</v>
      </c>
      <c r="V1127" s="5">
        <v>140</v>
      </c>
      <c r="W1127" s="6"/>
      <c r="X1127" s="6"/>
      <c r="Y1127" s="6"/>
      <c r="Z1127" s="6"/>
      <c r="AA1127" s="6"/>
      <c r="AB1127" s="6"/>
      <c r="AC1127" s="6"/>
      <c r="AD1127" s="6">
        <v>44710</v>
      </c>
    </row>
    <row r="1128" spans="1:30">
      <c r="A1128" s="1" t="s">
        <v>772</v>
      </c>
      <c r="B1128" s="1" t="s">
        <v>773</v>
      </c>
      <c r="C1128" s="1" t="s">
        <v>989</v>
      </c>
      <c r="D1128" s="1" t="s">
        <v>1638</v>
      </c>
      <c r="E1128" s="1" t="str">
        <f t="shared" si="17"/>
        <v>W05</v>
      </c>
      <c r="F1128" s="5">
        <v>0</v>
      </c>
      <c r="G1128" s="5">
        <v>0</v>
      </c>
      <c r="H1128" s="5">
        <v>0</v>
      </c>
      <c r="I1128" s="5"/>
      <c r="J1128" s="1" t="s">
        <v>775</v>
      </c>
      <c r="K1128" s="1" t="s">
        <v>1636</v>
      </c>
      <c r="L1128" s="1" t="s">
        <v>79</v>
      </c>
      <c r="M1128" s="1" t="s">
        <v>79</v>
      </c>
      <c r="N1128" s="1" t="s">
        <v>79</v>
      </c>
      <c r="O1128" s="6">
        <v>44656</v>
      </c>
      <c r="P1128" s="6">
        <v>44656</v>
      </c>
      <c r="Q1128" s="6">
        <v>44656</v>
      </c>
      <c r="R1128" s="1" t="s">
        <v>784</v>
      </c>
      <c r="S1128" s="1" t="s">
        <v>79</v>
      </c>
      <c r="T1128" s="5">
        <v>180</v>
      </c>
      <c r="U1128" s="4">
        <v>4</v>
      </c>
      <c r="V1128" s="5">
        <v>139</v>
      </c>
      <c r="W1128" s="6"/>
      <c r="X1128" s="6"/>
      <c r="Y1128" s="6"/>
      <c r="Z1128" s="6"/>
      <c r="AA1128" s="6"/>
      <c r="AB1128" s="6"/>
      <c r="AC1128" s="6"/>
      <c r="AD1128" s="6">
        <v>44734</v>
      </c>
    </row>
    <row r="1129" spans="1:30">
      <c r="A1129" s="1" t="s">
        <v>772</v>
      </c>
      <c r="B1129" s="1" t="s">
        <v>773</v>
      </c>
      <c r="C1129" s="1" t="s">
        <v>989</v>
      </c>
      <c r="D1129" s="1" t="s">
        <v>1639</v>
      </c>
      <c r="E1129" s="1" t="str">
        <f t="shared" si="17"/>
        <v>W05</v>
      </c>
      <c r="F1129" s="5">
        <v>0</v>
      </c>
      <c r="G1129" s="5">
        <v>0</v>
      </c>
      <c r="H1129" s="5">
        <v>0</v>
      </c>
      <c r="I1129" s="5"/>
      <c r="J1129" s="1" t="s">
        <v>775</v>
      </c>
      <c r="K1129" s="1" t="s">
        <v>1636</v>
      </c>
      <c r="L1129" s="1" t="s">
        <v>79</v>
      </c>
      <c r="M1129" s="1" t="s">
        <v>79</v>
      </c>
      <c r="N1129" s="1" t="s">
        <v>79</v>
      </c>
      <c r="O1129" s="6">
        <v>44657</v>
      </c>
      <c r="P1129" s="6">
        <v>44657</v>
      </c>
      <c r="Q1129" s="6">
        <v>44657</v>
      </c>
      <c r="R1129" s="1" t="s">
        <v>784</v>
      </c>
      <c r="S1129" s="1" t="s">
        <v>79</v>
      </c>
      <c r="T1129" s="5">
        <v>180</v>
      </c>
      <c r="U1129" s="4">
        <v>4</v>
      </c>
      <c r="V1129" s="5">
        <v>138</v>
      </c>
      <c r="W1129" s="6"/>
      <c r="X1129" s="6"/>
      <c r="Y1129" s="6"/>
      <c r="Z1129" s="6"/>
      <c r="AA1129" s="6"/>
      <c r="AB1129" s="6"/>
      <c r="AC1129" s="6"/>
      <c r="AD1129" s="6">
        <v>44720</v>
      </c>
    </row>
    <row r="1130" spans="1:30">
      <c r="A1130" s="1" t="s">
        <v>772</v>
      </c>
      <c r="B1130" s="1" t="s">
        <v>773</v>
      </c>
      <c r="C1130" s="1" t="s">
        <v>989</v>
      </c>
      <c r="D1130" s="1" t="s">
        <v>1640</v>
      </c>
      <c r="E1130" s="1" t="str">
        <f t="shared" si="17"/>
        <v>W05</v>
      </c>
      <c r="F1130" s="4">
        <v>0</v>
      </c>
      <c r="G1130" s="4">
        <v>0</v>
      </c>
      <c r="H1130" s="4">
        <v>0</v>
      </c>
      <c r="I1130" s="4"/>
      <c r="J1130" s="1" t="s">
        <v>775</v>
      </c>
      <c r="K1130" s="1" t="s">
        <v>1019</v>
      </c>
      <c r="L1130" s="1" t="s">
        <v>79</v>
      </c>
      <c r="M1130" s="1" t="s">
        <v>79</v>
      </c>
      <c r="N1130" s="1" t="s">
        <v>79</v>
      </c>
      <c r="O1130" s="6">
        <v>42535</v>
      </c>
      <c r="P1130" s="6">
        <v>42522</v>
      </c>
      <c r="Q1130" s="6">
        <v>42522</v>
      </c>
      <c r="R1130" s="1" t="s">
        <v>1017</v>
      </c>
      <c r="S1130" s="1" t="s">
        <v>79</v>
      </c>
      <c r="T1130" s="5">
        <v>0</v>
      </c>
      <c r="U1130" s="4">
        <v>74</v>
      </c>
      <c r="V1130" s="5">
        <v>2273</v>
      </c>
      <c r="W1130" s="6"/>
      <c r="X1130" s="6"/>
      <c r="Y1130" s="6"/>
      <c r="Z1130" s="6"/>
      <c r="AA1130" s="6"/>
      <c r="AB1130" s="6"/>
      <c r="AC1130" s="6"/>
      <c r="AD1130" s="6">
        <v>43158</v>
      </c>
    </row>
    <row r="1131" spans="1:30">
      <c r="A1131" s="1" t="s">
        <v>772</v>
      </c>
      <c r="B1131" s="1" t="s">
        <v>773</v>
      </c>
      <c r="C1131" s="1" t="s">
        <v>989</v>
      </c>
      <c r="D1131" s="1" t="s">
        <v>1641</v>
      </c>
      <c r="E1131" s="1" t="str">
        <f t="shared" si="17"/>
        <v>W05</v>
      </c>
      <c r="F1131" s="4">
        <v>0</v>
      </c>
      <c r="G1131" s="4">
        <v>0</v>
      </c>
      <c r="H1131" s="4">
        <v>0</v>
      </c>
      <c r="I1131" s="4"/>
      <c r="J1131" s="1" t="s">
        <v>775</v>
      </c>
      <c r="K1131" s="1" t="s">
        <v>1027</v>
      </c>
      <c r="L1131" s="1" t="s">
        <v>79</v>
      </c>
      <c r="M1131" s="1" t="s">
        <v>1016</v>
      </c>
      <c r="N1131" s="1" t="s">
        <v>79</v>
      </c>
      <c r="O1131" s="6">
        <v>42500</v>
      </c>
      <c r="P1131" s="6">
        <v>42500</v>
      </c>
      <c r="Q1131" s="6"/>
      <c r="R1131" s="1" t="s">
        <v>1017</v>
      </c>
      <c r="S1131" s="1" t="s">
        <v>79</v>
      </c>
      <c r="T1131" s="5">
        <v>0</v>
      </c>
      <c r="U1131" s="4">
        <v>75</v>
      </c>
      <c r="V1131" s="5">
        <v>2295</v>
      </c>
      <c r="W1131" s="6"/>
      <c r="X1131" s="6"/>
      <c r="Y1131" s="6"/>
      <c r="Z1131" s="6"/>
      <c r="AA1131" s="6"/>
      <c r="AB1131" s="6"/>
      <c r="AC1131" s="6"/>
      <c r="AD1131" s="6">
        <v>43132</v>
      </c>
    </row>
    <row r="1132" spans="1:30">
      <c r="A1132" s="1" t="s">
        <v>772</v>
      </c>
      <c r="B1132" s="1" t="s">
        <v>773</v>
      </c>
      <c r="C1132" s="1" t="s">
        <v>989</v>
      </c>
      <c r="D1132" s="1" t="s">
        <v>1642</v>
      </c>
      <c r="E1132" s="1" t="str">
        <f t="shared" si="17"/>
        <v>W05</v>
      </c>
      <c r="F1132" s="5">
        <v>0</v>
      </c>
      <c r="G1132" s="5">
        <v>0</v>
      </c>
      <c r="H1132" s="5">
        <v>0</v>
      </c>
      <c r="I1132" s="5"/>
      <c r="J1132" s="1" t="s">
        <v>775</v>
      </c>
      <c r="K1132" s="1" t="s">
        <v>1636</v>
      </c>
      <c r="L1132" s="1" t="s">
        <v>79</v>
      </c>
      <c r="M1132" s="1" t="s">
        <v>79</v>
      </c>
      <c r="N1132" s="1" t="s">
        <v>79</v>
      </c>
      <c r="O1132" s="6">
        <v>44659</v>
      </c>
      <c r="P1132" s="6">
        <v>44659</v>
      </c>
      <c r="Q1132" s="6">
        <v>44659</v>
      </c>
      <c r="R1132" s="1" t="s">
        <v>784</v>
      </c>
      <c r="S1132" s="1" t="s">
        <v>79</v>
      </c>
      <c r="T1132" s="5">
        <v>180</v>
      </c>
      <c r="U1132" s="4">
        <v>4</v>
      </c>
      <c r="V1132" s="5">
        <v>136</v>
      </c>
      <c r="W1132" s="6"/>
      <c r="X1132" s="6"/>
      <c r="Y1132" s="6"/>
      <c r="Z1132" s="6"/>
      <c r="AA1132" s="6"/>
      <c r="AB1132" s="6"/>
      <c r="AC1132" s="6"/>
      <c r="AD1132" s="6">
        <v>44723</v>
      </c>
    </row>
    <row r="1133" spans="1:30">
      <c r="A1133" s="1" t="s">
        <v>772</v>
      </c>
      <c r="B1133" s="1" t="s">
        <v>773</v>
      </c>
      <c r="C1133" s="1" t="s">
        <v>989</v>
      </c>
      <c r="D1133" s="1" t="s">
        <v>1643</v>
      </c>
      <c r="E1133" s="1" t="str">
        <f t="shared" si="17"/>
        <v>W05</v>
      </c>
      <c r="F1133" s="5">
        <v>0</v>
      </c>
      <c r="G1133" s="5">
        <v>0</v>
      </c>
      <c r="H1133" s="5">
        <v>0</v>
      </c>
      <c r="I1133" s="5"/>
      <c r="J1133" s="1" t="s">
        <v>775</v>
      </c>
      <c r="K1133" s="1" t="s">
        <v>1636</v>
      </c>
      <c r="L1133" s="1" t="s">
        <v>79</v>
      </c>
      <c r="M1133" s="1" t="s">
        <v>79</v>
      </c>
      <c r="N1133" s="1" t="s">
        <v>79</v>
      </c>
      <c r="O1133" s="6">
        <v>44669</v>
      </c>
      <c r="P1133" s="6">
        <v>44669</v>
      </c>
      <c r="Q1133" s="6">
        <v>44669</v>
      </c>
      <c r="R1133" s="1" t="s">
        <v>784</v>
      </c>
      <c r="S1133" s="1" t="s">
        <v>79</v>
      </c>
      <c r="T1133" s="5">
        <v>180</v>
      </c>
      <c r="U1133" s="4">
        <v>4</v>
      </c>
      <c r="V1133" s="5">
        <v>126</v>
      </c>
      <c r="W1133" s="6"/>
      <c r="X1133" s="6"/>
      <c r="Y1133" s="6"/>
      <c r="Z1133" s="6"/>
      <c r="AA1133" s="6"/>
      <c r="AB1133" s="6"/>
      <c r="AC1133" s="6"/>
      <c r="AD1133" s="6">
        <v>44736</v>
      </c>
    </row>
    <row r="1134" spans="1:30">
      <c r="A1134" s="1" t="s">
        <v>772</v>
      </c>
      <c r="B1134" s="1" t="s">
        <v>773</v>
      </c>
      <c r="C1134" s="1" t="s">
        <v>989</v>
      </c>
      <c r="D1134" s="1" t="s">
        <v>1644</v>
      </c>
      <c r="E1134" s="1" t="str">
        <f t="shared" si="17"/>
        <v>W05</v>
      </c>
      <c r="F1134" s="5">
        <v>0</v>
      </c>
      <c r="G1134" s="5">
        <v>0</v>
      </c>
      <c r="H1134" s="5">
        <v>0</v>
      </c>
      <c r="I1134" s="5"/>
      <c r="J1134" s="1" t="s">
        <v>775</v>
      </c>
      <c r="K1134" s="1" t="s">
        <v>1636</v>
      </c>
      <c r="L1134" s="1" t="s">
        <v>79</v>
      </c>
      <c r="M1134" s="1" t="s">
        <v>79</v>
      </c>
      <c r="N1134" s="1" t="s">
        <v>79</v>
      </c>
      <c r="O1134" s="6">
        <v>44669</v>
      </c>
      <c r="P1134" s="6">
        <v>44669</v>
      </c>
      <c r="Q1134" s="6">
        <v>44669</v>
      </c>
      <c r="R1134" s="1" t="s">
        <v>784</v>
      </c>
      <c r="S1134" s="1" t="s">
        <v>79</v>
      </c>
      <c r="T1134" s="5">
        <v>180</v>
      </c>
      <c r="U1134" s="4">
        <v>4</v>
      </c>
      <c r="V1134" s="5">
        <v>126</v>
      </c>
      <c r="W1134" s="6"/>
      <c r="X1134" s="6"/>
      <c r="Y1134" s="6"/>
      <c r="Z1134" s="6"/>
      <c r="AA1134" s="6"/>
      <c r="AB1134" s="6"/>
      <c r="AC1134" s="6"/>
      <c r="AD1134" s="6">
        <v>44731</v>
      </c>
    </row>
    <row r="1135" spans="1:30">
      <c r="A1135" s="1" t="s">
        <v>772</v>
      </c>
      <c r="B1135" s="1" t="s">
        <v>773</v>
      </c>
      <c r="C1135" s="1" t="s">
        <v>989</v>
      </c>
      <c r="D1135" s="1" t="s">
        <v>1645</v>
      </c>
      <c r="E1135" s="1" t="str">
        <f t="shared" si="17"/>
        <v>W05</v>
      </c>
      <c r="F1135" s="5">
        <v>0</v>
      </c>
      <c r="G1135" s="5">
        <v>0</v>
      </c>
      <c r="H1135" s="5">
        <v>0</v>
      </c>
      <c r="I1135" s="5"/>
      <c r="J1135" s="1" t="s">
        <v>775</v>
      </c>
      <c r="K1135" s="1" t="s">
        <v>1636</v>
      </c>
      <c r="L1135" s="1" t="s">
        <v>79</v>
      </c>
      <c r="M1135" s="1" t="s">
        <v>79</v>
      </c>
      <c r="N1135" s="1" t="s">
        <v>79</v>
      </c>
      <c r="O1135" s="6">
        <v>44671</v>
      </c>
      <c r="P1135" s="6">
        <v>44671</v>
      </c>
      <c r="Q1135" s="6">
        <v>44671</v>
      </c>
      <c r="R1135" s="1" t="s">
        <v>784</v>
      </c>
      <c r="S1135" s="1" t="s">
        <v>79</v>
      </c>
      <c r="T1135" s="5">
        <v>180</v>
      </c>
      <c r="U1135" s="4">
        <v>4</v>
      </c>
      <c r="V1135" s="5">
        <v>124</v>
      </c>
      <c r="W1135" s="6"/>
      <c r="X1135" s="6"/>
      <c r="Y1135" s="6"/>
      <c r="Z1135" s="6"/>
      <c r="AA1135" s="6"/>
      <c r="AB1135" s="6"/>
      <c r="AC1135" s="6"/>
      <c r="AD1135" s="6">
        <v>44741</v>
      </c>
    </row>
    <row r="1136" spans="1:30">
      <c r="A1136" s="1" t="s">
        <v>772</v>
      </c>
      <c r="B1136" s="1" t="s">
        <v>773</v>
      </c>
      <c r="C1136" s="1" t="s">
        <v>848</v>
      </c>
      <c r="D1136" s="1" t="s">
        <v>700</v>
      </c>
      <c r="E1136" s="1" t="str">
        <f t="shared" si="17"/>
        <v>W02</v>
      </c>
      <c r="F1136" s="5">
        <v>10.9</v>
      </c>
      <c r="G1136" s="5">
        <v>8.5299999999999994</v>
      </c>
      <c r="H1136" s="5">
        <v>8.5299999999999994</v>
      </c>
      <c r="I1136" s="5"/>
      <c r="J1136" s="1" t="s">
        <v>775</v>
      </c>
      <c r="K1136" s="1" t="s">
        <v>1636</v>
      </c>
      <c r="L1136" s="1" t="s">
        <v>79</v>
      </c>
      <c r="M1136" s="1" t="s">
        <v>79</v>
      </c>
      <c r="N1136" s="1" t="s">
        <v>79</v>
      </c>
      <c r="O1136" s="6">
        <v>44672</v>
      </c>
      <c r="P1136" s="6">
        <v>44672</v>
      </c>
      <c r="Q1136" s="6">
        <v>44672</v>
      </c>
      <c r="R1136" s="1" t="s">
        <v>784</v>
      </c>
      <c r="S1136" s="1" t="s">
        <v>79</v>
      </c>
      <c r="T1136" s="5">
        <v>180</v>
      </c>
      <c r="U1136" s="4">
        <v>4</v>
      </c>
      <c r="V1136" s="5">
        <v>123</v>
      </c>
      <c r="W1136" s="6"/>
      <c r="X1136" s="6"/>
      <c r="Y1136" s="6"/>
      <c r="Z1136" s="6"/>
      <c r="AA1136" s="6"/>
      <c r="AB1136" s="6"/>
      <c r="AC1136" s="6"/>
      <c r="AD1136" s="6">
        <v>44739</v>
      </c>
    </row>
    <row r="1137" spans="1:30">
      <c r="A1137" s="1" t="s">
        <v>772</v>
      </c>
      <c r="B1137" s="1" t="s">
        <v>773</v>
      </c>
      <c r="C1137" s="1" t="s">
        <v>848</v>
      </c>
      <c r="D1137" s="1" t="s">
        <v>121</v>
      </c>
      <c r="E1137" s="1" t="str">
        <f t="shared" si="17"/>
        <v>W02</v>
      </c>
      <c r="F1137" s="5">
        <v>5.68</v>
      </c>
      <c r="G1137" s="5">
        <v>4.7300000000000004</v>
      </c>
      <c r="H1137" s="5">
        <v>4.7300000000000004</v>
      </c>
      <c r="I1137" s="5"/>
      <c r="J1137" s="1" t="s">
        <v>775</v>
      </c>
      <c r="K1137" s="1" t="s">
        <v>1636</v>
      </c>
      <c r="L1137" s="1" t="s">
        <v>79</v>
      </c>
      <c r="M1137" s="1" t="s">
        <v>79</v>
      </c>
      <c r="N1137" s="1" t="s">
        <v>79</v>
      </c>
      <c r="O1137" s="6">
        <v>44676</v>
      </c>
      <c r="P1137" s="6">
        <v>44676</v>
      </c>
      <c r="Q1137" s="6">
        <v>44676</v>
      </c>
      <c r="R1137" s="1" t="s">
        <v>784</v>
      </c>
      <c r="S1137" s="1" t="s">
        <v>79</v>
      </c>
      <c r="T1137" s="5">
        <v>180</v>
      </c>
      <c r="U1137" s="4">
        <v>3</v>
      </c>
      <c r="V1137" s="5">
        <v>119</v>
      </c>
      <c r="W1137" s="6"/>
      <c r="X1137" s="6"/>
      <c r="Y1137" s="6"/>
      <c r="Z1137" s="6"/>
      <c r="AA1137" s="6"/>
      <c r="AB1137" s="6"/>
      <c r="AC1137" s="6"/>
      <c r="AD1137" s="6">
        <v>44749</v>
      </c>
    </row>
    <row r="1138" spans="1:30">
      <c r="A1138" s="1" t="s">
        <v>772</v>
      </c>
      <c r="B1138" s="1" t="s">
        <v>773</v>
      </c>
      <c r="D1138" s="1" t="s">
        <v>1646</v>
      </c>
      <c r="E1138" s="1" t="str">
        <f t="shared" si="17"/>
        <v/>
      </c>
      <c r="F1138" s="5">
        <v>0</v>
      </c>
      <c r="G1138" s="5">
        <v>0</v>
      </c>
      <c r="H1138" s="5">
        <v>0</v>
      </c>
      <c r="I1138" s="5"/>
      <c r="J1138" s="1" t="s">
        <v>775</v>
      </c>
      <c r="K1138" s="1" t="s">
        <v>1636</v>
      </c>
      <c r="L1138" s="1" t="s">
        <v>79</v>
      </c>
      <c r="M1138" s="1" t="s">
        <v>79</v>
      </c>
      <c r="N1138" s="1" t="s">
        <v>79</v>
      </c>
      <c r="O1138" s="6">
        <v>44676</v>
      </c>
      <c r="P1138" s="6">
        <v>44676</v>
      </c>
      <c r="Q1138" s="6">
        <v>44676</v>
      </c>
      <c r="R1138" s="1" t="s">
        <v>784</v>
      </c>
      <c r="S1138" s="1" t="s">
        <v>79</v>
      </c>
      <c r="T1138" s="5">
        <v>180</v>
      </c>
      <c r="U1138" s="4">
        <v>3</v>
      </c>
      <c r="V1138" s="5">
        <v>119</v>
      </c>
      <c r="W1138" s="6"/>
      <c r="X1138" s="6"/>
      <c r="Y1138" s="6"/>
      <c r="Z1138" s="6"/>
      <c r="AA1138" s="6"/>
      <c r="AB1138" s="6"/>
      <c r="AC1138" s="6"/>
      <c r="AD1138" s="6">
        <v>44755</v>
      </c>
    </row>
    <row r="1139" spans="1:30">
      <c r="A1139" s="1" t="s">
        <v>772</v>
      </c>
      <c r="B1139" s="1" t="s">
        <v>917</v>
      </c>
      <c r="C1139" s="1" t="s">
        <v>989</v>
      </c>
      <c r="D1139" s="1" t="s">
        <v>1647</v>
      </c>
      <c r="E1139" s="1" t="str">
        <f t="shared" si="17"/>
        <v>W05</v>
      </c>
      <c r="F1139" s="5">
        <v>2.96</v>
      </c>
      <c r="G1139" s="5">
        <v>2.5499999999999998</v>
      </c>
      <c r="H1139" s="5">
        <v>2.5499999999999998</v>
      </c>
      <c r="I1139" s="5"/>
      <c r="J1139" s="1" t="s">
        <v>775</v>
      </c>
      <c r="K1139" s="1" t="s">
        <v>1636</v>
      </c>
      <c r="L1139" s="1" t="s">
        <v>79</v>
      </c>
      <c r="M1139" s="1" t="s">
        <v>79</v>
      </c>
      <c r="N1139" s="1" t="s">
        <v>79</v>
      </c>
      <c r="O1139" s="6">
        <v>44677</v>
      </c>
      <c r="P1139" s="6">
        <v>44677</v>
      </c>
      <c r="Q1139" s="6">
        <v>44677</v>
      </c>
      <c r="R1139" s="1" t="s">
        <v>784</v>
      </c>
      <c r="S1139" s="1" t="s">
        <v>79</v>
      </c>
      <c r="T1139" s="5">
        <v>180</v>
      </c>
      <c r="U1139" s="4">
        <v>3</v>
      </c>
      <c r="V1139" s="5">
        <v>118</v>
      </c>
      <c r="W1139" s="6"/>
      <c r="X1139" s="6"/>
      <c r="Y1139" s="6"/>
      <c r="Z1139" s="6"/>
      <c r="AA1139" s="6"/>
      <c r="AB1139" s="6"/>
      <c r="AC1139" s="6"/>
      <c r="AD1139" s="6">
        <v>44750</v>
      </c>
    </row>
    <row r="1140" spans="1:30">
      <c r="A1140" s="1" t="s">
        <v>772</v>
      </c>
      <c r="B1140" s="1" t="s">
        <v>1083</v>
      </c>
      <c r="C1140" s="1" t="s">
        <v>989</v>
      </c>
      <c r="D1140" s="1" t="s">
        <v>1648</v>
      </c>
      <c r="E1140" s="1" t="str">
        <f t="shared" si="17"/>
        <v>W05</v>
      </c>
      <c r="F1140" s="5">
        <v>2.56</v>
      </c>
      <c r="G1140" s="5">
        <v>2.15</v>
      </c>
      <c r="H1140" s="5">
        <v>2.15</v>
      </c>
      <c r="I1140" s="5"/>
      <c r="J1140" s="1" t="s">
        <v>775</v>
      </c>
      <c r="K1140" s="1" t="s">
        <v>1649</v>
      </c>
      <c r="L1140" s="1" t="s">
        <v>79</v>
      </c>
      <c r="M1140" s="1" t="s">
        <v>79</v>
      </c>
      <c r="N1140" s="1" t="s">
        <v>79</v>
      </c>
      <c r="O1140" s="6">
        <v>44690</v>
      </c>
      <c r="P1140" s="6">
        <v>44688</v>
      </c>
      <c r="Q1140" s="6">
        <v>44688</v>
      </c>
      <c r="R1140" s="1" t="s">
        <v>784</v>
      </c>
      <c r="S1140" s="1" t="s">
        <v>79</v>
      </c>
      <c r="T1140" s="5">
        <v>180</v>
      </c>
      <c r="U1140" s="4">
        <v>3</v>
      </c>
      <c r="V1140" s="5">
        <v>107</v>
      </c>
      <c r="W1140" s="6"/>
      <c r="X1140" s="6"/>
      <c r="Y1140" s="6"/>
      <c r="Z1140" s="6"/>
      <c r="AA1140" s="6"/>
      <c r="AB1140" s="6"/>
      <c r="AC1140" s="6"/>
      <c r="AD1140" s="6">
        <v>44756</v>
      </c>
    </row>
    <row r="1141" spans="1:30">
      <c r="A1141" s="1" t="s">
        <v>772</v>
      </c>
      <c r="B1141" s="1" t="s">
        <v>773</v>
      </c>
      <c r="C1141" s="1" t="s">
        <v>989</v>
      </c>
      <c r="D1141" s="1" t="s">
        <v>1650</v>
      </c>
      <c r="E1141" s="1" t="str">
        <f t="shared" si="17"/>
        <v>W05</v>
      </c>
      <c r="F1141" s="5">
        <v>0</v>
      </c>
      <c r="G1141" s="5">
        <v>0</v>
      </c>
      <c r="H1141" s="5">
        <v>0</v>
      </c>
      <c r="I1141" s="5"/>
      <c r="J1141" s="1" t="s">
        <v>775</v>
      </c>
      <c r="K1141" s="1" t="s">
        <v>1649</v>
      </c>
      <c r="L1141" s="1" t="s">
        <v>79</v>
      </c>
      <c r="M1141" s="1" t="s">
        <v>79</v>
      </c>
      <c r="N1141" s="1" t="s">
        <v>79</v>
      </c>
      <c r="O1141" s="6">
        <v>44690</v>
      </c>
      <c r="P1141" s="6">
        <v>44688</v>
      </c>
      <c r="Q1141" s="6">
        <v>44688</v>
      </c>
      <c r="R1141" s="1" t="s">
        <v>784</v>
      </c>
      <c r="S1141" s="1" t="s">
        <v>79</v>
      </c>
      <c r="T1141" s="5">
        <v>180</v>
      </c>
      <c r="U1141" s="4">
        <v>3</v>
      </c>
      <c r="V1141" s="5">
        <v>107</v>
      </c>
      <c r="W1141" s="6"/>
      <c r="X1141" s="6"/>
      <c r="Y1141" s="6"/>
      <c r="Z1141" s="6"/>
      <c r="AA1141" s="6"/>
      <c r="AB1141" s="6"/>
      <c r="AC1141" s="6"/>
      <c r="AD1141" s="6">
        <v>44758</v>
      </c>
    </row>
    <row r="1142" spans="1:30">
      <c r="A1142" s="1" t="s">
        <v>772</v>
      </c>
      <c r="B1142" s="1" t="s">
        <v>773</v>
      </c>
      <c r="C1142" s="1" t="s">
        <v>989</v>
      </c>
      <c r="D1142" s="1" t="s">
        <v>1651</v>
      </c>
      <c r="E1142" s="1" t="str">
        <f t="shared" si="17"/>
        <v>W05</v>
      </c>
      <c r="F1142" s="5">
        <v>0</v>
      </c>
      <c r="G1142" s="5">
        <v>0</v>
      </c>
      <c r="H1142" s="5">
        <v>0</v>
      </c>
      <c r="I1142" s="5"/>
      <c r="J1142" s="1" t="s">
        <v>775</v>
      </c>
      <c r="K1142" s="1" t="s">
        <v>1649</v>
      </c>
      <c r="L1142" s="1" t="s">
        <v>79</v>
      </c>
      <c r="M1142" s="1" t="s">
        <v>79</v>
      </c>
      <c r="N1142" s="1" t="s">
        <v>79</v>
      </c>
      <c r="O1142" s="6">
        <v>44690</v>
      </c>
      <c r="P1142" s="6">
        <v>44688</v>
      </c>
      <c r="Q1142" s="6">
        <v>44688</v>
      </c>
      <c r="R1142" s="1" t="s">
        <v>784</v>
      </c>
      <c r="S1142" s="1" t="s">
        <v>79</v>
      </c>
      <c r="T1142" s="5">
        <v>180</v>
      </c>
      <c r="U1142" s="4">
        <v>3</v>
      </c>
      <c r="V1142" s="5">
        <v>107</v>
      </c>
      <c r="W1142" s="6"/>
      <c r="X1142" s="6"/>
      <c r="Y1142" s="6"/>
      <c r="Z1142" s="6"/>
      <c r="AA1142" s="6"/>
      <c r="AB1142" s="6"/>
      <c r="AC1142" s="6"/>
      <c r="AD1142" s="6">
        <v>44761</v>
      </c>
    </row>
    <row r="1143" spans="1:30">
      <c r="A1143" s="1" t="s">
        <v>772</v>
      </c>
      <c r="B1143" s="1" t="s">
        <v>773</v>
      </c>
      <c r="C1143" s="1" t="s">
        <v>989</v>
      </c>
      <c r="D1143" s="1" t="s">
        <v>1652</v>
      </c>
      <c r="E1143" s="1" t="str">
        <f t="shared" si="17"/>
        <v>W05</v>
      </c>
      <c r="F1143" s="5">
        <v>0</v>
      </c>
      <c r="G1143" s="5">
        <v>0</v>
      </c>
      <c r="H1143" s="5">
        <v>0</v>
      </c>
      <c r="I1143" s="5"/>
      <c r="J1143" s="1" t="s">
        <v>775</v>
      </c>
      <c r="K1143" s="1" t="s">
        <v>1649</v>
      </c>
      <c r="L1143" s="1" t="s">
        <v>79</v>
      </c>
      <c r="M1143" s="1" t="s">
        <v>79</v>
      </c>
      <c r="N1143" s="1" t="s">
        <v>79</v>
      </c>
      <c r="O1143" s="6">
        <v>44693</v>
      </c>
      <c r="P1143" s="6">
        <v>44693</v>
      </c>
      <c r="Q1143" s="6">
        <v>44693</v>
      </c>
      <c r="R1143" s="1" t="s">
        <v>784</v>
      </c>
      <c r="S1143" s="1" t="s">
        <v>79</v>
      </c>
      <c r="T1143" s="5">
        <v>180</v>
      </c>
      <c r="U1143" s="4">
        <v>3</v>
      </c>
      <c r="V1143" s="5">
        <v>102</v>
      </c>
      <c r="W1143" s="6"/>
      <c r="X1143" s="6"/>
      <c r="Y1143" s="6"/>
      <c r="Z1143" s="6"/>
      <c r="AA1143" s="6"/>
      <c r="AB1143" s="6"/>
      <c r="AC1143" s="6"/>
      <c r="AD1143" s="6">
        <v>44763</v>
      </c>
    </row>
    <row r="1144" spans="1:30">
      <c r="A1144" s="1" t="s">
        <v>772</v>
      </c>
      <c r="B1144" s="1" t="s">
        <v>773</v>
      </c>
      <c r="C1144" s="1" t="s">
        <v>904</v>
      </c>
      <c r="D1144" s="1" t="s">
        <v>322</v>
      </c>
      <c r="E1144" s="1" t="str">
        <f t="shared" si="17"/>
        <v>W03</v>
      </c>
      <c r="F1144" s="5">
        <v>7.06</v>
      </c>
      <c r="G1144" s="5">
        <v>5.58</v>
      </c>
      <c r="H1144" s="5">
        <v>5.58</v>
      </c>
      <c r="I1144" s="5"/>
      <c r="J1144" s="1" t="s">
        <v>775</v>
      </c>
      <c r="K1144" s="1" t="s">
        <v>1649</v>
      </c>
      <c r="L1144" s="1" t="s">
        <v>79</v>
      </c>
      <c r="M1144" s="1" t="s">
        <v>79</v>
      </c>
      <c r="N1144" s="1" t="s">
        <v>79</v>
      </c>
      <c r="O1144" s="6">
        <v>44694</v>
      </c>
      <c r="P1144" s="6">
        <v>44694</v>
      </c>
      <c r="Q1144" s="6">
        <v>44694</v>
      </c>
      <c r="R1144" s="1" t="s">
        <v>784</v>
      </c>
      <c r="S1144" s="1" t="s">
        <v>79</v>
      </c>
      <c r="T1144" s="5">
        <v>180</v>
      </c>
      <c r="U1144" s="4">
        <v>3</v>
      </c>
      <c r="V1144" s="5">
        <v>101</v>
      </c>
      <c r="W1144" s="6"/>
      <c r="X1144" s="6"/>
      <c r="Y1144" s="6"/>
      <c r="Z1144" s="6"/>
      <c r="AA1144" s="6"/>
      <c r="AB1144" s="6"/>
      <c r="AC1144" s="6"/>
      <c r="AD1144" s="6">
        <v>44768</v>
      </c>
    </row>
    <row r="1145" spans="1:30">
      <c r="A1145" s="1" t="s">
        <v>772</v>
      </c>
      <c r="B1145" s="1" t="s">
        <v>773</v>
      </c>
      <c r="C1145" s="1" t="s">
        <v>904</v>
      </c>
      <c r="D1145" s="1" t="s">
        <v>317</v>
      </c>
      <c r="E1145" s="1" t="str">
        <f t="shared" si="17"/>
        <v>W03</v>
      </c>
      <c r="F1145" s="5">
        <v>7.14</v>
      </c>
      <c r="G1145" s="5">
        <v>5.84</v>
      </c>
      <c r="H1145" s="5">
        <v>5.84</v>
      </c>
      <c r="I1145" s="5"/>
      <c r="J1145" s="1" t="s">
        <v>775</v>
      </c>
      <c r="K1145" s="1" t="s">
        <v>1649</v>
      </c>
      <c r="L1145" s="1" t="s">
        <v>79</v>
      </c>
      <c r="M1145" s="1" t="s">
        <v>79</v>
      </c>
      <c r="N1145" s="1" t="s">
        <v>79</v>
      </c>
      <c r="O1145" s="6">
        <v>44698</v>
      </c>
      <c r="P1145" s="6">
        <v>44698</v>
      </c>
      <c r="Q1145" s="6">
        <v>44698</v>
      </c>
      <c r="R1145" s="1" t="s">
        <v>784</v>
      </c>
      <c r="S1145" s="1" t="s">
        <v>79</v>
      </c>
      <c r="T1145" s="5">
        <v>180</v>
      </c>
      <c r="U1145" s="4">
        <v>3</v>
      </c>
      <c r="V1145" s="5">
        <v>97</v>
      </c>
      <c r="W1145" s="6"/>
      <c r="X1145" s="6"/>
      <c r="Y1145" s="6"/>
      <c r="Z1145" s="6"/>
      <c r="AA1145" s="6"/>
      <c r="AB1145" s="6"/>
      <c r="AC1145" s="6"/>
      <c r="AD1145" s="6">
        <v>44769</v>
      </c>
    </row>
    <row r="1146" spans="1:30">
      <c r="A1146" s="1" t="s">
        <v>772</v>
      </c>
      <c r="B1146" s="1" t="s">
        <v>773</v>
      </c>
      <c r="C1146" s="1" t="s">
        <v>989</v>
      </c>
      <c r="D1146" s="1" t="s">
        <v>1653</v>
      </c>
      <c r="E1146" s="1" t="str">
        <f t="shared" si="17"/>
        <v>W05</v>
      </c>
      <c r="F1146" s="5">
        <v>0</v>
      </c>
      <c r="G1146" s="5">
        <v>0</v>
      </c>
      <c r="H1146" s="5">
        <v>0</v>
      </c>
      <c r="I1146" s="5"/>
      <c r="J1146" s="1" t="s">
        <v>775</v>
      </c>
      <c r="K1146" s="1" t="s">
        <v>1649</v>
      </c>
      <c r="L1146" s="1" t="s">
        <v>79</v>
      </c>
      <c r="M1146" s="1" t="s">
        <v>79</v>
      </c>
      <c r="N1146" s="1" t="s">
        <v>79</v>
      </c>
      <c r="O1146" s="6">
        <v>44701</v>
      </c>
      <c r="P1146" s="6">
        <v>44701</v>
      </c>
      <c r="Q1146" s="6">
        <v>44701</v>
      </c>
      <c r="R1146" s="1" t="s">
        <v>784</v>
      </c>
      <c r="S1146" s="1" t="s">
        <v>79</v>
      </c>
      <c r="T1146" s="5">
        <v>180</v>
      </c>
      <c r="U1146" s="4">
        <v>3</v>
      </c>
      <c r="V1146" s="5">
        <v>94</v>
      </c>
      <c r="W1146" s="6"/>
      <c r="X1146" s="6"/>
      <c r="Y1146" s="6"/>
      <c r="Z1146" s="6"/>
      <c r="AA1146" s="6"/>
      <c r="AB1146" s="6"/>
      <c r="AC1146" s="6"/>
      <c r="AD1146" s="6">
        <v>44775</v>
      </c>
    </row>
    <row r="1147" spans="1:30">
      <c r="A1147" s="1" t="s">
        <v>772</v>
      </c>
      <c r="B1147" s="1" t="s">
        <v>773</v>
      </c>
      <c r="C1147" s="1" t="s">
        <v>989</v>
      </c>
      <c r="D1147" s="1" t="s">
        <v>1654</v>
      </c>
      <c r="E1147" s="1" t="str">
        <f t="shared" si="17"/>
        <v>W05</v>
      </c>
      <c r="F1147" s="5">
        <v>0</v>
      </c>
      <c r="G1147" s="5">
        <v>0</v>
      </c>
      <c r="H1147" s="5">
        <v>0</v>
      </c>
      <c r="I1147" s="5"/>
      <c r="J1147" s="1" t="s">
        <v>775</v>
      </c>
      <c r="K1147" s="1" t="s">
        <v>1649</v>
      </c>
      <c r="L1147" s="1" t="s">
        <v>79</v>
      </c>
      <c r="M1147" s="1" t="s">
        <v>79</v>
      </c>
      <c r="N1147" s="1" t="s">
        <v>79</v>
      </c>
      <c r="O1147" s="6">
        <v>44705</v>
      </c>
      <c r="P1147" s="6">
        <v>44705</v>
      </c>
      <c r="Q1147" s="6">
        <v>44705</v>
      </c>
      <c r="R1147" s="1" t="s">
        <v>784</v>
      </c>
      <c r="S1147" s="1" t="s">
        <v>79</v>
      </c>
      <c r="T1147" s="5">
        <v>180</v>
      </c>
      <c r="U1147" s="4">
        <v>2</v>
      </c>
      <c r="V1147" s="5">
        <v>90</v>
      </c>
      <c r="W1147" s="6"/>
      <c r="X1147" s="6"/>
      <c r="Y1147" s="6"/>
      <c r="Z1147" s="6"/>
      <c r="AA1147" s="6"/>
      <c r="AB1147" s="6"/>
      <c r="AC1147" s="6"/>
      <c r="AD1147" s="6">
        <v>44774</v>
      </c>
    </row>
    <row r="1148" spans="1:30">
      <c r="A1148" s="1" t="s">
        <v>772</v>
      </c>
      <c r="B1148" s="1" t="s">
        <v>773</v>
      </c>
      <c r="C1148" s="1" t="s">
        <v>989</v>
      </c>
      <c r="D1148" s="1" t="s">
        <v>1655</v>
      </c>
      <c r="E1148" s="1" t="str">
        <f t="shared" si="17"/>
        <v>W05</v>
      </c>
      <c r="F1148" s="5">
        <v>0</v>
      </c>
      <c r="G1148" s="5">
        <v>0</v>
      </c>
      <c r="H1148" s="5">
        <v>0</v>
      </c>
      <c r="I1148" s="5"/>
      <c r="J1148" s="1" t="s">
        <v>775</v>
      </c>
      <c r="K1148" s="1" t="s">
        <v>1649</v>
      </c>
      <c r="L1148" s="1" t="s">
        <v>79</v>
      </c>
      <c r="M1148" s="1" t="s">
        <v>79</v>
      </c>
      <c r="N1148" s="1" t="s">
        <v>79</v>
      </c>
      <c r="O1148" s="6">
        <v>44708</v>
      </c>
      <c r="P1148" s="6">
        <v>44708</v>
      </c>
      <c r="Q1148" s="6">
        <v>44708</v>
      </c>
      <c r="R1148" s="1" t="s">
        <v>784</v>
      </c>
      <c r="S1148" s="1" t="s">
        <v>79</v>
      </c>
      <c r="T1148" s="5">
        <v>180</v>
      </c>
      <c r="U1148" s="4">
        <v>2</v>
      </c>
      <c r="V1148" s="5">
        <v>87</v>
      </c>
      <c r="W1148" s="6"/>
      <c r="X1148" s="6"/>
      <c r="Y1148" s="6"/>
      <c r="Z1148" s="6"/>
      <c r="AA1148" s="6"/>
      <c r="AB1148" s="6"/>
      <c r="AC1148" s="6"/>
      <c r="AD1148" s="6">
        <v>44776</v>
      </c>
    </row>
    <row r="1149" spans="1:30">
      <c r="A1149" s="1" t="s">
        <v>772</v>
      </c>
      <c r="B1149" s="1" t="s">
        <v>773</v>
      </c>
      <c r="C1149" s="1" t="s">
        <v>989</v>
      </c>
      <c r="D1149" s="1" t="s">
        <v>1656</v>
      </c>
      <c r="E1149" s="1" t="str">
        <f t="shared" si="17"/>
        <v>W05</v>
      </c>
      <c r="F1149" s="5">
        <v>0</v>
      </c>
      <c r="G1149" s="5">
        <v>0</v>
      </c>
      <c r="H1149" s="5">
        <v>0</v>
      </c>
      <c r="I1149" s="5"/>
      <c r="J1149" s="1" t="s">
        <v>775</v>
      </c>
      <c r="K1149" s="1" t="s">
        <v>1649</v>
      </c>
      <c r="L1149" s="1" t="s">
        <v>79</v>
      </c>
      <c r="M1149" s="1" t="s">
        <v>79</v>
      </c>
      <c r="N1149" s="1" t="s">
        <v>79</v>
      </c>
      <c r="O1149" s="6">
        <v>44711</v>
      </c>
      <c r="P1149" s="6">
        <v>44711</v>
      </c>
      <c r="Q1149" s="6">
        <v>44711</v>
      </c>
      <c r="R1149" s="1" t="s">
        <v>784</v>
      </c>
      <c r="S1149" s="1" t="s">
        <v>79</v>
      </c>
      <c r="T1149" s="5">
        <v>180</v>
      </c>
      <c r="U1149" s="4">
        <v>2</v>
      </c>
      <c r="V1149" s="5">
        <v>84</v>
      </c>
      <c r="W1149" s="6"/>
      <c r="X1149" s="6"/>
      <c r="Y1149" s="6"/>
      <c r="Z1149" s="6"/>
      <c r="AA1149" s="6"/>
      <c r="AB1149" s="6"/>
      <c r="AC1149" s="6"/>
      <c r="AD1149" s="6">
        <v>44782</v>
      </c>
    </row>
    <row r="1150" spans="1:30">
      <c r="A1150" s="1" t="s">
        <v>772</v>
      </c>
      <c r="B1150" s="1" t="s">
        <v>773</v>
      </c>
      <c r="C1150" s="1" t="s">
        <v>989</v>
      </c>
      <c r="D1150" s="1" t="s">
        <v>1657</v>
      </c>
      <c r="E1150" s="1" t="str">
        <f t="shared" si="17"/>
        <v>W05</v>
      </c>
      <c r="F1150" s="5">
        <v>0</v>
      </c>
      <c r="G1150" s="5">
        <v>0</v>
      </c>
      <c r="H1150" s="5">
        <v>0</v>
      </c>
      <c r="I1150" s="5"/>
      <c r="J1150" s="1" t="s">
        <v>775</v>
      </c>
      <c r="K1150" s="1" t="s">
        <v>1649</v>
      </c>
      <c r="L1150" s="1" t="s">
        <v>79</v>
      </c>
      <c r="M1150" s="1" t="s">
        <v>79</v>
      </c>
      <c r="N1150" s="1" t="s">
        <v>79</v>
      </c>
      <c r="O1150" s="6">
        <v>44712</v>
      </c>
      <c r="P1150" s="6">
        <v>44711</v>
      </c>
      <c r="Q1150" s="6">
        <v>44711</v>
      </c>
      <c r="R1150" s="1" t="s">
        <v>784</v>
      </c>
      <c r="S1150" s="1" t="s">
        <v>79</v>
      </c>
      <c r="T1150" s="5">
        <v>180</v>
      </c>
      <c r="U1150" s="4">
        <v>2</v>
      </c>
      <c r="V1150" s="5">
        <v>84</v>
      </c>
      <c r="W1150" s="6"/>
      <c r="X1150" s="6"/>
      <c r="Y1150" s="6"/>
      <c r="Z1150" s="6"/>
      <c r="AA1150" s="6"/>
      <c r="AB1150" s="6"/>
      <c r="AC1150" s="6"/>
      <c r="AD1150" s="6">
        <v>44783</v>
      </c>
    </row>
    <row r="1151" spans="1:30">
      <c r="A1151" s="1" t="s">
        <v>772</v>
      </c>
      <c r="B1151" s="1" t="s">
        <v>773</v>
      </c>
      <c r="C1151" s="1" t="s">
        <v>989</v>
      </c>
      <c r="D1151" s="1" t="s">
        <v>1658</v>
      </c>
      <c r="E1151" s="1" t="str">
        <f t="shared" si="17"/>
        <v>W05</v>
      </c>
      <c r="F1151" s="5">
        <v>0</v>
      </c>
      <c r="G1151" s="5">
        <v>0</v>
      </c>
      <c r="H1151" s="5">
        <v>0</v>
      </c>
      <c r="I1151" s="5"/>
      <c r="J1151" s="1" t="s">
        <v>775</v>
      </c>
      <c r="K1151" s="1" t="s">
        <v>1649</v>
      </c>
      <c r="L1151" s="1" t="s">
        <v>79</v>
      </c>
      <c r="M1151" s="1" t="s">
        <v>79</v>
      </c>
      <c r="N1151" s="1" t="s">
        <v>79</v>
      </c>
      <c r="O1151" s="6">
        <v>44712</v>
      </c>
      <c r="P1151" s="6">
        <v>44711</v>
      </c>
      <c r="Q1151" s="6">
        <v>44711</v>
      </c>
      <c r="R1151" s="1" t="s">
        <v>784</v>
      </c>
      <c r="S1151" s="1" t="s">
        <v>79</v>
      </c>
      <c r="T1151" s="5">
        <v>180</v>
      </c>
      <c r="U1151" s="4">
        <v>2</v>
      </c>
      <c r="V1151" s="5">
        <v>84</v>
      </c>
      <c r="W1151" s="6"/>
      <c r="X1151" s="6"/>
      <c r="Y1151" s="6"/>
      <c r="Z1151" s="6"/>
      <c r="AA1151" s="6"/>
      <c r="AB1151" s="6"/>
      <c r="AC1151" s="6"/>
      <c r="AD1151" s="6">
        <v>44791</v>
      </c>
    </row>
    <row r="1152" spans="1:30">
      <c r="A1152" s="1" t="s">
        <v>772</v>
      </c>
      <c r="B1152" s="1" t="s">
        <v>773</v>
      </c>
      <c r="C1152" s="1" t="s">
        <v>989</v>
      </c>
      <c r="D1152" s="1" t="s">
        <v>1659</v>
      </c>
      <c r="E1152" s="1" t="str">
        <f t="shared" si="17"/>
        <v>W05</v>
      </c>
      <c r="F1152" s="5">
        <v>0</v>
      </c>
      <c r="G1152" s="5">
        <v>0</v>
      </c>
      <c r="H1152" s="5">
        <v>0</v>
      </c>
      <c r="I1152" s="5"/>
      <c r="J1152" s="1" t="s">
        <v>775</v>
      </c>
      <c r="K1152" s="1" t="s">
        <v>1660</v>
      </c>
      <c r="L1152" s="1" t="s">
        <v>79</v>
      </c>
      <c r="M1152" s="1" t="s">
        <v>79</v>
      </c>
      <c r="N1152" s="1" t="s">
        <v>79</v>
      </c>
      <c r="O1152" s="6">
        <v>44714</v>
      </c>
      <c r="P1152" s="6">
        <v>44714</v>
      </c>
      <c r="Q1152" s="6">
        <v>44714</v>
      </c>
      <c r="R1152" s="1" t="s">
        <v>784</v>
      </c>
      <c r="S1152" s="1" t="s">
        <v>79</v>
      </c>
      <c r="T1152" s="5">
        <v>180</v>
      </c>
      <c r="U1152" s="4">
        <v>2</v>
      </c>
      <c r="V1152" s="5">
        <v>81</v>
      </c>
      <c r="W1152" s="6"/>
      <c r="X1152" s="6"/>
      <c r="Y1152" s="6"/>
      <c r="Z1152" s="6"/>
      <c r="AA1152" s="6"/>
      <c r="AB1152" s="6"/>
      <c r="AC1152" s="6"/>
      <c r="AD1152" s="6">
        <v>44793</v>
      </c>
    </row>
    <row r="1153" spans="1:30">
      <c r="A1153" s="1" t="s">
        <v>772</v>
      </c>
      <c r="B1153" s="1" t="s">
        <v>773</v>
      </c>
      <c r="C1153" s="1" t="s">
        <v>989</v>
      </c>
      <c r="D1153" s="1" t="s">
        <v>1661</v>
      </c>
      <c r="E1153" s="1" t="str">
        <f t="shared" si="17"/>
        <v>W05</v>
      </c>
      <c r="F1153" s="5">
        <v>0</v>
      </c>
      <c r="G1153" s="5">
        <v>0</v>
      </c>
      <c r="H1153" s="5">
        <v>0</v>
      </c>
      <c r="I1153" s="5"/>
      <c r="J1153" s="1" t="s">
        <v>775</v>
      </c>
      <c r="K1153" s="1" t="s">
        <v>1660</v>
      </c>
      <c r="L1153" s="1" t="s">
        <v>79</v>
      </c>
      <c r="M1153" s="1" t="s">
        <v>79</v>
      </c>
      <c r="N1153" s="1" t="s">
        <v>79</v>
      </c>
      <c r="O1153" s="6">
        <v>44718</v>
      </c>
      <c r="P1153" s="6">
        <v>44718</v>
      </c>
      <c r="Q1153" s="6">
        <v>44718</v>
      </c>
      <c r="R1153" s="1" t="s">
        <v>784</v>
      </c>
      <c r="S1153" s="1" t="s">
        <v>79</v>
      </c>
      <c r="T1153" s="5">
        <v>180</v>
      </c>
      <c r="U1153" s="4">
        <v>2</v>
      </c>
      <c r="V1153" s="5">
        <v>77</v>
      </c>
      <c r="W1153" s="6"/>
      <c r="X1153" s="6"/>
      <c r="Y1153" s="6"/>
      <c r="Z1153" s="6"/>
      <c r="AA1153" s="6"/>
      <c r="AB1153" s="6"/>
      <c r="AC1153" s="6"/>
      <c r="AD1153" s="6"/>
    </row>
    <row r="1154" spans="1:30">
      <c r="A1154" s="1" t="s">
        <v>772</v>
      </c>
      <c r="B1154" s="1" t="s">
        <v>773</v>
      </c>
      <c r="C1154" s="1" t="s">
        <v>989</v>
      </c>
      <c r="D1154" s="1" t="s">
        <v>1662</v>
      </c>
      <c r="E1154" s="1" t="str">
        <f t="shared" si="17"/>
        <v>W05</v>
      </c>
      <c r="F1154" s="5">
        <v>0</v>
      </c>
      <c r="G1154" s="5">
        <v>0</v>
      </c>
      <c r="H1154" s="5">
        <v>0</v>
      </c>
      <c r="I1154" s="5"/>
      <c r="J1154" s="1" t="s">
        <v>775</v>
      </c>
      <c r="K1154" s="1" t="s">
        <v>1660</v>
      </c>
      <c r="L1154" s="1" t="s">
        <v>79</v>
      </c>
      <c r="M1154" s="1" t="s">
        <v>79</v>
      </c>
      <c r="N1154" s="1" t="s">
        <v>79</v>
      </c>
      <c r="O1154" s="6">
        <v>44719</v>
      </c>
      <c r="P1154" s="6">
        <v>44718</v>
      </c>
      <c r="Q1154" s="6">
        <v>44718</v>
      </c>
      <c r="R1154" s="1" t="s">
        <v>784</v>
      </c>
      <c r="S1154" s="1" t="s">
        <v>79</v>
      </c>
      <c r="T1154" s="5">
        <v>180</v>
      </c>
      <c r="U1154" s="4">
        <v>2</v>
      </c>
      <c r="V1154" s="5">
        <v>77</v>
      </c>
      <c r="W1154" s="6"/>
      <c r="X1154" s="6"/>
      <c r="Y1154" s="6"/>
      <c r="Z1154" s="6"/>
      <c r="AA1154" s="6"/>
      <c r="AB1154" s="6"/>
      <c r="AC1154" s="6"/>
      <c r="AD1154" s="6"/>
    </row>
    <row r="1155" spans="1:30">
      <c r="A1155" s="1" t="s">
        <v>772</v>
      </c>
      <c r="B1155" s="1" t="s">
        <v>773</v>
      </c>
      <c r="C1155" s="1" t="s">
        <v>989</v>
      </c>
      <c r="D1155" s="1" t="s">
        <v>1663</v>
      </c>
      <c r="E1155" s="1" t="str">
        <f t="shared" si="17"/>
        <v>W05</v>
      </c>
      <c r="F1155" s="5">
        <v>0</v>
      </c>
      <c r="G1155" s="5">
        <v>0</v>
      </c>
      <c r="H1155" s="5">
        <v>0</v>
      </c>
      <c r="I1155" s="5"/>
      <c r="J1155" s="1" t="s">
        <v>775</v>
      </c>
      <c r="K1155" s="1" t="s">
        <v>1660</v>
      </c>
      <c r="L1155" s="1" t="s">
        <v>79</v>
      </c>
      <c r="M1155" s="1" t="s">
        <v>79</v>
      </c>
      <c r="N1155" s="1" t="s">
        <v>79</v>
      </c>
      <c r="O1155" s="6">
        <v>44719</v>
      </c>
      <c r="P1155" s="6">
        <v>44719</v>
      </c>
      <c r="Q1155" s="6">
        <v>44719</v>
      </c>
      <c r="R1155" s="1" t="s">
        <v>784</v>
      </c>
      <c r="S1155" s="1" t="s">
        <v>79</v>
      </c>
      <c r="T1155" s="5">
        <v>180</v>
      </c>
      <c r="U1155" s="4">
        <v>2</v>
      </c>
      <c r="V1155" s="5">
        <v>76</v>
      </c>
      <c r="W1155" s="6"/>
      <c r="X1155" s="6"/>
      <c r="Y1155" s="6"/>
      <c r="Z1155" s="6"/>
      <c r="AA1155" s="6"/>
      <c r="AB1155" s="6"/>
      <c r="AC1155" s="6"/>
      <c r="AD1155" s="6"/>
    </row>
    <row r="1156" spans="1:30">
      <c r="A1156" s="1" t="s">
        <v>772</v>
      </c>
      <c r="B1156" s="1" t="s">
        <v>773</v>
      </c>
      <c r="C1156" s="1" t="s">
        <v>989</v>
      </c>
      <c r="D1156" s="1" t="s">
        <v>1664</v>
      </c>
      <c r="E1156" s="1" t="str">
        <f t="shared" si="17"/>
        <v>W05</v>
      </c>
      <c r="F1156" s="5">
        <v>0</v>
      </c>
      <c r="G1156" s="5">
        <v>0</v>
      </c>
      <c r="H1156" s="5">
        <v>0</v>
      </c>
      <c r="I1156" s="5"/>
      <c r="J1156" s="1" t="s">
        <v>775</v>
      </c>
      <c r="K1156" s="1" t="s">
        <v>1660</v>
      </c>
      <c r="L1156" s="1" t="s">
        <v>79</v>
      </c>
      <c r="M1156" s="1" t="s">
        <v>79</v>
      </c>
      <c r="N1156" s="1" t="s">
        <v>79</v>
      </c>
      <c r="O1156" s="6">
        <v>44720</v>
      </c>
      <c r="P1156" s="6">
        <v>44720</v>
      </c>
      <c r="Q1156" s="6">
        <v>44720</v>
      </c>
      <c r="R1156" s="1" t="s">
        <v>784</v>
      </c>
      <c r="S1156" s="1" t="s">
        <v>79</v>
      </c>
      <c r="T1156" s="5">
        <v>180</v>
      </c>
      <c r="U1156" s="4">
        <v>2</v>
      </c>
      <c r="V1156" s="5">
        <v>75</v>
      </c>
      <c r="W1156" s="6"/>
      <c r="X1156" s="6"/>
      <c r="Y1156" s="6"/>
      <c r="Z1156" s="6"/>
      <c r="AA1156" s="6"/>
      <c r="AB1156" s="6"/>
      <c r="AC1156" s="6"/>
      <c r="AD1156" s="6"/>
    </row>
    <row r="1157" spans="1:30">
      <c r="A1157" s="1" t="s">
        <v>772</v>
      </c>
      <c r="B1157" s="1" t="s">
        <v>773</v>
      </c>
      <c r="C1157" s="1" t="s">
        <v>989</v>
      </c>
      <c r="D1157" s="1" t="s">
        <v>1665</v>
      </c>
      <c r="E1157" s="1" t="str">
        <f t="shared" ref="E1157:E1220" si="18">RIGHT(C1157,3)</f>
        <v>W05</v>
      </c>
      <c r="F1157" s="5">
        <v>0</v>
      </c>
      <c r="G1157" s="5">
        <v>0</v>
      </c>
      <c r="H1157" s="5">
        <v>0</v>
      </c>
      <c r="I1157" s="5"/>
      <c r="J1157" s="1" t="s">
        <v>775</v>
      </c>
      <c r="K1157" s="1" t="s">
        <v>1660</v>
      </c>
      <c r="L1157" s="1" t="s">
        <v>79</v>
      </c>
      <c r="M1157" s="1" t="s">
        <v>79</v>
      </c>
      <c r="N1157" s="1" t="s">
        <v>79</v>
      </c>
      <c r="O1157" s="6">
        <v>44722</v>
      </c>
      <c r="P1157" s="6">
        <v>44722</v>
      </c>
      <c r="Q1157" s="6">
        <v>44722</v>
      </c>
      <c r="R1157" s="1" t="s">
        <v>784</v>
      </c>
      <c r="S1157" s="1" t="s">
        <v>79</v>
      </c>
      <c r="T1157" s="5">
        <v>180</v>
      </c>
      <c r="U1157" s="4">
        <v>2</v>
      </c>
      <c r="V1157" s="5">
        <v>73</v>
      </c>
      <c r="W1157" s="6"/>
      <c r="X1157" s="6"/>
      <c r="Y1157" s="6"/>
      <c r="Z1157" s="6"/>
      <c r="AA1157" s="6"/>
      <c r="AB1157" s="6"/>
      <c r="AC1157" s="6"/>
      <c r="AD1157" s="6"/>
    </row>
    <row r="1158" spans="1:30">
      <c r="A1158" s="1" t="s">
        <v>772</v>
      </c>
      <c r="B1158" s="1" t="s">
        <v>773</v>
      </c>
      <c r="C1158" s="1" t="s">
        <v>989</v>
      </c>
      <c r="D1158" s="1" t="s">
        <v>1666</v>
      </c>
      <c r="E1158" s="1" t="str">
        <f t="shared" si="18"/>
        <v>W05</v>
      </c>
      <c r="F1158" s="5">
        <v>0</v>
      </c>
      <c r="G1158" s="5">
        <v>0</v>
      </c>
      <c r="H1158" s="5">
        <v>0</v>
      </c>
      <c r="I1158" s="5"/>
      <c r="J1158" s="1" t="s">
        <v>775</v>
      </c>
      <c r="K1158" s="1" t="s">
        <v>1660</v>
      </c>
      <c r="L1158" s="1" t="s">
        <v>79</v>
      </c>
      <c r="M1158" s="1" t="s">
        <v>79</v>
      </c>
      <c r="N1158" s="1" t="s">
        <v>79</v>
      </c>
      <c r="O1158" s="6">
        <v>44726</v>
      </c>
      <c r="P1158" s="6">
        <v>44726</v>
      </c>
      <c r="Q1158" s="6">
        <v>44726</v>
      </c>
      <c r="R1158" s="1" t="s">
        <v>784</v>
      </c>
      <c r="S1158" s="1" t="s">
        <v>79</v>
      </c>
      <c r="T1158" s="5">
        <v>180</v>
      </c>
      <c r="U1158" s="4">
        <v>2</v>
      </c>
      <c r="V1158" s="5">
        <v>69</v>
      </c>
      <c r="W1158" s="6"/>
      <c r="X1158" s="6"/>
      <c r="Y1158" s="6"/>
      <c r="Z1158" s="6"/>
      <c r="AA1158" s="6"/>
      <c r="AB1158" s="6"/>
      <c r="AC1158" s="6"/>
      <c r="AD1158" s="6"/>
    </row>
    <row r="1159" spans="1:30">
      <c r="A1159" s="1" t="s">
        <v>772</v>
      </c>
      <c r="B1159" s="1" t="s">
        <v>773</v>
      </c>
      <c r="C1159" s="1" t="s">
        <v>989</v>
      </c>
      <c r="D1159" s="1" t="s">
        <v>1667</v>
      </c>
      <c r="E1159" s="1" t="str">
        <f t="shared" si="18"/>
        <v>W05</v>
      </c>
      <c r="F1159" s="5">
        <v>0</v>
      </c>
      <c r="G1159" s="5">
        <v>0</v>
      </c>
      <c r="H1159" s="5">
        <v>0</v>
      </c>
      <c r="I1159" s="5"/>
      <c r="J1159" s="1" t="s">
        <v>775</v>
      </c>
      <c r="K1159" s="1" t="s">
        <v>1660</v>
      </c>
      <c r="L1159" s="1" t="s">
        <v>79</v>
      </c>
      <c r="M1159" s="1" t="s">
        <v>79</v>
      </c>
      <c r="N1159" s="1" t="s">
        <v>79</v>
      </c>
      <c r="O1159" s="6">
        <v>44727</v>
      </c>
      <c r="P1159" s="6">
        <v>44727</v>
      </c>
      <c r="Q1159" s="6">
        <v>44727</v>
      </c>
      <c r="R1159" s="1" t="s">
        <v>784</v>
      </c>
      <c r="S1159" s="1" t="s">
        <v>79</v>
      </c>
      <c r="T1159" s="5">
        <v>180</v>
      </c>
      <c r="U1159" s="4">
        <v>2</v>
      </c>
      <c r="V1159" s="5">
        <v>68</v>
      </c>
      <c r="W1159" s="6"/>
      <c r="X1159" s="6"/>
      <c r="Y1159" s="6"/>
      <c r="Z1159" s="6"/>
      <c r="AA1159" s="6"/>
      <c r="AB1159" s="6"/>
      <c r="AC1159" s="6"/>
      <c r="AD1159" s="6"/>
    </row>
    <row r="1160" spans="1:30">
      <c r="A1160" s="1" t="s">
        <v>772</v>
      </c>
      <c r="B1160" s="1" t="s">
        <v>773</v>
      </c>
      <c r="C1160" s="1" t="s">
        <v>989</v>
      </c>
      <c r="D1160" s="1" t="s">
        <v>1668</v>
      </c>
      <c r="E1160" s="1" t="str">
        <f t="shared" si="18"/>
        <v>W05</v>
      </c>
      <c r="F1160" s="5">
        <v>0</v>
      </c>
      <c r="G1160" s="5">
        <v>0</v>
      </c>
      <c r="H1160" s="5">
        <v>0</v>
      </c>
      <c r="I1160" s="5"/>
      <c r="J1160" s="1" t="s">
        <v>775</v>
      </c>
      <c r="K1160" s="1" t="s">
        <v>1660</v>
      </c>
      <c r="L1160" s="1" t="s">
        <v>79</v>
      </c>
      <c r="M1160" s="1" t="s">
        <v>79</v>
      </c>
      <c r="N1160" s="1" t="s">
        <v>79</v>
      </c>
      <c r="O1160" s="6">
        <v>44727</v>
      </c>
      <c r="P1160" s="6">
        <v>44727</v>
      </c>
      <c r="Q1160" s="6">
        <v>44727</v>
      </c>
      <c r="R1160" s="1" t="s">
        <v>784</v>
      </c>
      <c r="S1160" s="1" t="s">
        <v>79</v>
      </c>
      <c r="T1160" s="5">
        <v>180</v>
      </c>
      <c r="U1160" s="4">
        <v>2</v>
      </c>
      <c r="V1160" s="5">
        <v>68</v>
      </c>
      <c r="W1160" s="6"/>
      <c r="X1160" s="6"/>
      <c r="Y1160" s="6"/>
      <c r="Z1160" s="6"/>
      <c r="AA1160" s="6"/>
      <c r="AB1160" s="6"/>
      <c r="AC1160" s="6"/>
      <c r="AD1160" s="6">
        <v>44791</v>
      </c>
    </row>
    <row r="1161" spans="1:30">
      <c r="A1161" s="1" t="s">
        <v>772</v>
      </c>
      <c r="B1161" s="1" t="s">
        <v>773</v>
      </c>
      <c r="C1161" s="1" t="s">
        <v>989</v>
      </c>
      <c r="D1161" s="1" t="s">
        <v>1669</v>
      </c>
      <c r="E1161" s="1" t="str">
        <f t="shared" si="18"/>
        <v>W05</v>
      </c>
      <c r="F1161" s="5">
        <v>0</v>
      </c>
      <c r="G1161" s="5">
        <v>0</v>
      </c>
      <c r="H1161" s="5">
        <v>0</v>
      </c>
      <c r="I1161" s="5"/>
      <c r="J1161" s="1" t="s">
        <v>775</v>
      </c>
      <c r="K1161" s="1" t="s">
        <v>1660</v>
      </c>
      <c r="L1161" s="1" t="s">
        <v>79</v>
      </c>
      <c r="M1161" s="1" t="s">
        <v>79</v>
      </c>
      <c r="N1161" s="1" t="s">
        <v>79</v>
      </c>
      <c r="O1161" s="6">
        <v>44732</v>
      </c>
      <c r="P1161" s="6">
        <v>44730</v>
      </c>
      <c r="Q1161" s="6">
        <v>44730</v>
      </c>
      <c r="R1161" s="1" t="s">
        <v>784</v>
      </c>
      <c r="S1161" s="1" t="s">
        <v>79</v>
      </c>
      <c r="T1161" s="5">
        <v>180</v>
      </c>
      <c r="U1161" s="4">
        <v>2</v>
      </c>
      <c r="V1161" s="5">
        <v>65</v>
      </c>
      <c r="W1161" s="6"/>
      <c r="X1161" s="6"/>
      <c r="Y1161" s="6"/>
      <c r="Z1161" s="6"/>
      <c r="AA1161" s="6"/>
      <c r="AB1161" s="6"/>
      <c r="AC1161" s="6"/>
      <c r="AD1161" s="6"/>
    </row>
    <row r="1162" spans="1:30">
      <c r="A1162" s="1" t="s">
        <v>772</v>
      </c>
      <c r="B1162" s="1" t="s">
        <v>773</v>
      </c>
      <c r="D1162" s="1" t="s">
        <v>1670</v>
      </c>
      <c r="E1162" s="1" t="str">
        <f t="shared" si="18"/>
        <v/>
      </c>
      <c r="F1162" s="5">
        <v>0</v>
      </c>
      <c r="G1162" s="5">
        <v>0</v>
      </c>
      <c r="H1162" s="5">
        <v>0</v>
      </c>
      <c r="I1162" s="5"/>
      <c r="J1162" s="1" t="s">
        <v>775</v>
      </c>
      <c r="K1162" s="1" t="s">
        <v>1660</v>
      </c>
      <c r="L1162" s="1" t="s">
        <v>79</v>
      </c>
      <c r="M1162" s="1" t="s">
        <v>79</v>
      </c>
      <c r="N1162" s="1" t="s">
        <v>79</v>
      </c>
      <c r="O1162" s="6">
        <v>44732</v>
      </c>
      <c r="P1162" s="6">
        <v>44732</v>
      </c>
      <c r="Q1162" s="6">
        <v>44732</v>
      </c>
      <c r="R1162" s="1" t="s">
        <v>784</v>
      </c>
      <c r="S1162" s="1" t="s">
        <v>79</v>
      </c>
      <c r="T1162" s="5">
        <v>180</v>
      </c>
      <c r="U1162" s="4">
        <v>2</v>
      </c>
      <c r="V1162" s="5">
        <v>63</v>
      </c>
      <c r="W1162" s="6"/>
      <c r="X1162" s="6"/>
      <c r="Y1162" s="6"/>
      <c r="Z1162" s="6"/>
      <c r="AA1162" s="6"/>
      <c r="AB1162" s="6"/>
      <c r="AC1162" s="6"/>
      <c r="AD1162" s="6"/>
    </row>
    <row r="1163" spans="1:30">
      <c r="A1163" s="1" t="s">
        <v>772</v>
      </c>
      <c r="B1163" s="1" t="s">
        <v>773</v>
      </c>
      <c r="D1163" s="1" t="s">
        <v>1671</v>
      </c>
      <c r="E1163" s="1" t="str">
        <f t="shared" si="18"/>
        <v/>
      </c>
      <c r="F1163" s="5">
        <v>0</v>
      </c>
      <c r="G1163" s="5">
        <v>0</v>
      </c>
      <c r="H1163" s="5">
        <v>0</v>
      </c>
      <c r="I1163" s="5"/>
      <c r="J1163" s="1" t="s">
        <v>775</v>
      </c>
      <c r="K1163" s="1" t="s">
        <v>1660</v>
      </c>
      <c r="L1163" s="1" t="s">
        <v>79</v>
      </c>
      <c r="M1163" s="1" t="s">
        <v>79</v>
      </c>
      <c r="N1163" s="1" t="s">
        <v>79</v>
      </c>
      <c r="O1163" s="6">
        <v>44732</v>
      </c>
      <c r="P1163" s="6">
        <v>44732</v>
      </c>
      <c r="Q1163" s="6">
        <v>44732</v>
      </c>
      <c r="R1163" s="1" t="s">
        <v>784</v>
      </c>
      <c r="S1163" s="1" t="s">
        <v>79</v>
      </c>
      <c r="T1163" s="5">
        <v>180</v>
      </c>
      <c r="U1163" s="4">
        <v>2</v>
      </c>
      <c r="V1163" s="5">
        <v>63</v>
      </c>
      <c r="W1163" s="6"/>
      <c r="X1163" s="6"/>
      <c r="Y1163" s="6"/>
      <c r="Z1163" s="6"/>
      <c r="AA1163" s="6"/>
      <c r="AB1163" s="6"/>
      <c r="AC1163" s="6"/>
      <c r="AD1163" s="6"/>
    </row>
    <row r="1164" spans="1:30">
      <c r="A1164" s="1" t="s">
        <v>772</v>
      </c>
      <c r="B1164" s="1" t="s">
        <v>773</v>
      </c>
      <c r="D1164" s="1" t="s">
        <v>1672</v>
      </c>
      <c r="E1164" s="1" t="str">
        <f t="shared" si="18"/>
        <v/>
      </c>
      <c r="F1164" s="5">
        <v>0</v>
      </c>
      <c r="G1164" s="5">
        <v>0</v>
      </c>
      <c r="H1164" s="5">
        <v>0</v>
      </c>
      <c r="I1164" s="5"/>
      <c r="J1164" s="1" t="s">
        <v>775</v>
      </c>
      <c r="K1164" s="1" t="s">
        <v>1660</v>
      </c>
      <c r="L1164" s="1" t="s">
        <v>79</v>
      </c>
      <c r="M1164" s="1" t="s">
        <v>79</v>
      </c>
      <c r="N1164" s="1" t="s">
        <v>79</v>
      </c>
      <c r="O1164" s="6">
        <v>44734</v>
      </c>
      <c r="P1164" s="6">
        <v>44734</v>
      </c>
      <c r="Q1164" s="6">
        <v>44734</v>
      </c>
      <c r="R1164" s="1" t="s">
        <v>784</v>
      </c>
      <c r="S1164" s="1" t="s">
        <v>79</v>
      </c>
      <c r="T1164" s="5">
        <v>180</v>
      </c>
      <c r="U1164" s="4">
        <v>2</v>
      </c>
      <c r="V1164" s="5">
        <v>61</v>
      </c>
      <c r="W1164" s="6"/>
      <c r="X1164" s="6"/>
      <c r="Y1164" s="6"/>
      <c r="Z1164" s="6"/>
      <c r="AA1164" s="6"/>
      <c r="AB1164" s="6"/>
      <c r="AC1164" s="6"/>
      <c r="AD1164" s="6"/>
    </row>
    <row r="1165" spans="1:30">
      <c r="A1165" s="1" t="s">
        <v>772</v>
      </c>
      <c r="B1165" s="1" t="s">
        <v>773</v>
      </c>
      <c r="D1165" s="1" t="s">
        <v>1673</v>
      </c>
      <c r="E1165" s="1" t="str">
        <f t="shared" si="18"/>
        <v/>
      </c>
      <c r="F1165" s="5">
        <v>0</v>
      </c>
      <c r="G1165" s="5">
        <v>0</v>
      </c>
      <c r="H1165" s="5">
        <v>0</v>
      </c>
      <c r="I1165" s="5"/>
      <c r="J1165" s="1" t="s">
        <v>775</v>
      </c>
      <c r="K1165" s="1" t="s">
        <v>1660</v>
      </c>
      <c r="L1165" s="1" t="s">
        <v>79</v>
      </c>
      <c r="M1165" s="1" t="s">
        <v>79</v>
      </c>
      <c r="N1165" s="1" t="s">
        <v>79</v>
      </c>
      <c r="O1165" s="6">
        <v>44735</v>
      </c>
      <c r="P1165" s="6">
        <v>44735</v>
      </c>
      <c r="Q1165" s="6">
        <v>44735</v>
      </c>
      <c r="R1165" s="1" t="s">
        <v>784</v>
      </c>
      <c r="S1165" s="1" t="s">
        <v>79</v>
      </c>
      <c r="T1165" s="5">
        <v>180</v>
      </c>
      <c r="U1165" s="4">
        <v>1</v>
      </c>
      <c r="V1165" s="5">
        <v>60</v>
      </c>
      <c r="W1165" s="6"/>
      <c r="X1165" s="6"/>
      <c r="Y1165" s="6"/>
      <c r="Z1165" s="6"/>
      <c r="AA1165" s="6"/>
      <c r="AB1165" s="6"/>
      <c r="AC1165" s="6"/>
      <c r="AD1165" s="6"/>
    </row>
    <row r="1166" spans="1:30">
      <c r="A1166" s="1" t="s">
        <v>772</v>
      </c>
      <c r="B1166" s="1" t="s">
        <v>773</v>
      </c>
      <c r="C1166" s="1" t="s">
        <v>989</v>
      </c>
      <c r="D1166" s="1" t="s">
        <v>1674</v>
      </c>
      <c r="E1166" s="1" t="str">
        <f t="shared" si="18"/>
        <v>W05</v>
      </c>
      <c r="F1166" s="5">
        <v>0</v>
      </c>
      <c r="G1166" s="5">
        <v>0</v>
      </c>
      <c r="H1166" s="5">
        <v>0</v>
      </c>
      <c r="I1166" s="5"/>
      <c r="J1166" s="1" t="s">
        <v>775</v>
      </c>
      <c r="K1166" s="1" t="s">
        <v>1660</v>
      </c>
      <c r="L1166" s="1" t="s">
        <v>79</v>
      </c>
      <c r="M1166" s="1" t="s">
        <v>79</v>
      </c>
      <c r="N1166" s="1" t="s">
        <v>79</v>
      </c>
      <c r="O1166" s="6">
        <v>44736</v>
      </c>
      <c r="P1166" s="6">
        <v>44735</v>
      </c>
      <c r="Q1166" s="6">
        <v>44735</v>
      </c>
      <c r="R1166" s="1" t="s">
        <v>784</v>
      </c>
      <c r="S1166" s="1" t="s">
        <v>79</v>
      </c>
      <c r="T1166" s="5">
        <v>180</v>
      </c>
      <c r="U1166" s="4">
        <v>1</v>
      </c>
      <c r="V1166" s="5">
        <v>60</v>
      </c>
      <c r="W1166" s="6"/>
      <c r="X1166" s="6"/>
      <c r="Y1166" s="6"/>
      <c r="Z1166" s="6"/>
      <c r="AA1166" s="6"/>
      <c r="AB1166" s="6"/>
      <c r="AC1166" s="6"/>
      <c r="AD1166" s="6"/>
    </row>
    <row r="1167" spans="1:30">
      <c r="A1167" s="1" t="s">
        <v>772</v>
      </c>
      <c r="B1167" s="1" t="s">
        <v>773</v>
      </c>
      <c r="D1167" s="1" t="s">
        <v>1675</v>
      </c>
      <c r="E1167" s="1" t="str">
        <f t="shared" si="18"/>
        <v/>
      </c>
      <c r="F1167" s="5">
        <v>0</v>
      </c>
      <c r="G1167" s="5">
        <v>0</v>
      </c>
      <c r="H1167" s="5">
        <v>0</v>
      </c>
      <c r="I1167" s="5"/>
      <c r="J1167" s="1" t="s">
        <v>775</v>
      </c>
      <c r="K1167" s="1" t="s">
        <v>1676</v>
      </c>
      <c r="L1167" s="1" t="s">
        <v>79</v>
      </c>
      <c r="M1167" s="1" t="s">
        <v>79</v>
      </c>
      <c r="N1167" s="1" t="s">
        <v>79</v>
      </c>
      <c r="O1167" s="6">
        <v>44744</v>
      </c>
      <c r="P1167" s="6">
        <v>44744</v>
      </c>
      <c r="Q1167" s="6">
        <v>44744</v>
      </c>
      <c r="R1167" s="1" t="s">
        <v>784</v>
      </c>
      <c r="S1167" s="1" t="s">
        <v>79</v>
      </c>
      <c r="T1167" s="5">
        <v>180</v>
      </c>
      <c r="U1167" s="4">
        <v>1</v>
      </c>
      <c r="V1167" s="5">
        <v>51</v>
      </c>
      <c r="W1167" s="6"/>
      <c r="X1167" s="6"/>
      <c r="Y1167" s="6"/>
      <c r="Z1167" s="6"/>
      <c r="AA1167" s="6"/>
      <c r="AB1167" s="6"/>
      <c r="AC1167" s="6"/>
      <c r="AD1167" s="6"/>
    </row>
    <row r="1168" spans="1:30">
      <c r="A1168" s="1" t="s">
        <v>772</v>
      </c>
      <c r="B1168" s="1" t="s">
        <v>773</v>
      </c>
      <c r="C1168" s="1" t="s">
        <v>989</v>
      </c>
      <c r="D1168" s="1" t="s">
        <v>1677</v>
      </c>
      <c r="E1168" s="1" t="str">
        <f t="shared" si="18"/>
        <v>W05</v>
      </c>
      <c r="F1168" s="5">
        <v>0</v>
      </c>
      <c r="G1168" s="5">
        <v>0</v>
      </c>
      <c r="H1168" s="5">
        <v>0</v>
      </c>
      <c r="I1168" s="5"/>
      <c r="J1168" s="1" t="s">
        <v>775</v>
      </c>
      <c r="K1168" s="1" t="s">
        <v>1676</v>
      </c>
      <c r="L1168" s="1" t="s">
        <v>79</v>
      </c>
      <c r="M1168" s="1" t="s">
        <v>79</v>
      </c>
      <c r="N1168" s="1" t="s">
        <v>79</v>
      </c>
      <c r="O1168" s="6">
        <v>44744</v>
      </c>
      <c r="P1168" s="6">
        <v>44744</v>
      </c>
      <c r="Q1168" s="6">
        <v>44744</v>
      </c>
      <c r="R1168" s="1" t="s">
        <v>784</v>
      </c>
      <c r="S1168" s="1" t="s">
        <v>79</v>
      </c>
      <c r="T1168" s="5">
        <v>180</v>
      </c>
      <c r="U1168" s="4">
        <v>1</v>
      </c>
      <c r="V1168" s="5">
        <v>51</v>
      </c>
      <c r="W1168" s="6"/>
      <c r="X1168" s="6"/>
      <c r="Y1168" s="6"/>
      <c r="Z1168" s="6"/>
      <c r="AA1168" s="6"/>
      <c r="AB1168" s="6"/>
      <c r="AC1168" s="6"/>
      <c r="AD1168" s="6"/>
    </row>
    <row r="1169" spans="1:30">
      <c r="A1169" s="1" t="s">
        <v>772</v>
      </c>
      <c r="B1169" s="1" t="s">
        <v>773</v>
      </c>
      <c r="C1169" s="1" t="s">
        <v>1010</v>
      </c>
      <c r="D1169" s="1" t="s">
        <v>1678</v>
      </c>
      <c r="E1169" s="1" t="str">
        <f t="shared" si="18"/>
        <v>W07</v>
      </c>
      <c r="F1169" s="5">
        <v>0</v>
      </c>
      <c r="G1169" s="5">
        <v>0</v>
      </c>
      <c r="H1169" s="5">
        <v>0</v>
      </c>
      <c r="I1169" s="5"/>
      <c r="J1169" s="1" t="s">
        <v>775</v>
      </c>
      <c r="K1169" s="1" t="s">
        <v>1676</v>
      </c>
      <c r="L1169" s="1" t="s">
        <v>79</v>
      </c>
      <c r="M1169" s="1" t="s">
        <v>79</v>
      </c>
      <c r="N1169" s="1" t="s">
        <v>79</v>
      </c>
      <c r="O1169" s="6">
        <v>44749</v>
      </c>
      <c r="P1169" s="6">
        <v>44749</v>
      </c>
      <c r="Q1169" s="6">
        <v>44749</v>
      </c>
      <c r="R1169" s="1" t="s">
        <v>784</v>
      </c>
      <c r="S1169" s="1" t="s">
        <v>79</v>
      </c>
      <c r="T1169" s="5">
        <v>180</v>
      </c>
      <c r="U1169" s="4">
        <v>1</v>
      </c>
      <c r="V1169" s="5">
        <v>46</v>
      </c>
      <c r="W1169" s="6"/>
      <c r="X1169" s="6"/>
      <c r="Y1169" s="6"/>
      <c r="Z1169" s="6"/>
      <c r="AA1169" s="6"/>
      <c r="AB1169" s="6"/>
      <c r="AC1169" s="6"/>
      <c r="AD1169" s="6"/>
    </row>
    <row r="1170" spans="1:30">
      <c r="A1170" s="1" t="s">
        <v>772</v>
      </c>
      <c r="B1170" s="1" t="s">
        <v>773</v>
      </c>
      <c r="C1170" s="1" t="s">
        <v>1010</v>
      </c>
      <c r="D1170" s="1" t="s">
        <v>1679</v>
      </c>
      <c r="E1170" s="1" t="str">
        <f t="shared" si="18"/>
        <v>W07</v>
      </c>
      <c r="F1170" s="5">
        <v>0</v>
      </c>
      <c r="G1170" s="5">
        <v>0</v>
      </c>
      <c r="H1170" s="5">
        <v>0</v>
      </c>
      <c r="I1170" s="5"/>
      <c r="J1170" s="1" t="s">
        <v>775</v>
      </c>
      <c r="K1170" s="1" t="s">
        <v>1676</v>
      </c>
      <c r="L1170" s="1" t="s">
        <v>79</v>
      </c>
      <c r="M1170" s="1" t="s">
        <v>79</v>
      </c>
      <c r="N1170" s="1" t="s">
        <v>79</v>
      </c>
      <c r="O1170" s="6">
        <v>44750</v>
      </c>
      <c r="P1170" s="6">
        <v>44749</v>
      </c>
      <c r="Q1170" s="6">
        <v>44749</v>
      </c>
      <c r="R1170" s="1" t="s">
        <v>784</v>
      </c>
      <c r="S1170" s="1" t="s">
        <v>79</v>
      </c>
      <c r="T1170" s="5">
        <v>180</v>
      </c>
      <c r="U1170" s="4">
        <v>1</v>
      </c>
      <c r="V1170" s="5">
        <v>46</v>
      </c>
      <c r="W1170" s="6"/>
      <c r="X1170" s="6"/>
      <c r="Y1170" s="6"/>
      <c r="Z1170" s="6"/>
      <c r="AA1170" s="6"/>
      <c r="AB1170" s="6"/>
      <c r="AC1170" s="6"/>
      <c r="AD1170" s="6"/>
    </row>
    <row r="1171" spans="1:30">
      <c r="A1171" s="1" t="s">
        <v>772</v>
      </c>
      <c r="B1171" s="1" t="s">
        <v>773</v>
      </c>
      <c r="C1171" s="1" t="s">
        <v>904</v>
      </c>
      <c r="D1171" s="1" t="s">
        <v>1680</v>
      </c>
      <c r="E1171" s="1" t="str">
        <f t="shared" si="18"/>
        <v>W03</v>
      </c>
      <c r="F1171" s="5">
        <v>0</v>
      </c>
      <c r="G1171" s="5">
        <v>0</v>
      </c>
      <c r="H1171" s="5">
        <v>0</v>
      </c>
      <c r="I1171" s="5"/>
      <c r="J1171" s="1" t="s">
        <v>775</v>
      </c>
      <c r="K1171" s="1" t="s">
        <v>1676</v>
      </c>
      <c r="L1171" s="1" t="s">
        <v>79</v>
      </c>
      <c r="M1171" s="1" t="s">
        <v>79</v>
      </c>
      <c r="N1171" s="1" t="s">
        <v>79</v>
      </c>
      <c r="O1171" s="6">
        <v>44754</v>
      </c>
      <c r="P1171" s="6">
        <v>44754</v>
      </c>
      <c r="Q1171" s="6">
        <v>44754</v>
      </c>
      <c r="R1171" s="1" t="s">
        <v>784</v>
      </c>
      <c r="S1171" s="1" t="s">
        <v>79</v>
      </c>
      <c r="T1171" s="5">
        <v>180</v>
      </c>
      <c r="U1171" s="4">
        <v>1</v>
      </c>
      <c r="V1171" s="5">
        <v>41</v>
      </c>
      <c r="W1171" s="6"/>
      <c r="X1171" s="6"/>
      <c r="Y1171" s="6"/>
      <c r="Z1171" s="6"/>
      <c r="AA1171" s="6"/>
      <c r="AB1171" s="6"/>
      <c r="AC1171" s="6"/>
      <c r="AD1171" s="6"/>
    </row>
    <row r="1172" spans="1:30">
      <c r="A1172" s="1" t="s">
        <v>772</v>
      </c>
      <c r="B1172" s="1" t="s">
        <v>773</v>
      </c>
      <c r="C1172" s="1" t="s">
        <v>904</v>
      </c>
      <c r="D1172" s="1" t="s">
        <v>1681</v>
      </c>
      <c r="E1172" s="1" t="str">
        <f t="shared" si="18"/>
        <v>W03</v>
      </c>
      <c r="F1172" s="5">
        <v>0</v>
      </c>
      <c r="G1172" s="5">
        <v>0</v>
      </c>
      <c r="H1172" s="5">
        <v>0</v>
      </c>
      <c r="I1172" s="5"/>
      <c r="J1172" s="1" t="s">
        <v>775</v>
      </c>
      <c r="K1172" s="1" t="s">
        <v>1676</v>
      </c>
      <c r="L1172" s="1" t="s">
        <v>79</v>
      </c>
      <c r="M1172" s="1" t="s">
        <v>79</v>
      </c>
      <c r="N1172" s="1" t="s">
        <v>79</v>
      </c>
      <c r="O1172" s="6">
        <v>44756</v>
      </c>
      <c r="P1172" s="6">
        <v>44755</v>
      </c>
      <c r="Q1172" s="6">
        <v>44755</v>
      </c>
      <c r="R1172" s="1" t="s">
        <v>784</v>
      </c>
      <c r="S1172" s="1" t="s">
        <v>79</v>
      </c>
      <c r="T1172" s="5">
        <v>180</v>
      </c>
      <c r="U1172" s="4">
        <v>1</v>
      </c>
      <c r="V1172" s="5">
        <v>40</v>
      </c>
      <c r="W1172" s="6"/>
      <c r="X1172" s="6"/>
      <c r="Y1172" s="6"/>
      <c r="Z1172" s="6"/>
      <c r="AA1172" s="6"/>
      <c r="AB1172" s="6"/>
      <c r="AC1172" s="6"/>
      <c r="AD1172" s="6"/>
    </row>
    <row r="1173" spans="1:30">
      <c r="A1173" s="1" t="s">
        <v>772</v>
      </c>
      <c r="B1173" s="1" t="s">
        <v>773</v>
      </c>
      <c r="C1173" s="1" t="s">
        <v>904</v>
      </c>
      <c r="D1173" s="1" t="s">
        <v>1682</v>
      </c>
      <c r="E1173" s="1" t="str">
        <f t="shared" si="18"/>
        <v>W03</v>
      </c>
      <c r="F1173" s="5">
        <v>0</v>
      </c>
      <c r="G1173" s="5">
        <v>0</v>
      </c>
      <c r="H1173" s="5">
        <v>0</v>
      </c>
      <c r="I1173" s="5"/>
      <c r="J1173" s="1" t="s">
        <v>775</v>
      </c>
      <c r="K1173" s="1" t="s">
        <v>1676</v>
      </c>
      <c r="L1173" s="1" t="s">
        <v>79</v>
      </c>
      <c r="M1173" s="1" t="s">
        <v>79</v>
      </c>
      <c r="N1173" s="1" t="s">
        <v>79</v>
      </c>
      <c r="O1173" s="6">
        <v>44756</v>
      </c>
      <c r="P1173" s="6">
        <v>44756</v>
      </c>
      <c r="Q1173" s="6">
        <v>44756</v>
      </c>
      <c r="R1173" s="1" t="s">
        <v>784</v>
      </c>
      <c r="S1173" s="1" t="s">
        <v>79</v>
      </c>
      <c r="T1173" s="5">
        <v>180</v>
      </c>
      <c r="U1173" s="4">
        <v>1</v>
      </c>
      <c r="V1173" s="5">
        <v>39</v>
      </c>
      <c r="W1173" s="6"/>
      <c r="X1173" s="6"/>
      <c r="Y1173" s="6"/>
      <c r="Z1173" s="6"/>
      <c r="AA1173" s="6"/>
      <c r="AB1173" s="6"/>
      <c r="AC1173" s="6"/>
      <c r="AD1173" s="6"/>
    </row>
    <row r="1174" spans="1:30">
      <c r="A1174" s="1" t="s">
        <v>772</v>
      </c>
      <c r="B1174" s="1" t="s">
        <v>773</v>
      </c>
      <c r="C1174" s="1" t="s">
        <v>904</v>
      </c>
      <c r="D1174" s="1" t="s">
        <v>1683</v>
      </c>
      <c r="E1174" s="1" t="str">
        <f t="shared" si="18"/>
        <v>W03</v>
      </c>
      <c r="F1174" s="5">
        <v>0</v>
      </c>
      <c r="G1174" s="5">
        <v>0</v>
      </c>
      <c r="H1174" s="5">
        <v>0</v>
      </c>
      <c r="I1174" s="5"/>
      <c r="J1174" s="1" t="s">
        <v>775</v>
      </c>
      <c r="K1174" s="1" t="s">
        <v>1676</v>
      </c>
      <c r="L1174" s="1" t="s">
        <v>79</v>
      </c>
      <c r="M1174" s="1" t="s">
        <v>79</v>
      </c>
      <c r="N1174" s="1" t="s">
        <v>79</v>
      </c>
      <c r="O1174" s="6">
        <v>44756</v>
      </c>
      <c r="P1174" s="6">
        <v>44756</v>
      </c>
      <c r="Q1174" s="6">
        <v>44756</v>
      </c>
      <c r="R1174" s="1" t="s">
        <v>784</v>
      </c>
      <c r="S1174" s="1" t="s">
        <v>79</v>
      </c>
      <c r="T1174" s="5">
        <v>180</v>
      </c>
      <c r="U1174" s="4">
        <v>1</v>
      </c>
      <c r="V1174" s="5">
        <v>39</v>
      </c>
      <c r="W1174" s="6"/>
      <c r="X1174" s="6"/>
      <c r="Y1174" s="6"/>
      <c r="Z1174" s="6"/>
      <c r="AA1174" s="6"/>
      <c r="AB1174" s="6"/>
      <c r="AC1174" s="6"/>
      <c r="AD1174" s="6"/>
    </row>
    <row r="1175" spans="1:30">
      <c r="A1175" s="1" t="s">
        <v>772</v>
      </c>
      <c r="B1175" s="1" t="s">
        <v>773</v>
      </c>
      <c r="C1175" s="1" t="s">
        <v>904</v>
      </c>
      <c r="D1175" s="1" t="s">
        <v>1684</v>
      </c>
      <c r="E1175" s="1" t="str">
        <f t="shared" si="18"/>
        <v>W03</v>
      </c>
      <c r="F1175" s="5">
        <v>0</v>
      </c>
      <c r="G1175" s="5">
        <v>0</v>
      </c>
      <c r="H1175" s="5">
        <v>0</v>
      </c>
      <c r="I1175" s="5"/>
      <c r="J1175" s="1" t="s">
        <v>775</v>
      </c>
      <c r="K1175" s="1" t="s">
        <v>1676</v>
      </c>
      <c r="L1175" s="1" t="s">
        <v>79</v>
      </c>
      <c r="M1175" s="1" t="s">
        <v>79</v>
      </c>
      <c r="N1175" s="1" t="s">
        <v>79</v>
      </c>
      <c r="O1175" s="6">
        <v>44757</v>
      </c>
      <c r="P1175" s="6">
        <v>44757</v>
      </c>
      <c r="Q1175" s="6">
        <v>44757</v>
      </c>
      <c r="R1175" s="1" t="s">
        <v>784</v>
      </c>
      <c r="S1175" s="1" t="s">
        <v>79</v>
      </c>
      <c r="T1175" s="5">
        <v>180</v>
      </c>
      <c r="U1175" s="4">
        <v>1</v>
      </c>
      <c r="V1175" s="5">
        <v>38</v>
      </c>
      <c r="W1175" s="6"/>
      <c r="X1175" s="6"/>
      <c r="Y1175" s="6"/>
      <c r="Z1175" s="6"/>
      <c r="AA1175" s="6"/>
      <c r="AB1175" s="6"/>
      <c r="AC1175" s="6"/>
      <c r="AD1175" s="6"/>
    </row>
    <row r="1176" spans="1:30">
      <c r="A1176" s="1" t="s">
        <v>772</v>
      </c>
      <c r="B1176" s="1" t="s">
        <v>773</v>
      </c>
      <c r="C1176" s="1" t="s">
        <v>904</v>
      </c>
      <c r="D1176" s="1" t="s">
        <v>1685</v>
      </c>
      <c r="E1176" s="1" t="str">
        <f t="shared" si="18"/>
        <v>W03</v>
      </c>
      <c r="F1176" s="5">
        <v>0</v>
      </c>
      <c r="G1176" s="5">
        <v>0</v>
      </c>
      <c r="H1176" s="5">
        <v>0</v>
      </c>
      <c r="I1176" s="5"/>
      <c r="J1176" s="1" t="s">
        <v>775</v>
      </c>
      <c r="K1176" s="1" t="s">
        <v>1676</v>
      </c>
      <c r="L1176" s="1" t="s">
        <v>79</v>
      </c>
      <c r="M1176" s="1" t="s">
        <v>79</v>
      </c>
      <c r="N1176" s="1" t="s">
        <v>79</v>
      </c>
      <c r="O1176" s="6">
        <v>44758</v>
      </c>
      <c r="P1176" s="6">
        <v>44758</v>
      </c>
      <c r="Q1176" s="6">
        <v>44758</v>
      </c>
      <c r="R1176" s="1" t="s">
        <v>784</v>
      </c>
      <c r="S1176" s="1" t="s">
        <v>79</v>
      </c>
      <c r="T1176" s="5">
        <v>180</v>
      </c>
      <c r="U1176" s="4">
        <v>1</v>
      </c>
      <c r="V1176" s="5">
        <v>37</v>
      </c>
      <c r="W1176" s="6"/>
      <c r="X1176" s="6"/>
      <c r="Y1176" s="6"/>
      <c r="Z1176" s="6"/>
      <c r="AA1176" s="6"/>
      <c r="AB1176" s="6"/>
      <c r="AC1176" s="6"/>
      <c r="AD1176" s="6"/>
    </row>
    <row r="1177" spans="1:30">
      <c r="A1177" s="1" t="s">
        <v>772</v>
      </c>
      <c r="B1177" s="1" t="s">
        <v>773</v>
      </c>
      <c r="C1177" s="1" t="s">
        <v>904</v>
      </c>
      <c r="D1177" s="1" t="s">
        <v>1686</v>
      </c>
      <c r="E1177" s="1" t="str">
        <f t="shared" si="18"/>
        <v>W03</v>
      </c>
      <c r="F1177" s="5">
        <v>0</v>
      </c>
      <c r="G1177" s="5">
        <v>0</v>
      </c>
      <c r="H1177" s="5">
        <v>0</v>
      </c>
      <c r="I1177" s="5"/>
      <c r="J1177" s="1" t="s">
        <v>775</v>
      </c>
      <c r="K1177" s="1" t="s">
        <v>1676</v>
      </c>
      <c r="L1177" s="1" t="s">
        <v>79</v>
      </c>
      <c r="M1177" s="1" t="s">
        <v>79</v>
      </c>
      <c r="N1177" s="1" t="s">
        <v>79</v>
      </c>
      <c r="O1177" s="6">
        <v>44762</v>
      </c>
      <c r="P1177" s="6">
        <v>44762</v>
      </c>
      <c r="Q1177" s="6">
        <v>44762</v>
      </c>
      <c r="R1177" s="1" t="s">
        <v>784</v>
      </c>
      <c r="S1177" s="1" t="s">
        <v>79</v>
      </c>
      <c r="T1177" s="5">
        <v>180</v>
      </c>
      <c r="U1177" s="4">
        <v>1</v>
      </c>
      <c r="V1177" s="5">
        <v>33</v>
      </c>
      <c r="W1177" s="6"/>
      <c r="X1177" s="6"/>
      <c r="Y1177" s="6"/>
      <c r="Z1177" s="6"/>
      <c r="AA1177" s="6"/>
      <c r="AB1177" s="6"/>
      <c r="AC1177" s="6"/>
      <c r="AD1177" s="6"/>
    </row>
    <row r="1178" spans="1:30">
      <c r="A1178" s="1" t="s">
        <v>772</v>
      </c>
      <c r="B1178" s="1" t="s">
        <v>773</v>
      </c>
      <c r="C1178" s="1" t="s">
        <v>848</v>
      </c>
      <c r="D1178" s="1" t="s">
        <v>1687</v>
      </c>
      <c r="E1178" s="1" t="str">
        <f t="shared" si="18"/>
        <v>W02</v>
      </c>
      <c r="F1178" s="5">
        <v>0</v>
      </c>
      <c r="G1178" s="5">
        <v>0</v>
      </c>
      <c r="H1178" s="5">
        <v>0</v>
      </c>
      <c r="I1178" s="5"/>
      <c r="J1178" s="1" t="s">
        <v>775</v>
      </c>
      <c r="K1178" s="1" t="s">
        <v>1676</v>
      </c>
      <c r="L1178" s="1" t="s">
        <v>79</v>
      </c>
      <c r="M1178" s="1" t="s">
        <v>79</v>
      </c>
      <c r="N1178" s="1" t="s">
        <v>79</v>
      </c>
      <c r="O1178" s="6">
        <v>44763</v>
      </c>
      <c r="P1178" s="6">
        <v>44763</v>
      </c>
      <c r="Q1178" s="6">
        <v>44763</v>
      </c>
      <c r="R1178" s="1" t="s">
        <v>784</v>
      </c>
      <c r="S1178" s="1" t="s">
        <v>79</v>
      </c>
      <c r="T1178" s="5">
        <v>180</v>
      </c>
      <c r="U1178" s="4">
        <v>1</v>
      </c>
      <c r="V1178" s="5">
        <v>32</v>
      </c>
      <c r="W1178" s="6"/>
      <c r="X1178" s="6"/>
      <c r="Y1178" s="6"/>
      <c r="Z1178" s="6"/>
      <c r="AA1178" s="6"/>
      <c r="AB1178" s="6"/>
      <c r="AC1178" s="6"/>
      <c r="AD1178" s="6"/>
    </row>
    <row r="1179" spans="1:30">
      <c r="A1179" s="1" t="s">
        <v>772</v>
      </c>
      <c r="B1179" s="1" t="s">
        <v>773</v>
      </c>
      <c r="C1179" s="1" t="s">
        <v>774</v>
      </c>
      <c r="D1179" s="1" t="s">
        <v>1688</v>
      </c>
      <c r="E1179" s="1" t="str">
        <f t="shared" si="18"/>
        <v>W01</v>
      </c>
      <c r="F1179" s="5">
        <v>0</v>
      </c>
      <c r="G1179" s="5">
        <v>0</v>
      </c>
      <c r="H1179" s="5">
        <v>0</v>
      </c>
      <c r="I1179" s="5"/>
      <c r="J1179" s="1" t="s">
        <v>775</v>
      </c>
      <c r="K1179" s="1" t="s">
        <v>1676</v>
      </c>
      <c r="L1179" s="1" t="s">
        <v>79</v>
      </c>
      <c r="M1179" s="1" t="s">
        <v>79</v>
      </c>
      <c r="N1179" s="1" t="s">
        <v>79</v>
      </c>
      <c r="O1179" s="6">
        <v>44768</v>
      </c>
      <c r="P1179" s="6">
        <v>44768</v>
      </c>
      <c r="Q1179" s="6">
        <v>44768</v>
      </c>
      <c r="R1179" s="1" t="s">
        <v>784</v>
      </c>
      <c r="S1179" s="1" t="s">
        <v>79</v>
      </c>
      <c r="T1179" s="5">
        <v>180</v>
      </c>
      <c r="U1179" s="4">
        <v>0</v>
      </c>
      <c r="V1179" s="5">
        <v>27</v>
      </c>
      <c r="W1179" s="6"/>
      <c r="X1179" s="6"/>
      <c r="Y1179" s="6"/>
      <c r="Z1179" s="6"/>
      <c r="AA1179" s="6"/>
      <c r="AB1179" s="6"/>
      <c r="AC1179" s="6"/>
      <c r="AD1179" s="6"/>
    </row>
    <row r="1180" spans="1:30">
      <c r="A1180" s="1" t="s">
        <v>772</v>
      </c>
      <c r="B1180" s="1" t="s">
        <v>773</v>
      </c>
      <c r="C1180" s="1" t="s">
        <v>774</v>
      </c>
      <c r="D1180" s="1" t="s">
        <v>1689</v>
      </c>
      <c r="E1180" s="1" t="str">
        <f t="shared" si="18"/>
        <v>W01</v>
      </c>
      <c r="F1180" s="5">
        <v>0</v>
      </c>
      <c r="G1180" s="5">
        <v>0</v>
      </c>
      <c r="H1180" s="5">
        <v>0</v>
      </c>
      <c r="I1180" s="5"/>
      <c r="J1180" s="1" t="s">
        <v>775</v>
      </c>
      <c r="K1180" s="1" t="s">
        <v>1676</v>
      </c>
      <c r="L1180" s="1" t="s">
        <v>79</v>
      </c>
      <c r="M1180" s="1" t="s">
        <v>79</v>
      </c>
      <c r="N1180" s="1" t="s">
        <v>79</v>
      </c>
      <c r="O1180" s="6">
        <v>44769</v>
      </c>
      <c r="P1180" s="6">
        <v>44769</v>
      </c>
      <c r="Q1180" s="6">
        <v>44769</v>
      </c>
      <c r="R1180" s="1" t="s">
        <v>784</v>
      </c>
      <c r="S1180" s="1" t="s">
        <v>79</v>
      </c>
      <c r="T1180" s="5">
        <v>180</v>
      </c>
      <c r="U1180" s="4">
        <v>0</v>
      </c>
      <c r="V1180" s="5">
        <v>26</v>
      </c>
      <c r="W1180" s="6"/>
      <c r="X1180" s="6"/>
      <c r="Y1180" s="6"/>
      <c r="Z1180" s="6"/>
      <c r="AA1180" s="6"/>
      <c r="AB1180" s="6"/>
      <c r="AC1180" s="6"/>
      <c r="AD1180" s="6"/>
    </row>
    <row r="1181" spans="1:30">
      <c r="A1181" s="1" t="s">
        <v>772</v>
      </c>
      <c r="B1181" s="1" t="s">
        <v>773</v>
      </c>
      <c r="C1181" s="1" t="s">
        <v>774</v>
      </c>
      <c r="D1181" s="1" t="s">
        <v>1690</v>
      </c>
      <c r="E1181" s="1" t="str">
        <f t="shared" si="18"/>
        <v>W01</v>
      </c>
      <c r="F1181" s="5">
        <v>0</v>
      </c>
      <c r="G1181" s="5">
        <v>0</v>
      </c>
      <c r="H1181" s="5">
        <v>0</v>
      </c>
      <c r="I1181" s="5"/>
      <c r="J1181" s="1" t="s">
        <v>775</v>
      </c>
      <c r="K1181" s="1" t="s">
        <v>1676</v>
      </c>
      <c r="L1181" s="1" t="s">
        <v>79</v>
      </c>
      <c r="M1181" s="1" t="s">
        <v>79</v>
      </c>
      <c r="N1181" s="1" t="s">
        <v>79</v>
      </c>
      <c r="O1181" s="6">
        <v>44770</v>
      </c>
      <c r="P1181" s="6">
        <v>44770</v>
      </c>
      <c r="Q1181" s="6">
        <v>44770</v>
      </c>
      <c r="R1181" s="1" t="s">
        <v>784</v>
      </c>
      <c r="S1181" s="1" t="s">
        <v>79</v>
      </c>
      <c r="T1181" s="5">
        <v>180</v>
      </c>
      <c r="U1181" s="4">
        <v>0</v>
      </c>
      <c r="V1181" s="5">
        <v>25</v>
      </c>
      <c r="W1181" s="6"/>
      <c r="X1181" s="6"/>
      <c r="Y1181" s="6"/>
      <c r="Z1181" s="6"/>
      <c r="AA1181" s="6"/>
      <c r="AB1181" s="6"/>
      <c r="AC1181" s="6"/>
      <c r="AD1181" s="6"/>
    </row>
    <row r="1182" spans="1:30">
      <c r="A1182" s="1" t="s">
        <v>772</v>
      </c>
      <c r="B1182" s="1" t="s">
        <v>773</v>
      </c>
      <c r="C1182" s="1" t="s">
        <v>858</v>
      </c>
      <c r="D1182" s="1" t="s">
        <v>1691</v>
      </c>
      <c r="E1182" s="1" t="str">
        <f t="shared" si="18"/>
        <v>W04</v>
      </c>
      <c r="F1182" s="5">
        <v>0</v>
      </c>
      <c r="G1182" s="5">
        <v>0</v>
      </c>
      <c r="H1182" s="5">
        <v>0</v>
      </c>
      <c r="I1182" s="5"/>
      <c r="J1182" s="1" t="s">
        <v>775</v>
      </c>
      <c r="K1182" s="1" t="s">
        <v>1692</v>
      </c>
      <c r="L1182" s="1" t="s">
        <v>79</v>
      </c>
      <c r="M1182" s="1" t="s">
        <v>79</v>
      </c>
      <c r="N1182" s="1" t="s">
        <v>79</v>
      </c>
      <c r="O1182" s="6">
        <v>44774</v>
      </c>
      <c r="P1182" s="6">
        <v>44774</v>
      </c>
      <c r="Q1182" s="6">
        <v>44774</v>
      </c>
      <c r="R1182" s="1" t="s">
        <v>784</v>
      </c>
      <c r="S1182" s="1" t="s">
        <v>79</v>
      </c>
      <c r="T1182" s="5">
        <v>180</v>
      </c>
      <c r="U1182" s="4">
        <v>0</v>
      </c>
      <c r="V1182" s="5">
        <v>21</v>
      </c>
      <c r="W1182" s="6"/>
      <c r="X1182" s="6"/>
      <c r="Y1182" s="6"/>
      <c r="Z1182" s="6"/>
      <c r="AA1182" s="6"/>
      <c r="AB1182" s="6"/>
      <c r="AC1182" s="6"/>
      <c r="AD1182" s="6"/>
    </row>
    <row r="1183" spans="1:30">
      <c r="A1183" s="1" t="s">
        <v>772</v>
      </c>
      <c r="B1183" s="1" t="s">
        <v>773</v>
      </c>
      <c r="C1183" s="1" t="s">
        <v>858</v>
      </c>
      <c r="D1183" s="1" t="s">
        <v>1693</v>
      </c>
      <c r="E1183" s="1" t="str">
        <f t="shared" si="18"/>
        <v>W04</v>
      </c>
      <c r="F1183" s="5">
        <v>0</v>
      </c>
      <c r="G1183" s="5">
        <v>0</v>
      </c>
      <c r="H1183" s="5">
        <v>0</v>
      </c>
      <c r="I1183" s="5"/>
      <c r="J1183" s="1" t="s">
        <v>775</v>
      </c>
      <c r="K1183" s="1" t="s">
        <v>1692</v>
      </c>
      <c r="L1183" s="1" t="s">
        <v>79</v>
      </c>
      <c r="M1183" s="1" t="s">
        <v>79</v>
      </c>
      <c r="N1183" s="1" t="s">
        <v>79</v>
      </c>
      <c r="O1183" s="6">
        <v>44776</v>
      </c>
      <c r="P1183" s="6">
        <v>44776</v>
      </c>
      <c r="Q1183" s="6">
        <v>44776</v>
      </c>
      <c r="R1183" s="1" t="s">
        <v>784</v>
      </c>
      <c r="S1183" s="1" t="s">
        <v>79</v>
      </c>
      <c r="T1183" s="5">
        <v>180</v>
      </c>
      <c r="U1183" s="4">
        <v>0</v>
      </c>
      <c r="V1183" s="5">
        <v>19</v>
      </c>
      <c r="W1183" s="6"/>
      <c r="X1183" s="6"/>
      <c r="Y1183" s="6"/>
      <c r="Z1183" s="6"/>
      <c r="AA1183" s="6"/>
      <c r="AB1183" s="6"/>
      <c r="AC1183" s="6"/>
      <c r="AD1183" s="6"/>
    </row>
    <row r="1184" spans="1:30">
      <c r="A1184" s="1" t="s">
        <v>772</v>
      </c>
      <c r="B1184" s="1" t="s">
        <v>773</v>
      </c>
      <c r="C1184" s="1" t="s">
        <v>858</v>
      </c>
      <c r="D1184" s="1" t="s">
        <v>402</v>
      </c>
      <c r="E1184" s="1" t="str">
        <f t="shared" si="18"/>
        <v>W04</v>
      </c>
      <c r="F1184" s="5">
        <v>8.2200000000000006</v>
      </c>
      <c r="G1184" s="5">
        <v>6.5</v>
      </c>
      <c r="H1184" s="5">
        <v>6.5</v>
      </c>
      <c r="I1184" s="5"/>
      <c r="J1184" s="1" t="s">
        <v>775</v>
      </c>
      <c r="K1184" s="1" t="s">
        <v>1692</v>
      </c>
      <c r="L1184" s="1" t="s">
        <v>79</v>
      </c>
      <c r="M1184" s="1" t="s">
        <v>79</v>
      </c>
      <c r="N1184" s="1" t="s">
        <v>79</v>
      </c>
      <c r="O1184" s="6">
        <v>44776</v>
      </c>
      <c r="P1184" s="6">
        <v>44776</v>
      </c>
      <c r="Q1184" s="6">
        <v>44776</v>
      </c>
      <c r="R1184" s="1" t="s">
        <v>784</v>
      </c>
      <c r="S1184" s="1" t="s">
        <v>79</v>
      </c>
      <c r="T1184" s="5">
        <v>180</v>
      </c>
      <c r="U1184" s="4">
        <v>0</v>
      </c>
      <c r="V1184" s="5">
        <v>19</v>
      </c>
      <c r="W1184" s="6"/>
      <c r="X1184" s="6"/>
      <c r="Y1184" s="6"/>
      <c r="Z1184" s="6"/>
      <c r="AA1184" s="6"/>
      <c r="AB1184" s="6"/>
      <c r="AC1184" s="6"/>
      <c r="AD1184" s="6"/>
    </row>
    <row r="1185" spans="1:30">
      <c r="A1185" s="1" t="s">
        <v>772</v>
      </c>
      <c r="B1185" s="1" t="s">
        <v>773</v>
      </c>
      <c r="C1185" s="1" t="s">
        <v>989</v>
      </c>
      <c r="D1185" s="1" t="s">
        <v>1694</v>
      </c>
      <c r="E1185" s="1" t="str">
        <f t="shared" si="18"/>
        <v>W05</v>
      </c>
      <c r="F1185" s="5">
        <v>0</v>
      </c>
      <c r="G1185" s="5">
        <v>0</v>
      </c>
      <c r="H1185" s="5">
        <v>0</v>
      </c>
      <c r="I1185" s="5"/>
      <c r="J1185" s="1" t="s">
        <v>775</v>
      </c>
      <c r="K1185" s="1" t="s">
        <v>1692</v>
      </c>
      <c r="L1185" s="1" t="s">
        <v>79</v>
      </c>
      <c r="M1185" s="1" t="s">
        <v>79</v>
      </c>
      <c r="N1185" s="1" t="s">
        <v>79</v>
      </c>
      <c r="O1185" s="6">
        <v>44777</v>
      </c>
      <c r="P1185" s="6">
        <v>44777</v>
      </c>
      <c r="Q1185" s="6">
        <v>44777</v>
      </c>
      <c r="R1185" s="1" t="s">
        <v>784</v>
      </c>
      <c r="S1185" s="1" t="s">
        <v>79</v>
      </c>
      <c r="T1185" s="5">
        <v>180</v>
      </c>
      <c r="U1185" s="4">
        <v>0</v>
      </c>
      <c r="V1185" s="5">
        <v>18</v>
      </c>
      <c r="W1185" s="6"/>
      <c r="X1185" s="6"/>
      <c r="Y1185" s="6"/>
      <c r="Z1185" s="6"/>
      <c r="AA1185" s="6"/>
      <c r="AB1185" s="6"/>
      <c r="AC1185" s="6"/>
      <c r="AD1185" s="6"/>
    </row>
    <row r="1186" spans="1:30">
      <c r="A1186" s="1" t="s">
        <v>772</v>
      </c>
      <c r="B1186" s="1" t="s">
        <v>773</v>
      </c>
      <c r="C1186" s="1" t="s">
        <v>989</v>
      </c>
      <c r="D1186" s="1" t="s">
        <v>1695</v>
      </c>
      <c r="E1186" s="1" t="str">
        <f t="shared" si="18"/>
        <v>W05</v>
      </c>
      <c r="F1186" s="5">
        <v>0</v>
      </c>
      <c r="G1186" s="5">
        <v>0</v>
      </c>
      <c r="H1186" s="5">
        <v>0</v>
      </c>
      <c r="I1186" s="5"/>
      <c r="J1186" s="1" t="s">
        <v>775</v>
      </c>
      <c r="K1186" s="1" t="s">
        <v>1692</v>
      </c>
      <c r="L1186" s="1" t="s">
        <v>79</v>
      </c>
      <c r="M1186" s="1" t="s">
        <v>79</v>
      </c>
      <c r="N1186" s="1" t="s">
        <v>79</v>
      </c>
      <c r="O1186" s="6">
        <v>44781</v>
      </c>
      <c r="P1186" s="6">
        <v>44781</v>
      </c>
      <c r="Q1186" s="6">
        <v>44781</v>
      </c>
      <c r="R1186" s="1" t="s">
        <v>784</v>
      </c>
      <c r="S1186" s="1" t="s">
        <v>79</v>
      </c>
      <c r="T1186" s="5">
        <v>180</v>
      </c>
      <c r="U1186" s="4">
        <v>0</v>
      </c>
      <c r="V1186" s="5">
        <v>14</v>
      </c>
      <c r="W1186" s="6"/>
      <c r="X1186" s="6"/>
      <c r="Y1186" s="6"/>
      <c r="Z1186" s="6"/>
      <c r="AA1186" s="6"/>
      <c r="AB1186" s="6"/>
      <c r="AC1186" s="6"/>
      <c r="AD1186" s="6"/>
    </row>
    <row r="1187" spans="1:30">
      <c r="A1187" s="1" t="s">
        <v>772</v>
      </c>
      <c r="B1187" s="1" t="s">
        <v>773</v>
      </c>
      <c r="C1187" s="1" t="s">
        <v>989</v>
      </c>
      <c r="D1187" s="1" t="s">
        <v>1696</v>
      </c>
      <c r="E1187" s="1" t="str">
        <f t="shared" si="18"/>
        <v>W05</v>
      </c>
      <c r="F1187" s="5">
        <v>0</v>
      </c>
      <c r="G1187" s="5">
        <v>0</v>
      </c>
      <c r="H1187" s="5">
        <v>0</v>
      </c>
      <c r="I1187" s="5"/>
      <c r="J1187" s="1" t="s">
        <v>775</v>
      </c>
      <c r="K1187" s="1" t="s">
        <v>1692</v>
      </c>
      <c r="L1187" s="1" t="s">
        <v>79</v>
      </c>
      <c r="M1187" s="1" t="s">
        <v>79</v>
      </c>
      <c r="N1187" s="1" t="s">
        <v>79</v>
      </c>
      <c r="O1187" s="6">
        <v>44781</v>
      </c>
      <c r="P1187" s="6">
        <v>44781</v>
      </c>
      <c r="Q1187" s="6">
        <v>44781</v>
      </c>
      <c r="R1187" s="1" t="s">
        <v>784</v>
      </c>
      <c r="S1187" s="1" t="s">
        <v>79</v>
      </c>
      <c r="T1187" s="5">
        <v>180</v>
      </c>
      <c r="U1187" s="4">
        <v>0</v>
      </c>
      <c r="V1187" s="5">
        <v>14</v>
      </c>
      <c r="W1187" s="6"/>
      <c r="X1187" s="6"/>
      <c r="Y1187" s="6"/>
      <c r="Z1187" s="6"/>
      <c r="AA1187" s="6"/>
      <c r="AB1187" s="6"/>
      <c r="AC1187" s="6"/>
      <c r="AD1187" s="6"/>
    </row>
    <row r="1188" spans="1:30">
      <c r="A1188" s="1" t="s">
        <v>772</v>
      </c>
      <c r="B1188" s="1" t="s">
        <v>773</v>
      </c>
      <c r="C1188" s="1" t="s">
        <v>989</v>
      </c>
      <c r="D1188" s="1" t="s">
        <v>1697</v>
      </c>
      <c r="E1188" s="1" t="str">
        <f t="shared" si="18"/>
        <v>W05</v>
      </c>
      <c r="F1188" s="5">
        <v>0</v>
      </c>
      <c r="G1188" s="5">
        <v>0</v>
      </c>
      <c r="H1188" s="5">
        <v>0</v>
      </c>
      <c r="I1188" s="5"/>
      <c r="J1188" s="1" t="s">
        <v>775</v>
      </c>
      <c r="K1188" s="1" t="s">
        <v>1692</v>
      </c>
      <c r="L1188" s="1" t="s">
        <v>79</v>
      </c>
      <c r="M1188" s="1" t="s">
        <v>79</v>
      </c>
      <c r="N1188" s="1" t="s">
        <v>79</v>
      </c>
      <c r="O1188" s="6">
        <v>44781</v>
      </c>
      <c r="P1188" s="6">
        <v>44781</v>
      </c>
      <c r="Q1188" s="6">
        <v>44781</v>
      </c>
      <c r="R1188" s="1" t="s">
        <v>784</v>
      </c>
      <c r="S1188" s="1" t="s">
        <v>79</v>
      </c>
      <c r="T1188" s="5">
        <v>180</v>
      </c>
      <c r="U1188" s="4">
        <v>0</v>
      </c>
      <c r="V1188" s="5">
        <v>14</v>
      </c>
      <c r="W1188" s="6"/>
      <c r="X1188" s="6"/>
      <c r="Y1188" s="6"/>
      <c r="Z1188" s="6"/>
      <c r="AA1188" s="6"/>
      <c r="AB1188" s="6"/>
      <c r="AC1188" s="6"/>
      <c r="AD1188" s="6"/>
    </row>
    <row r="1189" spans="1:30">
      <c r="A1189" s="1" t="s">
        <v>772</v>
      </c>
      <c r="B1189" s="1" t="s">
        <v>773</v>
      </c>
      <c r="C1189" s="1" t="s">
        <v>989</v>
      </c>
      <c r="D1189" s="1" t="s">
        <v>1698</v>
      </c>
      <c r="E1189" s="1" t="str">
        <f t="shared" si="18"/>
        <v>W05</v>
      </c>
      <c r="F1189" s="5">
        <v>0</v>
      </c>
      <c r="G1189" s="5">
        <v>0</v>
      </c>
      <c r="H1189" s="5">
        <v>0</v>
      </c>
      <c r="I1189" s="5"/>
      <c r="J1189" s="1" t="s">
        <v>775</v>
      </c>
      <c r="K1189" s="1" t="s">
        <v>1692</v>
      </c>
      <c r="L1189" s="1" t="s">
        <v>79</v>
      </c>
      <c r="M1189" s="1" t="s">
        <v>79</v>
      </c>
      <c r="N1189" s="1" t="s">
        <v>79</v>
      </c>
      <c r="O1189" s="6">
        <v>44781</v>
      </c>
      <c r="P1189" s="6">
        <v>44781</v>
      </c>
      <c r="Q1189" s="6">
        <v>44781</v>
      </c>
      <c r="R1189" s="1" t="s">
        <v>784</v>
      </c>
      <c r="S1189" s="1" t="s">
        <v>79</v>
      </c>
      <c r="T1189" s="5">
        <v>180</v>
      </c>
      <c r="U1189" s="4">
        <v>0</v>
      </c>
      <c r="V1189" s="5">
        <v>14</v>
      </c>
      <c r="W1189" s="6"/>
      <c r="X1189" s="6"/>
      <c r="Y1189" s="6"/>
      <c r="Z1189" s="6"/>
      <c r="AA1189" s="6"/>
      <c r="AB1189" s="6"/>
      <c r="AC1189" s="6"/>
      <c r="AD1189" s="6"/>
    </row>
    <row r="1190" spans="1:30">
      <c r="A1190" s="1" t="s">
        <v>772</v>
      </c>
      <c r="B1190" s="1" t="s">
        <v>773</v>
      </c>
      <c r="C1190" s="1" t="s">
        <v>848</v>
      </c>
      <c r="D1190" s="1" t="s">
        <v>368</v>
      </c>
      <c r="E1190" s="1" t="str">
        <f t="shared" si="18"/>
        <v>W02</v>
      </c>
      <c r="F1190" s="5">
        <v>8.6</v>
      </c>
      <c r="G1190" s="5">
        <v>6.78</v>
      </c>
      <c r="H1190" s="5">
        <v>6.78</v>
      </c>
      <c r="I1190" s="5"/>
      <c r="J1190" s="1" t="s">
        <v>775</v>
      </c>
      <c r="K1190" s="1" t="s">
        <v>1692</v>
      </c>
      <c r="L1190" s="1" t="s">
        <v>79</v>
      </c>
      <c r="M1190" s="1" t="s">
        <v>79</v>
      </c>
      <c r="N1190" s="1" t="s">
        <v>79</v>
      </c>
      <c r="O1190" s="6">
        <v>44782</v>
      </c>
      <c r="P1190" s="6">
        <v>44781</v>
      </c>
      <c r="Q1190" s="6">
        <v>44781</v>
      </c>
      <c r="R1190" s="1" t="s">
        <v>784</v>
      </c>
      <c r="S1190" s="1" t="s">
        <v>79</v>
      </c>
      <c r="T1190" s="5">
        <v>180</v>
      </c>
      <c r="U1190" s="4">
        <v>0</v>
      </c>
      <c r="V1190" s="5">
        <v>14</v>
      </c>
      <c r="W1190" s="6"/>
      <c r="X1190" s="6"/>
      <c r="Y1190" s="6"/>
      <c r="Z1190" s="6"/>
      <c r="AA1190" s="6"/>
      <c r="AB1190" s="6"/>
      <c r="AC1190" s="6"/>
      <c r="AD1190" s="6"/>
    </row>
    <row r="1191" spans="1:30">
      <c r="A1191" s="1" t="s">
        <v>772</v>
      </c>
      <c r="B1191" s="1" t="s">
        <v>773</v>
      </c>
      <c r="C1191" s="1" t="s">
        <v>848</v>
      </c>
      <c r="D1191" s="1" t="s">
        <v>364</v>
      </c>
      <c r="E1191" s="1" t="str">
        <f t="shared" si="18"/>
        <v>W02</v>
      </c>
      <c r="F1191" s="5">
        <v>12.07</v>
      </c>
      <c r="G1191" s="5">
        <v>9.5500000000000007</v>
      </c>
      <c r="H1191" s="5">
        <v>9.5500000000000007</v>
      </c>
      <c r="I1191" s="5"/>
      <c r="J1191" s="1" t="s">
        <v>775</v>
      </c>
      <c r="K1191" s="1" t="s">
        <v>1692</v>
      </c>
      <c r="L1191" s="1" t="s">
        <v>79</v>
      </c>
      <c r="M1191" s="1" t="s">
        <v>79</v>
      </c>
      <c r="N1191" s="1" t="s">
        <v>79</v>
      </c>
      <c r="O1191" s="6">
        <v>44788</v>
      </c>
      <c r="P1191" s="6">
        <v>44788</v>
      </c>
      <c r="Q1191" s="6">
        <v>44788</v>
      </c>
      <c r="R1191" s="1" t="s">
        <v>784</v>
      </c>
      <c r="S1191" s="1" t="s">
        <v>79</v>
      </c>
      <c r="T1191" s="5">
        <v>180</v>
      </c>
      <c r="U1191" s="4">
        <v>0</v>
      </c>
      <c r="V1191" s="5">
        <v>7</v>
      </c>
      <c r="W1191" s="6"/>
      <c r="X1191" s="6"/>
      <c r="Y1191" s="6"/>
      <c r="Z1191" s="6"/>
      <c r="AA1191" s="6"/>
      <c r="AB1191" s="6"/>
      <c r="AC1191" s="6"/>
      <c r="AD1191" s="6"/>
    </row>
    <row r="1192" spans="1:30">
      <c r="A1192" s="1" t="s">
        <v>772</v>
      </c>
      <c r="B1192" s="1" t="s">
        <v>773</v>
      </c>
      <c r="C1192" s="1" t="s">
        <v>848</v>
      </c>
      <c r="D1192" s="1" t="s">
        <v>1699</v>
      </c>
      <c r="E1192" s="1" t="str">
        <f t="shared" si="18"/>
        <v>W02</v>
      </c>
      <c r="F1192" s="5">
        <v>8.5500000000000007</v>
      </c>
      <c r="G1192" s="5">
        <v>7.52</v>
      </c>
      <c r="H1192" s="5">
        <v>7.52</v>
      </c>
      <c r="I1192" s="5"/>
      <c r="J1192" s="1" t="s">
        <v>775</v>
      </c>
      <c r="K1192" s="1" t="s">
        <v>1692</v>
      </c>
      <c r="L1192" s="1" t="s">
        <v>79</v>
      </c>
      <c r="M1192" s="1" t="s">
        <v>79</v>
      </c>
      <c r="N1192" s="1" t="s">
        <v>79</v>
      </c>
      <c r="O1192" s="6">
        <v>44788</v>
      </c>
      <c r="P1192" s="6">
        <v>44788</v>
      </c>
      <c r="Q1192" s="6">
        <v>44788</v>
      </c>
      <c r="R1192" s="1" t="s">
        <v>784</v>
      </c>
      <c r="S1192" s="1" t="s">
        <v>79</v>
      </c>
      <c r="T1192" s="5">
        <v>180</v>
      </c>
      <c r="U1192" s="4">
        <v>0</v>
      </c>
      <c r="V1192" s="5">
        <v>7</v>
      </c>
      <c r="W1192" s="6"/>
      <c r="X1192" s="6"/>
      <c r="Y1192" s="6"/>
      <c r="Z1192" s="6"/>
      <c r="AA1192" s="6"/>
      <c r="AB1192" s="6"/>
      <c r="AC1192" s="6"/>
      <c r="AD1192" s="6"/>
    </row>
    <row r="1193" spans="1:30">
      <c r="A1193" s="1" t="s">
        <v>772</v>
      </c>
      <c r="B1193" s="1" t="s">
        <v>773</v>
      </c>
      <c r="C1193" s="1" t="s">
        <v>848</v>
      </c>
      <c r="D1193" s="1" t="s">
        <v>424</v>
      </c>
      <c r="E1193" s="1" t="str">
        <f t="shared" si="18"/>
        <v>W02</v>
      </c>
      <c r="F1193" s="5">
        <v>10.24</v>
      </c>
      <c r="G1193" s="5">
        <v>8.09</v>
      </c>
      <c r="H1193" s="5">
        <v>8.0500000000000007</v>
      </c>
      <c r="I1193" s="5"/>
      <c r="J1193" s="1" t="s">
        <v>775</v>
      </c>
      <c r="K1193" s="1" t="s">
        <v>1692</v>
      </c>
      <c r="L1193" s="1" t="s">
        <v>79</v>
      </c>
      <c r="M1193" s="1" t="s">
        <v>79</v>
      </c>
      <c r="N1193" s="1" t="s">
        <v>79</v>
      </c>
      <c r="O1193" s="6">
        <v>44793</v>
      </c>
      <c r="P1193" s="6">
        <v>44792</v>
      </c>
      <c r="Q1193" s="6">
        <v>44792</v>
      </c>
      <c r="R1193" s="1" t="s">
        <v>784</v>
      </c>
      <c r="S1193" s="1" t="s">
        <v>79</v>
      </c>
      <c r="T1193" s="5">
        <v>180</v>
      </c>
      <c r="U1193" s="4">
        <v>0</v>
      </c>
      <c r="V1193" s="5">
        <v>3</v>
      </c>
      <c r="W1193" s="6"/>
      <c r="X1193" s="6"/>
      <c r="Y1193" s="6"/>
      <c r="Z1193" s="6"/>
      <c r="AA1193" s="6"/>
      <c r="AB1193" s="6"/>
      <c r="AC1193" s="6"/>
      <c r="AD1193" s="6"/>
    </row>
    <row r="1194" spans="1:30">
      <c r="A1194" s="1" t="s">
        <v>772</v>
      </c>
      <c r="B1194" s="1" t="s">
        <v>773</v>
      </c>
      <c r="C1194" s="1" t="s">
        <v>989</v>
      </c>
      <c r="D1194" s="1" t="s">
        <v>1700</v>
      </c>
      <c r="E1194" s="1" t="str">
        <f t="shared" si="18"/>
        <v>W05</v>
      </c>
      <c r="F1194" s="4">
        <v>0</v>
      </c>
      <c r="G1194" s="4">
        <v>0</v>
      </c>
      <c r="H1194" s="4">
        <v>0</v>
      </c>
      <c r="I1194" s="4"/>
      <c r="J1194" s="1" t="s">
        <v>775</v>
      </c>
      <c r="K1194" s="1" t="s">
        <v>1019</v>
      </c>
      <c r="L1194" s="1" t="s">
        <v>79</v>
      </c>
      <c r="M1194" s="1" t="s">
        <v>79</v>
      </c>
      <c r="N1194" s="1" t="s">
        <v>79</v>
      </c>
      <c r="O1194" s="6">
        <v>42535</v>
      </c>
      <c r="P1194" s="6">
        <v>42522</v>
      </c>
      <c r="Q1194" s="6">
        <v>42522</v>
      </c>
      <c r="R1194" s="1" t="s">
        <v>1017</v>
      </c>
      <c r="S1194" s="1" t="s">
        <v>79</v>
      </c>
      <c r="T1194" s="5">
        <v>0</v>
      </c>
      <c r="U1194" s="4">
        <v>74</v>
      </c>
      <c r="V1194" s="5">
        <v>2273</v>
      </c>
      <c r="W1194" s="6"/>
      <c r="X1194" s="6"/>
      <c r="Y1194" s="6"/>
      <c r="Z1194" s="6"/>
      <c r="AA1194" s="6"/>
      <c r="AB1194" s="6"/>
      <c r="AC1194" s="6"/>
      <c r="AD1194" s="6">
        <v>43128</v>
      </c>
    </row>
    <row r="1195" spans="1:30">
      <c r="A1195" s="1" t="s">
        <v>772</v>
      </c>
      <c r="B1195" s="1" t="s">
        <v>773</v>
      </c>
      <c r="C1195" s="1" t="s">
        <v>989</v>
      </c>
      <c r="D1195" s="1" t="s">
        <v>1701</v>
      </c>
      <c r="E1195" s="1" t="str">
        <f t="shared" si="18"/>
        <v>W05</v>
      </c>
      <c r="F1195" s="4">
        <v>0</v>
      </c>
      <c r="G1195" s="4">
        <v>0</v>
      </c>
      <c r="H1195" s="4">
        <v>0</v>
      </c>
      <c r="I1195" s="4"/>
      <c r="J1195" s="1" t="s">
        <v>775</v>
      </c>
      <c r="K1195" s="1" t="s">
        <v>1027</v>
      </c>
      <c r="L1195" s="1" t="s">
        <v>79</v>
      </c>
      <c r="M1195" s="1" t="s">
        <v>1016</v>
      </c>
      <c r="N1195" s="1" t="s">
        <v>79</v>
      </c>
      <c r="O1195" s="6">
        <v>42500</v>
      </c>
      <c r="P1195" s="6">
        <v>42500</v>
      </c>
      <c r="Q1195" s="6"/>
      <c r="R1195" s="1" t="s">
        <v>1017</v>
      </c>
      <c r="S1195" s="1" t="s">
        <v>79</v>
      </c>
      <c r="T1195" s="5">
        <v>0</v>
      </c>
      <c r="U1195" s="4">
        <v>75</v>
      </c>
      <c r="V1195" s="5">
        <v>2295</v>
      </c>
      <c r="W1195" s="6"/>
      <c r="X1195" s="6"/>
      <c r="Y1195" s="6"/>
      <c r="Z1195" s="6"/>
      <c r="AA1195" s="6"/>
      <c r="AB1195" s="6"/>
      <c r="AC1195" s="6"/>
      <c r="AD1195" s="6">
        <v>43138</v>
      </c>
    </row>
    <row r="1196" spans="1:30">
      <c r="A1196" s="1" t="s">
        <v>772</v>
      </c>
      <c r="B1196" s="1" t="s">
        <v>773</v>
      </c>
      <c r="C1196" s="1" t="s">
        <v>989</v>
      </c>
      <c r="D1196" s="1" t="s">
        <v>1702</v>
      </c>
      <c r="E1196" s="1" t="str">
        <f t="shared" si="18"/>
        <v>W05</v>
      </c>
      <c r="F1196" s="4">
        <v>0</v>
      </c>
      <c r="G1196" s="4">
        <v>0</v>
      </c>
      <c r="H1196" s="4">
        <v>0</v>
      </c>
      <c r="I1196" s="4"/>
      <c r="J1196" s="1" t="s">
        <v>775</v>
      </c>
      <c r="K1196" s="1" t="s">
        <v>1019</v>
      </c>
      <c r="L1196" s="1" t="s">
        <v>79</v>
      </c>
      <c r="M1196" s="1" t="s">
        <v>79</v>
      </c>
      <c r="N1196" s="1" t="s">
        <v>79</v>
      </c>
      <c r="O1196" s="6">
        <v>42535</v>
      </c>
      <c r="P1196" s="6">
        <v>42522</v>
      </c>
      <c r="Q1196" s="6">
        <v>42522</v>
      </c>
      <c r="R1196" s="1" t="s">
        <v>1017</v>
      </c>
      <c r="S1196" s="1" t="s">
        <v>79</v>
      </c>
      <c r="T1196" s="5">
        <v>0</v>
      </c>
      <c r="U1196" s="4">
        <v>74</v>
      </c>
      <c r="V1196" s="5">
        <v>2273</v>
      </c>
      <c r="W1196" s="6"/>
      <c r="X1196" s="6"/>
      <c r="Y1196" s="6"/>
      <c r="Z1196" s="6"/>
      <c r="AA1196" s="6"/>
      <c r="AB1196" s="6"/>
      <c r="AC1196" s="6"/>
      <c r="AD1196" s="6">
        <v>43245</v>
      </c>
    </row>
    <row r="1197" spans="1:30">
      <c r="A1197" s="1" t="s">
        <v>772</v>
      </c>
      <c r="B1197" s="1" t="s">
        <v>773</v>
      </c>
      <c r="C1197" s="1" t="s">
        <v>858</v>
      </c>
      <c r="D1197" s="1" t="s">
        <v>342</v>
      </c>
      <c r="E1197" s="1" t="str">
        <f t="shared" si="18"/>
        <v>W04</v>
      </c>
      <c r="F1197" s="4">
        <v>6.6</v>
      </c>
      <c r="G1197" s="4">
        <v>5.22</v>
      </c>
      <c r="H1197" s="4">
        <v>5.0199999999999996</v>
      </c>
      <c r="I1197" s="4"/>
      <c r="J1197" s="1" t="s">
        <v>775</v>
      </c>
      <c r="K1197" s="1" t="s">
        <v>1053</v>
      </c>
      <c r="L1197" s="1" t="s">
        <v>79</v>
      </c>
      <c r="M1197" s="1" t="s">
        <v>1016</v>
      </c>
      <c r="N1197" s="1" t="s">
        <v>79</v>
      </c>
      <c r="O1197" s="6">
        <v>42793</v>
      </c>
      <c r="P1197" s="6">
        <v>42767</v>
      </c>
      <c r="Q1197" s="6">
        <v>42767</v>
      </c>
      <c r="R1197" s="1" t="s">
        <v>1017</v>
      </c>
      <c r="S1197" s="1" t="s">
        <v>79</v>
      </c>
      <c r="T1197" s="5">
        <v>0</v>
      </c>
      <c r="U1197" s="4">
        <v>66</v>
      </c>
      <c r="V1197" s="5">
        <v>2028</v>
      </c>
      <c r="W1197" s="6"/>
      <c r="X1197" s="6"/>
      <c r="Y1197" s="6"/>
      <c r="Z1197" s="6"/>
      <c r="AA1197" s="6"/>
      <c r="AB1197" s="6"/>
      <c r="AC1197" s="6"/>
      <c r="AD1197" s="6">
        <v>43133</v>
      </c>
    </row>
    <row r="1198" spans="1:30">
      <c r="A1198" s="1" t="s">
        <v>772</v>
      </c>
      <c r="B1198" s="1" t="s">
        <v>773</v>
      </c>
      <c r="C1198" s="1" t="s">
        <v>858</v>
      </c>
      <c r="D1198" s="1" t="s">
        <v>344</v>
      </c>
      <c r="E1198" s="1" t="str">
        <f t="shared" si="18"/>
        <v>W04</v>
      </c>
      <c r="F1198" s="4">
        <v>9.17</v>
      </c>
      <c r="G1198" s="4">
        <v>7.22</v>
      </c>
      <c r="H1198" s="4">
        <v>7.22</v>
      </c>
      <c r="I1198" s="4"/>
      <c r="J1198" s="1" t="s">
        <v>775</v>
      </c>
      <c r="K1198" s="1" t="s">
        <v>1053</v>
      </c>
      <c r="L1198" s="1" t="s">
        <v>79</v>
      </c>
      <c r="M1198" s="1" t="s">
        <v>1016</v>
      </c>
      <c r="N1198" s="1" t="s">
        <v>79</v>
      </c>
      <c r="O1198" s="6">
        <v>42793</v>
      </c>
      <c r="P1198" s="6">
        <v>42767</v>
      </c>
      <c r="Q1198" s="6">
        <v>42767</v>
      </c>
      <c r="R1198" s="1" t="s">
        <v>1017</v>
      </c>
      <c r="S1198" s="1" t="s">
        <v>79</v>
      </c>
      <c r="T1198" s="5">
        <v>0</v>
      </c>
      <c r="U1198" s="4">
        <v>66</v>
      </c>
      <c r="V1198" s="5">
        <v>2028</v>
      </c>
      <c r="W1198" s="6"/>
      <c r="X1198" s="6"/>
      <c r="Y1198" s="6"/>
      <c r="Z1198" s="6"/>
      <c r="AA1198" s="6"/>
      <c r="AB1198" s="6"/>
      <c r="AC1198" s="6"/>
      <c r="AD1198" s="6"/>
    </row>
    <row r="1199" spans="1:30">
      <c r="A1199" s="1" t="s">
        <v>772</v>
      </c>
      <c r="B1199" s="1" t="s">
        <v>773</v>
      </c>
      <c r="C1199" s="1" t="s">
        <v>989</v>
      </c>
      <c r="D1199" s="1" t="s">
        <v>1703</v>
      </c>
      <c r="E1199" s="1" t="str">
        <f t="shared" si="18"/>
        <v>W05</v>
      </c>
      <c r="F1199" s="4">
        <v>0</v>
      </c>
      <c r="G1199" s="4">
        <v>0</v>
      </c>
      <c r="H1199" s="4">
        <v>0</v>
      </c>
      <c r="I1199" s="4"/>
      <c r="J1199" s="1" t="s">
        <v>775</v>
      </c>
      <c r="K1199" s="1" t="s">
        <v>1056</v>
      </c>
      <c r="L1199" s="1" t="s">
        <v>1015</v>
      </c>
      <c r="M1199" s="1" t="s">
        <v>1016</v>
      </c>
      <c r="N1199" s="1" t="s">
        <v>79</v>
      </c>
      <c r="O1199" s="6">
        <v>42977</v>
      </c>
      <c r="P1199" s="6">
        <v>42977</v>
      </c>
      <c r="Q1199" s="6"/>
      <c r="R1199" s="1" t="s">
        <v>1017</v>
      </c>
      <c r="S1199" s="1" t="s">
        <v>79</v>
      </c>
      <c r="T1199" s="5">
        <v>0</v>
      </c>
      <c r="U1199" s="4">
        <v>59</v>
      </c>
      <c r="V1199" s="5">
        <v>1818</v>
      </c>
      <c r="W1199" s="6"/>
      <c r="X1199" s="6"/>
      <c r="Y1199" s="6"/>
      <c r="Z1199" s="6"/>
      <c r="AA1199" s="6"/>
      <c r="AB1199" s="6"/>
      <c r="AC1199" s="6"/>
      <c r="AD1199" s="6">
        <v>43128</v>
      </c>
    </row>
    <row r="1200" spans="1:30">
      <c r="A1200" s="1" t="s">
        <v>772</v>
      </c>
      <c r="B1200" s="1" t="s">
        <v>773</v>
      </c>
      <c r="C1200" s="1" t="s">
        <v>989</v>
      </c>
      <c r="D1200" s="1" t="s">
        <v>1704</v>
      </c>
      <c r="E1200" s="1" t="str">
        <f t="shared" si="18"/>
        <v>W05</v>
      </c>
      <c r="F1200" s="4">
        <v>0</v>
      </c>
      <c r="G1200" s="4">
        <v>0</v>
      </c>
      <c r="H1200" s="4">
        <v>0</v>
      </c>
      <c r="I1200" s="4"/>
      <c r="J1200" s="1" t="s">
        <v>775</v>
      </c>
      <c r="K1200" s="1" t="s">
        <v>1058</v>
      </c>
      <c r="L1200" s="1" t="s">
        <v>79</v>
      </c>
      <c r="M1200" s="1" t="s">
        <v>79</v>
      </c>
      <c r="N1200" s="1" t="s">
        <v>79</v>
      </c>
      <c r="O1200" s="6">
        <v>42936</v>
      </c>
      <c r="P1200" s="6">
        <v>42917</v>
      </c>
      <c r="Q1200" s="6">
        <v>42917</v>
      </c>
      <c r="R1200" s="1" t="s">
        <v>1017</v>
      </c>
      <c r="S1200" s="1" t="s">
        <v>79</v>
      </c>
      <c r="T1200" s="5">
        <v>0</v>
      </c>
      <c r="U1200" s="4">
        <v>61</v>
      </c>
      <c r="V1200" s="5">
        <v>1878</v>
      </c>
      <c r="W1200" s="6"/>
      <c r="X1200" s="6"/>
      <c r="Y1200" s="6"/>
      <c r="Z1200" s="6"/>
      <c r="AA1200" s="6"/>
      <c r="AB1200" s="6"/>
      <c r="AC1200" s="6"/>
      <c r="AD1200" s="6">
        <v>43145</v>
      </c>
    </row>
    <row r="1201" spans="1:30">
      <c r="A1201" s="1" t="s">
        <v>772</v>
      </c>
      <c r="B1201" s="1" t="s">
        <v>773</v>
      </c>
      <c r="C1201" s="1" t="s">
        <v>774</v>
      </c>
      <c r="D1201" s="1" t="s">
        <v>1705</v>
      </c>
      <c r="E1201" s="1" t="str">
        <f t="shared" si="18"/>
        <v>W01</v>
      </c>
      <c r="F1201" s="4">
        <v>6.64</v>
      </c>
      <c r="G1201" s="4">
        <v>5.14</v>
      </c>
      <c r="H1201" s="4">
        <v>5.14</v>
      </c>
      <c r="I1201" s="4"/>
      <c r="J1201" s="1" t="s">
        <v>775</v>
      </c>
      <c r="K1201" s="1" t="s">
        <v>1056</v>
      </c>
      <c r="L1201" s="1" t="s">
        <v>1015</v>
      </c>
      <c r="M1201" s="1" t="s">
        <v>1016</v>
      </c>
      <c r="N1201" s="1" t="s">
        <v>79</v>
      </c>
      <c r="O1201" s="6">
        <v>42977</v>
      </c>
      <c r="P1201" s="6">
        <v>42977</v>
      </c>
      <c r="Q1201" s="6"/>
      <c r="R1201" s="1" t="s">
        <v>1017</v>
      </c>
      <c r="S1201" s="1" t="s">
        <v>79</v>
      </c>
      <c r="T1201" s="5">
        <v>0</v>
      </c>
      <c r="U1201" s="4">
        <v>59</v>
      </c>
      <c r="V1201" s="5">
        <v>1818</v>
      </c>
      <c r="W1201" s="6"/>
      <c r="X1201" s="6"/>
      <c r="Y1201" s="6"/>
      <c r="Z1201" s="6"/>
      <c r="AA1201" s="6"/>
      <c r="AB1201" s="6"/>
      <c r="AC1201" s="6"/>
      <c r="AD1201" s="6">
        <v>43128</v>
      </c>
    </row>
    <row r="1202" spans="1:30">
      <c r="A1202" s="1" t="s">
        <v>772</v>
      </c>
      <c r="B1202" s="1" t="s">
        <v>773</v>
      </c>
      <c r="C1202" s="1" t="s">
        <v>774</v>
      </c>
      <c r="D1202" s="1" t="s">
        <v>1706</v>
      </c>
      <c r="E1202" s="1" t="str">
        <f t="shared" si="18"/>
        <v>W01</v>
      </c>
      <c r="F1202" s="4">
        <v>8.74</v>
      </c>
      <c r="G1202" s="4">
        <v>6.71</v>
      </c>
      <c r="H1202" s="4">
        <v>6.71</v>
      </c>
      <c r="I1202" s="4"/>
      <c r="J1202" s="1" t="s">
        <v>775</v>
      </c>
      <c r="K1202" s="1" t="s">
        <v>1058</v>
      </c>
      <c r="L1202" s="1" t="s">
        <v>79</v>
      </c>
      <c r="M1202" s="1" t="s">
        <v>79</v>
      </c>
      <c r="N1202" s="1" t="s">
        <v>79</v>
      </c>
      <c r="O1202" s="6">
        <v>42936</v>
      </c>
      <c r="P1202" s="6">
        <v>42917</v>
      </c>
      <c r="Q1202" s="6">
        <v>42917</v>
      </c>
      <c r="R1202" s="1" t="s">
        <v>1017</v>
      </c>
      <c r="S1202" s="1" t="s">
        <v>79</v>
      </c>
      <c r="T1202" s="5">
        <v>0</v>
      </c>
      <c r="U1202" s="4">
        <v>61</v>
      </c>
      <c r="V1202" s="5">
        <v>1878</v>
      </c>
      <c r="W1202" s="6"/>
      <c r="X1202" s="6"/>
      <c r="Y1202" s="6"/>
      <c r="Z1202" s="6"/>
      <c r="AA1202" s="6"/>
      <c r="AB1202" s="6"/>
      <c r="AC1202" s="6"/>
      <c r="AD1202" s="6">
        <v>43153</v>
      </c>
    </row>
    <row r="1203" spans="1:30">
      <c r="A1203" s="1" t="s">
        <v>772</v>
      </c>
      <c r="B1203" s="1" t="s">
        <v>773</v>
      </c>
      <c r="C1203" s="1" t="s">
        <v>989</v>
      </c>
      <c r="D1203" s="1" t="s">
        <v>1707</v>
      </c>
      <c r="E1203" s="1" t="str">
        <f t="shared" si="18"/>
        <v>W05</v>
      </c>
      <c r="F1203" s="4">
        <v>0</v>
      </c>
      <c r="G1203" s="4">
        <v>0</v>
      </c>
      <c r="H1203" s="4">
        <v>0</v>
      </c>
      <c r="I1203" s="4"/>
      <c r="J1203" s="1" t="s">
        <v>775</v>
      </c>
      <c r="K1203" s="1" t="s">
        <v>1056</v>
      </c>
      <c r="L1203" s="1" t="s">
        <v>1015</v>
      </c>
      <c r="M1203" s="1" t="s">
        <v>1016</v>
      </c>
      <c r="N1203" s="1" t="s">
        <v>79</v>
      </c>
      <c r="O1203" s="6">
        <v>42977</v>
      </c>
      <c r="P1203" s="6">
        <v>42977</v>
      </c>
      <c r="Q1203" s="6"/>
      <c r="R1203" s="1" t="s">
        <v>1017</v>
      </c>
      <c r="S1203" s="1" t="s">
        <v>79</v>
      </c>
      <c r="T1203" s="5">
        <v>0</v>
      </c>
      <c r="U1203" s="4">
        <v>59</v>
      </c>
      <c r="V1203" s="5">
        <v>1818</v>
      </c>
      <c r="W1203" s="6"/>
      <c r="X1203" s="6"/>
      <c r="Y1203" s="6"/>
      <c r="Z1203" s="6"/>
      <c r="AA1203" s="6"/>
      <c r="AB1203" s="6"/>
      <c r="AC1203" s="6"/>
      <c r="AD1203" s="6">
        <v>43147</v>
      </c>
    </row>
    <row r="1204" spans="1:30">
      <c r="A1204" s="1" t="s">
        <v>772</v>
      </c>
      <c r="B1204" s="1" t="s">
        <v>773</v>
      </c>
      <c r="D1204" s="1" t="s">
        <v>1708</v>
      </c>
      <c r="E1204" s="1" t="str">
        <f t="shared" si="18"/>
        <v/>
      </c>
      <c r="F1204" s="4">
        <v>0</v>
      </c>
      <c r="G1204" s="4">
        <v>0</v>
      </c>
      <c r="H1204" s="4">
        <v>0</v>
      </c>
      <c r="I1204" s="4"/>
      <c r="J1204" s="1" t="s">
        <v>775</v>
      </c>
      <c r="K1204" s="1" t="s">
        <v>1058</v>
      </c>
      <c r="L1204" s="1" t="s">
        <v>79</v>
      </c>
      <c r="M1204" s="1" t="s">
        <v>79</v>
      </c>
      <c r="N1204" s="1" t="s">
        <v>79</v>
      </c>
      <c r="O1204" s="6">
        <v>42936</v>
      </c>
      <c r="P1204" s="6">
        <v>42917</v>
      </c>
      <c r="Q1204" s="6">
        <v>42917</v>
      </c>
      <c r="R1204" s="1" t="s">
        <v>1017</v>
      </c>
      <c r="S1204" s="1" t="s">
        <v>79</v>
      </c>
      <c r="T1204" s="5">
        <v>0</v>
      </c>
      <c r="U1204" s="4">
        <v>61</v>
      </c>
      <c r="V1204" s="5">
        <v>1878</v>
      </c>
      <c r="W1204" s="6"/>
      <c r="X1204" s="6"/>
      <c r="Y1204" s="6"/>
      <c r="Z1204" s="6"/>
      <c r="AA1204" s="6"/>
      <c r="AB1204" s="6"/>
      <c r="AC1204" s="6"/>
      <c r="AD1204" s="6">
        <v>43166</v>
      </c>
    </row>
    <row r="1205" spans="1:30">
      <c r="A1205" s="1" t="s">
        <v>772</v>
      </c>
      <c r="B1205" s="1" t="s">
        <v>773</v>
      </c>
      <c r="C1205" s="1" t="s">
        <v>989</v>
      </c>
      <c r="D1205" s="1" t="s">
        <v>1709</v>
      </c>
      <c r="E1205" s="1" t="str">
        <f t="shared" si="18"/>
        <v>W05</v>
      </c>
      <c r="F1205" s="4">
        <v>0</v>
      </c>
      <c r="G1205" s="4">
        <v>0</v>
      </c>
      <c r="H1205" s="4">
        <v>0</v>
      </c>
      <c r="I1205" s="4"/>
      <c r="J1205" s="1" t="s">
        <v>775</v>
      </c>
      <c r="K1205" s="1" t="s">
        <v>1056</v>
      </c>
      <c r="L1205" s="1" t="s">
        <v>1015</v>
      </c>
      <c r="M1205" s="1" t="s">
        <v>1016</v>
      </c>
      <c r="N1205" s="1" t="s">
        <v>79</v>
      </c>
      <c r="O1205" s="6">
        <v>42977</v>
      </c>
      <c r="P1205" s="6">
        <v>42977</v>
      </c>
      <c r="Q1205" s="6"/>
      <c r="R1205" s="1" t="s">
        <v>1017</v>
      </c>
      <c r="S1205" s="1" t="s">
        <v>79</v>
      </c>
      <c r="T1205" s="5">
        <v>0</v>
      </c>
      <c r="U1205" s="4">
        <v>59</v>
      </c>
      <c r="V1205" s="5">
        <v>1818</v>
      </c>
      <c r="W1205" s="6"/>
      <c r="X1205" s="6"/>
      <c r="Y1205" s="6"/>
      <c r="Z1205" s="6"/>
      <c r="AA1205" s="6"/>
      <c r="AB1205" s="6"/>
      <c r="AC1205" s="6"/>
      <c r="AD1205" s="6">
        <v>43165</v>
      </c>
    </row>
    <row r="1206" spans="1:30">
      <c r="A1206" s="1" t="s">
        <v>772</v>
      </c>
      <c r="B1206" s="1" t="s">
        <v>773</v>
      </c>
      <c r="C1206" s="1" t="s">
        <v>848</v>
      </c>
      <c r="D1206" s="1" t="s">
        <v>1710</v>
      </c>
      <c r="E1206" s="1" t="str">
        <f t="shared" si="18"/>
        <v>W02</v>
      </c>
      <c r="F1206" s="4">
        <v>1.5</v>
      </c>
      <c r="G1206" s="4">
        <v>1.5</v>
      </c>
      <c r="H1206" s="4">
        <v>1.5</v>
      </c>
      <c r="I1206" s="4"/>
      <c r="J1206" s="1" t="s">
        <v>775</v>
      </c>
      <c r="K1206" s="1" t="s">
        <v>1058</v>
      </c>
      <c r="L1206" s="1" t="s">
        <v>79</v>
      </c>
      <c r="M1206" s="1" t="s">
        <v>79</v>
      </c>
      <c r="N1206" s="1" t="s">
        <v>79</v>
      </c>
      <c r="O1206" s="6">
        <v>42936</v>
      </c>
      <c r="P1206" s="6">
        <v>42917</v>
      </c>
      <c r="Q1206" s="6">
        <v>42917</v>
      </c>
      <c r="R1206" s="1" t="s">
        <v>1017</v>
      </c>
      <c r="S1206" s="1" t="s">
        <v>79</v>
      </c>
      <c r="T1206" s="5">
        <v>0</v>
      </c>
      <c r="U1206" s="4">
        <v>61</v>
      </c>
      <c r="V1206" s="5">
        <v>1878</v>
      </c>
      <c r="W1206" s="6"/>
      <c r="X1206" s="6"/>
      <c r="Y1206" s="6"/>
      <c r="Z1206" s="6"/>
      <c r="AA1206" s="6"/>
      <c r="AB1206" s="6"/>
      <c r="AC1206" s="6"/>
      <c r="AD1206" s="6">
        <v>43225</v>
      </c>
    </row>
    <row r="1207" spans="1:30">
      <c r="A1207" s="1" t="s">
        <v>772</v>
      </c>
      <c r="B1207" s="1" t="s">
        <v>773</v>
      </c>
      <c r="C1207" s="1" t="s">
        <v>989</v>
      </c>
      <c r="D1207" s="1" t="s">
        <v>1711</v>
      </c>
      <c r="E1207" s="1" t="str">
        <f t="shared" si="18"/>
        <v>W05</v>
      </c>
      <c r="F1207" s="4">
        <v>0</v>
      </c>
      <c r="G1207" s="4">
        <v>0</v>
      </c>
      <c r="H1207" s="4">
        <v>0</v>
      </c>
      <c r="I1207" s="4"/>
      <c r="J1207" s="1" t="s">
        <v>775</v>
      </c>
      <c r="K1207" s="1" t="s">
        <v>1056</v>
      </c>
      <c r="L1207" s="1" t="s">
        <v>1015</v>
      </c>
      <c r="M1207" s="1" t="s">
        <v>1016</v>
      </c>
      <c r="N1207" s="1" t="s">
        <v>79</v>
      </c>
      <c r="O1207" s="6">
        <v>42977</v>
      </c>
      <c r="P1207" s="6">
        <v>42977</v>
      </c>
      <c r="Q1207" s="6"/>
      <c r="R1207" s="1" t="s">
        <v>1017</v>
      </c>
      <c r="S1207" s="1" t="s">
        <v>79</v>
      </c>
      <c r="T1207" s="5">
        <v>0</v>
      </c>
      <c r="U1207" s="4">
        <v>59</v>
      </c>
      <c r="V1207" s="5">
        <v>1818</v>
      </c>
      <c r="W1207" s="6"/>
      <c r="X1207" s="6"/>
      <c r="Y1207" s="6"/>
      <c r="Z1207" s="6"/>
      <c r="AA1207" s="6"/>
      <c r="AB1207" s="6"/>
      <c r="AC1207" s="6"/>
      <c r="AD1207" s="6">
        <v>43184</v>
      </c>
    </row>
    <row r="1208" spans="1:30">
      <c r="A1208" s="1" t="s">
        <v>772</v>
      </c>
      <c r="B1208" s="1" t="s">
        <v>773</v>
      </c>
      <c r="C1208" s="1" t="s">
        <v>989</v>
      </c>
      <c r="D1208" s="1" t="s">
        <v>1712</v>
      </c>
      <c r="E1208" s="1" t="str">
        <f t="shared" si="18"/>
        <v>W05</v>
      </c>
      <c r="F1208" s="4">
        <v>0</v>
      </c>
      <c r="G1208" s="4">
        <v>0</v>
      </c>
      <c r="H1208" s="4">
        <v>0</v>
      </c>
      <c r="I1208" s="4"/>
      <c r="J1208" s="1" t="s">
        <v>775</v>
      </c>
      <c r="K1208" s="1" t="s">
        <v>1058</v>
      </c>
      <c r="L1208" s="1" t="s">
        <v>79</v>
      </c>
      <c r="M1208" s="1" t="s">
        <v>79</v>
      </c>
      <c r="N1208" s="1" t="s">
        <v>79</v>
      </c>
      <c r="O1208" s="6">
        <v>42936</v>
      </c>
      <c r="P1208" s="6">
        <v>42917</v>
      </c>
      <c r="Q1208" s="6">
        <v>42917</v>
      </c>
      <c r="R1208" s="1" t="s">
        <v>1017</v>
      </c>
      <c r="S1208" s="1" t="s">
        <v>79</v>
      </c>
      <c r="T1208" s="5">
        <v>0</v>
      </c>
      <c r="U1208" s="4">
        <v>61</v>
      </c>
      <c r="V1208" s="5">
        <v>1878</v>
      </c>
      <c r="W1208" s="6"/>
      <c r="X1208" s="6"/>
      <c r="Y1208" s="6"/>
      <c r="Z1208" s="6"/>
      <c r="AA1208" s="6"/>
      <c r="AB1208" s="6"/>
      <c r="AC1208" s="6"/>
      <c r="AD1208" s="6">
        <v>43215</v>
      </c>
    </row>
    <row r="1209" spans="1:30">
      <c r="A1209" s="1" t="s">
        <v>772</v>
      </c>
      <c r="B1209" s="1" t="s">
        <v>773</v>
      </c>
      <c r="C1209" s="1" t="s">
        <v>989</v>
      </c>
      <c r="D1209" s="1" t="s">
        <v>1713</v>
      </c>
      <c r="E1209" s="1" t="str">
        <f t="shared" si="18"/>
        <v>W05</v>
      </c>
      <c r="F1209" s="5">
        <v>0</v>
      </c>
      <c r="G1209" s="5">
        <v>0</v>
      </c>
      <c r="H1209" s="5">
        <v>0</v>
      </c>
      <c r="I1209" s="5"/>
      <c r="J1209" s="1" t="s">
        <v>775</v>
      </c>
      <c r="K1209" s="1" t="s">
        <v>1528</v>
      </c>
      <c r="L1209" s="1" t="s">
        <v>79</v>
      </c>
      <c r="M1209" s="1" t="s">
        <v>79</v>
      </c>
      <c r="N1209" s="1" t="s">
        <v>79</v>
      </c>
      <c r="O1209" s="6">
        <v>44429</v>
      </c>
      <c r="P1209" s="6">
        <v>44409</v>
      </c>
      <c r="Q1209" s="6"/>
      <c r="R1209" s="1" t="s">
        <v>784</v>
      </c>
      <c r="S1209" s="1" t="s">
        <v>79</v>
      </c>
      <c r="T1209" s="5">
        <v>180</v>
      </c>
      <c r="U1209" s="4">
        <v>12</v>
      </c>
      <c r="V1209" s="5">
        <v>386</v>
      </c>
      <c r="W1209" s="6"/>
      <c r="X1209" s="6"/>
      <c r="Y1209" s="6"/>
      <c r="Z1209" s="6"/>
      <c r="AA1209" s="6"/>
      <c r="AB1209" s="6"/>
      <c r="AC1209" s="6"/>
      <c r="AD1209" s="6"/>
    </row>
    <row r="1210" spans="1:30">
      <c r="A1210" s="1" t="s">
        <v>772</v>
      </c>
      <c r="B1210" s="1" t="s">
        <v>773</v>
      </c>
      <c r="C1210" s="1" t="s">
        <v>989</v>
      </c>
      <c r="D1210" s="1" t="s">
        <v>1714</v>
      </c>
      <c r="E1210" s="1" t="str">
        <f t="shared" si="18"/>
        <v>W05</v>
      </c>
      <c r="F1210" s="5">
        <v>0</v>
      </c>
      <c r="G1210" s="5">
        <v>0</v>
      </c>
      <c r="H1210" s="5">
        <v>0</v>
      </c>
      <c r="I1210" s="5"/>
      <c r="J1210" s="1" t="s">
        <v>775</v>
      </c>
      <c r="K1210" s="1" t="s">
        <v>1427</v>
      </c>
      <c r="L1210" s="1" t="s">
        <v>79</v>
      </c>
      <c r="M1210" s="1" t="s">
        <v>79</v>
      </c>
      <c r="N1210" s="1" t="s">
        <v>79</v>
      </c>
      <c r="O1210" s="6">
        <v>44027</v>
      </c>
      <c r="P1210" s="6">
        <v>44018</v>
      </c>
      <c r="Q1210" s="6"/>
      <c r="R1210" s="1" t="s">
        <v>784</v>
      </c>
      <c r="S1210" s="1" t="s">
        <v>79</v>
      </c>
      <c r="T1210" s="5">
        <v>180</v>
      </c>
      <c r="U1210" s="4">
        <v>25</v>
      </c>
      <c r="V1210" s="5">
        <v>777</v>
      </c>
      <c r="W1210" s="6"/>
      <c r="X1210" s="6"/>
      <c r="Y1210" s="6"/>
      <c r="Z1210" s="6"/>
      <c r="AA1210" s="6"/>
      <c r="AB1210" s="6"/>
      <c r="AC1210" s="6"/>
      <c r="AD1210" s="6">
        <v>44050</v>
      </c>
    </row>
    <row r="1211" spans="1:30">
      <c r="A1211" s="1" t="s">
        <v>772</v>
      </c>
      <c r="B1211" s="1" t="s">
        <v>773</v>
      </c>
      <c r="C1211" s="1" t="s">
        <v>989</v>
      </c>
      <c r="D1211" s="1" t="s">
        <v>1715</v>
      </c>
      <c r="E1211" s="1" t="str">
        <f t="shared" si="18"/>
        <v>W05</v>
      </c>
      <c r="F1211" s="4">
        <v>0</v>
      </c>
      <c r="G1211" s="4">
        <v>0</v>
      </c>
      <c r="H1211" s="4">
        <v>0</v>
      </c>
      <c r="I1211" s="4"/>
      <c r="J1211" s="1" t="s">
        <v>775</v>
      </c>
      <c r="K1211" s="1" t="s">
        <v>1716</v>
      </c>
      <c r="L1211" s="1" t="s">
        <v>829</v>
      </c>
      <c r="M1211" s="1" t="s">
        <v>913</v>
      </c>
      <c r="N1211" s="1" t="s">
        <v>79</v>
      </c>
      <c r="O1211" s="6">
        <v>44439</v>
      </c>
      <c r="P1211" s="6">
        <v>44415</v>
      </c>
      <c r="Q1211" s="6">
        <v>44410</v>
      </c>
      <c r="R1211" s="1" t="s">
        <v>830</v>
      </c>
      <c r="S1211" s="1" t="s">
        <v>1717</v>
      </c>
      <c r="T1211" s="5">
        <v>0</v>
      </c>
      <c r="U1211" s="4">
        <v>12</v>
      </c>
      <c r="V1211" s="5">
        <v>380</v>
      </c>
      <c r="W1211" s="6">
        <v>43388</v>
      </c>
      <c r="X1211" s="6"/>
      <c r="Y1211" s="6"/>
      <c r="Z1211" s="6"/>
      <c r="AA1211" s="6"/>
      <c r="AB1211" s="6"/>
      <c r="AC1211" s="6"/>
      <c r="AD1211" s="6"/>
    </row>
    <row r="1212" spans="1:30">
      <c r="A1212" s="1" t="s">
        <v>772</v>
      </c>
      <c r="B1212" s="1" t="s">
        <v>773</v>
      </c>
      <c r="C1212" s="1" t="s">
        <v>989</v>
      </c>
      <c r="D1212" s="1" t="s">
        <v>1718</v>
      </c>
      <c r="E1212" s="1" t="str">
        <f t="shared" si="18"/>
        <v>W05</v>
      </c>
      <c r="F1212" s="5">
        <v>0</v>
      </c>
      <c r="G1212" s="5">
        <v>0</v>
      </c>
      <c r="H1212" s="5">
        <v>0</v>
      </c>
      <c r="I1212" s="5"/>
      <c r="J1212" s="1" t="s">
        <v>775</v>
      </c>
      <c r="K1212" s="1" t="s">
        <v>1393</v>
      </c>
      <c r="L1212" s="1" t="s">
        <v>79</v>
      </c>
      <c r="M1212" s="1" t="s">
        <v>79</v>
      </c>
      <c r="N1212" s="1" t="s">
        <v>79</v>
      </c>
      <c r="O1212" s="6">
        <v>43809</v>
      </c>
      <c r="P1212" s="6">
        <v>43800</v>
      </c>
      <c r="Q1212" s="6"/>
      <c r="R1212" s="1" t="s">
        <v>784</v>
      </c>
      <c r="S1212" s="1" t="s">
        <v>79</v>
      </c>
      <c r="T1212" s="5">
        <v>180</v>
      </c>
      <c r="U1212" s="4">
        <v>32</v>
      </c>
      <c r="V1212" s="5">
        <v>995</v>
      </c>
      <c r="W1212" s="6"/>
      <c r="X1212" s="6"/>
      <c r="Y1212" s="6"/>
      <c r="Z1212" s="6"/>
      <c r="AA1212" s="6"/>
      <c r="AB1212" s="6"/>
      <c r="AC1212" s="6"/>
      <c r="AD1212" s="6"/>
    </row>
    <row r="1213" spans="1:30">
      <c r="A1213" s="1" t="s">
        <v>772</v>
      </c>
      <c r="B1213" s="1" t="s">
        <v>773</v>
      </c>
      <c r="C1213" s="1" t="s">
        <v>989</v>
      </c>
      <c r="D1213" s="1" t="s">
        <v>1719</v>
      </c>
      <c r="E1213" s="1" t="str">
        <f t="shared" si="18"/>
        <v>W05</v>
      </c>
      <c r="F1213" s="4">
        <v>0</v>
      </c>
      <c r="G1213" s="4">
        <v>0</v>
      </c>
      <c r="H1213" s="4">
        <v>0</v>
      </c>
      <c r="I1213" s="4"/>
      <c r="J1213" s="1" t="s">
        <v>775</v>
      </c>
      <c r="K1213" s="1" t="s">
        <v>1069</v>
      </c>
      <c r="L1213" s="1" t="s">
        <v>1070</v>
      </c>
      <c r="M1213" s="1" t="s">
        <v>920</v>
      </c>
      <c r="N1213" s="1" t="s">
        <v>79</v>
      </c>
      <c r="O1213" s="6">
        <v>44728</v>
      </c>
      <c r="P1213" s="6">
        <v>44718</v>
      </c>
      <c r="Q1213" s="6"/>
      <c r="R1213" s="1" t="s">
        <v>921</v>
      </c>
      <c r="S1213" s="1" t="s">
        <v>79</v>
      </c>
      <c r="T1213" s="5">
        <v>64</v>
      </c>
      <c r="U1213" s="4">
        <v>2</v>
      </c>
      <c r="V1213" s="5">
        <v>77</v>
      </c>
      <c r="W1213" s="6"/>
      <c r="X1213" s="6"/>
      <c r="Y1213" s="6"/>
      <c r="Z1213" s="6"/>
      <c r="AA1213" s="6"/>
      <c r="AB1213" s="6"/>
      <c r="AC1213" s="6"/>
      <c r="AD1213" s="6"/>
    </row>
    <row r="1214" spans="1:30">
      <c r="A1214" s="1" t="s">
        <v>772</v>
      </c>
      <c r="B1214" s="1" t="s">
        <v>773</v>
      </c>
      <c r="C1214" s="1" t="s">
        <v>989</v>
      </c>
      <c r="D1214" s="1" t="s">
        <v>1720</v>
      </c>
      <c r="E1214" s="1" t="str">
        <f t="shared" si="18"/>
        <v>W05</v>
      </c>
      <c r="F1214" s="4">
        <v>0</v>
      </c>
      <c r="G1214" s="4">
        <v>0</v>
      </c>
      <c r="H1214" s="4">
        <v>0</v>
      </c>
      <c r="I1214" s="4"/>
      <c r="J1214" s="1" t="s">
        <v>775</v>
      </c>
      <c r="K1214" s="1" t="s">
        <v>1721</v>
      </c>
      <c r="L1214" s="1" t="s">
        <v>907</v>
      </c>
      <c r="M1214" s="1" t="s">
        <v>1722</v>
      </c>
      <c r="N1214" s="1" t="s">
        <v>908</v>
      </c>
      <c r="O1214" s="6">
        <v>41598</v>
      </c>
      <c r="P1214" s="6">
        <v>40581</v>
      </c>
      <c r="Q1214" s="6">
        <v>40581</v>
      </c>
      <c r="R1214" s="1" t="s">
        <v>909</v>
      </c>
      <c r="S1214" s="1" t="s">
        <v>79</v>
      </c>
      <c r="T1214" s="5">
        <v>9330</v>
      </c>
      <c r="U1214" s="4">
        <v>138</v>
      </c>
      <c r="V1214" s="5">
        <v>4214</v>
      </c>
      <c r="W1214" s="6">
        <v>49912</v>
      </c>
      <c r="X1214" s="6">
        <v>49918</v>
      </c>
      <c r="Y1214" s="6"/>
      <c r="Z1214" s="6"/>
      <c r="AA1214" s="6"/>
      <c r="AB1214" s="6"/>
      <c r="AC1214" s="6"/>
      <c r="AD1214" s="6">
        <v>41694</v>
      </c>
    </row>
    <row r="1215" spans="1:30">
      <c r="A1215" s="1" t="s">
        <v>772</v>
      </c>
      <c r="B1215" s="1" t="s">
        <v>773</v>
      </c>
      <c r="C1215" s="1" t="s">
        <v>1010</v>
      </c>
      <c r="D1215" s="1" t="s">
        <v>1723</v>
      </c>
      <c r="E1215" s="1" t="str">
        <f t="shared" si="18"/>
        <v>W07</v>
      </c>
      <c r="F1215" s="4">
        <v>0</v>
      </c>
      <c r="G1215" s="4">
        <v>0</v>
      </c>
      <c r="H1215" s="4">
        <v>0</v>
      </c>
      <c r="I1215" s="4"/>
      <c r="J1215" s="1" t="s">
        <v>775</v>
      </c>
      <c r="K1215" s="1" t="s">
        <v>1724</v>
      </c>
      <c r="L1215" s="1" t="s">
        <v>1725</v>
      </c>
      <c r="M1215" s="1" t="s">
        <v>920</v>
      </c>
      <c r="N1215" s="1" t="s">
        <v>79</v>
      </c>
      <c r="O1215" s="6">
        <v>44256</v>
      </c>
      <c r="P1215" s="6">
        <v>44093</v>
      </c>
      <c r="Q1215" s="6">
        <v>44055</v>
      </c>
      <c r="R1215" s="1" t="s">
        <v>921</v>
      </c>
      <c r="S1215" s="1" t="s">
        <v>922</v>
      </c>
      <c r="T1215" s="5">
        <v>0</v>
      </c>
      <c r="U1215" s="4">
        <v>23</v>
      </c>
      <c r="V1215" s="5">
        <v>702</v>
      </c>
      <c r="W1215" s="6"/>
      <c r="X1215" s="6"/>
      <c r="Y1215" s="6"/>
      <c r="Z1215" s="6"/>
      <c r="AA1215" s="6"/>
      <c r="AB1215" s="6"/>
      <c r="AC1215" s="6"/>
      <c r="AD1215" s="6">
        <v>44319</v>
      </c>
    </row>
    <row r="1216" spans="1:30">
      <c r="A1216" s="1" t="s">
        <v>772</v>
      </c>
      <c r="B1216" s="1" t="s">
        <v>773</v>
      </c>
      <c r="C1216" s="1" t="s">
        <v>1010</v>
      </c>
      <c r="D1216" s="1" t="s">
        <v>1726</v>
      </c>
      <c r="E1216" s="1" t="str">
        <f t="shared" si="18"/>
        <v>W07</v>
      </c>
      <c r="F1216" s="4">
        <v>0</v>
      </c>
      <c r="G1216" s="4">
        <v>0</v>
      </c>
      <c r="H1216" s="4">
        <v>0</v>
      </c>
      <c r="I1216" s="4"/>
      <c r="J1216" s="1" t="s">
        <v>775</v>
      </c>
      <c r="K1216" s="1" t="s">
        <v>1727</v>
      </c>
      <c r="L1216" s="1" t="s">
        <v>1728</v>
      </c>
      <c r="M1216" s="1" t="s">
        <v>920</v>
      </c>
      <c r="N1216" s="1" t="s">
        <v>79</v>
      </c>
      <c r="O1216" s="6">
        <v>44789</v>
      </c>
      <c r="P1216" s="6">
        <v>44783</v>
      </c>
      <c r="Q1216" s="6">
        <v>44783</v>
      </c>
      <c r="R1216" s="1" t="s">
        <v>921</v>
      </c>
      <c r="S1216" s="1" t="s">
        <v>79</v>
      </c>
      <c r="T1216" s="5">
        <v>0</v>
      </c>
      <c r="U1216" s="4">
        <v>0</v>
      </c>
      <c r="V1216" s="5">
        <v>12</v>
      </c>
      <c r="W1216" s="6"/>
      <c r="X1216" s="6"/>
      <c r="Y1216" s="6"/>
      <c r="Z1216" s="6"/>
      <c r="AA1216" s="6"/>
      <c r="AB1216" s="6"/>
      <c r="AC1216" s="6"/>
      <c r="AD1216" s="6"/>
    </row>
    <row r="1217" spans="1:30">
      <c r="A1217" s="1" t="s">
        <v>772</v>
      </c>
      <c r="B1217" s="1" t="s">
        <v>773</v>
      </c>
      <c r="C1217" s="1" t="s">
        <v>1010</v>
      </c>
      <c r="D1217" s="1" t="s">
        <v>1729</v>
      </c>
      <c r="E1217" s="1" t="str">
        <f t="shared" si="18"/>
        <v>W07</v>
      </c>
      <c r="F1217" s="4">
        <v>0</v>
      </c>
      <c r="G1217" s="4">
        <v>0</v>
      </c>
      <c r="H1217" s="4">
        <v>0</v>
      </c>
      <c r="I1217" s="4"/>
      <c r="J1217" s="1" t="s">
        <v>775</v>
      </c>
      <c r="K1217" s="1" t="s">
        <v>1730</v>
      </c>
      <c r="L1217" s="1" t="s">
        <v>916</v>
      </c>
      <c r="M1217" s="1" t="s">
        <v>920</v>
      </c>
      <c r="N1217" s="1" t="s">
        <v>79</v>
      </c>
      <c r="O1217" s="6">
        <v>44567</v>
      </c>
      <c r="P1217" s="6">
        <v>44567</v>
      </c>
      <c r="Q1217" s="6">
        <v>44487</v>
      </c>
      <c r="R1217" s="1" t="s">
        <v>921</v>
      </c>
      <c r="S1217" s="1" t="s">
        <v>922</v>
      </c>
      <c r="T1217" s="5">
        <v>0</v>
      </c>
      <c r="U1217" s="4">
        <v>7</v>
      </c>
      <c r="V1217" s="5">
        <v>228</v>
      </c>
      <c r="W1217" s="6"/>
      <c r="X1217" s="6"/>
      <c r="Y1217" s="6"/>
      <c r="Z1217" s="6"/>
      <c r="AA1217" s="6"/>
      <c r="AB1217" s="6"/>
      <c r="AC1217" s="6"/>
      <c r="AD1217" s="6">
        <v>44778</v>
      </c>
    </row>
    <row r="1218" spans="1:30">
      <c r="A1218" s="1" t="s">
        <v>772</v>
      </c>
      <c r="B1218" s="1" t="s">
        <v>773</v>
      </c>
      <c r="C1218" s="1" t="s">
        <v>989</v>
      </c>
      <c r="D1218" s="1" t="s">
        <v>1731</v>
      </c>
      <c r="E1218" s="1" t="str">
        <f t="shared" si="18"/>
        <v>W05</v>
      </c>
      <c r="F1218" s="4">
        <v>0</v>
      </c>
      <c r="G1218" s="4">
        <v>0</v>
      </c>
      <c r="H1218" s="4">
        <v>0</v>
      </c>
      <c r="I1218" s="4"/>
      <c r="J1218" s="1" t="s">
        <v>775</v>
      </c>
      <c r="K1218" s="1" t="s">
        <v>1727</v>
      </c>
      <c r="L1218" s="1" t="s">
        <v>1728</v>
      </c>
      <c r="M1218" s="1" t="s">
        <v>920</v>
      </c>
      <c r="N1218" s="1" t="s">
        <v>79</v>
      </c>
      <c r="O1218" s="6">
        <v>44789</v>
      </c>
      <c r="P1218" s="6">
        <v>44783</v>
      </c>
      <c r="Q1218" s="6">
        <v>44783</v>
      </c>
      <c r="R1218" s="1" t="s">
        <v>921</v>
      </c>
      <c r="S1218" s="1" t="s">
        <v>79</v>
      </c>
      <c r="T1218" s="5">
        <v>0</v>
      </c>
      <c r="U1218" s="4">
        <v>0</v>
      </c>
      <c r="V1218" s="5">
        <v>12</v>
      </c>
      <c r="W1218" s="6"/>
      <c r="X1218" s="6"/>
      <c r="Y1218" s="6"/>
      <c r="Z1218" s="6"/>
      <c r="AA1218" s="6"/>
      <c r="AB1218" s="6"/>
      <c r="AC1218" s="6"/>
      <c r="AD1218" s="6"/>
    </row>
    <row r="1219" spans="1:30">
      <c r="A1219" s="1" t="s">
        <v>772</v>
      </c>
      <c r="B1219" s="1" t="s">
        <v>773</v>
      </c>
      <c r="C1219" s="1" t="s">
        <v>858</v>
      </c>
      <c r="D1219" s="1" t="s">
        <v>1732</v>
      </c>
      <c r="E1219" s="1" t="str">
        <f t="shared" si="18"/>
        <v>W04</v>
      </c>
      <c r="F1219" s="4">
        <v>0</v>
      </c>
      <c r="G1219" s="4">
        <v>0</v>
      </c>
      <c r="H1219" s="4">
        <v>0</v>
      </c>
      <c r="I1219" s="4"/>
      <c r="J1219" s="1" t="s">
        <v>775</v>
      </c>
      <c r="K1219" s="1" t="s">
        <v>1724</v>
      </c>
      <c r="L1219" s="1" t="s">
        <v>1725</v>
      </c>
      <c r="M1219" s="1" t="s">
        <v>920</v>
      </c>
      <c r="N1219" s="1" t="s">
        <v>79</v>
      </c>
      <c r="O1219" s="6">
        <v>44256</v>
      </c>
      <c r="P1219" s="6">
        <v>44189</v>
      </c>
      <c r="Q1219" s="6">
        <v>44189</v>
      </c>
      <c r="R1219" s="1" t="s">
        <v>921</v>
      </c>
      <c r="S1219" s="1" t="s">
        <v>922</v>
      </c>
      <c r="T1219" s="5">
        <v>0</v>
      </c>
      <c r="U1219" s="4">
        <v>19</v>
      </c>
      <c r="V1219" s="5">
        <v>606</v>
      </c>
      <c r="W1219" s="6"/>
      <c r="X1219" s="6"/>
      <c r="Y1219" s="6"/>
      <c r="Z1219" s="6"/>
      <c r="AA1219" s="6"/>
      <c r="AB1219" s="6"/>
      <c r="AC1219" s="6"/>
      <c r="AD1219" s="6">
        <v>44414</v>
      </c>
    </row>
    <row r="1220" spans="1:30">
      <c r="A1220" s="1" t="s">
        <v>772</v>
      </c>
      <c r="B1220" s="1" t="s">
        <v>773</v>
      </c>
      <c r="C1220" s="1" t="s">
        <v>858</v>
      </c>
      <c r="D1220" s="1" t="s">
        <v>1733</v>
      </c>
      <c r="E1220" s="1" t="str">
        <f t="shared" si="18"/>
        <v>W04</v>
      </c>
      <c r="F1220" s="4">
        <v>0</v>
      </c>
      <c r="G1220" s="4">
        <v>0</v>
      </c>
      <c r="H1220" s="4">
        <v>0</v>
      </c>
      <c r="I1220" s="4"/>
      <c r="J1220" s="1" t="s">
        <v>775</v>
      </c>
      <c r="K1220" s="1" t="s">
        <v>1734</v>
      </c>
      <c r="L1220" s="1" t="s">
        <v>1725</v>
      </c>
      <c r="M1220" s="1" t="s">
        <v>920</v>
      </c>
      <c r="N1220" s="1" t="s">
        <v>79</v>
      </c>
      <c r="O1220" s="6">
        <v>44352</v>
      </c>
      <c r="P1220" s="6">
        <v>44321</v>
      </c>
      <c r="Q1220" s="6">
        <v>44305</v>
      </c>
      <c r="R1220" s="1" t="s">
        <v>921</v>
      </c>
      <c r="S1220" s="1" t="s">
        <v>922</v>
      </c>
      <c r="T1220" s="5">
        <v>0</v>
      </c>
      <c r="U1220" s="4">
        <v>15</v>
      </c>
      <c r="V1220" s="5">
        <v>474</v>
      </c>
      <c r="W1220" s="6"/>
      <c r="X1220" s="6"/>
      <c r="Y1220" s="6"/>
      <c r="Z1220" s="6"/>
      <c r="AA1220" s="6"/>
      <c r="AB1220" s="6"/>
      <c r="AC1220" s="6"/>
      <c r="AD1220" s="6">
        <v>44575</v>
      </c>
    </row>
    <row r="1221" spans="1:30">
      <c r="A1221" s="1" t="s">
        <v>772</v>
      </c>
      <c r="B1221" s="1" t="s">
        <v>773</v>
      </c>
      <c r="C1221" s="1" t="s">
        <v>858</v>
      </c>
      <c r="D1221" s="1" t="s">
        <v>1735</v>
      </c>
      <c r="E1221" s="1" t="str">
        <f t="shared" ref="E1221:E1284" si="19">RIGHT(C1221,3)</f>
        <v>W04</v>
      </c>
      <c r="F1221" s="4">
        <v>0</v>
      </c>
      <c r="G1221" s="4">
        <v>0</v>
      </c>
      <c r="H1221" s="4">
        <v>0</v>
      </c>
      <c r="I1221" s="4"/>
      <c r="J1221" s="1" t="s">
        <v>775</v>
      </c>
      <c r="K1221" s="1" t="s">
        <v>1736</v>
      </c>
      <c r="L1221" s="1" t="s">
        <v>829</v>
      </c>
      <c r="M1221" s="1" t="s">
        <v>828</v>
      </c>
      <c r="N1221" s="1" t="s">
        <v>79</v>
      </c>
      <c r="O1221" s="6">
        <v>44760</v>
      </c>
      <c r="P1221" s="6">
        <v>44754</v>
      </c>
      <c r="Q1221" s="6">
        <v>44754</v>
      </c>
      <c r="R1221" s="1" t="s">
        <v>830</v>
      </c>
      <c r="S1221" s="1" t="s">
        <v>79</v>
      </c>
      <c r="T1221" s="5">
        <v>30</v>
      </c>
      <c r="U1221" s="4">
        <v>1</v>
      </c>
      <c r="V1221" s="5">
        <v>41</v>
      </c>
      <c r="W1221" s="6"/>
      <c r="X1221" s="6"/>
      <c r="Y1221" s="6"/>
      <c r="Z1221" s="6"/>
      <c r="AA1221" s="6"/>
      <c r="AB1221" s="6"/>
      <c r="AC1221" s="6"/>
      <c r="AD1221" s="6"/>
    </row>
    <row r="1222" spans="1:30">
      <c r="A1222" s="1" t="s">
        <v>772</v>
      </c>
      <c r="B1222" s="1" t="s">
        <v>773</v>
      </c>
      <c r="C1222" s="1" t="s">
        <v>858</v>
      </c>
      <c r="D1222" s="1" t="s">
        <v>1737</v>
      </c>
      <c r="E1222" s="1" t="str">
        <f t="shared" si="19"/>
        <v>W04</v>
      </c>
      <c r="F1222" s="4">
        <v>0</v>
      </c>
      <c r="G1222" s="4">
        <v>0</v>
      </c>
      <c r="H1222" s="4">
        <v>0</v>
      </c>
      <c r="I1222" s="4"/>
      <c r="J1222" s="1" t="s">
        <v>775</v>
      </c>
      <c r="K1222" s="1" t="s">
        <v>1197</v>
      </c>
      <c r="L1222" s="1" t="s">
        <v>79</v>
      </c>
      <c r="M1222" s="1" t="s">
        <v>79</v>
      </c>
      <c r="N1222" s="1" t="s">
        <v>79</v>
      </c>
      <c r="O1222" s="6">
        <v>44260</v>
      </c>
      <c r="P1222" s="6">
        <v>44256</v>
      </c>
      <c r="Q1222" s="6">
        <v>44256</v>
      </c>
      <c r="R1222" s="1" t="s">
        <v>1076</v>
      </c>
      <c r="S1222" s="1" t="s">
        <v>79</v>
      </c>
      <c r="T1222" s="5">
        <v>1154</v>
      </c>
      <c r="U1222" s="4">
        <v>17</v>
      </c>
      <c r="V1222" s="5">
        <v>539</v>
      </c>
      <c r="W1222" s="6"/>
      <c r="X1222" s="6"/>
      <c r="Y1222" s="6"/>
      <c r="Z1222" s="6"/>
      <c r="AA1222" s="6"/>
      <c r="AB1222" s="6"/>
      <c r="AC1222" s="6"/>
      <c r="AD1222" s="6">
        <v>44641</v>
      </c>
    </row>
    <row r="1223" spans="1:30">
      <c r="A1223" s="1" t="s">
        <v>772</v>
      </c>
      <c r="B1223" s="1" t="s">
        <v>773</v>
      </c>
      <c r="C1223" s="1" t="s">
        <v>904</v>
      </c>
      <c r="D1223" s="1" t="s">
        <v>1738</v>
      </c>
      <c r="E1223" s="1" t="str">
        <f t="shared" si="19"/>
        <v>W03</v>
      </c>
      <c r="F1223" s="4">
        <v>0</v>
      </c>
      <c r="G1223" s="4">
        <v>0</v>
      </c>
      <c r="H1223" s="4">
        <v>0</v>
      </c>
      <c r="I1223" s="4"/>
      <c r="J1223" s="1" t="s">
        <v>775</v>
      </c>
      <c r="K1223" s="1" t="s">
        <v>860</v>
      </c>
      <c r="L1223" s="1" t="s">
        <v>777</v>
      </c>
      <c r="M1223" s="1" t="s">
        <v>778</v>
      </c>
      <c r="N1223" s="1" t="s">
        <v>79</v>
      </c>
      <c r="O1223" s="6">
        <v>44442</v>
      </c>
      <c r="P1223" s="6">
        <v>44425</v>
      </c>
      <c r="Q1223" s="6">
        <v>44404</v>
      </c>
      <c r="R1223" s="1" t="s">
        <v>779</v>
      </c>
      <c r="S1223" s="1" t="s">
        <v>795</v>
      </c>
      <c r="T1223" s="5">
        <v>577</v>
      </c>
      <c r="U1223" s="4">
        <v>12</v>
      </c>
      <c r="V1223" s="5">
        <v>370</v>
      </c>
      <c r="W1223" s="6">
        <v>43803</v>
      </c>
      <c r="X1223" s="6"/>
      <c r="Y1223" s="6"/>
      <c r="Z1223" s="6"/>
      <c r="AA1223" s="6"/>
      <c r="AB1223" s="6"/>
      <c r="AC1223" s="6"/>
      <c r="AD1223" s="6"/>
    </row>
    <row r="1224" spans="1:30">
      <c r="A1224" s="1" t="s">
        <v>772</v>
      </c>
      <c r="B1224" s="1" t="s">
        <v>773</v>
      </c>
      <c r="C1224" s="1" t="s">
        <v>848</v>
      </c>
      <c r="D1224" s="1" t="s">
        <v>1739</v>
      </c>
      <c r="E1224" s="1" t="str">
        <f t="shared" si="19"/>
        <v>W02</v>
      </c>
      <c r="F1224" s="4">
        <v>0</v>
      </c>
      <c r="G1224" s="4">
        <v>0</v>
      </c>
      <c r="H1224" s="4">
        <v>0</v>
      </c>
      <c r="I1224" s="4"/>
      <c r="J1224" s="1" t="s">
        <v>775</v>
      </c>
      <c r="K1224" s="1" t="s">
        <v>1740</v>
      </c>
      <c r="L1224" s="1" t="s">
        <v>829</v>
      </c>
      <c r="M1224" s="1" t="s">
        <v>913</v>
      </c>
      <c r="N1224" s="1" t="s">
        <v>79</v>
      </c>
      <c r="O1224" s="6">
        <v>44778</v>
      </c>
      <c r="P1224" s="6">
        <v>44774</v>
      </c>
      <c r="Q1224" s="6">
        <v>44774</v>
      </c>
      <c r="R1224" s="1" t="s">
        <v>830</v>
      </c>
      <c r="S1224" s="1" t="s">
        <v>914</v>
      </c>
      <c r="T1224" s="5">
        <v>330</v>
      </c>
      <c r="U1224" s="4">
        <v>0</v>
      </c>
      <c r="V1224" s="5">
        <v>21</v>
      </c>
      <c r="W1224" s="6"/>
      <c r="X1224" s="6"/>
      <c r="Y1224" s="6"/>
      <c r="Z1224" s="6"/>
      <c r="AA1224" s="6"/>
      <c r="AB1224" s="6"/>
      <c r="AC1224" s="6"/>
      <c r="AD1224" s="6"/>
    </row>
    <row r="1225" spans="1:30">
      <c r="A1225" s="1" t="s">
        <v>772</v>
      </c>
      <c r="B1225" s="1" t="s">
        <v>773</v>
      </c>
      <c r="C1225" s="1" t="s">
        <v>858</v>
      </c>
      <c r="D1225" s="1" t="s">
        <v>1741</v>
      </c>
      <c r="E1225" s="1" t="str">
        <f t="shared" si="19"/>
        <v>W04</v>
      </c>
      <c r="F1225" s="4">
        <v>0</v>
      </c>
      <c r="G1225" s="4">
        <v>0</v>
      </c>
      <c r="H1225" s="4">
        <v>0</v>
      </c>
      <c r="I1225" s="4"/>
      <c r="J1225" s="1" t="s">
        <v>775</v>
      </c>
      <c r="K1225" s="1" t="s">
        <v>1742</v>
      </c>
      <c r="L1225" s="1" t="s">
        <v>778</v>
      </c>
      <c r="M1225" s="1" t="s">
        <v>788</v>
      </c>
      <c r="N1225" s="1" t="s">
        <v>787</v>
      </c>
      <c r="O1225" s="6">
        <v>44531</v>
      </c>
      <c r="P1225" s="6">
        <v>44479</v>
      </c>
      <c r="Q1225" s="6">
        <v>43904</v>
      </c>
      <c r="R1225" s="1" t="s">
        <v>779</v>
      </c>
      <c r="S1225" s="1" t="s">
        <v>79</v>
      </c>
      <c r="T1225" s="5">
        <v>300</v>
      </c>
      <c r="U1225" s="4">
        <v>10</v>
      </c>
      <c r="V1225" s="5">
        <v>316</v>
      </c>
      <c r="W1225" s="6">
        <v>43963</v>
      </c>
      <c r="X1225" s="6">
        <v>43997</v>
      </c>
      <c r="Y1225" s="6"/>
      <c r="Z1225" s="6"/>
      <c r="AA1225" s="6"/>
      <c r="AB1225" s="6"/>
      <c r="AC1225" s="6"/>
      <c r="AD1225" s="6">
        <v>44544</v>
      </c>
    </row>
    <row r="1226" spans="1:30">
      <c r="A1226" s="1" t="s">
        <v>772</v>
      </c>
      <c r="B1226" s="1" t="s">
        <v>773</v>
      </c>
      <c r="C1226" s="1" t="s">
        <v>989</v>
      </c>
      <c r="D1226" s="1" t="s">
        <v>1743</v>
      </c>
      <c r="E1226" s="1" t="str">
        <f t="shared" si="19"/>
        <v>W05</v>
      </c>
      <c r="F1226" s="4">
        <v>0</v>
      </c>
      <c r="G1226" s="4">
        <v>0</v>
      </c>
      <c r="H1226" s="4">
        <v>0</v>
      </c>
      <c r="I1226" s="4"/>
      <c r="J1226" s="1" t="s">
        <v>775</v>
      </c>
      <c r="K1226" s="1" t="s">
        <v>799</v>
      </c>
      <c r="L1226" s="1" t="s">
        <v>777</v>
      </c>
      <c r="M1226" s="1" t="s">
        <v>778</v>
      </c>
      <c r="N1226" s="1" t="s">
        <v>787</v>
      </c>
      <c r="O1226" s="6">
        <v>44357</v>
      </c>
      <c r="P1226" s="6">
        <v>44355</v>
      </c>
      <c r="Q1226" s="6">
        <v>44311</v>
      </c>
      <c r="R1226" s="1" t="s">
        <v>779</v>
      </c>
      <c r="S1226" s="1" t="s">
        <v>795</v>
      </c>
      <c r="T1226" s="5">
        <v>577</v>
      </c>
      <c r="U1226" s="4">
        <v>14</v>
      </c>
      <c r="V1226" s="5">
        <v>440</v>
      </c>
      <c r="W1226" s="6">
        <v>43710</v>
      </c>
      <c r="X1226" s="6">
        <v>42572</v>
      </c>
      <c r="Y1226" s="6"/>
      <c r="Z1226" s="6"/>
      <c r="AA1226" s="6">
        <v>44743</v>
      </c>
      <c r="AB1226" s="6"/>
      <c r="AC1226" s="6"/>
      <c r="AD1226" s="6"/>
    </row>
    <row r="1227" spans="1:30">
      <c r="A1227" s="1" t="s">
        <v>772</v>
      </c>
      <c r="B1227" s="1" t="s">
        <v>773</v>
      </c>
      <c r="D1227" s="1" t="s">
        <v>1744</v>
      </c>
      <c r="E1227" s="1" t="str">
        <f t="shared" si="19"/>
        <v/>
      </c>
      <c r="F1227" s="4">
        <v>0</v>
      </c>
      <c r="G1227" s="4">
        <v>0</v>
      </c>
      <c r="H1227" s="4">
        <v>0</v>
      </c>
      <c r="I1227" s="4"/>
      <c r="J1227" s="1" t="s">
        <v>775</v>
      </c>
      <c r="K1227" s="1" t="s">
        <v>799</v>
      </c>
      <c r="L1227" s="1" t="s">
        <v>777</v>
      </c>
      <c r="M1227" s="1" t="s">
        <v>778</v>
      </c>
      <c r="N1227" s="1" t="s">
        <v>788</v>
      </c>
      <c r="O1227" s="6">
        <v>44372</v>
      </c>
      <c r="P1227" s="6">
        <v>44357</v>
      </c>
      <c r="Q1227" s="6">
        <v>44345</v>
      </c>
      <c r="R1227" s="1" t="s">
        <v>779</v>
      </c>
      <c r="S1227" s="1" t="s">
        <v>823</v>
      </c>
      <c r="T1227" s="5">
        <v>457</v>
      </c>
      <c r="U1227" s="4">
        <v>14</v>
      </c>
      <c r="V1227" s="5">
        <v>438</v>
      </c>
      <c r="W1227" s="6">
        <v>43763</v>
      </c>
      <c r="X1227" s="6">
        <v>43468</v>
      </c>
      <c r="Y1227" s="6"/>
      <c r="Z1227" s="6"/>
      <c r="AA1227" s="6">
        <v>44673</v>
      </c>
      <c r="AB1227" s="6"/>
      <c r="AC1227" s="6"/>
      <c r="AD1227" s="6"/>
    </row>
    <row r="1228" spans="1:30">
      <c r="A1228" s="1" t="s">
        <v>772</v>
      </c>
      <c r="B1228" s="1" t="s">
        <v>773</v>
      </c>
      <c r="D1228" s="1" t="s">
        <v>1745</v>
      </c>
      <c r="E1228" s="1" t="str">
        <f t="shared" si="19"/>
        <v/>
      </c>
      <c r="F1228" s="4">
        <v>0</v>
      </c>
      <c r="G1228" s="4">
        <v>0</v>
      </c>
      <c r="H1228" s="4">
        <v>0</v>
      </c>
      <c r="I1228" s="4"/>
      <c r="J1228" s="1" t="s">
        <v>775</v>
      </c>
      <c r="K1228" s="1" t="s">
        <v>1746</v>
      </c>
      <c r="L1228" s="1" t="s">
        <v>777</v>
      </c>
      <c r="M1228" s="1" t="s">
        <v>778</v>
      </c>
      <c r="N1228" s="1" t="s">
        <v>79</v>
      </c>
      <c r="O1228" s="6">
        <v>44343</v>
      </c>
      <c r="P1228" s="6">
        <v>44326</v>
      </c>
      <c r="Q1228" s="6">
        <v>44299</v>
      </c>
      <c r="R1228" s="1" t="s">
        <v>779</v>
      </c>
      <c r="S1228" s="1" t="s">
        <v>1747</v>
      </c>
      <c r="T1228" s="5">
        <v>517</v>
      </c>
      <c r="U1228" s="4">
        <v>15</v>
      </c>
      <c r="V1228" s="5">
        <v>469</v>
      </c>
      <c r="W1228" s="6">
        <v>43322</v>
      </c>
      <c r="X1228" s="6"/>
      <c r="Y1228" s="6"/>
      <c r="Z1228" s="6"/>
      <c r="AA1228" s="6">
        <v>44721</v>
      </c>
      <c r="AB1228" s="6"/>
      <c r="AC1228" s="6"/>
      <c r="AD1228" s="6"/>
    </row>
    <row r="1229" spans="1:30">
      <c r="A1229" s="1" t="s">
        <v>772</v>
      </c>
      <c r="B1229" s="1" t="s">
        <v>773</v>
      </c>
      <c r="D1229" s="1" t="s">
        <v>1748</v>
      </c>
      <c r="E1229" s="1" t="str">
        <f t="shared" si="19"/>
        <v/>
      </c>
      <c r="F1229" s="4">
        <v>0</v>
      </c>
      <c r="G1229" s="4">
        <v>0</v>
      </c>
      <c r="H1229" s="4">
        <v>0</v>
      </c>
      <c r="I1229" s="4"/>
      <c r="J1229" s="1" t="s">
        <v>775</v>
      </c>
      <c r="K1229" s="1" t="s">
        <v>886</v>
      </c>
      <c r="L1229" s="1" t="s">
        <v>777</v>
      </c>
      <c r="M1229" s="1" t="s">
        <v>778</v>
      </c>
      <c r="N1229" s="1" t="s">
        <v>787</v>
      </c>
      <c r="O1229" s="6">
        <v>44492</v>
      </c>
      <c r="P1229" s="6">
        <v>44470</v>
      </c>
      <c r="Q1229" s="6">
        <v>44449</v>
      </c>
      <c r="R1229" s="1" t="s">
        <v>779</v>
      </c>
      <c r="S1229" s="1" t="s">
        <v>795</v>
      </c>
      <c r="T1229" s="5">
        <v>577</v>
      </c>
      <c r="U1229" s="4">
        <v>10</v>
      </c>
      <c r="V1229" s="5">
        <v>325</v>
      </c>
      <c r="W1229" s="6">
        <v>43816</v>
      </c>
      <c r="X1229" s="6">
        <v>42572</v>
      </c>
      <c r="Y1229" s="6"/>
      <c r="Z1229" s="6"/>
      <c r="AA1229" s="6"/>
      <c r="AB1229" s="6"/>
      <c r="AC1229" s="6"/>
      <c r="AD1229" s="6"/>
    </row>
    <row r="1230" spans="1:30">
      <c r="A1230" s="1" t="s">
        <v>772</v>
      </c>
      <c r="B1230" s="1" t="s">
        <v>773</v>
      </c>
      <c r="D1230" s="1" t="s">
        <v>1749</v>
      </c>
      <c r="E1230" s="1" t="str">
        <f t="shared" si="19"/>
        <v/>
      </c>
      <c r="F1230" s="4">
        <v>0</v>
      </c>
      <c r="G1230" s="4">
        <v>0</v>
      </c>
      <c r="H1230" s="4">
        <v>0</v>
      </c>
      <c r="I1230" s="4"/>
      <c r="J1230" s="1" t="s">
        <v>775</v>
      </c>
      <c r="K1230" s="1" t="s">
        <v>1206</v>
      </c>
      <c r="L1230" s="1" t="s">
        <v>829</v>
      </c>
      <c r="M1230" s="1" t="s">
        <v>913</v>
      </c>
      <c r="N1230" s="1" t="s">
        <v>79</v>
      </c>
      <c r="O1230" s="6">
        <v>44553</v>
      </c>
      <c r="P1230" s="6">
        <v>44549</v>
      </c>
      <c r="Q1230" s="6">
        <v>44549</v>
      </c>
      <c r="R1230" s="1" t="s">
        <v>830</v>
      </c>
      <c r="S1230" s="1" t="s">
        <v>1717</v>
      </c>
      <c r="T1230" s="5">
        <v>0</v>
      </c>
      <c r="U1230" s="4">
        <v>8</v>
      </c>
      <c r="V1230" s="5">
        <v>246</v>
      </c>
      <c r="W1230" s="6"/>
      <c r="X1230" s="6"/>
      <c r="Y1230" s="6"/>
      <c r="Z1230" s="6"/>
      <c r="AA1230" s="6"/>
      <c r="AB1230" s="6"/>
      <c r="AC1230" s="6"/>
      <c r="AD1230" s="6"/>
    </row>
    <row r="1231" spans="1:30">
      <c r="A1231" s="1" t="s">
        <v>772</v>
      </c>
      <c r="B1231" s="1" t="s">
        <v>773</v>
      </c>
      <c r="D1231" s="1" t="s">
        <v>1750</v>
      </c>
      <c r="E1231" s="1" t="str">
        <f t="shared" si="19"/>
        <v/>
      </c>
      <c r="F1231" s="4">
        <v>0</v>
      </c>
      <c r="G1231" s="4">
        <v>0</v>
      </c>
      <c r="H1231" s="4">
        <v>0</v>
      </c>
      <c r="I1231" s="4"/>
      <c r="J1231" s="1" t="s">
        <v>775</v>
      </c>
      <c r="K1231" s="1" t="s">
        <v>886</v>
      </c>
      <c r="L1231" s="1" t="s">
        <v>777</v>
      </c>
      <c r="M1231" s="1" t="s">
        <v>778</v>
      </c>
      <c r="N1231" s="1" t="s">
        <v>787</v>
      </c>
      <c r="O1231" s="6">
        <v>44492</v>
      </c>
      <c r="P1231" s="6">
        <v>44470</v>
      </c>
      <c r="Q1231" s="6">
        <v>44454</v>
      </c>
      <c r="R1231" s="1" t="s">
        <v>779</v>
      </c>
      <c r="S1231" s="1" t="s">
        <v>795</v>
      </c>
      <c r="T1231" s="5">
        <v>577</v>
      </c>
      <c r="U1231" s="4">
        <v>10</v>
      </c>
      <c r="V1231" s="5">
        <v>325</v>
      </c>
      <c r="W1231" s="6">
        <v>43816</v>
      </c>
      <c r="X1231" s="6">
        <v>42572</v>
      </c>
      <c r="Y1231" s="6"/>
      <c r="Z1231" s="6"/>
      <c r="AA1231" s="6"/>
      <c r="AB1231" s="6"/>
      <c r="AC1231" s="6"/>
      <c r="AD1231" s="6"/>
    </row>
    <row r="1232" spans="1:30">
      <c r="A1232" s="1" t="s">
        <v>772</v>
      </c>
      <c r="B1232" s="1" t="s">
        <v>773</v>
      </c>
      <c r="D1232" s="1" t="s">
        <v>1751</v>
      </c>
      <c r="E1232" s="1" t="str">
        <f t="shared" si="19"/>
        <v/>
      </c>
      <c r="F1232" s="4">
        <v>0</v>
      </c>
      <c r="G1232" s="4">
        <v>0</v>
      </c>
      <c r="H1232" s="4">
        <v>0</v>
      </c>
      <c r="I1232" s="4"/>
      <c r="J1232" s="1" t="s">
        <v>775</v>
      </c>
      <c r="K1232" s="1" t="s">
        <v>834</v>
      </c>
      <c r="L1232" s="1" t="s">
        <v>787</v>
      </c>
      <c r="M1232" s="1" t="s">
        <v>788</v>
      </c>
      <c r="N1232" s="1" t="s">
        <v>79</v>
      </c>
      <c r="O1232" s="6">
        <v>44680</v>
      </c>
      <c r="P1232" s="6">
        <v>44680</v>
      </c>
      <c r="Q1232" s="6">
        <v>44090</v>
      </c>
      <c r="R1232" s="1" t="s">
        <v>779</v>
      </c>
      <c r="S1232" s="1" t="s">
        <v>79</v>
      </c>
      <c r="T1232" s="5">
        <v>300</v>
      </c>
      <c r="U1232" s="4">
        <v>3</v>
      </c>
      <c r="V1232" s="5">
        <v>115</v>
      </c>
      <c r="W1232" s="6">
        <v>44098</v>
      </c>
      <c r="X1232" s="6"/>
      <c r="Y1232" s="6"/>
      <c r="Z1232" s="6"/>
      <c r="AA1232" s="6"/>
      <c r="AB1232" s="6"/>
      <c r="AC1232" s="6"/>
      <c r="AD1232" s="6">
        <v>44727</v>
      </c>
    </row>
    <row r="1233" spans="1:30">
      <c r="A1233" s="1" t="s">
        <v>772</v>
      </c>
      <c r="B1233" s="1" t="s">
        <v>773</v>
      </c>
      <c r="D1233" s="1" t="s">
        <v>1752</v>
      </c>
      <c r="E1233" s="1" t="str">
        <f t="shared" si="19"/>
        <v/>
      </c>
      <c r="F1233" s="4">
        <v>0</v>
      </c>
      <c r="G1233" s="5">
        <v>0</v>
      </c>
      <c r="H1233" s="5">
        <v>0</v>
      </c>
      <c r="I1233" s="5"/>
      <c r="J1233" s="1" t="s">
        <v>775</v>
      </c>
      <c r="K1233" s="1" t="s">
        <v>1753</v>
      </c>
      <c r="L1233" s="1" t="s">
        <v>907</v>
      </c>
      <c r="M1233" s="1" t="s">
        <v>1007</v>
      </c>
      <c r="N1233" s="1" t="s">
        <v>79</v>
      </c>
      <c r="O1233" s="6">
        <v>43930</v>
      </c>
      <c r="P1233" s="6">
        <v>42353</v>
      </c>
      <c r="Q1233" s="6">
        <v>42353</v>
      </c>
      <c r="R1233" s="1" t="s">
        <v>909</v>
      </c>
      <c r="S1233" s="1" t="s">
        <v>79</v>
      </c>
      <c r="T1233" s="5">
        <v>9300</v>
      </c>
      <c r="U1233" s="4">
        <v>80</v>
      </c>
      <c r="V1233" s="5">
        <v>2442</v>
      </c>
      <c r="W1233" s="6"/>
      <c r="X1233" s="6"/>
      <c r="Y1233" s="6"/>
      <c r="Z1233" s="6"/>
      <c r="AA1233" s="6"/>
      <c r="AB1233" s="6"/>
      <c r="AC1233" s="6"/>
      <c r="AD1233" s="6">
        <v>44042</v>
      </c>
    </row>
    <row r="1234" spans="1:30">
      <c r="A1234" s="1" t="s">
        <v>772</v>
      </c>
      <c r="B1234" s="1" t="s">
        <v>773</v>
      </c>
      <c r="D1234" s="1" t="s">
        <v>1754</v>
      </c>
      <c r="E1234" s="1" t="str">
        <f t="shared" si="19"/>
        <v/>
      </c>
      <c r="F1234" s="4">
        <v>0</v>
      </c>
      <c r="G1234" s="4">
        <v>0</v>
      </c>
      <c r="H1234" s="4">
        <v>0</v>
      </c>
      <c r="I1234" s="4"/>
      <c r="J1234" s="1" t="s">
        <v>775</v>
      </c>
      <c r="K1234" s="1" t="s">
        <v>796</v>
      </c>
      <c r="L1234" s="1" t="s">
        <v>787</v>
      </c>
      <c r="M1234" s="1" t="s">
        <v>788</v>
      </c>
      <c r="N1234" s="1" t="s">
        <v>79</v>
      </c>
      <c r="O1234" s="6">
        <v>44744</v>
      </c>
      <c r="P1234" s="6">
        <v>44722</v>
      </c>
      <c r="Q1234" s="6">
        <v>44141</v>
      </c>
      <c r="R1234" s="1" t="s">
        <v>779</v>
      </c>
      <c r="S1234" s="1" t="s">
        <v>79</v>
      </c>
      <c r="T1234" s="5">
        <v>402</v>
      </c>
      <c r="U1234" s="4">
        <v>2</v>
      </c>
      <c r="V1234" s="5">
        <v>73</v>
      </c>
      <c r="W1234" s="6"/>
      <c r="X1234" s="6"/>
      <c r="Y1234" s="6"/>
      <c r="Z1234" s="6"/>
      <c r="AA1234" s="6"/>
      <c r="AB1234" s="6"/>
      <c r="AC1234" s="6"/>
      <c r="AD1234" s="6">
        <v>44714</v>
      </c>
    </row>
    <row r="1235" spans="1:30">
      <c r="A1235" s="1" t="s">
        <v>772</v>
      </c>
      <c r="B1235" s="1" t="s">
        <v>773</v>
      </c>
      <c r="D1235" s="1" t="s">
        <v>1755</v>
      </c>
      <c r="E1235" s="1" t="str">
        <f t="shared" si="19"/>
        <v/>
      </c>
      <c r="F1235" s="4">
        <v>0</v>
      </c>
      <c r="G1235" s="4">
        <v>0</v>
      </c>
      <c r="H1235" s="4">
        <v>0</v>
      </c>
      <c r="I1235" s="4"/>
      <c r="J1235" s="1" t="s">
        <v>775</v>
      </c>
      <c r="K1235" s="1" t="s">
        <v>1074</v>
      </c>
      <c r="L1235" s="1" t="s">
        <v>1075</v>
      </c>
      <c r="M1235" s="1" t="s">
        <v>79</v>
      </c>
      <c r="N1235" s="1" t="s">
        <v>79</v>
      </c>
      <c r="O1235" s="6">
        <v>42345</v>
      </c>
      <c r="P1235" s="6">
        <v>42345</v>
      </c>
      <c r="Q1235" s="6">
        <v>33970</v>
      </c>
      <c r="R1235" s="1" t="s">
        <v>1076</v>
      </c>
      <c r="S1235" s="1" t="s">
        <v>79</v>
      </c>
      <c r="T1235" s="5">
        <v>0</v>
      </c>
      <c r="U1235" s="4">
        <v>80</v>
      </c>
      <c r="V1235" s="5">
        <v>2450</v>
      </c>
      <c r="W1235" s="6"/>
      <c r="X1235" s="6"/>
      <c r="Y1235" s="6"/>
      <c r="Z1235" s="6"/>
      <c r="AA1235" s="6"/>
      <c r="AB1235" s="6"/>
      <c r="AC1235" s="6"/>
      <c r="AD1235" s="6"/>
    </row>
    <row r="1236" spans="1:30">
      <c r="A1236" s="1" t="s">
        <v>772</v>
      </c>
      <c r="B1236" s="1" t="s">
        <v>773</v>
      </c>
      <c r="D1236" s="1" t="s">
        <v>1756</v>
      </c>
      <c r="E1236" s="1" t="str">
        <f t="shared" si="19"/>
        <v/>
      </c>
      <c r="F1236" s="4">
        <v>0</v>
      </c>
      <c r="G1236" s="4">
        <v>0</v>
      </c>
      <c r="H1236" s="4">
        <v>0</v>
      </c>
      <c r="I1236" s="4"/>
      <c r="J1236" s="1" t="s">
        <v>775</v>
      </c>
      <c r="K1236" s="1" t="s">
        <v>1197</v>
      </c>
      <c r="L1236" s="1" t="s">
        <v>79</v>
      </c>
      <c r="M1236" s="1" t="s">
        <v>79</v>
      </c>
      <c r="N1236" s="1" t="s">
        <v>79</v>
      </c>
      <c r="O1236" s="6">
        <v>44260</v>
      </c>
      <c r="P1236" s="6">
        <v>44256</v>
      </c>
      <c r="Q1236" s="6">
        <v>44256</v>
      </c>
      <c r="R1236" s="1" t="s">
        <v>1076</v>
      </c>
      <c r="S1236" s="1" t="s">
        <v>79</v>
      </c>
      <c r="T1236" s="5">
        <v>1154</v>
      </c>
      <c r="U1236" s="4">
        <v>17</v>
      </c>
      <c r="V1236" s="5">
        <v>539</v>
      </c>
      <c r="W1236" s="6"/>
      <c r="X1236" s="6"/>
      <c r="Y1236" s="6"/>
      <c r="Z1236" s="6"/>
      <c r="AA1236" s="6"/>
      <c r="AB1236" s="6"/>
      <c r="AC1236" s="6"/>
      <c r="AD1236" s="6">
        <v>44459</v>
      </c>
    </row>
    <row r="1237" spans="1:30">
      <c r="A1237" s="1" t="s">
        <v>772</v>
      </c>
      <c r="B1237" s="1" t="s">
        <v>773</v>
      </c>
      <c r="D1237" s="1" t="s">
        <v>1757</v>
      </c>
      <c r="E1237" s="1" t="str">
        <f t="shared" si="19"/>
        <v/>
      </c>
      <c r="F1237" s="4">
        <v>0</v>
      </c>
      <c r="G1237" s="4">
        <v>0</v>
      </c>
      <c r="H1237" s="4">
        <v>0</v>
      </c>
      <c r="I1237" s="4"/>
      <c r="J1237" s="1" t="s">
        <v>775</v>
      </c>
      <c r="K1237" s="1" t="s">
        <v>805</v>
      </c>
      <c r="L1237" s="1" t="s">
        <v>777</v>
      </c>
      <c r="M1237" s="1" t="s">
        <v>778</v>
      </c>
      <c r="N1237" s="1" t="s">
        <v>777</v>
      </c>
      <c r="O1237" s="6">
        <v>44653</v>
      </c>
      <c r="P1237" s="6">
        <v>44651</v>
      </c>
      <c r="Q1237" s="6">
        <v>44626</v>
      </c>
      <c r="R1237" s="1" t="s">
        <v>779</v>
      </c>
      <c r="S1237" s="1" t="s">
        <v>795</v>
      </c>
      <c r="T1237" s="5">
        <v>577</v>
      </c>
      <c r="U1237" s="4">
        <v>4</v>
      </c>
      <c r="V1237" s="5">
        <v>144</v>
      </c>
      <c r="W1237" s="6">
        <v>43100</v>
      </c>
      <c r="X1237" s="6">
        <v>43100</v>
      </c>
      <c r="Y1237" s="6"/>
      <c r="Z1237" s="6"/>
      <c r="AA1237" s="6"/>
      <c r="AB1237" s="6"/>
      <c r="AC1237" s="6"/>
      <c r="AD1237" s="6"/>
    </row>
    <row r="1238" spans="1:30">
      <c r="A1238" s="1" t="s">
        <v>772</v>
      </c>
      <c r="B1238" s="1" t="s">
        <v>773</v>
      </c>
      <c r="D1238" s="1" t="s">
        <v>1758</v>
      </c>
      <c r="E1238" s="1" t="str">
        <f t="shared" si="19"/>
        <v/>
      </c>
      <c r="F1238" s="4">
        <v>0</v>
      </c>
      <c r="G1238" s="4">
        <v>0</v>
      </c>
      <c r="H1238" s="4">
        <v>0</v>
      </c>
      <c r="I1238" s="4"/>
      <c r="J1238" s="1" t="s">
        <v>775</v>
      </c>
      <c r="K1238" s="1" t="s">
        <v>839</v>
      </c>
      <c r="L1238" s="1" t="s">
        <v>777</v>
      </c>
      <c r="M1238" s="1" t="s">
        <v>778</v>
      </c>
      <c r="N1238" s="1" t="s">
        <v>787</v>
      </c>
      <c r="O1238" s="6">
        <v>44775</v>
      </c>
      <c r="P1238" s="6">
        <v>44773</v>
      </c>
      <c r="Q1238" s="6">
        <v>44728</v>
      </c>
      <c r="R1238" s="1" t="s">
        <v>779</v>
      </c>
      <c r="S1238" s="1" t="s">
        <v>823</v>
      </c>
      <c r="T1238" s="5">
        <v>457</v>
      </c>
      <c r="U1238" s="4">
        <v>0</v>
      </c>
      <c r="V1238" s="5">
        <v>22</v>
      </c>
      <c r="W1238" s="6">
        <v>43710</v>
      </c>
      <c r="X1238" s="6">
        <v>42572</v>
      </c>
      <c r="Y1238" s="6"/>
      <c r="Z1238" s="6"/>
      <c r="AA1238" s="6"/>
      <c r="AB1238" s="6"/>
      <c r="AC1238" s="6"/>
      <c r="AD1238" s="6"/>
    </row>
    <row r="1239" spans="1:30">
      <c r="A1239" s="1" t="s">
        <v>772</v>
      </c>
      <c r="B1239" s="1" t="s">
        <v>773</v>
      </c>
      <c r="D1239" s="1" t="s">
        <v>1759</v>
      </c>
      <c r="E1239" s="1" t="str">
        <f t="shared" si="19"/>
        <v/>
      </c>
      <c r="F1239" s="4">
        <v>0</v>
      </c>
      <c r="G1239" s="4">
        <v>0</v>
      </c>
      <c r="H1239" s="4">
        <v>0</v>
      </c>
      <c r="I1239" s="4"/>
      <c r="J1239" s="1" t="s">
        <v>775</v>
      </c>
      <c r="K1239" s="1" t="s">
        <v>1760</v>
      </c>
      <c r="L1239" s="1" t="s">
        <v>829</v>
      </c>
      <c r="M1239" s="1" t="s">
        <v>913</v>
      </c>
      <c r="N1239" s="1" t="s">
        <v>79</v>
      </c>
      <c r="O1239" s="6">
        <v>44755</v>
      </c>
      <c r="P1239" s="6">
        <v>44752</v>
      </c>
      <c r="Q1239" s="6">
        <v>44722</v>
      </c>
      <c r="R1239" s="1" t="s">
        <v>830</v>
      </c>
      <c r="S1239" s="1" t="s">
        <v>914</v>
      </c>
      <c r="T1239" s="5">
        <v>330</v>
      </c>
      <c r="U1239" s="4">
        <v>1</v>
      </c>
      <c r="V1239" s="5">
        <v>43</v>
      </c>
      <c r="W1239" s="6"/>
      <c r="X1239" s="6"/>
      <c r="Y1239" s="6"/>
      <c r="Z1239" s="6"/>
      <c r="AA1239" s="6"/>
      <c r="AB1239" s="6"/>
      <c r="AC1239" s="6"/>
      <c r="AD1239" s="6"/>
    </row>
    <row r="1240" spans="1:30">
      <c r="A1240" s="1" t="s">
        <v>772</v>
      </c>
      <c r="B1240" s="1" t="s">
        <v>773</v>
      </c>
      <c r="D1240" s="1" t="s">
        <v>1761</v>
      </c>
      <c r="E1240" s="1" t="str">
        <f t="shared" si="19"/>
        <v/>
      </c>
      <c r="F1240" s="4">
        <v>0</v>
      </c>
      <c r="G1240" s="4">
        <v>0</v>
      </c>
      <c r="H1240" s="4">
        <v>0</v>
      </c>
      <c r="I1240" s="4"/>
      <c r="J1240" s="1" t="s">
        <v>775</v>
      </c>
      <c r="K1240" s="1" t="s">
        <v>1762</v>
      </c>
      <c r="L1240" s="1" t="s">
        <v>777</v>
      </c>
      <c r="M1240" s="1" t="s">
        <v>778</v>
      </c>
      <c r="N1240" s="1" t="s">
        <v>79</v>
      </c>
      <c r="O1240" s="6">
        <v>44309</v>
      </c>
      <c r="P1240" s="6">
        <v>44308</v>
      </c>
      <c r="Q1240" s="6">
        <v>44295</v>
      </c>
      <c r="R1240" s="1" t="s">
        <v>779</v>
      </c>
      <c r="S1240" s="1" t="s">
        <v>1747</v>
      </c>
      <c r="T1240" s="5">
        <v>517</v>
      </c>
      <c r="U1240" s="4">
        <v>16</v>
      </c>
      <c r="V1240" s="5">
        <v>487</v>
      </c>
      <c r="W1240" s="6">
        <v>43016</v>
      </c>
      <c r="X1240" s="6"/>
      <c r="Y1240" s="6"/>
      <c r="Z1240" s="6"/>
      <c r="AA1240" s="6">
        <v>44694</v>
      </c>
      <c r="AB1240" s="6"/>
      <c r="AC1240" s="6"/>
      <c r="AD1240" s="6"/>
    </row>
    <row r="1241" spans="1:30">
      <c r="A1241" s="1" t="s">
        <v>772</v>
      </c>
      <c r="B1241" s="1" t="s">
        <v>773</v>
      </c>
      <c r="D1241" s="1" t="s">
        <v>1763</v>
      </c>
      <c r="E1241" s="1" t="str">
        <f t="shared" si="19"/>
        <v/>
      </c>
      <c r="F1241" s="4">
        <v>0</v>
      </c>
      <c r="G1241" s="4">
        <v>0</v>
      </c>
      <c r="H1241" s="4">
        <v>0</v>
      </c>
      <c r="I1241" s="4"/>
      <c r="J1241" s="1" t="s">
        <v>775</v>
      </c>
      <c r="K1241" s="1" t="s">
        <v>1760</v>
      </c>
      <c r="L1241" s="1" t="s">
        <v>829</v>
      </c>
      <c r="M1241" s="1" t="s">
        <v>913</v>
      </c>
      <c r="N1241" s="1" t="s">
        <v>79</v>
      </c>
      <c r="O1241" s="6">
        <v>44755</v>
      </c>
      <c r="P1241" s="6">
        <v>44752</v>
      </c>
      <c r="Q1241" s="6">
        <v>44722</v>
      </c>
      <c r="R1241" s="1" t="s">
        <v>830</v>
      </c>
      <c r="S1241" s="1" t="s">
        <v>914</v>
      </c>
      <c r="T1241" s="5">
        <v>330</v>
      </c>
      <c r="U1241" s="4">
        <v>1</v>
      </c>
      <c r="V1241" s="5">
        <v>43</v>
      </c>
      <c r="W1241" s="6"/>
      <c r="X1241" s="6"/>
      <c r="Y1241" s="6"/>
      <c r="Z1241" s="6"/>
      <c r="AA1241" s="6"/>
      <c r="AB1241" s="6"/>
      <c r="AC1241" s="6"/>
      <c r="AD1241" s="6"/>
    </row>
    <row r="1242" spans="1:30">
      <c r="A1242" s="1" t="s">
        <v>772</v>
      </c>
      <c r="B1242" s="1" t="s">
        <v>773</v>
      </c>
      <c r="C1242" s="1" t="s">
        <v>989</v>
      </c>
      <c r="D1242" s="1" t="s">
        <v>1764</v>
      </c>
      <c r="E1242" s="1" t="str">
        <f t="shared" si="19"/>
        <v>W05</v>
      </c>
      <c r="F1242" s="5">
        <v>0</v>
      </c>
      <c r="G1242" s="4">
        <v>0</v>
      </c>
      <c r="H1242" s="4">
        <v>0</v>
      </c>
      <c r="I1242" s="4"/>
      <c r="J1242" s="1" t="s">
        <v>775</v>
      </c>
      <c r="K1242" s="1" t="s">
        <v>824</v>
      </c>
      <c r="L1242" s="1" t="s">
        <v>777</v>
      </c>
      <c r="M1242" s="1" t="s">
        <v>778</v>
      </c>
      <c r="N1242" s="1" t="s">
        <v>788</v>
      </c>
      <c r="O1242" s="6">
        <v>44648</v>
      </c>
      <c r="P1242" s="6">
        <v>44636</v>
      </c>
      <c r="Q1242" s="6">
        <v>44597</v>
      </c>
      <c r="R1242" s="1" t="s">
        <v>779</v>
      </c>
      <c r="S1242" s="1" t="s">
        <v>823</v>
      </c>
      <c r="T1242" s="5">
        <v>457</v>
      </c>
      <c r="U1242" s="4">
        <v>5</v>
      </c>
      <c r="V1242" s="5">
        <v>159</v>
      </c>
      <c r="W1242" s="6">
        <v>43883</v>
      </c>
      <c r="X1242" s="6">
        <v>43468</v>
      </c>
      <c r="Y1242" s="6"/>
      <c r="Z1242" s="6"/>
      <c r="AA1242" s="6"/>
      <c r="AB1242" s="6"/>
      <c r="AC1242" s="6"/>
      <c r="AD1242" s="6"/>
    </row>
    <row r="1243" spans="1:30">
      <c r="A1243" s="1" t="s">
        <v>772</v>
      </c>
      <c r="B1243" s="1" t="s">
        <v>773</v>
      </c>
      <c r="C1243" s="1" t="s">
        <v>989</v>
      </c>
      <c r="D1243" s="1" t="s">
        <v>1765</v>
      </c>
      <c r="E1243" s="1" t="str">
        <f t="shared" si="19"/>
        <v>W05</v>
      </c>
      <c r="F1243" s="4">
        <v>0</v>
      </c>
      <c r="G1243" s="4">
        <v>0</v>
      </c>
      <c r="H1243" s="4">
        <v>0</v>
      </c>
      <c r="I1243" s="4"/>
      <c r="J1243" s="1" t="s">
        <v>775</v>
      </c>
      <c r="K1243" s="1" t="s">
        <v>884</v>
      </c>
      <c r="L1243" s="1" t="s">
        <v>777</v>
      </c>
      <c r="M1243" s="1" t="s">
        <v>778</v>
      </c>
      <c r="N1243" s="1" t="s">
        <v>787</v>
      </c>
      <c r="O1243" s="6">
        <v>44733</v>
      </c>
      <c r="P1243" s="6">
        <v>44723</v>
      </c>
      <c r="Q1243" s="6">
        <v>44676</v>
      </c>
      <c r="R1243" s="1" t="s">
        <v>779</v>
      </c>
      <c r="S1243" s="1" t="s">
        <v>795</v>
      </c>
      <c r="T1243" s="5">
        <v>577</v>
      </c>
      <c r="U1243" s="4">
        <v>2</v>
      </c>
      <c r="V1243" s="5">
        <v>72</v>
      </c>
      <c r="W1243" s="6">
        <v>43373</v>
      </c>
      <c r="X1243" s="6">
        <v>42702</v>
      </c>
      <c r="Y1243" s="6"/>
      <c r="Z1243" s="6"/>
      <c r="AA1243" s="6"/>
      <c r="AB1243" s="6"/>
      <c r="AC1243" s="6"/>
      <c r="AD1243" s="6"/>
    </row>
    <row r="1244" spans="1:30">
      <c r="A1244" s="1" t="s">
        <v>772</v>
      </c>
      <c r="B1244" s="1" t="s">
        <v>773</v>
      </c>
      <c r="C1244" s="1" t="s">
        <v>989</v>
      </c>
      <c r="D1244" s="1" t="s">
        <v>1766</v>
      </c>
      <c r="E1244" s="1" t="str">
        <f t="shared" si="19"/>
        <v>W05</v>
      </c>
      <c r="F1244" s="4">
        <v>0</v>
      </c>
      <c r="G1244" s="4">
        <v>0</v>
      </c>
      <c r="H1244" s="4">
        <v>0</v>
      </c>
      <c r="I1244" s="4"/>
      <c r="J1244" s="1" t="s">
        <v>775</v>
      </c>
      <c r="K1244" s="1" t="s">
        <v>824</v>
      </c>
      <c r="L1244" s="1" t="s">
        <v>777</v>
      </c>
      <c r="M1244" s="1" t="s">
        <v>778</v>
      </c>
      <c r="N1244" s="1" t="s">
        <v>777</v>
      </c>
      <c r="O1244" s="6">
        <v>44635</v>
      </c>
      <c r="P1244" s="6">
        <v>44621</v>
      </c>
      <c r="Q1244" s="6">
        <v>44603</v>
      </c>
      <c r="R1244" s="1" t="s">
        <v>779</v>
      </c>
      <c r="S1244" s="1" t="s">
        <v>795</v>
      </c>
      <c r="T1244" s="5">
        <v>577</v>
      </c>
      <c r="U1244" s="4">
        <v>5</v>
      </c>
      <c r="V1244" s="5">
        <v>174</v>
      </c>
      <c r="W1244" s="6">
        <v>43483</v>
      </c>
      <c r="X1244" s="6">
        <v>43356</v>
      </c>
      <c r="Y1244" s="6"/>
      <c r="Z1244" s="6"/>
      <c r="AA1244" s="6"/>
      <c r="AB1244" s="6"/>
      <c r="AC1244" s="6"/>
      <c r="AD1244" s="6"/>
    </row>
    <row r="1245" spans="1:30">
      <c r="A1245" s="1" t="s">
        <v>772</v>
      </c>
      <c r="B1245" s="1" t="s">
        <v>773</v>
      </c>
      <c r="C1245" s="1" t="s">
        <v>989</v>
      </c>
      <c r="D1245" s="1" t="s">
        <v>1767</v>
      </c>
      <c r="E1245" s="1" t="str">
        <f t="shared" si="19"/>
        <v>W05</v>
      </c>
      <c r="F1245" s="4">
        <v>0</v>
      </c>
      <c r="G1245" s="4">
        <v>0</v>
      </c>
      <c r="H1245" s="4">
        <v>0</v>
      </c>
      <c r="I1245" s="4"/>
      <c r="J1245" s="1" t="s">
        <v>775</v>
      </c>
      <c r="K1245" s="1" t="s">
        <v>860</v>
      </c>
      <c r="L1245" s="1" t="s">
        <v>777</v>
      </c>
      <c r="M1245" s="1" t="s">
        <v>778</v>
      </c>
      <c r="N1245" s="1" t="s">
        <v>788</v>
      </c>
      <c r="O1245" s="6">
        <v>44463</v>
      </c>
      <c r="P1245" s="6">
        <v>44456</v>
      </c>
      <c r="Q1245" s="6">
        <v>44440</v>
      </c>
      <c r="R1245" s="1" t="s">
        <v>779</v>
      </c>
      <c r="S1245" s="1" t="s">
        <v>795</v>
      </c>
      <c r="T1245" s="5">
        <v>577</v>
      </c>
      <c r="U1245" s="4">
        <v>11</v>
      </c>
      <c r="V1245" s="5">
        <v>339</v>
      </c>
      <c r="W1245" s="6">
        <v>43747</v>
      </c>
      <c r="X1245" s="6">
        <v>43665</v>
      </c>
      <c r="Y1245" s="6"/>
      <c r="Z1245" s="6"/>
      <c r="AA1245" s="6"/>
      <c r="AB1245" s="6"/>
      <c r="AC1245" s="6"/>
      <c r="AD1245" s="6"/>
    </row>
    <row r="1246" spans="1:30">
      <c r="A1246" s="1" t="s">
        <v>772</v>
      </c>
      <c r="B1246" s="1" t="s">
        <v>773</v>
      </c>
      <c r="C1246" s="1" t="s">
        <v>989</v>
      </c>
      <c r="D1246" s="1" t="s">
        <v>1768</v>
      </c>
      <c r="E1246" s="1" t="str">
        <f t="shared" si="19"/>
        <v>W05</v>
      </c>
      <c r="F1246" s="4">
        <v>0</v>
      </c>
      <c r="G1246" s="4">
        <v>0</v>
      </c>
      <c r="H1246" s="4">
        <v>0</v>
      </c>
      <c r="I1246" s="4"/>
      <c r="J1246" s="1" t="s">
        <v>775</v>
      </c>
      <c r="K1246" s="1" t="s">
        <v>1769</v>
      </c>
      <c r="L1246" s="1" t="s">
        <v>787</v>
      </c>
      <c r="M1246" s="1" t="s">
        <v>788</v>
      </c>
      <c r="N1246" s="1" t="s">
        <v>787</v>
      </c>
      <c r="O1246" s="6">
        <v>44441</v>
      </c>
      <c r="P1246" s="6">
        <v>44432</v>
      </c>
      <c r="Q1246" s="6">
        <v>44024</v>
      </c>
      <c r="R1246" s="1" t="s">
        <v>779</v>
      </c>
      <c r="S1246" s="1" t="s">
        <v>79</v>
      </c>
      <c r="T1246" s="5">
        <v>402</v>
      </c>
      <c r="U1246" s="4">
        <v>11</v>
      </c>
      <c r="V1246" s="5">
        <v>363</v>
      </c>
      <c r="W1246" s="6">
        <v>43963</v>
      </c>
      <c r="X1246" s="6">
        <v>43997</v>
      </c>
      <c r="Y1246" s="6"/>
      <c r="Z1246" s="6"/>
      <c r="AA1246" s="6">
        <v>44693</v>
      </c>
      <c r="AB1246" s="6"/>
      <c r="AC1246" s="6"/>
      <c r="AD1246" s="6">
        <v>44440</v>
      </c>
    </row>
    <row r="1247" spans="1:30">
      <c r="A1247" s="1" t="s">
        <v>772</v>
      </c>
      <c r="B1247" s="1" t="s">
        <v>773</v>
      </c>
      <c r="C1247" s="1" t="s">
        <v>989</v>
      </c>
      <c r="D1247" s="1" t="s">
        <v>1770</v>
      </c>
      <c r="E1247" s="1" t="str">
        <f t="shared" si="19"/>
        <v>W05</v>
      </c>
      <c r="F1247" s="4">
        <v>0</v>
      </c>
      <c r="G1247" s="4">
        <v>0</v>
      </c>
      <c r="H1247" s="4">
        <v>0</v>
      </c>
      <c r="I1247" s="4"/>
      <c r="J1247" s="1" t="s">
        <v>775</v>
      </c>
      <c r="K1247" s="1" t="s">
        <v>1762</v>
      </c>
      <c r="L1247" s="1" t="s">
        <v>777</v>
      </c>
      <c r="M1247" s="1" t="s">
        <v>778</v>
      </c>
      <c r="N1247" s="1" t="s">
        <v>79</v>
      </c>
      <c r="O1247" s="6">
        <v>44309</v>
      </c>
      <c r="P1247" s="6">
        <v>44305</v>
      </c>
      <c r="Q1247" s="6">
        <v>44291</v>
      </c>
      <c r="R1247" s="1" t="s">
        <v>779</v>
      </c>
      <c r="S1247" s="1" t="s">
        <v>1747</v>
      </c>
      <c r="T1247" s="5">
        <v>517</v>
      </c>
      <c r="U1247" s="4">
        <v>16</v>
      </c>
      <c r="V1247" s="5">
        <v>490</v>
      </c>
      <c r="W1247" s="6">
        <v>43016</v>
      </c>
      <c r="X1247" s="6"/>
      <c r="Y1247" s="6"/>
      <c r="Z1247" s="6"/>
      <c r="AA1247" s="6">
        <v>44678</v>
      </c>
      <c r="AB1247" s="6"/>
      <c r="AC1247" s="6"/>
      <c r="AD1247" s="6"/>
    </row>
    <row r="1248" spans="1:30">
      <c r="A1248" s="1" t="s">
        <v>772</v>
      </c>
      <c r="B1248" s="1" t="s">
        <v>773</v>
      </c>
      <c r="C1248" s="1" t="s">
        <v>989</v>
      </c>
      <c r="D1248" s="1" t="s">
        <v>1771</v>
      </c>
      <c r="E1248" s="1" t="str">
        <f t="shared" si="19"/>
        <v>W05</v>
      </c>
      <c r="F1248" s="4">
        <v>0</v>
      </c>
      <c r="G1248" s="4">
        <v>0</v>
      </c>
      <c r="H1248" s="4">
        <v>0</v>
      </c>
      <c r="I1248" s="4"/>
      <c r="J1248" s="1" t="s">
        <v>775</v>
      </c>
      <c r="K1248" s="1" t="s">
        <v>1772</v>
      </c>
      <c r="L1248" s="1" t="s">
        <v>907</v>
      </c>
      <c r="M1248" s="1" t="s">
        <v>1007</v>
      </c>
      <c r="N1248" s="1" t="s">
        <v>975</v>
      </c>
      <c r="O1248" s="6">
        <v>43139</v>
      </c>
      <c r="P1248" s="6">
        <v>43137</v>
      </c>
      <c r="Q1248" s="6">
        <v>41221</v>
      </c>
      <c r="R1248" s="1" t="s">
        <v>909</v>
      </c>
      <c r="S1248" s="1" t="s">
        <v>79</v>
      </c>
      <c r="T1248" s="5">
        <v>9300</v>
      </c>
      <c r="U1248" s="4">
        <v>54</v>
      </c>
      <c r="V1248" s="5">
        <v>1658</v>
      </c>
      <c r="W1248" s="6">
        <v>50552</v>
      </c>
      <c r="X1248" s="6">
        <v>59883</v>
      </c>
      <c r="Y1248" s="6"/>
      <c r="Z1248" s="6"/>
      <c r="AA1248" s="6"/>
      <c r="AB1248" s="6"/>
      <c r="AC1248" s="6"/>
      <c r="AD1248" s="6">
        <v>43247</v>
      </c>
    </row>
    <row r="1249" spans="1:30">
      <c r="A1249" s="1" t="s">
        <v>772</v>
      </c>
      <c r="B1249" s="1" t="s">
        <v>773</v>
      </c>
      <c r="C1249" s="1" t="s">
        <v>989</v>
      </c>
      <c r="D1249" s="1" t="s">
        <v>1773</v>
      </c>
      <c r="E1249" s="1" t="str">
        <f t="shared" si="19"/>
        <v>W05</v>
      </c>
      <c r="F1249" s="4">
        <v>0</v>
      </c>
      <c r="G1249" s="4">
        <v>0</v>
      </c>
      <c r="H1249" s="4">
        <v>0</v>
      </c>
      <c r="I1249" s="4"/>
      <c r="J1249" s="1" t="s">
        <v>775</v>
      </c>
      <c r="K1249" s="1" t="s">
        <v>1197</v>
      </c>
      <c r="L1249" s="1" t="s">
        <v>79</v>
      </c>
      <c r="M1249" s="1" t="s">
        <v>79</v>
      </c>
      <c r="N1249" s="1" t="s">
        <v>79</v>
      </c>
      <c r="O1249" s="6">
        <v>44260</v>
      </c>
      <c r="P1249" s="6">
        <v>44256</v>
      </c>
      <c r="Q1249" s="6">
        <v>44256</v>
      </c>
      <c r="R1249" s="1" t="s">
        <v>1076</v>
      </c>
      <c r="S1249" s="1" t="s">
        <v>79</v>
      </c>
      <c r="T1249" s="5">
        <v>1154</v>
      </c>
      <c r="U1249" s="4">
        <v>17</v>
      </c>
      <c r="V1249" s="5">
        <v>539</v>
      </c>
      <c r="W1249" s="6"/>
      <c r="X1249" s="6"/>
      <c r="Y1249" s="6"/>
      <c r="Z1249" s="6"/>
      <c r="AA1249" s="6"/>
      <c r="AB1249" s="6"/>
      <c r="AC1249" s="6"/>
      <c r="AD1249" s="6">
        <v>44651</v>
      </c>
    </row>
    <row r="1250" spans="1:30">
      <c r="A1250" s="1" t="s">
        <v>772</v>
      </c>
      <c r="B1250" s="1" t="s">
        <v>773</v>
      </c>
      <c r="C1250" s="1" t="s">
        <v>989</v>
      </c>
      <c r="D1250" s="1" t="s">
        <v>1774</v>
      </c>
      <c r="E1250" s="1" t="str">
        <f t="shared" si="19"/>
        <v>W05</v>
      </c>
      <c r="F1250" s="4">
        <v>0</v>
      </c>
      <c r="G1250" s="4">
        <v>0</v>
      </c>
      <c r="H1250" s="4">
        <v>0</v>
      </c>
      <c r="I1250" s="4"/>
      <c r="J1250" s="1" t="s">
        <v>775</v>
      </c>
      <c r="K1250" s="1" t="s">
        <v>796</v>
      </c>
      <c r="L1250" s="1" t="s">
        <v>787</v>
      </c>
      <c r="M1250" s="1" t="s">
        <v>788</v>
      </c>
      <c r="N1250" s="1" t="s">
        <v>787</v>
      </c>
      <c r="O1250" s="6">
        <v>44743</v>
      </c>
      <c r="P1250" s="6">
        <v>44732</v>
      </c>
      <c r="Q1250" s="6">
        <v>44232</v>
      </c>
      <c r="R1250" s="1" t="s">
        <v>779</v>
      </c>
      <c r="S1250" s="1" t="s">
        <v>79</v>
      </c>
      <c r="T1250" s="5">
        <v>402</v>
      </c>
      <c r="U1250" s="4">
        <v>2</v>
      </c>
      <c r="V1250" s="5">
        <v>63</v>
      </c>
      <c r="W1250" s="6">
        <v>43620</v>
      </c>
      <c r="X1250" s="6">
        <v>42472</v>
      </c>
      <c r="Y1250" s="6"/>
      <c r="Z1250" s="6"/>
      <c r="AA1250" s="6"/>
      <c r="AB1250" s="6"/>
      <c r="AC1250" s="6"/>
      <c r="AD1250" s="6"/>
    </row>
    <row r="1251" spans="1:30">
      <c r="A1251" s="1" t="s">
        <v>772</v>
      </c>
      <c r="B1251" s="1" t="s">
        <v>773</v>
      </c>
      <c r="C1251" s="1" t="s">
        <v>989</v>
      </c>
      <c r="D1251" s="1" t="s">
        <v>1775</v>
      </c>
      <c r="E1251" s="1" t="str">
        <f t="shared" si="19"/>
        <v>W05</v>
      </c>
      <c r="F1251" s="4">
        <v>0</v>
      </c>
      <c r="G1251" s="4">
        <v>0</v>
      </c>
      <c r="H1251" s="4">
        <v>0</v>
      </c>
      <c r="I1251" s="4"/>
      <c r="J1251" s="1" t="s">
        <v>775</v>
      </c>
      <c r="K1251" s="1" t="s">
        <v>1776</v>
      </c>
      <c r="L1251" s="1" t="s">
        <v>777</v>
      </c>
      <c r="M1251" s="1" t="s">
        <v>778</v>
      </c>
      <c r="N1251" s="1" t="s">
        <v>788</v>
      </c>
      <c r="O1251" s="6">
        <v>44277</v>
      </c>
      <c r="P1251" s="6">
        <v>44273</v>
      </c>
      <c r="Q1251" s="6">
        <v>44233</v>
      </c>
      <c r="R1251" s="1" t="s">
        <v>779</v>
      </c>
      <c r="S1251" s="1" t="s">
        <v>780</v>
      </c>
      <c r="T1251" s="5">
        <v>517</v>
      </c>
      <c r="U1251" s="4">
        <v>17</v>
      </c>
      <c r="V1251" s="5">
        <v>522</v>
      </c>
      <c r="W1251" s="6">
        <v>43983</v>
      </c>
      <c r="X1251" s="6">
        <v>43411</v>
      </c>
      <c r="Y1251" s="6"/>
      <c r="Z1251" s="6"/>
      <c r="AA1251" s="6">
        <v>44632</v>
      </c>
      <c r="AB1251" s="6"/>
      <c r="AC1251" s="6"/>
      <c r="AD1251" s="6">
        <v>44736</v>
      </c>
    </row>
    <row r="1252" spans="1:30">
      <c r="A1252" s="1" t="s">
        <v>772</v>
      </c>
      <c r="B1252" s="1" t="s">
        <v>773</v>
      </c>
      <c r="C1252" s="1" t="s">
        <v>989</v>
      </c>
      <c r="D1252" s="1" t="s">
        <v>1777</v>
      </c>
      <c r="E1252" s="1" t="str">
        <f t="shared" si="19"/>
        <v>W05</v>
      </c>
      <c r="F1252" s="4">
        <v>0</v>
      </c>
      <c r="G1252" s="4">
        <v>0</v>
      </c>
      <c r="H1252" s="4">
        <v>0</v>
      </c>
      <c r="I1252" s="4"/>
      <c r="J1252" s="1" t="s">
        <v>775</v>
      </c>
      <c r="K1252" s="1" t="s">
        <v>825</v>
      </c>
      <c r="L1252" s="1" t="s">
        <v>787</v>
      </c>
      <c r="M1252" s="1" t="s">
        <v>788</v>
      </c>
      <c r="N1252" s="1" t="s">
        <v>79</v>
      </c>
      <c r="O1252" s="6">
        <v>44653</v>
      </c>
      <c r="P1252" s="6">
        <v>44640</v>
      </c>
      <c r="Q1252" s="6">
        <v>44091</v>
      </c>
      <c r="R1252" s="1" t="s">
        <v>779</v>
      </c>
      <c r="S1252" s="1" t="s">
        <v>79</v>
      </c>
      <c r="T1252" s="5">
        <v>402</v>
      </c>
      <c r="U1252" s="4">
        <v>5</v>
      </c>
      <c r="V1252" s="5">
        <v>155</v>
      </c>
      <c r="W1252" s="6">
        <v>44523</v>
      </c>
      <c r="X1252" s="6"/>
      <c r="Y1252" s="6"/>
      <c r="Z1252" s="6"/>
      <c r="AA1252" s="6"/>
      <c r="AB1252" s="6"/>
      <c r="AC1252" s="6"/>
      <c r="AD1252" s="6"/>
    </row>
    <row r="1253" spans="1:30">
      <c r="A1253" s="1" t="s">
        <v>772</v>
      </c>
      <c r="B1253" s="1" t="s">
        <v>773</v>
      </c>
      <c r="C1253" s="1" t="s">
        <v>989</v>
      </c>
      <c r="D1253" s="1" t="s">
        <v>1778</v>
      </c>
      <c r="E1253" s="1" t="str">
        <f t="shared" si="19"/>
        <v>W05</v>
      </c>
      <c r="F1253" s="4">
        <v>0</v>
      </c>
      <c r="G1253" s="4">
        <v>0</v>
      </c>
      <c r="H1253" s="4">
        <v>0</v>
      </c>
      <c r="I1253" s="4"/>
      <c r="J1253" s="1" t="s">
        <v>775</v>
      </c>
      <c r="K1253" s="1" t="s">
        <v>839</v>
      </c>
      <c r="L1253" s="1" t="s">
        <v>777</v>
      </c>
      <c r="M1253" s="1" t="s">
        <v>778</v>
      </c>
      <c r="N1253" s="1" t="s">
        <v>787</v>
      </c>
      <c r="O1253" s="6">
        <v>44775</v>
      </c>
      <c r="P1253" s="6">
        <v>44774</v>
      </c>
      <c r="Q1253" s="6">
        <v>44713</v>
      </c>
      <c r="R1253" s="1" t="s">
        <v>779</v>
      </c>
      <c r="S1253" s="1" t="s">
        <v>792</v>
      </c>
      <c r="T1253" s="5">
        <v>577</v>
      </c>
      <c r="U1253" s="4">
        <v>0</v>
      </c>
      <c r="V1253" s="5">
        <v>21</v>
      </c>
      <c r="W1253" s="6">
        <v>43710</v>
      </c>
      <c r="X1253" s="6">
        <v>42572</v>
      </c>
      <c r="Y1253" s="6"/>
      <c r="Z1253" s="6"/>
      <c r="AA1253" s="6"/>
      <c r="AB1253" s="6"/>
      <c r="AC1253" s="6"/>
      <c r="AD1253" s="6"/>
    </row>
    <row r="1254" spans="1:30">
      <c r="A1254" s="1" t="s">
        <v>772</v>
      </c>
      <c r="B1254" s="1" t="s">
        <v>773</v>
      </c>
      <c r="C1254" s="1" t="s">
        <v>989</v>
      </c>
      <c r="D1254" s="1" t="s">
        <v>1779</v>
      </c>
      <c r="E1254" s="1" t="str">
        <f t="shared" si="19"/>
        <v>W05</v>
      </c>
      <c r="F1254" s="4">
        <v>0</v>
      </c>
      <c r="G1254" s="4">
        <v>0</v>
      </c>
      <c r="H1254" s="4">
        <v>0</v>
      </c>
      <c r="I1254" s="4"/>
      <c r="J1254" s="1" t="s">
        <v>775</v>
      </c>
      <c r="K1254" s="1" t="s">
        <v>1206</v>
      </c>
      <c r="L1254" s="1" t="s">
        <v>829</v>
      </c>
      <c r="M1254" s="1" t="s">
        <v>913</v>
      </c>
      <c r="N1254" s="1" t="s">
        <v>787</v>
      </c>
      <c r="O1254" s="6">
        <v>44532</v>
      </c>
      <c r="P1254" s="6">
        <v>44530</v>
      </c>
      <c r="Q1254" s="6">
        <v>44525</v>
      </c>
      <c r="R1254" s="1" t="s">
        <v>830</v>
      </c>
      <c r="S1254" s="1" t="s">
        <v>914</v>
      </c>
      <c r="T1254" s="5">
        <v>330</v>
      </c>
      <c r="U1254" s="4">
        <v>8</v>
      </c>
      <c r="V1254" s="5">
        <v>265</v>
      </c>
      <c r="W1254" s="6">
        <v>43963</v>
      </c>
      <c r="X1254" s="6">
        <v>43997</v>
      </c>
      <c r="Y1254" s="6"/>
      <c r="Z1254" s="6"/>
      <c r="AA1254" s="6"/>
      <c r="AB1254" s="6"/>
      <c r="AC1254" s="6"/>
      <c r="AD1254" s="6"/>
    </row>
    <row r="1255" spans="1:30">
      <c r="A1255" s="1" t="s">
        <v>772</v>
      </c>
      <c r="B1255" s="1" t="s">
        <v>773</v>
      </c>
      <c r="C1255" s="1" t="s">
        <v>989</v>
      </c>
      <c r="D1255" s="1" t="s">
        <v>1780</v>
      </c>
      <c r="E1255" s="1" t="str">
        <f t="shared" si="19"/>
        <v>W05</v>
      </c>
      <c r="F1255" s="4">
        <v>0</v>
      </c>
      <c r="G1255" s="4">
        <v>0</v>
      </c>
      <c r="H1255" s="4">
        <v>0</v>
      </c>
      <c r="I1255" s="4"/>
      <c r="J1255" s="1" t="s">
        <v>775</v>
      </c>
      <c r="K1255" s="1" t="s">
        <v>799</v>
      </c>
      <c r="L1255" s="1" t="s">
        <v>777</v>
      </c>
      <c r="M1255" s="1" t="s">
        <v>778</v>
      </c>
      <c r="N1255" s="1" t="s">
        <v>787</v>
      </c>
      <c r="O1255" s="6">
        <v>44361</v>
      </c>
      <c r="P1255" s="6">
        <v>44358</v>
      </c>
      <c r="Q1255" s="6">
        <v>44317</v>
      </c>
      <c r="R1255" s="1" t="s">
        <v>779</v>
      </c>
      <c r="S1255" s="1" t="s">
        <v>795</v>
      </c>
      <c r="T1255" s="5">
        <v>577</v>
      </c>
      <c r="U1255" s="4">
        <v>14</v>
      </c>
      <c r="V1255" s="5">
        <v>437</v>
      </c>
      <c r="W1255" s="6">
        <v>43710</v>
      </c>
      <c r="X1255" s="6">
        <v>42572</v>
      </c>
      <c r="Y1255" s="6"/>
      <c r="Z1255" s="6"/>
      <c r="AA1255" s="6">
        <v>44751</v>
      </c>
      <c r="AB1255" s="6"/>
      <c r="AC1255" s="6"/>
      <c r="AD1255" s="6"/>
    </row>
    <row r="1256" spans="1:30">
      <c r="A1256" s="1" t="s">
        <v>772</v>
      </c>
      <c r="B1256" s="1" t="s">
        <v>773</v>
      </c>
      <c r="C1256" s="1" t="s">
        <v>774</v>
      </c>
      <c r="D1256" s="1" t="s">
        <v>1781</v>
      </c>
      <c r="E1256" s="1" t="str">
        <f t="shared" si="19"/>
        <v>W01</v>
      </c>
      <c r="F1256" s="4">
        <v>8.6999999999999993</v>
      </c>
      <c r="G1256" s="4">
        <v>6.94</v>
      </c>
      <c r="H1256" s="4">
        <v>6.94</v>
      </c>
      <c r="I1256" s="4"/>
      <c r="J1256" s="1" t="s">
        <v>775</v>
      </c>
      <c r="K1256" s="1" t="s">
        <v>833</v>
      </c>
      <c r="L1256" s="1" t="s">
        <v>777</v>
      </c>
      <c r="M1256" s="1" t="s">
        <v>778</v>
      </c>
      <c r="N1256" s="1" t="s">
        <v>787</v>
      </c>
      <c r="O1256" s="6">
        <v>44418</v>
      </c>
      <c r="P1256" s="6">
        <v>44391</v>
      </c>
      <c r="Q1256" s="6">
        <v>44371</v>
      </c>
      <c r="R1256" s="1" t="s">
        <v>779</v>
      </c>
      <c r="S1256" s="1" t="s">
        <v>823</v>
      </c>
      <c r="T1256" s="5">
        <v>457</v>
      </c>
      <c r="U1256" s="4">
        <v>13</v>
      </c>
      <c r="V1256" s="5">
        <v>404</v>
      </c>
      <c r="W1256" s="6">
        <v>43293</v>
      </c>
      <c r="X1256" s="6">
        <v>43079</v>
      </c>
      <c r="Y1256" s="6"/>
      <c r="Z1256" s="6"/>
      <c r="AA1256" s="6">
        <v>44718</v>
      </c>
      <c r="AB1256" s="6"/>
      <c r="AC1256" s="6"/>
      <c r="AD1256" s="6"/>
    </row>
    <row r="1257" spans="1:30">
      <c r="A1257" s="1" t="s">
        <v>772</v>
      </c>
      <c r="B1257" s="1" t="s">
        <v>773</v>
      </c>
      <c r="C1257" s="1" t="s">
        <v>774</v>
      </c>
      <c r="D1257" s="1" t="s">
        <v>697</v>
      </c>
      <c r="E1257" s="1" t="str">
        <f t="shared" si="19"/>
        <v>W01</v>
      </c>
      <c r="F1257" s="4">
        <v>5.22</v>
      </c>
      <c r="G1257" s="4">
        <v>4.0999999999999996</v>
      </c>
      <c r="H1257" s="4">
        <v>4.0999999999999996</v>
      </c>
      <c r="I1257" s="4"/>
      <c r="J1257" s="1" t="s">
        <v>775</v>
      </c>
      <c r="K1257" s="1" t="s">
        <v>1206</v>
      </c>
      <c r="L1257" s="1" t="s">
        <v>829</v>
      </c>
      <c r="M1257" s="1" t="s">
        <v>913</v>
      </c>
      <c r="N1257" s="1" t="s">
        <v>787</v>
      </c>
      <c r="O1257" s="6">
        <v>44532</v>
      </c>
      <c r="P1257" s="6">
        <v>44530</v>
      </c>
      <c r="Q1257" s="6">
        <v>44525</v>
      </c>
      <c r="R1257" s="1" t="s">
        <v>830</v>
      </c>
      <c r="S1257" s="1" t="s">
        <v>914</v>
      </c>
      <c r="T1257" s="5">
        <v>330</v>
      </c>
      <c r="U1257" s="4">
        <v>8</v>
      </c>
      <c r="V1257" s="5">
        <v>265</v>
      </c>
      <c r="W1257" s="6">
        <v>43373</v>
      </c>
      <c r="X1257" s="6">
        <v>42702</v>
      </c>
      <c r="Y1257" s="6"/>
      <c r="Z1257" s="6"/>
      <c r="AA1257" s="6"/>
      <c r="AB1257" s="6"/>
      <c r="AC1257" s="6"/>
      <c r="AD1257" s="6"/>
    </row>
    <row r="1258" spans="1:30">
      <c r="A1258" s="1" t="s">
        <v>772</v>
      </c>
      <c r="B1258" s="1" t="s">
        <v>773</v>
      </c>
      <c r="C1258" s="1" t="s">
        <v>989</v>
      </c>
      <c r="D1258" s="1" t="s">
        <v>1782</v>
      </c>
      <c r="E1258" s="1" t="str">
        <f t="shared" si="19"/>
        <v>W05</v>
      </c>
      <c r="F1258" s="4">
        <v>0</v>
      </c>
      <c r="G1258" s="4">
        <v>0</v>
      </c>
      <c r="H1258" s="4">
        <v>0</v>
      </c>
      <c r="I1258" s="4"/>
      <c r="J1258" s="1" t="s">
        <v>775</v>
      </c>
      <c r="K1258" s="1" t="s">
        <v>1197</v>
      </c>
      <c r="L1258" s="1" t="s">
        <v>79</v>
      </c>
      <c r="M1258" s="1" t="s">
        <v>79</v>
      </c>
      <c r="N1258" s="1" t="s">
        <v>79</v>
      </c>
      <c r="O1258" s="6">
        <v>44260</v>
      </c>
      <c r="P1258" s="6">
        <v>44256</v>
      </c>
      <c r="Q1258" s="6">
        <v>44256</v>
      </c>
      <c r="R1258" s="1" t="s">
        <v>1076</v>
      </c>
      <c r="S1258" s="1" t="s">
        <v>79</v>
      </c>
      <c r="T1258" s="5">
        <v>1154</v>
      </c>
      <c r="U1258" s="4">
        <v>17</v>
      </c>
      <c r="V1258" s="5">
        <v>539</v>
      </c>
      <c r="W1258" s="6"/>
      <c r="X1258" s="6"/>
      <c r="Y1258" s="6"/>
      <c r="Z1258" s="6"/>
      <c r="AA1258" s="6"/>
      <c r="AB1258" s="6"/>
      <c r="AC1258" s="6"/>
      <c r="AD1258" s="6">
        <v>44599</v>
      </c>
    </row>
    <row r="1259" spans="1:30">
      <c r="A1259" s="1" t="s">
        <v>772</v>
      </c>
      <c r="B1259" s="1" t="s">
        <v>773</v>
      </c>
      <c r="C1259" s="1" t="s">
        <v>989</v>
      </c>
      <c r="D1259" s="1" t="s">
        <v>1783</v>
      </c>
      <c r="E1259" s="1" t="str">
        <f t="shared" si="19"/>
        <v>W05</v>
      </c>
      <c r="F1259" s="4">
        <v>0</v>
      </c>
      <c r="G1259" s="4">
        <v>0</v>
      </c>
      <c r="H1259" s="4">
        <v>0</v>
      </c>
      <c r="I1259" s="4"/>
      <c r="J1259" s="1" t="s">
        <v>775</v>
      </c>
      <c r="K1259" s="1" t="s">
        <v>833</v>
      </c>
      <c r="L1259" s="1" t="s">
        <v>777</v>
      </c>
      <c r="M1259" s="1" t="s">
        <v>778</v>
      </c>
      <c r="N1259" s="1" t="s">
        <v>787</v>
      </c>
      <c r="O1259" s="6">
        <v>44418</v>
      </c>
      <c r="P1259" s="6">
        <v>44408</v>
      </c>
      <c r="Q1259" s="6">
        <v>44393</v>
      </c>
      <c r="R1259" s="1" t="s">
        <v>779</v>
      </c>
      <c r="S1259" s="1" t="s">
        <v>795</v>
      </c>
      <c r="T1259" s="5">
        <v>577</v>
      </c>
      <c r="U1259" s="4">
        <v>12</v>
      </c>
      <c r="V1259" s="5">
        <v>387</v>
      </c>
      <c r="W1259" s="6">
        <v>43293</v>
      </c>
      <c r="X1259" s="6">
        <v>43079</v>
      </c>
      <c r="Y1259" s="6"/>
      <c r="Z1259" s="6"/>
      <c r="AA1259" s="6"/>
      <c r="AB1259" s="6"/>
      <c r="AC1259" s="6"/>
      <c r="AD1259" s="6"/>
    </row>
    <row r="1260" spans="1:30">
      <c r="A1260" s="1" t="s">
        <v>772</v>
      </c>
      <c r="B1260" s="1" t="s">
        <v>773</v>
      </c>
      <c r="C1260" s="1" t="s">
        <v>989</v>
      </c>
      <c r="D1260" s="1" t="s">
        <v>1784</v>
      </c>
      <c r="E1260" s="1" t="str">
        <f t="shared" si="19"/>
        <v>W05</v>
      </c>
      <c r="F1260" s="4">
        <v>0</v>
      </c>
      <c r="G1260" s="4">
        <v>0</v>
      </c>
      <c r="H1260" s="4">
        <v>0</v>
      </c>
      <c r="I1260" s="4"/>
      <c r="J1260" s="1" t="s">
        <v>775</v>
      </c>
      <c r="K1260" s="1" t="s">
        <v>825</v>
      </c>
      <c r="L1260" s="1" t="s">
        <v>787</v>
      </c>
      <c r="M1260" s="1" t="s">
        <v>788</v>
      </c>
      <c r="N1260" s="1" t="s">
        <v>79</v>
      </c>
      <c r="O1260" s="6">
        <v>44680</v>
      </c>
      <c r="P1260" s="6">
        <v>44680</v>
      </c>
      <c r="Q1260" s="6">
        <v>44118</v>
      </c>
      <c r="R1260" s="1" t="s">
        <v>779</v>
      </c>
      <c r="S1260" s="1" t="s">
        <v>79</v>
      </c>
      <c r="T1260" s="5">
        <v>402</v>
      </c>
      <c r="U1260" s="4">
        <v>3</v>
      </c>
      <c r="V1260" s="5">
        <v>115</v>
      </c>
      <c r="W1260" s="6">
        <v>44098</v>
      </c>
      <c r="X1260" s="6"/>
      <c r="Y1260" s="6"/>
      <c r="Z1260" s="6"/>
      <c r="AA1260" s="6"/>
      <c r="AB1260" s="6"/>
      <c r="AC1260" s="6"/>
      <c r="AD1260" s="6">
        <v>44688</v>
      </c>
    </row>
    <row r="1261" spans="1:30">
      <c r="A1261" s="1" t="s">
        <v>772</v>
      </c>
      <c r="B1261" s="1" t="s">
        <v>773</v>
      </c>
      <c r="C1261" s="1" t="s">
        <v>989</v>
      </c>
      <c r="D1261" s="1" t="s">
        <v>1785</v>
      </c>
      <c r="E1261" s="1" t="str">
        <f t="shared" si="19"/>
        <v>W05</v>
      </c>
      <c r="F1261" s="4">
        <v>0</v>
      </c>
      <c r="G1261" s="4">
        <v>0</v>
      </c>
      <c r="H1261" s="4">
        <v>0</v>
      </c>
      <c r="I1261" s="4"/>
      <c r="J1261" s="1" t="s">
        <v>775</v>
      </c>
      <c r="K1261" s="1" t="s">
        <v>825</v>
      </c>
      <c r="L1261" s="1" t="s">
        <v>787</v>
      </c>
      <c r="M1261" s="1" t="s">
        <v>788</v>
      </c>
      <c r="N1261" s="1" t="s">
        <v>79</v>
      </c>
      <c r="O1261" s="6">
        <v>44653</v>
      </c>
      <c r="P1261" s="6">
        <v>44651</v>
      </c>
      <c r="Q1261" s="6">
        <v>44115</v>
      </c>
      <c r="R1261" s="1" t="s">
        <v>779</v>
      </c>
      <c r="S1261" s="1" t="s">
        <v>79</v>
      </c>
      <c r="T1261" s="5">
        <v>402</v>
      </c>
      <c r="U1261" s="4">
        <v>4</v>
      </c>
      <c r="V1261" s="5">
        <v>144</v>
      </c>
      <c r="W1261" s="6">
        <v>44523</v>
      </c>
      <c r="X1261" s="6"/>
      <c r="Y1261" s="6"/>
      <c r="Z1261" s="6"/>
      <c r="AA1261" s="6"/>
      <c r="AB1261" s="6"/>
      <c r="AC1261" s="6"/>
      <c r="AD1261" s="6">
        <v>44726</v>
      </c>
    </row>
    <row r="1262" spans="1:30">
      <c r="A1262" s="1" t="s">
        <v>772</v>
      </c>
      <c r="B1262" s="1" t="s">
        <v>773</v>
      </c>
      <c r="C1262" s="1" t="s">
        <v>989</v>
      </c>
      <c r="D1262" s="1" t="s">
        <v>1786</v>
      </c>
      <c r="E1262" s="1" t="str">
        <f t="shared" si="19"/>
        <v>W05</v>
      </c>
      <c r="F1262" s="4">
        <v>0</v>
      </c>
      <c r="G1262" s="4">
        <v>0</v>
      </c>
      <c r="H1262" s="4">
        <v>0</v>
      </c>
      <c r="I1262" s="4"/>
      <c r="J1262" s="1" t="s">
        <v>775</v>
      </c>
      <c r="K1262" s="1" t="s">
        <v>1078</v>
      </c>
      <c r="L1262" s="1" t="s">
        <v>787</v>
      </c>
      <c r="M1262" s="1" t="s">
        <v>788</v>
      </c>
      <c r="N1262" s="1" t="s">
        <v>79</v>
      </c>
      <c r="O1262" s="6">
        <v>44744</v>
      </c>
      <c r="P1262" s="6">
        <v>44728</v>
      </c>
      <c r="Q1262" s="6">
        <v>44125</v>
      </c>
      <c r="R1262" s="1" t="s">
        <v>779</v>
      </c>
      <c r="S1262" s="1" t="s">
        <v>79</v>
      </c>
      <c r="T1262" s="5">
        <v>300</v>
      </c>
      <c r="U1262" s="4">
        <v>2</v>
      </c>
      <c r="V1262" s="5">
        <v>67</v>
      </c>
      <c r="W1262" s="6"/>
      <c r="X1262" s="6"/>
      <c r="Y1262" s="6"/>
      <c r="Z1262" s="6"/>
      <c r="AA1262" s="6"/>
      <c r="AB1262" s="6"/>
      <c r="AC1262" s="6"/>
      <c r="AD1262" s="6">
        <v>44762</v>
      </c>
    </row>
    <row r="1263" spans="1:30">
      <c r="A1263" s="1" t="s">
        <v>772</v>
      </c>
      <c r="B1263" s="1" t="s">
        <v>773</v>
      </c>
      <c r="D1263" s="1" t="s">
        <v>1787</v>
      </c>
      <c r="E1263" s="1" t="str">
        <f t="shared" si="19"/>
        <v/>
      </c>
      <c r="F1263" s="4">
        <v>0</v>
      </c>
      <c r="G1263" s="4">
        <v>0</v>
      </c>
      <c r="H1263" s="4">
        <v>0</v>
      </c>
      <c r="I1263" s="4"/>
      <c r="J1263" s="1" t="s">
        <v>775</v>
      </c>
      <c r="K1263" s="1" t="s">
        <v>839</v>
      </c>
      <c r="L1263" s="1" t="s">
        <v>777</v>
      </c>
      <c r="M1263" s="1" t="s">
        <v>778</v>
      </c>
      <c r="N1263" s="1" t="s">
        <v>788</v>
      </c>
      <c r="O1263" s="6">
        <v>44775</v>
      </c>
      <c r="P1263" s="6">
        <v>44749</v>
      </c>
      <c r="Q1263" s="6">
        <v>44706</v>
      </c>
      <c r="R1263" s="1" t="s">
        <v>779</v>
      </c>
      <c r="S1263" s="1" t="s">
        <v>795</v>
      </c>
      <c r="T1263" s="5">
        <v>577</v>
      </c>
      <c r="U1263" s="4">
        <v>1</v>
      </c>
      <c r="V1263" s="5">
        <v>46</v>
      </c>
      <c r="W1263" s="6">
        <v>43178</v>
      </c>
      <c r="X1263" s="6">
        <v>43553</v>
      </c>
      <c r="Y1263" s="6"/>
      <c r="Z1263" s="6"/>
      <c r="AA1263" s="6"/>
      <c r="AB1263" s="6"/>
      <c r="AC1263" s="6"/>
      <c r="AD1263" s="6"/>
    </row>
    <row r="1264" spans="1:30">
      <c r="A1264" s="1" t="s">
        <v>772</v>
      </c>
      <c r="B1264" s="1" t="s">
        <v>773</v>
      </c>
      <c r="C1264" s="1" t="s">
        <v>989</v>
      </c>
      <c r="D1264" s="1" t="s">
        <v>1788</v>
      </c>
      <c r="E1264" s="1" t="str">
        <f t="shared" si="19"/>
        <v>W05</v>
      </c>
      <c r="F1264" s="4">
        <v>0</v>
      </c>
      <c r="G1264" s="4">
        <v>0</v>
      </c>
      <c r="H1264" s="4">
        <v>0</v>
      </c>
      <c r="I1264" s="4"/>
      <c r="J1264" s="1" t="s">
        <v>775</v>
      </c>
      <c r="K1264" s="1" t="s">
        <v>833</v>
      </c>
      <c r="L1264" s="1" t="s">
        <v>777</v>
      </c>
      <c r="M1264" s="1" t="s">
        <v>778</v>
      </c>
      <c r="N1264" s="1" t="s">
        <v>787</v>
      </c>
      <c r="O1264" s="6">
        <v>44418</v>
      </c>
      <c r="P1264" s="6">
        <v>44405</v>
      </c>
      <c r="Q1264" s="6">
        <v>44387</v>
      </c>
      <c r="R1264" s="1" t="s">
        <v>779</v>
      </c>
      <c r="S1264" s="1" t="s">
        <v>795</v>
      </c>
      <c r="T1264" s="5">
        <v>577</v>
      </c>
      <c r="U1264" s="4">
        <v>12</v>
      </c>
      <c r="V1264" s="5">
        <v>390</v>
      </c>
      <c r="W1264" s="6">
        <v>43293</v>
      </c>
      <c r="X1264" s="6">
        <v>43079</v>
      </c>
      <c r="Y1264" s="6"/>
      <c r="Z1264" s="6"/>
      <c r="AA1264" s="6"/>
      <c r="AB1264" s="6"/>
      <c r="AC1264" s="6"/>
      <c r="AD1264" s="6"/>
    </row>
    <row r="1265" spans="1:30">
      <c r="A1265" s="1" t="s">
        <v>772</v>
      </c>
      <c r="B1265" s="1" t="s">
        <v>773</v>
      </c>
      <c r="C1265" s="1" t="s">
        <v>848</v>
      </c>
      <c r="D1265" s="1" t="s">
        <v>148</v>
      </c>
      <c r="E1265" s="1" t="str">
        <f t="shared" si="19"/>
        <v>W02</v>
      </c>
      <c r="F1265" s="4">
        <v>10.28</v>
      </c>
      <c r="G1265" s="4">
        <v>8.35</v>
      </c>
      <c r="H1265" s="4">
        <v>8.35</v>
      </c>
      <c r="I1265" s="4"/>
      <c r="J1265" s="1" t="s">
        <v>775</v>
      </c>
      <c r="K1265" s="1" t="s">
        <v>799</v>
      </c>
      <c r="L1265" s="1" t="s">
        <v>777</v>
      </c>
      <c r="M1265" s="1" t="s">
        <v>778</v>
      </c>
      <c r="N1265" s="1" t="s">
        <v>788</v>
      </c>
      <c r="O1265" s="6">
        <v>44372</v>
      </c>
      <c r="P1265" s="6">
        <v>44359</v>
      </c>
      <c r="Q1265" s="6">
        <v>44317</v>
      </c>
      <c r="R1265" s="1" t="s">
        <v>779</v>
      </c>
      <c r="S1265" s="1" t="s">
        <v>795</v>
      </c>
      <c r="T1265" s="5">
        <v>577</v>
      </c>
      <c r="U1265" s="4">
        <v>14</v>
      </c>
      <c r="V1265" s="5">
        <v>436</v>
      </c>
      <c r="W1265" s="6">
        <v>43763</v>
      </c>
      <c r="X1265" s="6">
        <v>43468</v>
      </c>
      <c r="Y1265" s="6"/>
      <c r="Z1265" s="6"/>
      <c r="AA1265" s="6"/>
      <c r="AB1265" s="6"/>
      <c r="AC1265" s="6"/>
      <c r="AD1265" s="6"/>
    </row>
    <row r="1266" spans="1:30">
      <c r="A1266" s="1" t="s">
        <v>772</v>
      </c>
      <c r="B1266" s="1" t="s">
        <v>773</v>
      </c>
      <c r="C1266" s="1" t="s">
        <v>848</v>
      </c>
      <c r="D1266" s="1" t="s">
        <v>149</v>
      </c>
      <c r="E1266" s="1" t="str">
        <f t="shared" si="19"/>
        <v>W02</v>
      </c>
      <c r="F1266" s="4">
        <v>6.52</v>
      </c>
      <c r="G1266" s="4">
        <v>5.3</v>
      </c>
      <c r="H1266" s="4">
        <v>5.3</v>
      </c>
      <c r="I1266" s="4"/>
      <c r="J1266" s="1" t="s">
        <v>775</v>
      </c>
      <c r="K1266" s="1" t="s">
        <v>1085</v>
      </c>
      <c r="L1266" s="1" t="s">
        <v>778</v>
      </c>
      <c r="M1266" s="1" t="s">
        <v>777</v>
      </c>
      <c r="N1266" s="1" t="s">
        <v>788</v>
      </c>
      <c r="O1266" s="6">
        <v>44594</v>
      </c>
      <c r="P1266" s="6">
        <v>44592</v>
      </c>
      <c r="Q1266" s="6"/>
      <c r="R1266" s="1" t="s">
        <v>779</v>
      </c>
      <c r="S1266" s="1" t="s">
        <v>79</v>
      </c>
      <c r="T1266" s="5">
        <v>120</v>
      </c>
      <c r="U1266" s="4">
        <v>6</v>
      </c>
      <c r="V1266" s="5">
        <v>203</v>
      </c>
      <c r="W1266" s="6">
        <v>44478</v>
      </c>
      <c r="X1266" s="6">
        <v>44761</v>
      </c>
      <c r="Y1266" s="6"/>
      <c r="Z1266" s="6"/>
      <c r="AA1266" s="6"/>
      <c r="AB1266" s="6"/>
      <c r="AC1266" s="6"/>
      <c r="AD1266" s="6"/>
    </row>
    <row r="1267" spans="1:30">
      <c r="A1267" s="1" t="s">
        <v>772</v>
      </c>
      <c r="B1267" s="1" t="s">
        <v>773</v>
      </c>
      <c r="C1267" s="1" t="s">
        <v>989</v>
      </c>
      <c r="D1267" s="1" t="s">
        <v>1789</v>
      </c>
      <c r="E1267" s="1" t="str">
        <f t="shared" si="19"/>
        <v>W05</v>
      </c>
      <c r="F1267" s="4">
        <v>0</v>
      </c>
      <c r="G1267" s="4">
        <v>0</v>
      </c>
      <c r="H1267" s="4">
        <v>0</v>
      </c>
      <c r="I1267" s="4"/>
      <c r="J1267" s="1" t="s">
        <v>775</v>
      </c>
      <c r="K1267" s="1" t="s">
        <v>1009</v>
      </c>
      <c r="L1267" s="1" t="s">
        <v>829</v>
      </c>
      <c r="M1267" s="1" t="s">
        <v>913</v>
      </c>
      <c r="N1267" s="1" t="s">
        <v>787</v>
      </c>
      <c r="O1267" s="6">
        <v>44718</v>
      </c>
      <c r="P1267" s="6">
        <v>44713</v>
      </c>
      <c r="Q1267" s="6">
        <v>44699</v>
      </c>
      <c r="R1267" s="1" t="s">
        <v>830</v>
      </c>
      <c r="S1267" s="1" t="s">
        <v>914</v>
      </c>
      <c r="T1267" s="5">
        <v>330</v>
      </c>
      <c r="U1267" s="4">
        <v>2</v>
      </c>
      <c r="V1267" s="5">
        <v>82</v>
      </c>
      <c r="W1267" s="6">
        <v>43293</v>
      </c>
      <c r="X1267" s="6">
        <v>43079</v>
      </c>
      <c r="Y1267" s="6"/>
      <c r="Z1267" s="6"/>
      <c r="AA1267" s="6"/>
      <c r="AB1267" s="6"/>
      <c r="AC1267" s="6"/>
      <c r="AD1267" s="6"/>
    </row>
    <row r="1268" spans="1:30">
      <c r="A1268" s="1" t="s">
        <v>772</v>
      </c>
      <c r="B1268" s="1" t="s">
        <v>773</v>
      </c>
      <c r="C1268" s="1" t="s">
        <v>904</v>
      </c>
      <c r="D1268" s="1" t="s">
        <v>1790</v>
      </c>
      <c r="E1268" s="1" t="str">
        <f t="shared" si="19"/>
        <v>W03</v>
      </c>
      <c r="F1268" s="4">
        <v>5.45</v>
      </c>
      <c r="G1268" s="4">
        <v>4.4000000000000004</v>
      </c>
      <c r="H1268" s="4">
        <v>4.4000000000000004</v>
      </c>
      <c r="I1268" s="4"/>
      <c r="J1268" s="1" t="s">
        <v>775</v>
      </c>
      <c r="K1268" s="1" t="s">
        <v>1197</v>
      </c>
      <c r="L1268" s="1" t="s">
        <v>79</v>
      </c>
      <c r="M1268" s="1" t="s">
        <v>79</v>
      </c>
      <c r="N1268" s="1" t="s">
        <v>79</v>
      </c>
      <c r="O1268" s="6">
        <v>44260</v>
      </c>
      <c r="P1268" s="6">
        <v>44256</v>
      </c>
      <c r="Q1268" s="6">
        <v>44256</v>
      </c>
      <c r="R1268" s="1" t="s">
        <v>1076</v>
      </c>
      <c r="S1268" s="1" t="s">
        <v>79</v>
      </c>
      <c r="T1268" s="5">
        <v>1154</v>
      </c>
      <c r="U1268" s="4">
        <v>17</v>
      </c>
      <c r="V1268" s="5">
        <v>539</v>
      </c>
      <c r="W1268" s="6"/>
      <c r="X1268" s="6"/>
      <c r="Y1268" s="6"/>
      <c r="Z1268" s="6"/>
      <c r="AA1268" s="6"/>
      <c r="AB1268" s="6"/>
      <c r="AC1268" s="6"/>
      <c r="AD1268" s="6">
        <v>44652</v>
      </c>
    </row>
    <row r="1269" spans="1:30">
      <c r="A1269" s="1" t="s">
        <v>772</v>
      </c>
      <c r="B1269" s="1" t="s">
        <v>773</v>
      </c>
      <c r="C1269" s="1" t="s">
        <v>904</v>
      </c>
      <c r="D1269" s="1" t="s">
        <v>1791</v>
      </c>
      <c r="E1269" s="1" t="str">
        <f t="shared" si="19"/>
        <v>W03</v>
      </c>
      <c r="F1269" s="4">
        <v>6.3</v>
      </c>
      <c r="G1269" s="4">
        <v>5.08</v>
      </c>
      <c r="H1269" s="4">
        <v>5.08</v>
      </c>
      <c r="I1269" s="4"/>
      <c r="J1269" s="1" t="s">
        <v>775</v>
      </c>
      <c r="K1269" s="1" t="s">
        <v>1792</v>
      </c>
      <c r="L1269" s="1" t="s">
        <v>788</v>
      </c>
      <c r="M1269" s="1" t="s">
        <v>787</v>
      </c>
      <c r="N1269" s="1" t="s">
        <v>788</v>
      </c>
      <c r="O1269" s="6">
        <v>44782</v>
      </c>
      <c r="P1269" s="6">
        <v>44781</v>
      </c>
      <c r="Q1269" s="6">
        <v>44783</v>
      </c>
      <c r="R1269" s="1" t="s">
        <v>779</v>
      </c>
      <c r="S1269" s="1" t="s">
        <v>79</v>
      </c>
      <c r="T1269" s="5">
        <v>30</v>
      </c>
      <c r="U1269" s="4">
        <v>0</v>
      </c>
      <c r="V1269" s="5">
        <v>14</v>
      </c>
      <c r="W1269" s="6">
        <v>43178</v>
      </c>
      <c r="X1269" s="6">
        <v>43553</v>
      </c>
      <c r="Y1269" s="6"/>
      <c r="Z1269" s="6"/>
      <c r="AA1269" s="6"/>
      <c r="AB1269" s="6"/>
      <c r="AC1269" s="6"/>
      <c r="AD1269" s="6"/>
    </row>
    <row r="1270" spans="1:30">
      <c r="A1270" s="1" t="s">
        <v>772</v>
      </c>
      <c r="B1270" s="1" t="s">
        <v>773</v>
      </c>
      <c r="C1270" s="1" t="s">
        <v>989</v>
      </c>
      <c r="D1270" s="1" t="s">
        <v>1793</v>
      </c>
      <c r="E1270" s="1" t="str">
        <f t="shared" si="19"/>
        <v>W05</v>
      </c>
      <c r="F1270" s="4">
        <v>0</v>
      </c>
      <c r="G1270" s="4">
        <v>0</v>
      </c>
      <c r="H1270" s="4">
        <v>0</v>
      </c>
      <c r="I1270" s="4"/>
      <c r="J1270" s="1" t="s">
        <v>775</v>
      </c>
      <c r="K1270" s="1" t="s">
        <v>962</v>
      </c>
      <c r="L1270" s="1" t="s">
        <v>778</v>
      </c>
      <c r="M1270" s="1" t="s">
        <v>777</v>
      </c>
      <c r="N1270" s="1" t="s">
        <v>788</v>
      </c>
      <c r="O1270" s="6">
        <v>44744</v>
      </c>
      <c r="P1270" s="6">
        <v>44727</v>
      </c>
      <c r="Q1270" s="6"/>
      <c r="R1270" s="1" t="s">
        <v>779</v>
      </c>
      <c r="S1270" s="1" t="s">
        <v>79</v>
      </c>
      <c r="T1270" s="5">
        <v>120</v>
      </c>
      <c r="U1270" s="4">
        <v>2</v>
      </c>
      <c r="V1270" s="5">
        <v>68</v>
      </c>
      <c r="W1270" s="6">
        <v>43684</v>
      </c>
      <c r="X1270" s="6">
        <v>43562</v>
      </c>
      <c r="Y1270" s="6"/>
      <c r="Z1270" s="6"/>
      <c r="AA1270" s="6"/>
      <c r="AB1270" s="6"/>
      <c r="AC1270" s="6"/>
      <c r="AD1270" s="6"/>
    </row>
    <row r="1271" spans="1:30">
      <c r="A1271" s="1" t="s">
        <v>772</v>
      </c>
      <c r="B1271" s="1" t="s">
        <v>773</v>
      </c>
      <c r="C1271" s="1" t="s">
        <v>989</v>
      </c>
      <c r="D1271" s="1" t="s">
        <v>1794</v>
      </c>
      <c r="E1271" s="1" t="str">
        <f t="shared" si="19"/>
        <v>W05</v>
      </c>
      <c r="F1271" s="4">
        <v>0</v>
      </c>
      <c r="G1271" s="4">
        <v>0</v>
      </c>
      <c r="H1271" s="4">
        <v>0</v>
      </c>
      <c r="I1271" s="4"/>
      <c r="J1271" s="1" t="s">
        <v>775</v>
      </c>
      <c r="K1271" s="1" t="s">
        <v>1792</v>
      </c>
      <c r="L1271" s="1" t="s">
        <v>788</v>
      </c>
      <c r="M1271" s="1" t="s">
        <v>787</v>
      </c>
      <c r="N1271" s="1" t="s">
        <v>788</v>
      </c>
      <c r="O1271" s="6">
        <v>44782</v>
      </c>
      <c r="P1271" s="6">
        <v>44781</v>
      </c>
      <c r="Q1271" s="6"/>
      <c r="R1271" s="1" t="s">
        <v>779</v>
      </c>
      <c r="S1271" s="1" t="s">
        <v>79</v>
      </c>
      <c r="T1271" s="5">
        <v>30</v>
      </c>
      <c r="U1271" s="4">
        <v>0</v>
      </c>
      <c r="V1271" s="5">
        <v>14</v>
      </c>
      <c r="W1271" s="6">
        <v>43178</v>
      </c>
      <c r="X1271" s="6">
        <v>43553</v>
      </c>
      <c r="Y1271" s="6"/>
      <c r="Z1271" s="6"/>
      <c r="AA1271" s="6"/>
      <c r="AB1271" s="6"/>
      <c r="AC1271" s="6"/>
      <c r="AD1271" s="6"/>
    </row>
    <row r="1272" spans="1:30">
      <c r="A1272" s="1" t="s">
        <v>772</v>
      </c>
      <c r="B1272" s="1" t="s">
        <v>773</v>
      </c>
      <c r="C1272" s="1" t="s">
        <v>989</v>
      </c>
      <c r="D1272" s="1" t="s">
        <v>1795</v>
      </c>
      <c r="E1272" s="1" t="str">
        <f t="shared" si="19"/>
        <v>W05</v>
      </c>
      <c r="F1272" s="4">
        <v>0</v>
      </c>
      <c r="G1272" s="4">
        <v>0</v>
      </c>
      <c r="H1272" s="4">
        <v>0</v>
      </c>
      <c r="I1272" s="4"/>
      <c r="J1272" s="1" t="s">
        <v>775</v>
      </c>
      <c r="K1272" s="1" t="s">
        <v>1792</v>
      </c>
      <c r="L1272" s="1" t="s">
        <v>788</v>
      </c>
      <c r="M1272" s="1" t="s">
        <v>787</v>
      </c>
      <c r="N1272" s="1" t="s">
        <v>788</v>
      </c>
      <c r="O1272" s="6">
        <v>44779</v>
      </c>
      <c r="P1272" s="6">
        <v>44778</v>
      </c>
      <c r="Q1272" s="6"/>
      <c r="R1272" s="1" t="s">
        <v>779</v>
      </c>
      <c r="S1272" s="1" t="s">
        <v>79</v>
      </c>
      <c r="T1272" s="5">
        <v>30</v>
      </c>
      <c r="U1272" s="4">
        <v>0</v>
      </c>
      <c r="V1272" s="5">
        <v>17</v>
      </c>
      <c r="W1272" s="6">
        <v>43684</v>
      </c>
      <c r="X1272" s="6">
        <v>43562</v>
      </c>
      <c r="Y1272" s="6"/>
      <c r="Z1272" s="6"/>
      <c r="AA1272" s="6"/>
      <c r="AB1272" s="6"/>
      <c r="AC1272" s="6"/>
      <c r="AD1272" s="6"/>
    </row>
    <row r="1273" spans="1:30">
      <c r="A1273" s="1" t="s">
        <v>772</v>
      </c>
      <c r="B1273" s="1" t="s">
        <v>773</v>
      </c>
      <c r="C1273" s="1" t="s">
        <v>989</v>
      </c>
      <c r="D1273" s="1" t="s">
        <v>1796</v>
      </c>
      <c r="E1273" s="1" t="str">
        <f t="shared" si="19"/>
        <v>W05</v>
      </c>
      <c r="F1273" s="4">
        <v>0</v>
      </c>
      <c r="G1273" s="4">
        <v>0</v>
      </c>
      <c r="H1273" s="4">
        <v>0</v>
      </c>
      <c r="I1273" s="4"/>
      <c r="J1273" s="1" t="s">
        <v>775</v>
      </c>
      <c r="K1273" s="1" t="s">
        <v>805</v>
      </c>
      <c r="L1273" s="1" t="s">
        <v>777</v>
      </c>
      <c r="M1273" s="1" t="s">
        <v>778</v>
      </c>
      <c r="N1273" s="1" t="s">
        <v>787</v>
      </c>
      <c r="O1273" s="6">
        <v>44653</v>
      </c>
      <c r="P1273" s="6">
        <v>44649</v>
      </c>
      <c r="Q1273" s="6">
        <v>44625</v>
      </c>
      <c r="R1273" s="1" t="s">
        <v>779</v>
      </c>
      <c r="S1273" s="1" t="s">
        <v>780</v>
      </c>
      <c r="T1273" s="5">
        <v>517</v>
      </c>
      <c r="U1273" s="4">
        <v>4</v>
      </c>
      <c r="V1273" s="5">
        <v>146</v>
      </c>
      <c r="W1273" s="6">
        <v>43293</v>
      </c>
      <c r="X1273" s="6">
        <v>43079</v>
      </c>
      <c r="Y1273" s="6"/>
      <c r="Z1273" s="6"/>
      <c r="AA1273" s="6"/>
      <c r="AB1273" s="6"/>
      <c r="AC1273" s="6"/>
      <c r="AD1273" s="6"/>
    </row>
    <row r="1274" spans="1:30">
      <c r="A1274" s="1" t="s">
        <v>772</v>
      </c>
      <c r="B1274" s="1" t="s">
        <v>773</v>
      </c>
      <c r="C1274" s="1" t="s">
        <v>989</v>
      </c>
      <c r="D1274" s="1" t="s">
        <v>1797</v>
      </c>
      <c r="E1274" s="1" t="str">
        <f t="shared" si="19"/>
        <v>W05</v>
      </c>
      <c r="F1274" s="4">
        <v>0</v>
      </c>
      <c r="G1274" s="4">
        <v>0</v>
      </c>
      <c r="H1274" s="4">
        <v>0</v>
      </c>
      <c r="I1274" s="4"/>
      <c r="J1274" s="1" t="s">
        <v>775</v>
      </c>
      <c r="K1274" s="1" t="s">
        <v>1231</v>
      </c>
      <c r="L1274" s="1" t="s">
        <v>787</v>
      </c>
      <c r="M1274" s="1" t="s">
        <v>788</v>
      </c>
      <c r="N1274" s="1" t="s">
        <v>787</v>
      </c>
      <c r="O1274" s="6">
        <v>44471</v>
      </c>
      <c r="P1274" s="6">
        <v>44452</v>
      </c>
      <c r="Q1274" s="6">
        <v>43935</v>
      </c>
      <c r="R1274" s="1" t="s">
        <v>779</v>
      </c>
      <c r="S1274" s="1" t="s">
        <v>79</v>
      </c>
      <c r="T1274" s="5">
        <v>402</v>
      </c>
      <c r="U1274" s="4">
        <v>11</v>
      </c>
      <c r="V1274" s="5">
        <v>343</v>
      </c>
      <c r="W1274" s="6">
        <v>43963</v>
      </c>
      <c r="X1274" s="6">
        <v>43997</v>
      </c>
      <c r="Y1274" s="6"/>
      <c r="Z1274" s="6"/>
      <c r="AA1274" s="6">
        <v>44732</v>
      </c>
      <c r="AB1274" s="6"/>
      <c r="AC1274" s="6"/>
      <c r="AD1274" s="6">
        <v>44485</v>
      </c>
    </row>
    <row r="1275" spans="1:30">
      <c r="A1275" s="1" t="s">
        <v>772</v>
      </c>
      <c r="B1275" s="1" t="s">
        <v>773</v>
      </c>
      <c r="C1275" s="1" t="s">
        <v>989</v>
      </c>
      <c r="D1275" s="1" t="s">
        <v>1798</v>
      </c>
      <c r="E1275" s="1" t="str">
        <f t="shared" si="19"/>
        <v>W05</v>
      </c>
      <c r="F1275" s="4">
        <v>0</v>
      </c>
      <c r="G1275" s="4">
        <v>0</v>
      </c>
      <c r="H1275" s="4">
        <v>0</v>
      </c>
      <c r="I1275" s="4"/>
      <c r="J1275" s="1" t="s">
        <v>775</v>
      </c>
      <c r="K1275" s="1" t="s">
        <v>877</v>
      </c>
      <c r="L1275" s="1" t="s">
        <v>778</v>
      </c>
      <c r="M1275" s="1" t="s">
        <v>777</v>
      </c>
      <c r="N1275" s="1" t="s">
        <v>788</v>
      </c>
      <c r="O1275" s="6">
        <v>44653</v>
      </c>
      <c r="P1275" s="6">
        <v>44651</v>
      </c>
      <c r="Q1275" s="6"/>
      <c r="R1275" s="1" t="s">
        <v>779</v>
      </c>
      <c r="S1275" s="1" t="s">
        <v>79</v>
      </c>
      <c r="T1275" s="5">
        <v>120</v>
      </c>
      <c r="U1275" s="4">
        <v>4</v>
      </c>
      <c r="V1275" s="5">
        <v>144</v>
      </c>
      <c r="W1275" s="6">
        <v>43128</v>
      </c>
      <c r="X1275" s="6">
        <v>43503</v>
      </c>
      <c r="Y1275" s="6"/>
      <c r="Z1275" s="6"/>
      <c r="AA1275" s="6"/>
      <c r="AB1275" s="6"/>
      <c r="AC1275" s="6"/>
      <c r="AD1275" s="6">
        <v>44652</v>
      </c>
    </row>
    <row r="1276" spans="1:30">
      <c r="A1276" s="1" t="s">
        <v>772</v>
      </c>
      <c r="B1276" s="1" t="s">
        <v>903</v>
      </c>
      <c r="C1276" s="1" t="s">
        <v>774</v>
      </c>
      <c r="D1276" s="1" t="s">
        <v>1799</v>
      </c>
      <c r="E1276" s="1" t="str">
        <f t="shared" si="19"/>
        <v>W01</v>
      </c>
      <c r="F1276" s="4">
        <v>1.26</v>
      </c>
      <c r="G1276" s="4">
        <v>1.26</v>
      </c>
      <c r="H1276" s="4">
        <v>1.26</v>
      </c>
      <c r="I1276" s="4"/>
      <c r="J1276" s="1" t="s">
        <v>775</v>
      </c>
      <c r="K1276" s="1" t="s">
        <v>1800</v>
      </c>
      <c r="L1276" s="1" t="s">
        <v>777</v>
      </c>
      <c r="M1276" s="1" t="s">
        <v>777</v>
      </c>
      <c r="N1276" s="1" t="s">
        <v>787</v>
      </c>
      <c r="O1276" s="6">
        <v>43074</v>
      </c>
      <c r="P1276" s="6">
        <v>43070</v>
      </c>
      <c r="Q1276" s="6">
        <v>43070</v>
      </c>
      <c r="R1276" s="1" t="s">
        <v>779</v>
      </c>
      <c r="S1276" s="1" t="s">
        <v>79</v>
      </c>
      <c r="T1276" s="5">
        <v>120</v>
      </c>
      <c r="U1276" s="4">
        <v>56</v>
      </c>
      <c r="V1276" s="5">
        <v>1725</v>
      </c>
      <c r="W1276" s="6">
        <v>43194</v>
      </c>
      <c r="X1276" s="6">
        <v>42818</v>
      </c>
      <c r="Y1276" s="6"/>
      <c r="Z1276" s="6"/>
      <c r="AA1276" s="6"/>
      <c r="AB1276" s="6"/>
      <c r="AC1276" s="6"/>
      <c r="AD1276" s="6"/>
    </row>
    <row r="1277" spans="1:30">
      <c r="A1277" s="1" t="s">
        <v>772</v>
      </c>
      <c r="B1277" s="1" t="s">
        <v>903</v>
      </c>
      <c r="C1277" s="1" t="s">
        <v>774</v>
      </c>
      <c r="D1277" s="1" t="s">
        <v>1801</v>
      </c>
      <c r="E1277" s="1" t="str">
        <f t="shared" si="19"/>
        <v>W01</v>
      </c>
      <c r="F1277" s="4">
        <v>0.16</v>
      </c>
      <c r="G1277" s="4">
        <v>0.16</v>
      </c>
      <c r="H1277" s="4">
        <v>0.16</v>
      </c>
      <c r="I1277" s="4"/>
      <c r="J1277" s="1" t="s">
        <v>775</v>
      </c>
      <c r="K1277" s="1" t="s">
        <v>1800</v>
      </c>
      <c r="L1277" s="1" t="s">
        <v>777</v>
      </c>
      <c r="M1277" s="1" t="s">
        <v>777</v>
      </c>
      <c r="N1277" s="1" t="s">
        <v>787</v>
      </c>
      <c r="O1277" s="6">
        <v>43074</v>
      </c>
      <c r="P1277" s="6">
        <v>43070</v>
      </c>
      <c r="Q1277" s="6">
        <v>43070</v>
      </c>
      <c r="R1277" s="1" t="s">
        <v>779</v>
      </c>
      <c r="S1277" s="1" t="s">
        <v>79</v>
      </c>
      <c r="T1277" s="5">
        <v>120</v>
      </c>
      <c r="U1277" s="4">
        <v>56</v>
      </c>
      <c r="V1277" s="5">
        <v>1725</v>
      </c>
      <c r="W1277" s="6">
        <v>43194</v>
      </c>
      <c r="X1277" s="6">
        <v>42801</v>
      </c>
      <c r="Y1277" s="6"/>
      <c r="Z1277" s="6"/>
      <c r="AA1277" s="6"/>
      <c r="AB1277" s="6"/>
      <c r="AC1277" s="6"/>
      <c r="AD1277" s="6"/>
    </row>
    <row r="1278" spans="1:30">
      <c r="A1278" s="1" t="s">
        <v>772</v>
      </c>
      <c r="B1278" s="1" t="s">
        <v>903</v>
      </c>
      <c r="C1278" s="1" t="s">
        <v>774</v>
      </c>
      <c r="D1278" s="1" t="s">
        <v>1802</v>
      </c>
      <c r="E1278" s="1" t="str">
        <f t="shared" si="19"/>
        <v>W01</v>
      </c>
      <c r="F1278" s="4">
        <v>0.8</v>
      </c>
      <c r="G1278" s="4">
        <v>0.8</v>
      </c>
      <c r="H1278" s="4">
        <v>0.8</v>
      </c>
      <c r="I1278" s="4"/>
      <c r="J1278" s="1" t="s">
        <v>775</v>
      </c>
      <c r="K1278" s="1" t="s">
        <v>1803</v>
      </c>
      <c r="L1278" s="1" t="s">
        <v>79</v>
      </c>
      <c r="M1278" s="1" t="s">
        <v>79</v>
      </c>
      <c r="N1278" s="1" t="s">
        <v>79</v>
      </c>
      <c r="O1278" s="6">
        <v>44407</v>
      </c>
      <c r="P1278" s="6">
        <v>43574</v>
      </c>
      <c r="Q1278" s="6">
        <v>43574</v>
      </c>
      <c r="R1278" s="1" t="s">
        <v>1804</v>
      </c>
      <c r="S1278" s="1" t="s">
        <v>79</v>
      </c>
      <c r="T1278" s="5">
        <v>0</v>
      </c>
      <c r="U1278" s="4">
        <v>40</v>
      </c>
      <c r="V1278" s="5">
        <v>1221</v>
      </c>
      <c r="W1278" s="6"/>
      <c r="X1278" s="6"/>
      <c r="Y1278" s="6"/>
      <c r="Z1278" s="6"/>
      <c r="AA1278" s="6"/>
      <c r="AB1278" s="6"/>
      <c r="AC1278" s="6"/>
      <c r="AD1278" s="6"/>
    </row>
    <row r="1279" spans="1:30">
      <c r="A1279" s="1" t="s">
        <v>772</v>
      </c>
      <c r="B1279" s="1" t="s">
        <v>903</v>
      </c>
      <c r="C1279" s="1" t="s">
        <v>774</v>
      </c>
      <c r="D1279" s="1" t="s">
        <v>1805</v>
      </c>
      <c r="E1279" s="1" t="str">
        <f t="shared" si="19"/>
        <v>W01</v>
      </c>
      <c r="F1279" s="4">
        <v>1.61</v>
      </c>
      <c r="G1279" s="4">
        <v>1.61</v>
      </c>
      <c r="H1279" s="4">
        <v>1.61</v>
      </c>
      <c r="I1279" s="4"/>
      <c r="J1279" s="1" t="s">
        <v>775</v>
      </c>
      <c r="K1279" s="1" t="s">
        <v>1806</v>
      </c>
      <c r="L1279" s="1" t="s">
        <v>79</v>
      </c>
      <c r="M1279" s="1" t="s">
        <v>79</v>
      </c>
      <c r="N1279" s="1" t="s">
        <v>79</v>
      </c>
      <c r="O1279" s="6">
        <v>44407</v>
      </c>
      <c r="P1279" s="6">
        <v>44307</v>
      </c>
      <c r="Q1279" s="6">
        <v>44307</v>
      </c>
      <c r="R1279" s="1" t="s">
        <v>1807</v>
      </c>
      <c r="S1279" s="1" t="s">
        <v>79</v>
      </c>
      <c r="T1279" s="5">
        <v>0</v>
      </c>
      <c r="U1279" s="4">
        <v>16</v>
      </c>
      <c r="V1279" s="5">
        <v>488</v>
      </c>
      <c r="W1279" s="6"/>
      <c r="X1279" s="6"/>
      <c r="Y1279" s="6"/>
      <c r="Z1279" s="6"/>
      <c r="AA1279" s="6"/>
      <c r="AB1279" s="6"/>
      <c r="AC1279" s="6"/>
      <c r="AD1279" s="6"/>
    </row>
    <row r="1280" spans="1:30">
      <c r="A1280" s="1" t="s">
        <v>772</v>
      </c>
      <c r="B1280" s="1" t="s">
        <v>903</v>
      </c>
      <c r="C1280" s="1" t="s">
        <v>774</v>
      </c>
      <c r="D1280" s="1" t="s">
        <v>1808</v>
      </c>
      <c r="E1280" s="1" t="str">
        <f t="shared" si="19"/>
        <v>W01</v>
      </c>
      <c r="F1280" s="4">
        <v>3.61</v>
      </c>
      <c r="G1280" s="4">
        <v>3.61</v>
      </c>
      <c r="H1280" s="4">
        <v>3.61</v>
      </c>
      <c r="I1280" s="4"/>
      <c r="J1280" s="1" t="s">
        <v>775</v>
      </c>
      <c r="K1280" s="1" t="s">
        <v>1806</v>
      </c>
      <c r="L1280" s="1" t="s">
        <v>79</v>
      </c>
      <c r="M1280" s="1" t="s">
        <v>79</v>
      </c>
      <c r="N1280" s="1" t="s">
        <v>79</v>
      </c>
      <c r="O1280" s="6">
        <v>44407</v>
      </c>
      <c r="P1280" s="6">
        <v>44383</v>
      </c>
      <c r="Q1280" s="6">
        <v>44383</v>
      </c>
      <c r="R1280" s="1" t="s">
        <v>1807</v>
      </c>
      <c r="S1280" s="1" t="s">
        <v>79</v>
      </c>
      <c r="T1280" s="5">
        <v>0</v>
      </c>
      <c r="U1280" s="4">
        <v>13</v>
      </c>
      <c r="V1280" s="5">
        <v>412</v>
      </c>
      <c r="W1280" s="6"/>
      <c r="X1280" s="6"/>
      <c r="Y1280" s="6"/>
      <c r="Z1280" s="6"/>
      <c r="AA1280" s="6"/>
      <c r="AB1280" s="6"/>
      <c r="AC1280" s="6"/>
      <c r="AD1280" s="6"/>
    </row>
    <row r="1281" spans="1:30">
      <c r="A1281" s="1" t="s">
        <v>772</v>
      </c>
      <c r="B1281" s="1" t="s">
        <v>903</v>
      </c>
      <c r="C1281" s="1" t="s">
        <v>774</v>
      </c>
      <c r="D1281" s="1" t="s">
        <v>1809</v>
      </c>
      <c r="E1281" s="1" t="str">
        <f t="shared" si="19"/>
        <v>W01</v>
      </c>
      <c r="F1281" s="4">
        <v>1</v>
      </c>
      <c r="G1281" s="4">
        <v>1</v>
      </c>
      <c r="H1281" s="4">
        <v>1</v>
      </c>
      <c r="I1281" s="4"/>
      <c r="J1281" s="1" t="s">
        <v>775</v>
      </c>
      <c r="K1281" s="1" t="s">
        <v>1810</v>
      </c>
      <c r="L1281" s="1" t="s">
        <v>1811</v>
      </c>
      <c r="M1281" s="1" t="s">
        <v>79</v>
      </c>
      <c r="N1281" s="1" t="s">
        <v>79</v>
      </c>
      <c r="O1281" s="6">
        <v>44407</v>
      </c>
      <c r="P1281" s="6">
        <v>43865</v>
      </c>
      <c r="Q1281" s="6">
        <v>43865</v>
      </c>
      <c r="R1281" s="1" t="s">
        <v>1812</v>
      </c>
      <c r="S1281" s="1" t="s">
        <v>79</v>
      </c>
      <c r="T1281" s="5">
        <v>0</v>
      </c>
      <c r="U1281" s="4">
        <v>30</v>
      </c>
      <c r="V1281" s="5">
        <v>930</v>
      </c>
      <c r="W1281" s="6"/>
      <c r="X1281" s="6"/>
      <c r="Y1281" s="6"/>
      <c r="Z1281" s="6"/>
      <c r="AA1281" s="6"/>
      <c r="AB1281" s="6"/>
      <c r="AC1281" s="6"/>
      <c r="AD1281" s="6"/>
    </row>
    <row r="1282" spans="1:30">
      <c r="A1282" s="1" t="s">
        <v>772</v>
      </c>
      <c r="B1282" s="1" t="s">
        <v>903</v>
      </c>
      <c r="C1282" s="1" t="s">
        <v>774</v>
      </c>
      <c r="D1282" s="1" t="s">
        <v>1813</v>
      </c>
      <c r="E1282" s="1" t="str">
        <f t="shared" si="19"/>
        <v>W01</v>
      </c>
      <c r="F1282" s="4">
        <v>0.71</v>
      </c>
      <c r="G1282" s="4">
        <v>0.71</v>
      </c>
      <c r="H1282" s="4">
        <v>0.71</v>
      </c>
      <c r="I1282" s="4"/>
      <c r="J1282" s="1" t="s">
        <v>775</v>
      </c>
      <c r="K1282" s="1" t="s">
        <v>1810</v>
      </c>
      <c r="L1282" s="1" t="s">
        <v>1811</v>
      </c>
      <c r="M1282" s="1" t="s">
        <v>79</v>
      </c>
      <c r="N1282" s="1" t="s">
        <v>79</v>
      </c>
      <c r="O1282" s="6">
        <v>44407</v>
      </c>
      <c r="P1282" s="6">
        <v>44129</v>
      </c>
      <c r="Q1282" s="6">
        <v>44129</v>
      </c>
      <c r="R1282" s="1" t="s">
        <v>1812</v>
      </c>
      <c r="S1282" s="1" t="s">
        <v>79</v>
      </c>
      <c r="T1282" s="5">
        <v>0</v>
      </c>
      <c r="U1282" s="4">
        <v>21</v>
      </c>
      <c r="V1282" s="5">
        <v>666</v>
      </c>
      <c r="W1282" s="6"/>
      <c r="X1282" s="6"/>
      <c r="Y1282" s="6"/>
      <c r="Z1282" s="6"/>
      <c r="AA1282" s="6"/>
      <c r="AB1282" s="6"/>
      <c r="AC1282" s="6"/>
      <c r="AD1282" s="6"/>
    </row>
    <row r="1283" spans="1:30">
      <c r="A1283" s="1" t="s">
        <v>772</v>
      </c>
      <c r="B1283" s="1" t="s">
        <v>903</v>
      </c>
      <c r="C1283" s="1" t="s">
        <v>774</v>
      </c>
      <c r="D1283" s="1" t="s">
        <v>1814</v>
      </c>
      <c r="E1283" s="1" t="str">
        <f t="shared" si="19"/>
        <v>W01</v>
      </c>
      <c r="F1283" s="4">
        <v>1.57</v>
      </c>
      <c r="G1283" s="4">
        <v>1.57</v>
      </c>
      <c r="H1283" s="4">
        <v>1.57</v>
      </c>
      <c r="I1283" s="4"/>
      <c r="J1283" s="1" t="s">
        <v>775</v>
      </c>
      <c r="K1283" s="1" t="s">
        <v>1815</v>
      </c>
      <c r="L1283" s="1" t="s">
        <v>79</v>
      </c>
      <c r="M1283" s="1" t="s">
        <v>79</v>
      </c>
      <c r="N1283" s="1" t="s">
        <v>79</v>
      </c>
      <c r="O1283" s="6">
        <v>43808</v>
      </c>
      <c r="P1283" s="6">
        <v>43808</v>
      </c>
      <c r="Q1283" s="6">
        <v>43808</v>
      </c>
      <c r="R1283" s="1" t="s">
        <v>1812</v>
      </c>
      <c r="S1283" s="1" t="s">
        <v>79</v>
      </c>
      <c r="T1283" s="5">
        <v>0</v>
      </c>
      <c r="U1283" s="4">
        <v>32</v>
      </c>
      <c r="V1283" s="5">
        <v>987</v>
      </c>
      <c r="W1283" s="6"/>
      <c r="X1283" s="6"/>
      <c r="Y1283" s="6"/>
      <c r="Z1283" s="6"/>
      <c r="AA1283" s="6"/>
      <c r="AB1283" s="6"/>
      <c r="AC1283" s="6"/>
      <c r="AD1283" s="6"/>
    </row>
    <row r="1284" spans="1:30">
      <c r="A1284" s="1" t="s">
        <v>772</v>
      </c>
      <c r="B1284" s="1" t="s">
        <v>903</v>
      </c>
      <c r="C1284" s="1" t="s">
        <v>774</v>
      </c>
      <c r="D1284" s="1" t="s">
        <v>1816</v>
      </c>
      <c r="E1284" s="1" t="str">
        <f t="shared" si="19"/>
        <v>W01</v>
      </c>
      <c r="F1284" s="4">
        <v>0.26</v>
      </c>
      <c r="G1284" s="4">
        <v>0.26</v>
      </c>
      <c r="H1284" s="4">
        <v>0.26</v>
      </c>
      <c r="I1284" s="4"/>
      <c r="J1284" s="1" t="s">
        <v>775</v>
      </c>
      <c r="K1284" s="1" t="s">
        <v>1817</v>
      </c>
      <c r="L1284" s="1" t="s">
        <v>79</v>
      </c>
      <c r="M1284" s="1" t="s">
        <v>79</v>
      </c>
      <c r="N1284" s="1" t="s">
        <v>79</v>
      </c>
      <c r="O1284" s="6">
        <v>43812</v>
      </c>
      <c r="P1284" s="6">
        <v>43808</v>
      </c>
      <c r="Q1284" s="6">
        <v>43808</v>
      </c>
      <c r="R1284" s="1" t="s">
        <v>1812</v>
      </c>
      <c r="S1284" s="1" t="s">
        <v>79</v>
      </c>
      <c r="T1284" s="5">
        <v>0</v>
      </c>
      <c r="U1284" s="4">
        <v>32</v>
      </c>
      <c r="V1284" s="5">
        <v>987</v>
      </c>
      <c r="W1284" s="6"/>
      <c r="X1284" s="6"/>
      <c r="Y1284" s="6"/>
      <c r="Z1284" s="6"/>
      <c r="AA1284" s="6"/>
      <c r="AB1284" s="6"/>
      <c r="AC1284" s="6"/>
      <c r="AD1284" s="6"/>
    </row>
    <row r="1285" spans="1:30">
      <c r="A1285" s="1" t="s">
        <v>772</v>
      </c>
      <c r="B1285" s="1" t="s">
        <v>903</v>
      </c>
      <c r="C1285" s="1" t="s">
        <v>774</v>
      </c>
      <c r="D1285" s="1" t="s">
        <v>1818</v>
      </c>
      <c r="E1285" s="1" t="str">
        <f t="shared" ref="E1285:E1348" si="20">RIGHT(C1285,3)</f>
        <v>W01</v>
      </c>
      <c r="F1285" s="4">
        <v>1.97</v>
      </c>
      <c r="G1285" s="4">
        <v>1.97</v>
      </c>
      <c r="H1285" s="4">
        <v>1.97</v>
      </c>
      <c r="I1285" s="4"/>
      <c r="J1285" s="1" t="s">
        <v>775</v>
      </c>
      <c r="K1285" s="1" t="s">
        <v>1819</v>
      </c>
      <c r="L1285" s="1" t="s">
        <v>873</v>
      </c>
      <c r="M1285" s="1" t="s">
        <v>812</v>
      </c>
      <c r="N1285" s="1" t="s">
        <v>79</v>
      </c>
      <c r="O1285" s="6">
        <v>43320</v>
      </c>
      <c r="P1285" s="6">
        <v>43313</v>
      </c>
      <c r="Q1285" s="6">
        <v>43313</v>
      </c>
      <c r="R1285" s="1" t="s">
        <v>784</v>
      </c>
      <c r="S1285" s="1" t="s">
        <v>957</v>
      </c>
      <c r="T1285" s="5">
        <v>99</v>
      </c>
      <c r="U1285" s="4">
        <v>48</v>
      </c>
      <c r="V1285" s="5">
        <v>1482</v>
      </c>
      <c r="W1285" s="6"/>
      <c r="X1285" s="6"/>
      <c r="Y1285" s="6"/>
      <c r="Z1285" s="6"/>
      <c r="AA1285" s="6"/>
      <c r="AB1285" s="6"/>
      <c r="AC1285" s="6"/>
      <c r="AD1285" s="6"/>
    </row>
    <row r="1286" spans="1:30">
      <c r="A1286" s="1" t="s">
        <v>772</v>
      </c>
      <c r="B1286" s="1" t="s">
        <v>903</v>
      </c>
      <c r="C1286" s="1" t="s">
        <v>774</v>
      </c>
      <c r="D1286" s="1" t="s">
        <v>1820</v>
      </c>
      <c r="E1286" s="1" t="str">
        <f t="shared" si="20"/>
        <v>W01</v>
      </c>
      <c r="F1286" s="4">
        <v>1.04</v>
      </c>
      <c r="G1286" s="4">
        <v>1.04</v>
      </c>
      <c r="H1286" s="4">
        <v>1.04</v>
      </c>
      <c r="I1286" s="4"/>
      <c r="J1286" s="1" t="s">
        <v>775</v>
      </c>
      <c r="K1286" s="1" t="s">
        <v>1821</v>
      </c>
      <c r="L1286" s="1" t="s">
        <v>79</v>
      </c>
      <c r="M1286" s="1" t="s">
        <v>835</v>
      </c>
      <c r="N1286" s="1" t="s">
        <v>79</v>
      </c>
      <c r="O1286" s="6">
        <v>42626</v>
      </c>
      <c r="P1286" s="6">
        <v>42626</v>
      </c>
      <c r="Q1286" s="6"/>
      <c r="R1286" s="1" t="s">
        <v>784</v>
      </c>
      <c r="S1286" s="1" t="s">
        <v>1822</v>
      </c>
      <c r="T1286" s="5">
        <v>7</v>
      </c>
      <c r="U1286" s="4">
        <v>71</v>
      </c>
      <c r="V1286" s="5">
        <v>2169</v>
      </c>
      <c r="W1286" s="6">
        <v>42631</v>
      </c>
      <c r="X1286" s="6"/>
      <c r="Y1286" s="6"/>
      <c r="Z1286" s="6"/>
      <c r="AA1286" s="6"/>
      <c r="AB1286" s="6"/>
      <c r="AC1286" s="6"/>
      <c r="AD1286" s="6"/>
    </row>
    <row r="1287" spans="1:30">
      <c r="A1287" s="1" t="s">
        <v>772</v>
      </c>
      <c r="B1287" s="1" t="s">
        <v>903</v>
      </c>
      <c r="C1287" s="1" t="s">
        <v>774</v>
      </c>
      <c r="D1287" s="1" t="s">
        <v>1823</v>
      </c>
      <c r="E1287" s="1" t="str">
        <f t="shared" si="20"/>
        <v>W01</v>
      </c>
      <c r="F1287" s="4">
        <v>0.47</v>
      </c>
      <c r="G1287" s="4">
        <v>0.47</v>
      </c>
      <c r="H1287" s="4">
        <v>0.47</v>
      </c>
      <c r="I1287" s="4"/>
      <c r="J1287" s="1" t="s">
        <v>775</v>
      </c>
      <c r="K1287" s="1" t="s">
        <v>1824</v>
      </c>
      <c r="L1287" s="1" t="s">
        <v>835</v>
      </c>
      <c r="M1287" s="1" t="s">
        <v>782</v>
      </c>
      <c r="N1287" s="1" t="s">
        <v>79</v>
      </c>
      <c r="O1287" s="6">
        <v>43322</v>
      </c>
      <c r="P1287" s="6">
        <v>43313</v>
      </c>
      <c r="Q1287" s="6">
        <v>43313</v>
      </c>
      <c r="R1287" s="1" t="s">
        <v>784</v>
      </c>
      <c r="S1287" s="1" t="s">
        <v>1825</v>
      </c>
      <c r="T1287" s="5">
        <v>0</v>
      </c>
      <c r="U1287" s="4">
        <v>48</v>
      </c>
      <c r="V1287" s="5">
        <v>1482</v>
      </c>
      <c r="W1287" s="6">
        <v>43012</v>
      </c>
      <c r="X1287" s="6"/>
      <c r="Y1287" s="6"/>
      <c r="Z1287" s="6"/>
      <c r="AA1287" s="6"/>
      <c r="AB1287" s="6"/>
      <c r="AC1287" s="6"/>
      <c r="AD1287" s="6"/>
    </row>
    <row r="1288" spans="1:30">
      <c r="A1288" s="1" t="s">
        <v>772</v>
      </c>
      <c r="B1288" s="1" t="s">
        <v>903</v>
      </c>
      <c r="C1288" s="1" t="s">
        <v>774</v>
      </c>
      <c r="D1288" s="1" t="s">
        <v>1826</v>
      </c>
      <c r="E1288" s="1" t="str">
        <f t="shared" si="20"/>
        <v>W01</v>
      </c>
      <c r="F1288" s="4">
        <v>0.61</v>
      </c>
      <c r="G1288" s="4">
        <v>0.61</v>
      </c>
      <c r="H1288" s="4">
        <v>0.61</v>
      </c>
      <c r="I1288" s="4"/>
      <c r="J1288" s="1" t="s">
        <v>775</v>
      </c>
      <c r="K1288" s="1" t="s">
        <v>1197</v>
      </c>
      <c r="L1288" s="1" t="s">
        <v>79</v>
      </c>
      <c r="M1288" s="1" t="s">
        <v>79</v>
      </c>
      <c r="N1288" s="1" t="s">
        <v>79</v>
      </c>
      <c r="O1288" s="6">
        <v>44260</v>
      </c>
      <c r="P1288" s="6">
        <v>44256</v>
      </c>
      <c r="Q1288" s="6">
        <v>44256</v>
      </c>
      <c r="R1288" s="1" t="s">
        <v>1076</v>
      </c>
      <c r="S1288" s="1" t="s">
        <v>79</v>
      </c>
      <c r="T1288" s="5">
        <v>1154</v>
      </c>
      <c r="U1288" s="4">
        <v>17</v>
      </c>
      <c r="V1288" s="5">
        <v>539</v>
      </c>
      <c r="W1288" s="6"/>
      <c r="X1288" s="6"/>
      <c r="Y1288" s="6"/>
      <c r="Z1288" s="6"/>
      <c r="AA1288" s="6"/>
      <c r="AB1288" s="6"/>
      <c r="AC1288" s="6"/>
      <c r="AD1288" s="6"/>
    </row>
    <row r="1289" spans="1:30">
      <c r="A1289" s="1" t="s">
        <v>772</v>
      </c>
      <c r="B1289" s="1" t="s">
        <v>903</v>
      </c>
      <c r="C1289" s="1" t="s">
        <v>774</v>
      </c>
      <c r="D1289" s="1" t="s">
        <v>1827</v>
      </c>
      <c r="E1289" s="1" t="str">
        <f t="shared" si="20"/>
        <v>W01</v>
      </c>
      <c r="F1289" s="4">
        <v>1.76</v>
      </c>
      <c r="G1289" s="4">
        <v>1.76</v>
      </c>
      <c r="H1289" s="4">
        <v>1.76</v>
      </c>
      <c r="I1289" s="4"/>
      <c r="J1289" s="1" t="s">
        <v>775</v>
      </c>
      <c r="K1289" s="1" t="s">
        <v>1828</v>
      </c>
      <c r="L1289" s="1" t="s">
        <v>828</v>
      </c>
      <c r="M1289" s="1" t="s">
        <v>829</v>
      </c>
      <c r="N1289" s="1" t="s">
        <v>788</v>
      </c>
      <c r="O1289" s="6">
        <v>44033</v>
      </c>
      <c r="P1289" s="6">
        <v>44013</v>
      </c>
      <c r="Q1289" s="6"/>
      <c r="R1289" s="1" t="s">
        <v>830</v>
      </c>
      <c r="S1289" s="1" t="s">
        <v>79</v>
      </c>
      <c r="T1289" s="5">
        <v>60</v>
      </c>
      <c r="U1289" s="4">
        <v>25</v>
      </c>
      <c r="V1289" s="5">
        <v>782</v>
      </c>
      <c r="W1289" s="6">
        <v>43501</v>
      </c>
      <c r="X1289" s="6">
        <v>43720</v>
      </c>
      <c r="Y1289" s="6"/>
      <c r="Z1289" s="6"/>
      <c r="AA1289" s="6"/>
      <c r="AB1289" s="6"/>
      <c r="AC1289" s="6"/>
      <c r="AD1289" s="6"/>
    </row>
    <row r="1290" spans="1:30">
      <c r="A1290" s="1" t="s">
        <v>772</v>
      </c>
      <c r="B1290" s="1" t="s">
        <v>903</v>
      </c>
      <c r="C1290" s="1" t="s">
        <v>848</v>
      </c>
      <c r="D1290" s="1" t="s">
        <v>1829</v>
      </c>
      <c r="E1290" s="1" t="str">
        <f t="shared" si="20"/>
        <v>W02</v>
      </c>
      <c r="F1290" s="4">
        <v>0.8</v>
      </c>
      <c r="G1290" s="4">
        <v>0.8</v>
      </c>
      <c r="H1290" s="4">
        <v>0.8</v>
      </c>
      <c r="I1290" s="4"/>
      <c r="J1290" s="1" t="s">
        <v>775</v>
      </c>
      <c r="K1290" s="1" t="s">
        <v>1830</v>
      </c>
      <c r="L1290" s="1" t="s">
        <v>79</v>
      </c>
      <c r="M1290" s="1" t="s">
        <v>79</v>
      </c>
      <c r="N1290" s="1" t="s">
        <v>79</v>
      </c>
      <c r="O1290" s="6">
        <v>44413</v>
      </c>
      <c r="P1290" s="6">
        <v>43485</v>
      </c>
      <c r="Q1290" s="6">
        <v>43485</v>
      </c>
      <c r="R1290" s="1" t="s">
        <v>1804</v>
      </c>
      <c r="S1290" s="1" t="s">
        <v>79</v>
      </c>
      <c r="T1290" s="5">
        <v>0</v>
      </c>
      <c r="U1290" s="4">
        <v>43</v>
      </c>
      <c r="V1290" s="5">
        <v>1310</v>
      </c>
      <c r="W1290" s="6"/>
      <c r="X1290" s="6"/>
      <c r="Y1290" s="6"/>
      <c r="Z1290" s="6"/>
      <c r="AA1290" s="6"/>
      <c r="AB1290" s="6"/>
      <c r="AC1290" s="6"/>
      <c r="AD1290" s="6"/>
    </row>
    <row r="1291" spans="1:30">
      <c r="A1291" s="1" t="s">
        <v>772</v>
      </c>
      <c r="B1291" s="1" t="s">
        <v>903</v>
      </c>
      <c r="C1291" s="1" t="s">
        <v>848</v>
      </c>
      <c r="D1291" s="1" t="s">
        <v>1831</v>
      </c>
      <c r="E1291" s="1" t="str">
        <f t="shared" si="20"/>
        <v>W02</v>
      </c>
      <c r="F1291" s="4">
        <v>0.31</v>
      </c>
      <c r="G1291" s="4">
        <v>0.31</v>
      </c>
      <c r="H1291" s="4">
        <v>0.31</v>
      </c>
      <c r="I1291" s="4"/>
      <c r="J1291" s="1" t="s">
        <v>775</v>
      </c>
      <c r="K1291" s="1" t="s">
        <v>1830</v>
      </c>
      <c r="L1291" s="1" t="s">
        <v>79</v>
      </c>
      <c r="M1291" s="1" t="s">
        <v>79</v>
      </c>
      <c r="N1291" s="1" t="s">
        <v>79</v>
      </c>
      <c r="O1291" s="6">
        <v>44413</v>
      </c>
      <c r="P1291" s="6">
        <v>43054</v>
      </c>
      <c r="Q1291" s="6">
        <v>43054</v>
      </c>
      <c r="R1291" s="1" t="s">
        <v>1804</v>
      </c>
      <c r="S1291" s="1" t="s">
        <v>79</v>
      </c>
      <c r="T1291" s="5">
        <v>0</v>
      </c>
      <c r="U1291" s="4">
        <v>57</v>
      </c>
      <c r="V1291" s="5">
        <v>1741</v>
      </c>
      <c r="W1291" s="6"/>
      <c r="X1291" s="6"/>
      <c r="Y1291" s="6"/>
      <c r="Z1291" s="6"/>
      <c r="AA1291" s="6"/>
      <c r="AB1291" s="6"/>
      <c r="AC1291" s="6"/>
      <c r="AD1291" s="6"/>
    </row>
    <row r="1292" spans="1:30">
      <c r="A1292" s="1" t="s">
        <v>772</v>
      </c>
      <c r="B1292" s="1" t="s">
        <v>903</v>
      </c>
      <c r="C1292" s="1" t="s">
        <v>858</v>
      </c>
      <c r="D1292" s="1" t="s">
        <v>1832</v>
      </c>
      <c r="E1292" s="1" t="str">
        <f t="shared" si="20"/>
        <v>W04</v>
      </c>
      <c r="F1292" s="4">
        <v>0.16</v>
      </c>
      <c r="G1292" s="4">
        <v>0.16</v>
      </c>
      <c r="H1292" s="4">
        <v>0.16</v>
      </c>
      <c r="I1292" s="4"/>
      <c r="J1292" s="1" t="s">
        <v>775</v>
      </c>
      <c r="K1292" s="1" t="s">
        <v>1833</v>
      </c>
      <c r="L1292" s="1" t="s">
        <v>79</v>
      </c>
      <c r="M1292" s="1" t="s">
        <v>777</v>
      </c>
      <c r="N1292" s="1" t="s">
        <v>79</v>
      </c>
      <c r="O1292" s="6">
        <v>43949</v>
      </c>
      <c r="P1292" s="6">
        <v>43949</v>
      </c>
      <c r="Q1292" s="6">
        <v>43949</v>
      </c>
      <c r="R1292" s="1" t="s">
        <v>779</v>
      </c>
      <c r="S1292" s="1" t="s">
        <v>79</v>
      </c>
      <c r="T1292" s="5">
        <v>120</v>
      </c>
      <c r="U1292" s="4">
        <v>27</v>
      </c>
      <c r="V1292" s="5">
        <v>846</v>
      </c>
      <c r="W1292" s="6"/>
      <c r="X1292" s="6"/>
      <c r="Y1292" s="6"/>
      <c r="Z1292" s="6"/>
      <c r="AA1292" s="6"/>
      <c r="AB1292" s="6"/>
      <c r="AC1292" s="6"/>
      <c r="AD1292" s="6"/>
    </row>
    <row r="1293" spans="1:30">
      <c r="A1293" s="1" t="s">
        <v>772</v>
      </c>
      <c r="B1293" s="1" t="s">
        <v>903</v>
      </c>
      <c r="C1293" s="1" t="s">
        <v>848</v>
      </c>
      <c r="D1293" s="1" t="s">
        <v>1834</v>
      </c>
      <c r="E1293" s="1" t="str">
        <f t="shared" si="20"/>
        <v>W02</v>
      </c>
      <c r="F1293" s="4">
        <v>0.22</v>
      </c>
      <c r="G1293" s="4">
        <v>0.22</v>
      </c>
      <c r="H1293" s="4">
        <v>0.22</v>
      </c>
      <c r="I1293" s="4"/>
      <c r="J1293" s="1" t="s">
        <v>775</v>
      </c>
      <c r="K1293" s="1" t="s">
        <v>1835</v>
      </c>
      <c r="L1293" s="1" t="s">
        <v>1836</v>
      </c>
      <c r="M1293" s="1" t="s">
        <v>777</v>
      </c>
      <c r="N1293" s="1" t="s">
        <v>79</v>
      </c>
      <c r="O1293" s="6">
        <v>44379</v>
      </c>
      <c r="P1293" s="6">
        <v>44378</v>
      </c>
      <c r="Q1293" s="6">
        <v>44378</v>
      </c>
      <c r="R1293" s="1" t="s">
        <v>1837</v>
      </c>
      <c r="S1293" s="1" t="s">
        <v>1838</v>
      </c>
      <c r="T1293" s="5">
        <v>0</v>
      </c>
      <c r="U1293" s="4">
        <v>13</v>
      </c>
      <c r="V1293" s="5">
        <v>417</v>
      </c>
      <c r="W1293" s="6"/>
      <c r="X1293" s="6"/>
      <c r="Y1293" s="6"/>
      <c r="Z1293" s="6"/>
      <c r="AA1293" s="6"/>
      <c r="AB1293" s="6"/>
      <c r="AC1293" s="6"/>
      <c r="AD1293" s="6"/>
    </row>
    <row r="1294" spans="1:30">
      <c r="A1294" s="1" t="s">
        <v>772</v>
      </c>
      <c r="B1294" s="1" t="s">
        <v>903</v>
      </c>
      <c r="C1294" s="1" t="s">
        <v>848</v>
      </c>
      <c r="D1294" s="1" t="s">
        <v>1839</v>
      </c>
      <c r="E1294" s="1" t="str">
        <f t="shared" si="20"/>
        <v>W02</v>
      </c>
      <c r="F1294" s="4">
        <v>0.71</v>
      </c>
      <c r="G1294" s="4">
        <v>0.71</v>
      </c>
      <c r="H1294" s="4">
        <v>0.71</v>
      </c>
      <c r="I1294" s="4"/>
      <c r="J1294" s="1" t="s">
        <v>775</v>
      </c>
      <c r="K1294" s="1" t="s">
        <v>1840</v>
      </c>
      <c r="L1294" s="1" t="s">
        <v>1836</v>
      </c>
      <c r="M1294" s="1" t="s">
        <v>777</v>
      </c>
      <c r="N1294" s="1" t="s">
        <v>79</v>
      </c>
      <c r="O1294" s="6">
        <v>44571</v>
      </c>
      <c r="P1294" s="6">
        <v>44564</v>
      </c>
      <c r="Q1294" s="6">
        <v>44564</v>
      </c>
      <c r="R1294" s="1" t="s">
        <v>1837</v>
      </c>
      <c r="S1294" s="1" t="s">
        <v>1838</v>
      </c>
      <c r="T1294" s="5">
        <v>0</v>
      </c>
      <c r="U1294" s="4">
        <v>7</v>
      </c>
      <c r="V1294" s="5">
        <v>231</v>
      </c>
      <c r="W1294" s="6"/>
      <c r="X1294" s="6"/>
      <c r="Y1294" s="6"/>
      <c r="Z1294" s="6"/>
      <c r="AA1294" s="6"/>
      <c r="AB1294" s="6"/>
      <c r="AC1294" s="6"/>
      <c r="AD1294" s="6">
        <v>44664</v>
      </c>
    </row>
    <row r="1295" spans="1:30">
      <c r="A1295" s="1" t="s">
        <v>772</v>
      </c>
      <c r="B1295" s="1" t="s">
        <v>903</v>
      </c>
      <c r="C1295" s="1" t="s">
        <v>848</v>
      </c>
      <c r="D1295" s="1" t="s">
        <v>1841</v>
      </c>
      <c r="E1295" s="1" t="str">
        <f t="shared" si="20"/>
        <v>W02</v>
      </c>
      <c r="F1295" s="4">
        <v>1.25</v>
      </c>
      <c r="G1295" s="4">
        <v>1.25</v>
      </c>
      <c r="H1295" s="4">
        <v>1.25</v>
      </c>
      <c r="I1295" s="4"/>
      <c r="J1295" s="1" t="s">
        <v>775</v>
      </c>
      <c r="K1295" s="1" t="s">
        <v>1842</v>
      </c>
      <c r="L1295" s="1" t="s">
        <v>1843</v>
      </c>
      <c r="M1295" s="1" t="s">
        <v>79</v>
      </c>
      <c r="N1295" s="1" t="s">
        <v>79</v>
      </c>
      <c r="O1295" s="6">
        <v>43699</v>
      </c>
      <c r="P1295" s="6">
        <v>43694</v>
      </c>
      <c r="Q1295" s="6">
        <v>43694</v>
      </c>
      <c r="R1295" s="1" t="s">
        <v>1235</v>
      </c>
      <c r="S1295" s="1" t="s">
        <v>79</v>
      </c>
      <c r="T1295" s="5">
        <v>0</v>
      </c>
      <c r="U1295" s="4">
        <v>36</v>
      </c>
      <c r="V1295" s="5">
        <v>1101</v>
      </c>
      <c r="W1295" s="6"/>
      <c r="X1295" s="6"/>
      <c r="Y1295" s="6"/>
      <c r="Z1295" s="6"/>
      <c r="AA1295" s="6"/>
      <c r="AB1295" s="6"/>
      <c r="AC1295" s="6"/>
      <c r="AD1295" s="6"/>
    </row>
    <row r="1296" spans="1:30">
      <c r="A1296" s="1" t="s">
        <v>772</v>
      </c>
      <c r="B1296" s="1" t="s">
        <v>903</v>
      </c>
      <c r="C1296" s="1" t="s">
        <v>848</v>
      </c>
      <c r="D1296" s="1" t="s">
        <v>1844</v>
      </c>
      <c r="E1296" s="1" t="str">
        <f t="shared" si="20"/>
        <v>W02</v>
      </c>
      <c r="F1296" s="4">
        <v>1.75</v>
      </c>
      <c r="G1296" s="4">
        <v>1.75</v>
      </c>
      <c r="H1296" s="4">
        <v>1.75</v>
      </c>
      <c r="I1296" s="4"/>
      <c r="J1296" s="1" t="s">
        <v>775</v>
      </c>
      <c r="K1296" s="1" t="s">
        <v>1845</v>
      </c>
      <c r="L1296" s="1" t="s">
        <v>788</v>
      </c>
      <c r="M1296" s="1" t="s">
        <v>777</v>
      </c>
      <c r="N1296" s="1" t="s">
        <v>787</v>
      </c>
      <c r="O1296" s="6">
        <v>43845</v>
      </c>
      <c r="P1296" s="6">
        <v>43831</v>
      </c>
      <c r="Q1296" s="6">
        <v>43831</v>
      </c>
      <c r="R1296" s="1" t="s">
        <v>1235</v>
      </c>
      <c r="S1296" s="1" t="s">
        <v>79</v>
      </c>
      <c r="T1296" s="5">
        <v>0</v>
      </c>
      <c r="U1296" s="4">
        <v>31</v>
      </c>
      <c r="V1296" s="5">
        <v>964</v>
      </c>
      <c r="W1296" s="6">
        <v>43622</v>
      </c>
      <c r="X1296" s="6">
        <v>43653</v>
      </c>
      <c r="Y1296" s="6"/>
      <c r="Z1296" s="6"/>
      <c r="AA1296" s="6"/>
      <c r="AB1296" s="6"/>
      <c r="AC1296" s="6"/>
      <c r="AD1296" s="6"/>
    </row>
    <row r="1297" spans="1:30">
      <c r="A1297" s="1" t="s">
        <v>772</v>
      </c>
      <c r="B1297" s="1" t="s">
        <v>903</v>
      </c>
      <c r="C1297" s="1" t="s">
        <v>774</v>
      </c>
      <c r="D1297" s="1" t="s">
        <v>1846</v>
      </c>
      <c r="E1297" s="1" t="str">
        <f t="shared" si="20"/>
        <v>W01</v>
      </c>
      <c r="F1297" s="4">
        <v>1</v>
      </c>
      <c r="G1297" s="4">
        <v>1</v>
      </c>
      <c r="H1297" s="4">
        <v>1</v>
      </c>
      <c r="I1297" s="4"/>
      <c r="J1297" s="1" t="s">
        <v>775</v>
      </c>
      <c r="K1297" s="1" t="s">
        <v>1803</v>
      </c>
      <c r="L1297" s="1" t="s">
        <v>79</v>
      </c>
      <c r="M1297" s="1" t="s">
        <v>79</v>
      </c>
      <c r="N1297" s="1" t="s">
        <v>79</v>
      </c>
      <c r="O1297" s="6">
        <v>44407</v>
      </c>
      <c r="P1297" s="6">
        <v>43570</v>
      </c>
      <c r="Q1297" s="6">
        <v>43570</v>
      </c>
      <c r="R1297" s="1" t="s">
        <v>1804</v>
      </c>
      <c r="S1297" s="1" t="s">
        <v>79</v>
      </c>
      <c r="T1297" s="5">
        <v>0</v>
      </c>
      <c r="U1297" s="4">
        <v>40</v>
      </c>
      <c r="V1297" s="5">
        <v>1225</v>
      </c>
      <c r="W1297" s="6"/>
      <c r="X1297" s="6"/>
      <c r="Y1297" s="6"/>
      <c r="Z1297" s="6"/>
      <c r="AA1297" s="6"/>
      <c r="AB1297" s="6"/>
      <c r="AC1297" s="6"/>
      <c r="AD1297" s="6"/>
    </row>
    <row r="1298" spans="1:30">
      <c r="A1298" s="1" t="s">
        <v>772</v>
      </c>
      <c r="B1298" s="1" t="s">
        <v>903</v>
      </c>
      <c r="C1298" s="1" t="s">
        <v>774</v>
      </c>
      <c r="D1298" s="1" t="s">
        <v>1847</v>
      </c>
      <c r="E1298" s="1" t="str">
        <f t="shared" si="20"/>
        <v>W01</v>
      </c>
      <c r="F1298" s="4">
        <v>0.76</v>
      </c>
      <c r="G1298" s="4">
        <v>0.76</v>
      </c>
      <c r="H1298" s="4">
        <v>0.76</v>
      </c>
      <c r="I1298" s="4"/>
      <c r="J1298" s="1" t="s">
        <v>775</v>
      </c>
      <c r="K1298" s="1" t="s">
        <v>1803</v>
      </c>
      <c r="L1298" s="1" t="s">
        <v>79</v>
      </c>
      <c r="M1298" s="1" t="s">
        <v>79</v>
      </c>
      <c r="N1298" s="1" t="s">
        <v>79</v>
      </c>
      <c r="O1298" s="6">
        <v>44407</v>
      </c>
      <c r="P1298" s="6">
        <v>43636</v>
      </c>
      <c r="Q1298" s="6">
        <v>43636</v>
      </c>
      <c r="R1298" s="1" t="s">
        <v>1804</v>
      </c>
      <c r="S1298" s="1" t="s">
        <v>79</v>
      </c>
      <c r="T1298" s="5">
        <v>0</v>
      </c>
      <c r="U1298" s="4">
        <v>38</v>
      </c>
      <c r="V1298" s="5">
        <v>1159</v>
      </c>
      <c r="W1298" s="6"/>
      <c r="X1298" s="6"/>
      <c r="Y1298" s="6"/>
      <c r="Z1298" s="6"/>
      <c r="AA1298" s="6"/>
      <c r="AB1298" s="6"/>
      <c r="AC1298" s="6"/>
      <c r="AD1298" s="6"/>
    </row>
    <row r="1299" spans="1:30">
      <c r="A1299" s="1" t="s">
        <v>772</v>
      </c>
      <c r="B1299" s="1" t="s">
        <v>903</v>
      </c>
      <c r="C1299" s="1" t="s">
        <v>774</v>
      </c>
      <c r="D1299" s="1" t="s">
        <v>1848</v>
      </c>
      <c r="E1299" s="1" t="str">
        <f t="shared" si="20"/>
        <v>W01</v>
      </c>
      <c r="F1299" s="4">
        <v>5.25</v>
      </c>
      <c r="G1299" s="4">
        <v>5.25</v>
      </c>
      <c r="H1299" s="4">
        <v>5.25</v>
      </c>
      <c r="I1299" s="4"/>
      <c r="J1299" s="1" t="s">
        <v>775</v>
      </c>
      <c r="K1299" s="1" t="s">
        <v>1803</v>
      </c>
      <c r="L1299" s="1" t="s">
        <v>79</v>
      </c>
      <c r="M1299" s="1" t="s">
        <v>79</v>
      </c>
      <c r="N1299" s="1" t="s">
        <v>79</v>
      </c>
      <c r="O1299" s="6">
        <v>44407</v>
      </c>
      <c r="P1299" s="6">
        <v>43570</v>
      </c>
      <c r="Q1299" s="6">
        <v>43570</v>
      </c>
      <c r="R1299" s="1" t="s">
        <v>1804</v>
      </c>
      <c r="S1299" s="1" t="s">
        <v>79</v>
      </c>
      <c r="T1299" s="5">
        <v>0</v>
      </c>
      <c r="U1299" s="4">
        <v>40</v>
      </c>
      <c r="V1299" s="5">
        <v>1225</v>
      </c>
      <c r="W1299" s="6"/>
      <c r="X1299" s="6"/>
      <c r="Y1299" s="6"/>
      <c r="Z1299" s="6"/>
      <c r="AA1299" s="6"/>
      <c r="AB1299" s="6"/>
      <c r="AC1299" s="6"/>
      <c r="AD1299" s="6"/>
    </row>
    <row r="1300" spans="1:30">
      <c r="A1300" s="1" t="s">
        <v>772</v>
      </c>
      <c r="B1300" s="1" t="s">
        <v>903</v>
      </c>
      <c r="C1300" s="1" t="s">
        <v>774</v>
      </c>
      <c r="D1300" s="1" t="s">
        <v>1849</v>
      </c>
      <c r="E1300" s="1" t="str">
        <f t="shared" si="20"/>
        <v>W01</v>
      </c>
      <c r="F1300" s="4">
        <v>1.1200000000000001</v>
      </c>
      <c r="G1300" s="4">
        <v>1.1200000000000001</v>
      </c>
      <c r="H1300" s="4">
        <v>1.1200000000000001</v>
      </c>
      <c r="I1300" s="4"/>
      <c r="J1300" s="1" t="s">
        <v>775</v>
      </c>
      <c r="K1300" s="1" t="s">
        <v>1803</v>
      </c>
      <c r="L1300" s="1" t="s">
        <v>79</v>
      </c>
      <c r="M1300" s="1" t="s">
        <v>79</v>
      </c>
      <c r="N1300" s="1" t="s">
        <v>79</v>
      </c>
      <c r="O1300" s="6">
        <v>44407</v>
      </c>
      <c r="P1300" s="6">
        <v>43636</v>
      </c>
      <c r="Q1300" s="6">
        <v>43636</v>
      </c>
      <c r="R1300" s="1" t="s">
        <v>1804</v>
      </c>
      <c r="S1300" s="1" t="s">
        <v>79</v>
      </c>
      <c r="T1300" s="5">
        <v>0</v>
      </c>
      <c r="U1300" s="4">
        <v>38</v>
      </c>
      <c r="V1300" s="5">
        <v>1159</v>
      </c>
      <c r="W1300" s="6"/>
      <c r="X1300" s="6"/>
      <c r="Y1300" s="6"/>
      <c r="Z1300" s="6"/>
      <c r="AA1300" s="6"/>
      <c r="AB1300" s="6"/>
      <c r="AC1300" s="6"/>
      <c r="AD1300" s="6"/>
    </row>
    <row r="1301" spans="1:30">
      <c r="A1301" s="1" t="s">
        <v>772</v>
      </c>
      <c r="B1301" s="1" t="s">
        <v>903</v>
      </c>
      <c r="C1301" s="1" t="s">
        <v>848</v>
      </c>
      <c r="D1301" s="1" t="s">
        <v>1850</v>
      </c>
      <c r="E1301" s="1" t="str">
        <f t="shared" si="20"/>
        <v>W02</v>
      </c>
      <c r="F1301" s="4">
        <v>1.49</v>
      </c>
      <c r="G1301" s="4">
        <v>1.49</v>
      </c>
      <c r="H1301" s="4">
        <v>1.49</v>
      </c>
      <c r="I1301" s="4"/>
      <c r="J1301" s="1" t="s">
        <v>775</v>
      </c>
      <c r="K1301" s="1" t="s">
        <v>1842</v>
      </c>
      <c r="L1301" s="1" t="s">
        <v>1843</v>
      </c>
      <c r="M1301" s="1" t="s">
        <v>777</v>
      </c>
      <c r="N1301" s="1" t="s">
        <v>788</v>
      </c>
      <c r="O1301" s="6">
        <v>43699</v>
      </c>
      <c r="P1301" s="6">
        <v>43694</v>
      </c>
      <c r="Q1301" s="6">
        <v>43694</v>
      </c>
      <c r="R1301" s="1" t="s">
        <v>1235</v>
      </c>
      <c r="S1301" s="1" t="s">
        <v>79</v>
      </c>
      <c r="T1301" s="5">
        <v>0</v>
      </c>
      <c r="U1301" s="4">
        <v>36</v>
      </c>
      <c r="V1301" s="5">
        <v>1101</v>
      </c>
      <c r="W1301" s="6">
        <v>43809</v>
      </c>
      <c r="X1301" s="6">
        <v>43714</v>
      </c>
      <c r="Y1301" s="6"/>
      <c r="Z1301" s="6"/>
      <c r="AA1301" s="6"/>
      <c r="AB1301" s="6"/>
      <c r="AC1301" s="6"/>
      <c r="AD1301" s="6"/>
    </row>
    <row r="1302" spans="1:30">
      <c r="A1302" s="1" t="s">
        <v>772</v>
      </c>
      <c r="B1302" s="1" t="s">
        <v>903</v>
      </c>
      <c r="C1302" s="1" t="s">
        <v>858</v>
      </c>
      <c r="D1302" s="1" t="s">
        <v>1851</v>
      </c>
      <c r="E1302" s="1" t="str">
        <f t="shared" si="20"/>
        <v>W04</v>
      </c>
      <c r="F1302" s="4">
        <v>0.96</v>
      </c>
      <c r="G1302" s="4">
        <v>0.96</v>
      </c>
      <c r="H1302" s="4">
        <v>0.96</v>
      </c>
      <c r="I1302" s="4"/>
      <c r="J1302" s="1" t="s">
        <v>775</v>
      </c>
      <c r="K1302" s="1" t="s">
        <v>1852</v>
      </c>
      <c r="L1302" s="1" t="s">
        <v>79</v>
      </c>
      <c r="M1302" s="1" t="s">
        <v>79</v>
      </c>
      <c r="N1302" s="1" t="s">
        <v>79</v>
      </c>
      <c r="O1302" s="6">
        <v>44407</v>
      </c>
      <c r="P1302" s="6">
        <v>43574</v>
      </c>
      <c r="Q1302" s="6">
        <v>43574</v>
      </c>
      <c r="R1302" s="1" t="s">
        <v>1235</v>
      </c>
      <c r="S1302" s="1" t="s">
        <v>79</v>
      </c>
      <c r="T1302" s="5">
        <v>0</v>
      </c>
      <c r="U1302" s="4">
        <v>40</v>
      </c>
      <c r="V1302" s="5">
        <v>1221</v>
      </c>
      <c r="W1302" s="6"/>
      <c r="X1302" s="6"/>
      <c r="Y1302" s="6"/>
      <c r="Z1302" s="6"/>
      <c r="AA1302" s="6"/>
      <c r="AB1302" s="6"/>
      <c r="AC1302" s="6"/>
      <c r="AD1302" s="6"/>
    </row>
    <row r="1303" spans="1:30">
      <c r="A1303" s="1" t="s">
        <v>772</v>
      </c>
      <c r="B1303" s="1" t="s">
        <v>903</v>
      </c>
      <c r="C1303" s="1" t="s">
        <v>858</v>
      </c>
      <c r="D1303" s="1" t="s">
        <v>1853</v>
      </c>
      <c r="E1303" s="1" t="str">
        <f t="shared" si="20"/>
        <v>W04</v>
      </c>
      <c r="F1303" s="4">
        <v>0.56999999999999995</v>
      </c>
      <c r="G1303" s="4">
        <v>0.56999999999999995</v>
      </c>
      <c r="H1303" s="4">
        <v>0.56999999999999995</v>
      </c>
      <c r="I1303" s="4"/>
      <c r="J1303" s="1" t="s">
        <v>775</v>
      </c>
      <c r="K1303" s="1" t="s">
        <v>1803</v>
      </c>
      <c r="L1303" s="1" t="s">
        <v>79</v>
      </c>
      <c r="M1303" s="1" t="s">
        <v>79</v>
      </c>
      <c r="N1303" s="1" t="s">
        <v>79</v>
      </c>
      <c r="O1303" s="6">
        <v>44407</v>
      </c>
      <c r="P1303" s="6">
        <v>43845</v>
      </c>
      <c r="Q1303" s="6">
        <v>43845</v>
      </c>
      <c r="R1303" s="1" t="s">
        <v>1804</v>
      </c>
      <c r="S1303" s="1" t="s">
        <v>79</v>
      </c>
      <c r="T1303" s="5">
        <v>0</v>
      </c>
      <c r="U1303" s="4">
        <v>31</v>
      </c>
      <c r="V1303" s="5">
        <v>950</v>
      </c>
      <c r="W1303" s="6"/>
      <c r="X1303" s="6"/>
      <c r="Y1303" s="6"/>
      <c r="Z1303" s="6"/>
      <c r="AA1303" s="6"/>
      <c r="AB1303" s="6"/>
      <c r="AC1303" s="6"/>
      <c r="AD1303" s="6"/>
    </row>
    <row r="1304" spans="1:30">
      <c r="A1304" s="1" t="s">
        <v>772</v>
      </c>
      <c r="B1304" s="1" t="s">
        <v>903</v>
      </c>
      <c r="C1304" s="1" t="s">
        <v>858</v>
      </c>
      <c r="D1304" s="1" t="s">
        <v>1854</v>
      </c>
      <c r="E1304" s="1" t="str">
        <f t="shared" si="20"/>
        <v>W04</v>
      </c>
      <c r="F1304" s="4">
        <v>0.54</v>
      </c>
      <c r="G1304" s="4">
        <v>0.54</v>
      </c>
      <c r="H1304" s="4">
        <v>0.54</v>
      </c>
      <c r="I1304" s="4"/>
      <c r="J1304" s="1" t="s">
        <v>775</v>
      </c>
      <c r="K1304" s="1" t="s">
        <v>1855</v>
      </c>
      <c r="L1304" s="1" t="s">
        <v>79</v>
      </c>
      <c r="M1304" s="1" t="s">
        <v>79</v>
      </c>
      <c r="N1304" s="1" t="s">
        <v>79</v>
      </c>
      <c r="O1304" s="6">
        <v>43699</v>
      </c>
      <c r="P1304" s="6">
        <v>43572</v>
      </c>
      <c r="Q1304" s="6">
        <v>43572</v>
      </c>
      <c r="R1304" s="1" t="s">
        <v>1235</v>
      </c>
      <c r="S1304" s="1" t="s">
        <v>79</v>
      </c>
      <c r="T1304" s="5">
        <v>0</v>
      </c>
      <c r="U1304" s="4">
        <v>40</v>
      </c>
      <c r="V1304" s="5">
        <v>1223</v>
      </c>
      <c r="W1304" s="6"/>
      <c r="X1304" s="6"/>
      <c r="Y1304" s="6"/>
      <c r="Z1304" s="6"/>
      <c r="AA1304" s="6"/>
      <c r="AB1304" s="6"/>
      <c r="AC1304" s="6"/>
      <c r="AD1304" s="6"/>
    </row>
    <row r="1305" spans="1:30">
      <c r="A1305" s="1" t="s">
        <v>772</v>
      </c>
      <c r="B1305" s="1" t="s">
        <v>903</v>
      </c>
      <c r="C1305" s="1" t="s">
        <v>858</v>
      </c>
      <c r="D1305" s="1" t="s">
        <v>1856</v>
      </c>
      <c r="E1305" s="1" t="str">
        <f t="shared" si="20"/>
        <v>W04</v>
      </c>
      <c r="F1305" s="4">
        <v>1.7</v>
      </c>
      <c r="G1305" s="4">
        <v>1.7</v>
      </c>
      <c r="H1305" s="4">
        <v>1.7</v>
      </c>
      <c r="I1305" s="4"/>
      <c r="J1305" s="1" t="s">
        <v>775</v>
      </c>
      <c r="K1305" s="1" t="s">
        <v>1857</v>
      </c>
      <c r="L1305" s="1" t="s">
        <v>79</v>
      </c>
      <c r="M1305" s="1" t="s">
        <v>79</v>
      </c>
      <c r="N1305" s="1" t="s">
        <v>79</v>
      </c>
      <c r="O1305" s="6">
        <v>43699</v>
      </c>
      <c r="P1305" s="6">
        <v>43572</v>
      </c>
      <c r="Q1305" s="6">
        <v>43572</v>
      </c>
      <c r="R1305" s="1" t="s">
        <v>1235</v>
      </c>
      <c r="S1305" s="1" t="s">
        <v>79</v>
      </c>
      <c r="T1305" s="5">
        <v>0</v>
      </c>
      <c r="U1305" s="4">
        <v>40</v>
      </c>
      <c r="V1305" s="5">
        <v>1223</v>
      </c>
      <c r="W1305" s="6"/>
      <c r="X1305" s="6"/>
      <c r="Y1305" s="6"/>
      <c r="Z1305" s="6"/>
      <c r="AA1305" s="6"/>
      <c r="AB1305" s="6"/>
      <c r="AC1305" s="6"/>
      <c r="AD1305" s="6"/>
    </row>
    <row r="1306" spans="1:30">
      <c r="A1306" s="1" t="s">
        <v>772</v>
      </c>
      <c r="B1306" s="1" t="s">
        <v>903</v>
      </c>
      <c r="C1306" s="1" t="s">
        <v>848</v>
      </c>
      <c r="D1306" s="1" t="s">
        <v>1858</v>
      </c>
      <c r="E1306" s="1" t="str">
        <f t="shared" si="20"/>
        <v>W02</v>
      </c>
      <c r="F1306" s="4">
        <v>0.98</v>
      </c>
      <c r="G1306" s="4">
        <v>0.98</v>
      </c>
      <c r="H1306" s="4">
        <v>0.98</v>
      </c>
      <c r="I1306" s="4"/>
      <c r="J1306" s="1" t="s">
        <v>775</v>
      </c>
      <c r="K1306" s="1" t="s">
        <v>1842</v>
      </c>
      <c r="L1306" s="1" t="s">
        <v>79</v>
      </c>
      <c r="M1306" s="1" t="s">
        <v>79</v>
      </c>
      <c r="N1306" s="1" t="s">
        <v>79</v>
      </c>
      <c r="O1306" s="6">
        <v>43699</v>
      </c>
      <c r="P1306" s="6">
        <v>43572</v>
      </c>
      <c r="Q1306" s="6">
        <v>43572</v>
      </c>
      <c r="R1306" s="1" t="s">
        <v>1235</v>
      </c>
      <c r="S1306" s="1" t="s">
        <v>79</v>
      </c>
      <c r="T1306" s="5">
        <v>0</v>
      </c>
      <c r="U1306" s="4">
        <v>40</v>
      </c>
      <c r="V1306" s="5">
        <v>1223</v>
      </c>
      <c r="W1306" s="6"/>
      <c r="X1306" s="6"/>
      <c r="Y1306" s="6"/>
      <c r="Z1306" s="6"/>
      <c r="AA1306" s="6"/>
      <c r="AB1306" s="6"/>
      <c r="AC1306" s="6"/>
      <c r="AD1306" s="6"/>
    </row>
    <row r="1307" spans="1:30">
      <c r="A1307" s="1" t="s">
        <v>772</v>
      </c>
      <c r="B1307" s="1" t="s">
        <v>903</v>
      </c>
      <c r="C1307" s="1" t="s">
        <v>848</v>
      </c>
      <c r="D1307" s="1" t="s">
        <v>1859</v>
      </c>
      <c r="E1307" s="1" t="str">
        <f t="shared" si="20"/>
        <v>W02</v>
      </c>
      <c r="F1307" s="4">
        <v>1.17</v>
      </c>
      <c r="G1307" s="4">
        <v>1.17</v>
      </c>
      <c r="H1307" s="4">
        <v>1.17</v>
      </c>
      <c r="I1307" s="4"/>
      <c r="J1307" s="1" t="s">
        <v>775</v>
      </c>
      <c r="K1307" s="1" t="s">
        <v>1234</v>
      </c>
      <c r="L1307" s="1" t="s">
        <v>788</v>
      </c>
      <c r="M1307" s="1" t="s">
        <v>777</v>
      </c>
      <c r="N1307" s="1" t="s">
        <v>787</v>
      </c>
      <c r="O1307" s="6">
        <v>44033</v>
      </c>
      <c r="P1307" s="6">
        <v>43922</v>
      </c>
      <c r="Q1307" s="6">
        <v>43922</v>
      </c>
      <c r="R1307" s="1" t="s">
        <v>1235</v>
      </c>
      <c r="S1307" s="1" t="s">
        <v>79</v>
      </c>
      <c r="T1307" s="5">
        <v>0</v>
      </c>
      <c r="U1307" s="4">
        <v>28</v>
      </c>
      <c r="V1307" s="5">
        <v>873</v>
      </c>
      <c r="W1307" s="6">
        <v>43710</v>
      </c>
      <c r="X1307" s="6">
        <v>42572</v>
      </c>
      <c r="Y1307" s="6"/>
      <c r="Z1307" s="6"/>
      <c r="AA1307" s="6"/>
      <c r="AB1307" s="6"/>
      <c r="AC1307" s="6"/>
      <c r="AD1307" s="6"/>
    </row>
    <row r="1308" spans="1:30">
      <c r="A1308" s="1" t="s">
        <v>772</v>
      </c>
      <c r="B1308" s="1" t="s">
        <v>903</v>
      </c>
      <c r="C1308" s="1" t="s">
        <v>848</v>
      </c>
      <c r="D1308" s="1" t="s">
        <v>1860</v>
      </c>
      <c r="E1308" s="1" t="str">
        <f t="shared" si="20"/>
        <v>W02</v>
      </c>
      <c r="F1308" s="4">
        <v>0.03</v>
      </c>
      <c r="G1308" s="4">
        <v>0.03</v>
      </c>
      <c r="H1308" s="4">
        <v>0.03</v>
      </c>
      <c r="I1308" s="4"/>
      <c r="J1308" s="1" t="s">
        <v>775</v>
      </c>
      <c r="K1308" s="1" t="s">
        <v>1803</v>
      </c>
      <c r="L1308" s="1" t="s">
        <v>79</v>
      </c>
      <c r="M1308" s="1" t="s">
        <v>79</v>
      </c>
      <c r="N1308" s="1" t="s">
        <v>79</v>
      </c>
      <c r="O1308" s="6">
        <v>44407</v>
      </c>
      <c r="P1308" s="6">
        <v>44397</v>
      </c>
      <c r="Q1308" s="6">
        <v>44397</v>
      </c>
      <c r="R1308" s="1" t="s">
        <v>1804</v>
      </c>
      <c r="S1308" s="1" t="s">
        <v>79</v>
      </c>
      <c r="T1308" s="5">
        <v>0</v>
      </c>
      <c r="U1308" s="4">
        <v>13</v>
      </c>
      <c r="V1308" s="5">
        <v>398</v>
      </c>
      <c r="W1308" s="6"/>
      <c r="X1308" s="6"/>
      <c r="Y1308" s="6"/>
      <c r="Z1308" s="6"/>
      <c r="AA1308" s="6"/>
      <c r="AB1308" s="6"/>
      <c r="AC1308" s="6"/>
      <c r="AD1308" s="6"/>
    </row>
    <row r="1309" spans="1:30">
      <c r="A1309" s="1" t="s">
        <v>772</v>
      </c>
      <c r="B1309" s="1" t="s">
        <v>903</v>
      </c>
      <c r="C1309" s="1" t="s">
        <v>848</v>
      </c>
      <c r="D1309" s="1" t="s">
        <v>1861</v>
      </c>
      <c r="E1309" s="1" t="str">
        <f t="shared" si="20"/>
        <v>W02</v>
      </c>
      <c r="F1309" s="4">
        <v>1.19</v>
      </c>
      <c r="G1309" s="4">
        <v>1.19</v>
      </c>
      <c r="H1309" s="4">
        <v>1.19</v>
      </c>
      <c r="I1309" s="4"/>
      <c r="J1309" s="1" t="s">
        <v>775</v>
      </c>
      <c r="K1309" s="1" t="s">
        <v>1862</v>
      </c>
      <c r="L1309" s="1" t="s">
        <v>79</v>
      </c>
      <c r="M1309" s="1" t="s">
        <v>79</v>
      </c>
      <c r="N1309" s="1" t="s">
        <v>79</v>
      </c>
      <c r="O1309" s="6">
        <v>44469</v>
      </c>
      <c r="P1309" s="6">
        <v>44440</v>
      </c>
      <c r="Q1309" s="6">
        <v>44440</v>
      </c>
      <c r="R1309" s="1" t="s">
        <v>1837</v>
      </c>
      <c r="S1309" s="1" t="s">
        <v>79</v>
      </c>
      <c r="T1309" s="5">
        <v>0</v>
      </c>
      <c r="U1309" s="4">
        <v>11</v>
      </c>
      <c r="V1309" s="5">
        <v>355</v>
      </c>
      <c r="W1309" s="6"/>
      <c r="X1309" s="6"/>
      <c r="Y1309" s="6"/>
      <c r="Z1309" s="6"/>
      <c r="AA1309" s="6"/>
      <c r="AB1309" s="6"/>
      <c r="AC1309" s="6"/>
      <c r="AD1309" s="6"/>
    </row>
    <row r="1310" spans="1:30">
      <c r="A1310" s="1" t="s">
        <v>772</v>
      </c>
      <c r="B1310" s="1" t="s">
        <v>903</v>
      </c>
      <c r="C1310" s="1" t="s">
        <v>848</v>
      </c>
      <c r="D1310" s="1" t="s">
        <v>1863</v>
      </c>
      <c r="E1310" s="1" t="str">
        <f t="shared" si="20"/>
        <v>W02</v>
      </c>
      <c r="F1310" s="4">
        <v>3.51</v>
      </c>
      <c r="G1310" s="4">
        <v>3.51</v>
      </c>
      <c r="H1310" s="4">
        <v>3.51</v>
      </c>
      <c r="I1310" s="4"/>
      <c r="J1310" s="1" t="s">
        <v>775</v>
      </c>
      <c r="K1310" s="1" t="s">
        <v>1864</v>
      </c>
      <c r="L1310" s="1" t="s">
        <v>79</v>
      </c>
      <c r="M1310" s="1" t="s">
        <v>79</v>
      </c>
      <c r="N1310" s="1" t="s">
        <v>79</v>
      </c>
      <c r="O1310" s="6">
        <v>44469</v>
      </c>
      <c r="P1310" s="6">
        <v>44357</v>
      </c>
      <c r="Q1310" s="6">
        <v>44357</v>
      </c>
      <c r="R1310" s="1" t="s">
        <v>1865</v>
      </c>
      <c r="S1310" s="1" t="s">
        <v>79</v>
      </c>
      <c r="T1310" s="5">
        <v>0</v>
      </c>
      <c r="U1310" s="4">
        <v>14</v>
      </c>
      <c r="V1310" s="5">
        <v>438</v>
      </c>
      <c r="W1310" s="6"/>
      <c r="X1310" s="6"/>
      <c r="Y1310" s="6"/>
      <c r="Z1310" s="6"/>
      <c r="AA1310" s="6"/>
      <c r="AB1310" s="6"/>
      <c r="AC1310" s="6"/>
      <c r="AD1310" s="6">
        <v>44610</v>
      </c>
    </row>
    <row r="1311" spans="1:30">
      <c r="A1311" s="1" t="s">
        <v>772</v>
      </c>
      <c r="B1311" s="1" t="s">
        <v>903</v>
      </c>
      <c r="C1311" s="1" t="s">
        <v>848</v>
      </c>
      <c r="D1311" s="1" t="s">
        <v>1866</v>
      </c>
      <c r="E1311" s="1" t="str">
        <f t="shared" si="20"/>
        <v>W02</v>
      </c>
      <c r="F1311" s="4">
        <v>0.69</v>
      </c>
      <c r="G1311" s="4">
        <v>0.69</v>
      </c>
      <c r="H1311" s="4">
        <v>0.69</v>
      </c>
      <c r="I1311" s="4"/>
      <c r="J1311" s="1" t="s">
        <v>775</v>
      </c>
      <c r="K1311" s="1" t="s">
        <v>1867</v>
      </c>
      <c r="L1311" s="1" t="s">
        <v>79</v>
      </c>
      <c r="M1311" s="1" t="s">
        <v>79</v>
      </c>
      <c r="N1311" s="1" t="s">
        <v>79</v>
      </c>
      <c r="O1311" s="6">
        <v>44469</v>
      </c>
      <c r="P1311" s="6">
        <v>44359</v>
      </c>
      <c r="Q1311" s="6">
        <v>44359</v>
      </c>
      <c r="R1311" s="1" t="s">
        <v>1868</v>
      </c>
      <c r="S1311" s="1" t="s">
        <v>79</v>
      </c>
      <c r="T1311" s="5">
        <v>0</v>
      </c>
      <c r="U1311" s="4">
        <v>14</v>
      </c>
      <c r="V1311" s="5">
        <v>436</v>
      </c>
      <c r="W1311" s="6"/>
      <c r="X1311" s="6"/>
      <c r="Y1311" s="6"/>
      <c r="Z1311" s="6"/>
      <c r="AA1311" s="6"/>
      <c r="AB1311" s="6"/>
      <c r="AC1311" s="6"/>
      <c r="AD1311" s="6">
        <v>44610</v>
      </c>
    </row>
    <row r="1312" spans="1:30">
      <c r="A1312" s="1" t="s">
        <v>772</v>
      </c>
      <c r="B1312" s="1" t="s">
        <v>903</v>
      </c>
      <c r="C1312" s="1" t="s">
        <v>858</v>
      </c>
      <c r="D1312" s="1" t="s">
        <v>1869</v>
      </c>
      <c r="E1312" s="1" t="str">
        <f t="shared" si="20"/>
        <v>W04</v>
      </c>
      <c r="F1312" s="4">
        <v>0.73</v>
      </c>
      <c r="G1312" s="4">
        <v>0.73</v>
      </c>
      <c r="H1312" s="4">
        <v>0.73</v>
      </c>
      <c r="I1312" s="4"/>
      <c r="J1312" s="1" t="s">
        <v>775</v>
      </c>
      <c r="K1312" s="1" t="s">
        <v>1870</v>
      </c>
      <c r="L1312" s="1" t="s">
        <v>79</v>
      </c>
      <c r="M1312" s="1" t="s">
        <v>79</v>
      </c>
      <c r="N1312" s="1" t="s">
        <v>79</v>
      </c>
      <c r="O1312" s="6">
        <v>44469</v>
      </c>
      <c r="P1312" s="6">
        <v>44197</v>
      </c>
      <c r="Q1312" s="6">
        <v>44197</v>
      </c>
      <c r="R1312" s="1" t="s">
        <v>1235</v>
      </c>
      <c r="S1312" s="1" t="s">
        <v>79</v>
      </c>
      <c r="T1312" s="5">
        <v>0</v>
      </c>
      <c r="U1312" s="4">
        <v>19</v>
      </c>
      <c r="V1312" s="5">
        <v>598</v>
      </c>
      <c r="W1312" s="6"/>
      <c r="X1312" s="6"/>
      <c r="Y1312" s="6"/>
      <c r="Z1312" s="6"/>
      <c r="AA1312" s="6"/>
      <c r="AB1312" s="6"/>
      <c r="AC1312" s="6"/>
      <c r="AD1312" s="6">
        <v>44501</v>
      </c>
    </row>
    <row r="1313" spans="1:30">
      <c r="A1313" s="1" t="s">
        <v>772</v>
      </c>
      <c r="B1313" s="1" t="s">
        <v>903</v>
      </c>
      <c r="C1313" s="1" t="s">
        <v>858</v>
      </c>
      <c r="D1313" s="1" t="s">
        <v>1871</v>
      </c>
      <c r="E1313" s="1" t="str">
        <f t="shared" si="20"/>
        <v>W04</v>
      </c>
      <c r="F1313" s="4">
        <v>0.82</v>
      </c>
      <c r="G1313" s="4">
        <v>0.82</v>
      </c>
      <c r="H1313" s="4">
        <v>0.82</v>
      </c>
      <c r="I1313" s="4"/>
      <c r="J1313" s="1" t="s">
        <v>775</v>
      </c>
      <c r="K1313" s="1" t="s">
        <v>1872</v>
      </c>
      <c r="L1313" s="1" t="s">
        <v>79</v>
      </c>
      <c r="M1313" s="1" t="s">
        <v>79</v>
      </c>
      <c r="N1313" s="1" t="s">
        <v>79</v>
      </c>
      <c r="O1313" s="6">
        <v>44539</v>
      </c>
      <c r="P1313" s="6">
        <v>44197</v>
      </c>
      <c r="Q1313" s="6">
        <v>44197</v>
      </c>
      <c r="R1313" s="1" t="s">
        <v>1235</v>
      </c>
      <c r="S1313" s="1" t="s">
        <v>79</v>
      </c>
      <c r="T1313" s="5">
        <v>0</v>
      </c>
      <c r="U1313" s="4">
        <v>19</v>
      </c>
      <c r="V1313" s="5">
        <v>598</v>
      </c>
      <c r="W1313" s="6"/>
      <c r="X1313" s="6"/>
      <c r="Y1313" s="6"/>
      <c r="Z1313" s="6"/>
      <c r="AA1313" s="6"/>
      <c r="AB1313" s="6"/>
      <c r="AC1313" s="6"/>
      <c r="AD1313" s="6">
        <v>44589</v>
      </c>
    </row>
    <row r="1314" spans="1:30">
      <c r="A1314" s="1" t="s">
        <v>772</v>
      </c>
      <c r="B1314" s="1" t="s">
        <v>903</v>
      </c>
      <c r="C1314" s="1" t="s">
        <v>858</v>
      </c>
      <c r="D1314" s="1" t="s">
        <v>1873</v>
      </c>
      <c r="E1314" s="1" t="str">
        <f t="shared" si="20"/>
        <v>W04</v>
      </c>
      <c r="F1314" s="4">
        <v>0.65</v>
      </c>
      <c r="G1314" s="4">
        <v>0.65</v>
      </c>
      <c r="H1314" s="4">
        <v>0.65</v>
      </c>
      <c r="I1314" s="4"/>
      <c r="J1314" s="1" t="s">
        <v>775</v>
      </c>
      <c r="K1314" s="1" t="s">
        <v>1874</v>
      </c>
      <c r="L1314" s="1" t="s">
        <v>79</v>
      </c>
      <c r="M1314" s="1" t="s">
        <v>79</v>
      </c>
      <c r="N1314" s="1" t="s">
        <v>79</v>
      </c>
      <c r="O1314" s="6">
        <v>44469</v>
      </c>
      <c r="P1314" s="6">
        <v>44197</v>
      </c>
      <c r="Q1314" s="6">
        <v>44197</v>
      </c>
      <c r="R1314" s="1" t="s">
        <v>1807</v>
      </c>
      <c r="S1314" s="1" t="s">
        <v>79</v>
      </c>
      <c r="T1314" s="5">
        <v>0</v>
      </c>
      <c r="U1314" s="4">
        <v>19</v>
      </c>
      <c r="V1314" s="5">
        <v>598</v>
      </c>
      <c r="W1314" s="6"/>
      <c r="X1314" s="6"/>
      <c r="Y1314" s="6"/>
      <c r="Z1314" s="6"/>
      <c r="AA1314" s="6"/>
      <c r="AB1314" s="6"/>
      <c r="AC1314" s="6"/>
      <c r="AD1314" s="6">
        <v>44501</v>
      </c>
    </row>
    <row r="1315" spans="1:30">
      <c r="A1315" s="1" t="s">
        <v>772</v>
      </c>
      <c r="B1315" s="1" t="s">
        <v>903</v>
      </c>
      <c r="C1315" s="1" t="s">
        <v>858</v>
      </c>
      <c r="D1315" s="1" t="s">
        <v>1875</v>
      </c>
      <c r="E1315" s="1" t="str">
        <f t="shared" si="20"/>
        <v>W04</v>
      </c>
      <c r="F1315" s="4">
        <v>1.66</v>
      </c>
      <c r="G1315" s="4">
        <v>1.66</v>
      </c>
      <c r="H1315" s="4">
        <v>1.66</v>
      </c>
      <c r="I1315" s="4"/>
      <c r="J1315" s="1" t="s">
        <v>775</v>
      </c>
      <c r="K1315" s="1" t="s">
        <v>1876</v>
      </c>
      <c r="L1315" s="1" t="s">
        <v>79</v>
      </c>
      <c r="M1315" s="1" t="s">
        <v>79</v>
      </c>
      <c r="N1315" s="1" t="s">
        <v>79</v>
      </c>
      <c r="O1315" s="6">
        <v>44539</v>
      </c>
      <c r="P1315" s="6">
        <v>44197</v>
      </c>
      <c r="Q1315" s="6">
        <v>44197</v>
      </c>
      <c r="R1315" s="1" t="s">
        <v>1807</v>
      </c>
      <c r="S1315" s="1" t="s">
        <v>79</v>
      </c>
      <c r="T1315" s="5">
        <v>0</v>
      </c>
      <c r="U1315" s="4">
        <v>19</v>
      </c>
      <c r="V1315" s="5">
        <v>598</v>
      </c>
      <c r="W1315" s="6"/>
      <c r="X1315" s="6"/>
      <c r="Y1315" s="6"/>
      <c r="Z1315" s="6"/>
      <c r="AA1315" s="6"/>
      <c r="AB1315" s="6"/>
      <c r="AC1315" s="6"/>
      <c r="AD1315" s="6">
        <v>44610</v>
      </c>
    </row>
    <row r="1316" spans="1:30">
      <c r="A1316" s="1" t="s">
        <v>772</v>
      </c>
      <c r="B1316" s="1" t="s">
        <v>903</v>
      </c>
      <c r="C1316" s="1" t="s">
        <v>858</v>
      </c>
      <c r="D1316" s="1" t="s">
        <v>1877</v>
      </c>
      <c r="E1316" s="1" t="str">
        <f t="shared" si="20"/>
        <v>W04</v>
      </c>
      <c r="F1316" s="4">
        <v>0.02</v>
      </c>
      <c r="G1316" s="4">
        <v>0.02</v>
      </c>
      <c r="H1316" s="4">
        <v>0.02</v>
      </c>
      <c r="I1316" s="4"/>
      <c r="J1316" s="1" t="s">
        <v>775</v>
      </c>
      <c r="K1316" s="1" t="s">
        <v>1878</v>
      </c>
      <c r="L1316" s="1" t="s">
        <v>79</v>
      </c>
      <c r="M1316" s="1" t="s">
        <v>79</v>
      </c>
      <c r="N1316" s="1" t="s">
        <v>79</v>
      </c>
      <c r="O1316" s="6">
        <v>44469</v>
      </c>
      <c r="P1316" s="6">
        <v>44197</v>
      </c>
      <c r="Q1316" s="6">
        <v>44197</v>
      </c>
      <c r="R1316" s="1" t="s">
        <v>1879</v>
      </c>
      <c r="S1316" s="1" t="s">
        <v>79</v>
      </c>
      <c r="T1316" s="5">
        <v>0</v>
      </c>
      <c r="U1316" s="4">
        <v>19</v>
      </c>
      <c r="V1316" s="5">
        <v>598</v>
      </c>
      <c r="W1316" s="6"/>
      <c r="X1316" s="6"/>
      <c r="Y1316" s="6"/>
      <c r="Z1316" s="6"/>
      <c r="AA1316" s="6"/>
      <c r="AB1316" s="6"/>
      <c r="AC1316" s="6"/>
      <c r="AD1316" s="6">
        <v>44501</v>
      </c>
    </row>
    <row r="1317" spans="1:30">
      <c r="A1317" s="1" t="s">
        <v>772</v>
      </c>
      <c r="B1317" s="1" t="s">
        <v>903</v>
      </c>
      <c r="C1317" s="1" t="s">
        <v>858</v>
      </c>
      <c r="D1317" s="1" t="s">
        <v>1880</v>
      </c>
      <c r="E1317" s="1" t="str">
        <f t="shared" si="20"/>
        <v>W04</v>
      </c>
      <c r="F1317" s="4">
        <v>1.59</v>
      </c>
      <c r="G1317" s="4">
        <v>1.59</v>
      </c>
      <c r="H1317" s="4">
        <v>1.59</v>
      </c>
      <c r="I1317" s="4"/>
      <c r="J1317" s="1" t="s">
        <v>775</v>
      </c>
      <c r="K1317" s="1" t="s">
        <v>1881</v>
      </c>
      <c r="L1317" s="1" t="s">
        <v>79</v>
      </c>
      <c r="M1317" s="1" t="s">
        <v>79</v>
      </c>
      <c r="N1317" s="1" t="s">
        <v>79</v>
      </c>
      <c r="O1317" s="6">
        <v>44582</v>
      </c>
      <c r="P1317" s="6">
        <v>44578</v>
      </c>
      <c r="Q1317" s="6">
        <v>44578</v>
      </c>
      <c r="R1317" s="1" t="s">
        <v>1879</v>
      </c>
      <c r="S1317" s="1" t="s">
        <v>79</v>
      </c>
      <c r="T1317" s="5">
        <v>0</v>
      </c>
      <c r="U1317" s="4">
        <v>7</v>
      </c>
      <c r="V1317" s="5">
        <v>217</v>
      </c>
      <c r="W1317" s="6"/>
      <c r="X1317" s="6"/>
      <c r="Y1317" s="6"/>
      <c r="Z1317" s="6"/>
      <c r="AA1317" s="6"/>
      <c r="AB1317" s="6"/>
      <c r="AC1317" s="6"/>
      <c r="AD1317" s="6">
        <v>44672</v>
      </c>
    </row>
    <row r="1318" spans="1:30">
      <c r="A1318" s="1" t="s">
        <v>772</v>
      </c>
      <c r="B1318" s="1" t="s">
        <v>903</v>
      </c>
      <c r="C1318" s="1" t="s">
        <v>858</v>
      </c>
      <c r="D1318" s="1" t="s">
        <v>1882</v>
      </c>
      <c r="E1318" s="1" t="str">
        <f t="shared" si="20"/>
        <v>W04</v>
      </c>
      <c r="F1318" s="4">
        <v>1.99</v>
      </c>
      <c r="G1318" s="4">
        <v>1.99</v>
      </c>
      <c r="H1318" s="4">
        <v>1.99</v>
      </c>
      <c r="I1318" s="4"/>
      <c r="J1318" s="1" t="s">
        <v>775</v>
      </c>
      <c r="K1318" s="1" t="s">
        <v>1883</v>
      </c>
      <c r="L1318" s="1" t="s">
        <v>79</v>
      </c>
      <c r="M1318" s="1" t="s">
        <v>79</v>
      </c>
      <c r="N1318" s="1" t="s">
        <v>79</v>
      </c>
      <c r="O1318" s="6">
        <v>44469</v>
      </c>
      <c r="P1318" s="6">
        <v>44197</v>
      </c>
      <c r="Q1318" s="6">
        <v>44197</v>
      </c>
      <c r="R1318" s="1" t="s">
        <v>1884</v>
      </c>
      <c r="S1318" s="1" t="s">
        <v>79</v>
      </c>
      <c r="T1318" s="5">
        <v>0</v>
      </c>
      <c r="U1318" s="4">
        <v>19</v>
      </c>
      <c r="V1318" s="5">
        <v>598</v>
      </c>
      <c r="W1318" s="6"/>
      <c r="X1318" s="6"/>
      <c r="Y1318" s="6"/>
      <c r="Z1318" s="6"/>
      <c r="AA1318" s="6"/>
      <c r="AB1318" s="6"/>
      <c r="AC1318" s="6"/>
      <c r="AD1318" s="6">
        <v>44501</v>
      </c>
    </row>
    <row r="1319" spans="1:30">
      <c r="A1319" s="1" t="s">
        <v>772</v>
      </c>
      <c r="B1319" s="1" t="s">
        <v>903</v>
      </c>
      <c r="C1319" s="1" t="s">
        <v>858</v>
      </c>
      <c r="D1319" s="1" t="s">
        <v>1885</v>
      </c>
      <c r="E1319" s="1" t="str">
        <f t="shared" si="20"/>
        <v>W04</v>
      </c>
      <c r="F1319" s="4">
        <v>0.79</v>
      </c>
      <c r="G1319" s="4">
        <v>0.79</v>
      </c>
      <c r="H1319" s="4">
        <v>0.79</v>
      </c>
      <c r="I1319" s="4"/>
      <c r="J1319" s="1" t="s">
        <v>775</v>
      </c>
      <c r="K1319" s="1" t="s">
        <v>1886</v>
      </c>
      <c r="L1319" s="1" t="s">
        <v>79</v>
      </c>
      <c r="M1319" s="1" t="s">
        <v>79</v>
      </c>
      <c r="N1319" s="1" t="s">
        <v>79</v>
      </c>
      <c r="O1319" s="6">
        <v>44582</v>
      </c>
      <c r="P1319" s="6">
        <v>44578</v>
      </c>
      <c r="Q1319" s="6">
        <v>44578</v>
      </c>
      <c r="R1319" s="1" t="s">
        <v>1884</v>
      </c>
      <c r="S1319" s="1" t="s">
        <v>79</v>
      </c>
      <c r="T1319" s="5">
        <v>0</v>
      </c>
      <c r="U1319" s="4">
        <v>7</v>
      </c>
      <c r="V1319" s="5">
        <v>217</v>
      </c>
      <c r="W1319" s="6"/>
      <c r="X1319" s="6"/>
      <c r="Y1319" s="6"/>
      <c r="Z1319" s="6"/>
      <c r="AA1319" s="6"/>
      <c r="AB1319" s="6"/>
      <c r="AC1319" s="6"/>
      <c r="AD1319" s="6"/>
    </row>
    <row r="1320" spans="1:30">
      <c r="A1320" s="1" t="s">
        <v>772</v>
      </c>
      <c r="B1320" s="1" t="s">
        <v>773</v>
      </c>
      <c r="C1320" s="1" t="s">
        <v>989</v>
      </c>
      <c r="D1320" s="1" t="s">
        <v>1887</v>
      </c>
      <c r="E1320" s="1" t="str">
        <f t="shared" si="20"/>
        <v>W05</v>
      </c>
      <c r="F1320" s="4">
        <v>0</v>
      </c>
      <c r="G1320" s="4">
        <v>0</v>
      </c>
      <c r="H1320" s="4">
        <v>0</v>
      </c>
      <c r="I1320" s="4"/>
      <c r="J1320" s="1" t="s">
        <v>775</v>
      </c>
      <c r="K1320" s="1" t="s">
        <v>1888</v>
      </c>
      <c r="L1320" s="1" t="s">
        <v>79</v>
      </c>
      <c r="M1320" s="1" t="s">
        <v>79</v>
      </c>
      <c r="N1320" s="1" t="s">
        <v>79</v>
      </c>
      <c r="O1320" s="6">
        <v>44740</v>
      </c>
      <c r="P1320" s="6">
        <v>44740</v>
      </c>
      <c r="Q1320" s="6">
        <v>44740</v>
      </c>
      <c r="R1320" s="1" t="s">
        <v>1884</v>
      </c>
      <c r="S1320" s="1" t="s">
        <v>79</v>
      </c>
      <c r="T1320" s="5">
        <v>0</v>
      </c>
      <c r="U1320" s="4">
        <v>1</v>
      </c>
      <c r="V1320" s="5">
        <v>55</v>
      </c>
      <c r="W1320" s="6"/>
      <c r="X1320" s="6"/>
      <c r="Y1320" s="6"/>
      <c r="Z1320" s="6"/>
      <c r="AA1320" s="6"/>
      <c r="AB1320" s="6"/>
      <c r="AC1320" s="6"/>
      <c r="AD1320" s="6"/>
    </row>
    <row r="1321" spans="1:30">
      <c r="A1321" s="1" t="s">
        <v>772</v>
      </c>
      <c r="B1321" s="1" t="s">
        <v>903</v>
      </c>
      <c r="C1321" s="1" t="s">
        <v>904</v>
      </c>
      <c r="D1321" s="1" t="s">
        <v>1889</v>
      </c>
      <c r="E1321" s="1" t="str">
        <f t="shared" si="20"/>
        <v>W03</v>
      </c>
      <c r="F1321" s="5">
        <v>1.08</v>
      </c>
      <c r="G1321" s="5">
        <v>1.08</v>
      </c>
      <c r="H1321" s="5">
        <v>1.08</v>
      </c>
      <c r="I1321" s="5"/>
      <c r="J1321" s="1" t="s">
        <v>775</v>
      </c>
      <c r="K1321" s="1" t="s">
        <v>1890</v>
      </c>
      <c r="L1321" s="1" t="s">
        <v>79</v>
      </c>
      <c r="M1321" s="1" t="s">
        <v>79</v>
      </c>
      <c r="N1321" s="1" t="s">
        <v>79</v>
      </c>
      <c r="O1321" s="6">
        <v>44775</v>
      </c>
      <c r="P1321" s="6">
        <v>44774</v>
      </c>
      <c r="Q1321" s="6">
        <v>44774</v>
      </c>
      <c r="R1321" s="1" t="s">
        <v>1884</v>
      </c>
      <c r="S1321" s="1" t="s">
        <v>79</v>
      </c>
      <c r="T1321" s="5">
        <v>0</v>
      </c>
      <c r="U1321" s="4">
        <v>0</v>
      </c>
      <c r="V1321" s="5">
        <v>21</v>
      </c>
      <c r="W1321" s="6"/>
      <c r="X1321" s="6"/>
      <c r="Y1321" s="6"/>
      <c r="Z1321" s="6"/>
      <c r="AA1321" s="6"/>
      <c r="AB1321" s="6"/>
      <c r="AC1321" s="6"/>
      <c r="AD1321" s="6"/>
    </row>
    <row r="1322" spans="1:30">
      <c r="A1322" s="1" t="s">
        <v>772</v>
      </c>
      <c r="B1322" s="1" t="s">
        <v>903</v>
      </c>
      <c r="C1322" s="1" t="s">
        <v>904</v>
      </c>
      <c r="D1322" s="1" t="s">
        <v>1891</v>
      </c>
      <c r="E1322" s="1" t="str">
        <f t="shared" si="20"/>
        <v>W03</v>
      </c>
      <c r="F1322" s="4">
        <v>2.16</v>
      </c>
      <c r="G1322" s="4">
        <v>2.16</v>
      </c>
      <c r="H1322" s="4">
        <v>2.16</v>
      </c>
      <c r="I1322" s="4"/>
      <c r="J1322" s="1" t="s">
        <v>775</v>
      </c>
      <c r="K1322" s="1" t="s">
        <v>1892</v>
      </c>
      <c r="L1322" s="1" t="s">
        <v>79</v>
      </c>
      <c r="M1322" s="1" t="s">
        <v>79</v>
      </c>
      <c r="N1322" s="1" t="s">
        <v>79</v>
      </c>
      <c r="O1322" s="6">
        <v>44469</v>
      </c>
      <c r="P1322" s="6">
        <v>44337</v>
      </c>
      <c r="Q1322" s="6">
        <v>44337</v>
      </c>
      <c r="R1322" s="1" t="s">
        <v>1091</v>
      </c>
      <c r="S1322" s="1" t="s">
        <v>79</v>
      </c>
      <c r="T1322" s="5">
        <v>0</v>
      </c>
      <c r="U1322" s="4">
        <v>15</v>
      </c>
      <c r="V1322" s="5">
        <v>458</v>
      </c>
      <c r="W1322" s="6"/>
      <c r="X1322" s="6"/>
      <c r="Y1322" s="6"/>
      <c r="Z1322" s="6"/>
      <c r="AA1322" s="6"/>
      <c r="AB1322" s="6"/>
      <c r="AC1322" s="6"/>
      <c r="AD1322" s="6">
        <v>44501</v>
      </c>
    </row>
    <row r="1323" spans="1:30">
      <c r="A1323" s="1" t="s">
        <v>772</v>
      </c>
      <c r="B1323" s="1" t="s">
        <v>903</v>
      </c>
      <c r="C1323" s="1" t="s">
        <v>904</v>
      </c>
      <c r="D1323" s="1" t="s">
        <v>1893</v>
      </c>
      <c r="E1323" s="1" t="str">
        <f t="shared" si="20"/>
        <v>W03</v>
      </c>
      <c r="F1323" s="4">
        <v>2.09</v>
      </c>
      <c r="G1323" s="4">
        <v>2.09</v>
      </c>
      <c r="H1323" s="4">
        <v>2.09</v>
      </c>
      <c r="I1323" s="4"/>
      <c r="J1323" s="1" t="s">
        <v>775</v>
      </c>
      <c r="K1323" s="1" t="s">
        <v>1894</v>
      </c>
      <c r="L1323" s="1" t="s">
        <v>79</v>
      </c>
      <c r="M1323" s="1" t="s">
        <v>79</v>
      </c>
      <c r="N1323" s="1" t="s">
        <v>79</v>
      </c>
      <c r="O1323" s="6">
        <v>44539</v>
      </c>
      <c r="P1323" s="6">
        <v>44337</v>
      </c>
      <c r="Q1323" s="6">
        <v>44337</v>
      </c>
      <c r="R1323" s="1" t="s">
        <v>1091</v>
      </c>
      <c r="S1323" s="1" t="s">
        <v>79</v>
      </c>
      <c r="T1323" s="5">
        <v>0</v>
      </c>
      <c r="U1323" s="4">
        <v>15</v>
      </c>
      <c r="V1323" s="5">
        <v>458</v>
      </c>
      <c r="W1323" s="6"/>
      <c r="X1323" s="6"/>
      <c r="Y1323" s="6"/>
      <c r="Z1323" s="6"/>
      <c r="AA1323" s="6"/>
      <c r="AB1323" s="6"/>
      <c r="AC1323" s="6"/>
      <c r="AD1323" s="6">
        <v>44568</v>
      </c>
    </row>
    <row r="1324" spans="1:30">
      <c r="A1324" s="1" t="s">
        <v>772</v>
      </c>
      <c r="B1324" s="1" t="s">
        <v>903</v>
      </c>
      <c r="C1324" s="1" t="s">
        <v>904</v>
      </c>
      <c r="D1324" s="1" t="s">
        <v>1895</v>
      </c>
      <c r="E1324" s="1" t="str">
        <f t="shared" si="20"/>
        <v>W03</v>
      </c>
      <c r="F1324" s="4">
        <v>1.73</v>
      </c>
      <c r="G1324" s="4">
        <v>1.73</v>
      </c>
      <c r="H1324" s="4">
        <v>1.73</v>
      </c>
      <c r="I1324" s="4"/>
      <c r="J1324" s="1" t="s">
        <v>775</v>
      </c>
      <c r="K1324" s="1" t="s">
        <v>1894</v>
      </c>
      <c r="L1324" s="1" t="s">
        <v>79</v>
      </c>
      <c r="M1324" s="1" t="s">
        <v>79</v>
      </c>
      <c r="N1324" s="1" t="s">
        <v>79</v>
      </c>
      <c r="O1324" s="6">
        <v>44539</v>
      </c>
      <c r="P1324" s="6">
        <v>44337</v>
      </c>
      <c r="Q1324" s="6">
        <v>44337</v>
      </c>
      <c r="R1324" s="1" t="s">
        <v>1091</v>
      </c>
      <c r="S1324" s="1" t="s">
        <v>79</v>
      </c>
      <c r="T1324" s="5">
        <v>0</v>
      </c>
      <c r="U1324" s="4">
        <v>15</v>
      </c>
      <c r="V1324" s="5">
        <v>458</v>
      </c>
      <c r="W1324" s="6"/>
      <c r="X1324" s="6"/>
      <c r="Y1324" s="6"/>
      <c r="Z1324" s="6"/>
      <c r="AA1324" s="6"/>
      <c r="AB1324" s="6"/>
      <c r="AC1324" s="6"/>
      <c r="AD1324" s="6"/>
    </row>
    <row r="1325" spans="1:30">
      <c r="A1325" s="1" t="s">
        <v>772</v>
      </c>
      <c r="B1325" s="1" t="s">
        <v>903</v>
      </c>
      <c r="C1325" s="1" t="s">
        <v>858</v>
      </c>
      <c r="D1325" s="1" t="s">
        <v>1896</v>
      </c>
      <c r="E1325" s="1" t="str">
        <f t="shared" si="20"/>
        <v>W04</v>
      </c>
      <c r="F1325" s="4">
        <v>0.04</v>
      </c>
      <c r="G1325" s="4">
        <v>0.04</v>
      </c>
      <c r="H1325" s="4">
        <v>0.04</v>
      </c>
      <c r="I1325" s="4"/>
      <c r="J1325" s="1" t="s">
        <v>775</v>
      </c>
      <c r="K1325" s="1" t="s">
        <v>1897</v>
      </c>
      <c r="L1325" s="1" t="s">
        <v>79</v>
      </c>
      <c r="M1325" s="1" t="s">
        <v>79</v>
      </c>
      <c r="N1325" s="1" t="s">
        <v>79</v>
      </c>
      <c r="O1325" s="6">
        <v>44469</v>
      </c>
      <c r="P1325" s="6">
        <v>44398</v>
      </c>
      <c r="Q1325" s="6">
        <v>44398</v>
      </c>
      <c r="R1325" s="1" t="s">
        <v>1898</v>
      </c>
      <c r="S1325" s="1" t="s">
        <v>79</v>
      </c>
      <c r="T1325" s="5">
        <v>0</v>
      </c>
      <c r="U1325" s="4">
        <v>13</v>
      </c>
      <c r="V1325" s="5">
        <v>397</v>
      </c>
      <c r="W1325" s="6"/>
      <c r="X1325" s="6"/>
      <c r="Y1325" s="6"/>
      <c r="Z1325" s="6"/>
      <c r="AA1325" s="6"/>
      <c r="AB1325" s="6"/>
      <c r="AC1325" s="6"/>
      <c r="AD1325" s="6">
        <v>44501</v>
      </c>
    </row>
    <row r="1326" spans="1:30">
      <c r="A1326" s="1" t="s">
        <v>772</v>
      </c>
      <c r="B1326" s="1" t="s">
        <v>903</v>
      </c>
      <c r="C1326" s="1" t="s">
        <v>858</v>
      </c>
      <c r="D1326" s="1" t="s">
        <v>1899</v>
      </c>
      <c r="E1326" s="1" t="str">
        <f t="shared" si="20"/>
        <v>W04</v>
      </c>
      <c r="F1326" s="4">
        <v>1.08</v>
      </c>
      <c r="G1326" s="4">
        <v>1.08</v>
      </c>
      <c r="H1326" s="4">
        <v>1.08</v>
      </c>
      <c r="I1326" s="4"/>
      <c r="J1326" s="1" t="s">
        <v>775</v>
      </c>
      <c r="K1326" s="1" t="s">
        <v>1900</v>
      </c>
      <c r="L1326" s="1" t="s">
        <v>79</v>
      </c>
      <c r="M1326" s="1" t="s">
        <v>79</v>
      </c>
      <c r="N1326" s="1" t="s">
        <v>79</v>
      </c>
      <c r="O1326" s="6">
        <v>44469</v>
      </c>
      <c r="P1326" s="6">
        <v>44368</v>
      </c>
      <c r="Q1326" s="6">
        <v>44368</v>
      </c>
      <c r="R1326" s="1" t="s">
        <v>1901</v>
      </c>
      <c r="S1326" s="1" t="s">
        <v>79</v>
      </c>
      <c r="T1326" s="5">
        <v>0</v>
      </c>
      <c r="U1326" s="4">
        <v>14</v>
      </c>
      <c r="V1326" s="5">
        <v>427</v>
      </c>
      <c r="W1326" s="6"/>
      <c r="X1326" s="6"/>
      <c r="Y1326" s="6"/>
      <c r="Z1326" s="6"/>
      <c r="AA1326" s="6"/>
      <c r="AB1326" s="6"/>
      <c r="AC1326" s="6"/>
      <c r="AD1326" s="6">
        <v>44501</v>
      </c>
    </row>
    <row r="1327" spans="1:30">
      <c r="A1327" s="1" t="s">
        <v>772</v>
      </c>
      <c r="B1327" s="1" t="s">
        <v>903</v>
      </c>
      <c r="C1327" s="1" t="s">
        <v>858</v>
      </c>
      <c r="D1327" s="1" t="s">
        <v>1902</v>
      </c>
      <c r="E1327" s="1" t="str">
        <f t="shared" si="20"/>
        <v>W04</v>
      </c>
      <c r="F1327" s="4">
        <v>1.1399999999999999</v>
      </c>
      <c r="G1327" s="4">
        <v>1.1399999999999999</v>
      </c>
      <c r="H1327" s="4">
        <v>1.1399999999999999</v>
      </c>
      <c r="I1327" s="4"/>
      <c r="J1327" s="1" t="s">
        <v>775</v>
      </c>
      <c r="K1327" s="1" t="s">
        <v>1903</v>
      </c>
      <c r="L1327" s="1" t="s">
        <v>79</v>
      </c>
      <c r="M1327" s="1" t="s">
        <v>79</v>
      </c>
      <c r="N1327" s="1" t="s">
        <v>79</v>
      </c>
      <c r="O1327" s="6">
        <v>44469</v>
      </c>
      <c r="P1327" s="6">
        <v>44420</v>
      </c>
      <c r="Q1327" s="6">
        <v>44420</v>
      </c>
      <c r="R1327" s="1" t="s">
        <v>1904</v>
      </c>
      <c r="S1327" s="1" t="s">
        <v>79</v>
      </c>
      <c r="T1327" s="5">
        <v>0</v>
      </c>
      <c r="U1327" s="4">
        <v>12</v>
      </c>
      <c r="V1327" s="5">
        <v>375</v>
      </c>
      <c r="W1327" s="6"/>
      <c r="X1327" s="6"/>
      <c r="Y1327" s="6"/>
      <c r="Z1327" s="6"/>
      <c r="AA1327" s="6"/>
      <c r="AB1327" s="6"/>
      <c r="AC1327" s="6"/>
      <c r="AD1327" s="6"/>
    </row>
    <row r="1328" spans="1:30">
      <c r="A1328" s="1" t="s">
        <v>772</v>
      </c>
      <c r="B1328" s="1" t="s">
        <v>903</v>
      </c>
      <c r="C1328" s="1" t="s">
        <v>858</v>
      </c>
      <c r="D1328" s="1" t="s">
        <v>1905</v>
      </c>
      <c r="E1328" s="1" t="str">
        <f t="shared" si="20"/>
        <v>W04</v>
      </c>
      <c r="F1328" s="4">
        <v>0.08</v>
      </c>
      <c r="G1328" s="4">
        <v>0.08</v>
      </c>
      <c r="H1328" s="4">
        <v>0.08</v>
      </c>
      <c r="I1328" s="4"/>
      <c r="J1328" s="1" t="s">
        <v>775</v>
      </c>
      <c r="K1328" s="1" t="s">
        <v>1906</v>
      </c>
      <c r="L1328" s="1" t="s">
        <v>1907</v>
      </c>
      <c r="M1328" s="1" t="s">
        <v>996</v>
      </c>
      <c r="N1328" s="1" t="s">
        <v>79</v>
      </c>
      <c r="O1328" s="6">
        <v>44613</v>
      </c>
      <c r="P1328" s="6">
        <v>44607</v>
      </c>
      <c r="Q1328" s="6">
        <v>43497</v>
      </c>
      <c r="R1328" s="1" t="s">
        <v>1884</v>
      </c>
      <c r="S1328" s="1" t="s">
        <v>79</v>
      </c>
      <c r="T1328" s="5">
        <v>0</v>
      </c>
      <c r="U1328" s="4">
        <v>6</v>
      </c>
      <c r="V1328" s="5">
        <v>188</v>
      </c>
      <c r="W1328" s="6">
        <v>43425</v>
      </c>
      <c r="X1328" s="6"/>
      <c r="Y1328" s="6"/>
      <c r="Z1328" s="6"/>
      <c r="AA1328" s="6"/>
      <c r="AB1328" s="6"/>
      <c r="AC1328" s="6"/>
      <c r="AD1328" s="6">
        <v>44636</v>
      </c>
    </row>
    <row r="1329" spans="1:30">
      <c r="A1329" s="1" t="s">
        <v>772</v>
      </c>
      <c r="B1329" s="1" t="s">
        <v>903</v>
      </c>
      <c r="C1329" s="1" t="s">
        <v>858</v>
      </c>
      <c r="D1329" s="1" t="s">
        <v>1908</v>
      </c>
      <c r="E1329" s="1" t="str">
        <f t="shared" si="20"/>
        <v>W04</v>
      </c>
      <c r="F1329" s="4">
        <v>0.01</v>
      </c>
      <c r="G1329" s="4">
        <v>0.01</v>
      </c>
      <c r="H1329" s="4">
        <v>0.01</v>
      </c>
      <c r="I1329" s="4"/>
      <c r="J1329" s="1" t="s">
        <v>775</v>
      </c>
      <c r="K1329" s="1" t="s">
        <v>1909</v>
      </c>
      <c r="L1329" s="1" t="s">
        <v>1910</v>
      </c>
      <c r="M1329" s="1" t="s">
        <v>79</v>
      </c>
      <c r="N1329" s="1" t="s">
        <v>79</v>
      </c>
      <c r="O1329" s="6">
        <v>44407</v>
      </c>
      <c r="P1329" s="6">
        <v>44317</v>
      </c>
      <c r="Q1329" s="6">
        <v>44317</v>
      </c>
      <c r="R1329" s="1" t="s">
        <v>1884</v>
      </c>
      <c r="S1329" s="1" t="s">
        <v>79</v>
      </c>
      <c r="T1329" s="5">
        <v>0</v>
      </c>
      <c r="U1329" s="4">
        <v>15</v>
      </c>
      <c r="V1329" s="5">
        <v>478</v>
      </c>
      <c r="W1329" s="6"/>
      <c r="X1329" s="6"/>
      <c r="Y1329" s="6"/>
      <c r="Z1329" s="6"/>
      <c r="AA1329" s="6"/>
      <c r="AB1329" s="6"/>
      <c r="AC1329" s="6"/>
      <c r="AD1329" s="6"/>
    </row>
    <row r="1330" spans="1:30">
      <c r="A1330" s="1" t="s">
        <v>772</v>
      </c>
      <c r="B1330" s="1" t="s">
        <v>903</v>
      </c>
      <c r="C1330" s="1" t="s">
        <v>858</v>
      </c>
      <c r="D1330" s="1" t="s">
        <v>1911</v>
      </c>
      <c r="E1330" s="1" t="str">
        <f t="shared" si="20"/>
        <v>W04</v>
      </c>
      <c r="F1330" s="4">
        <v>0.02</v>
      </c>
      <c r="G1330" s="4">
        <v>0.02</v>
      </c>
      <c r="H1330" s="4">
        <v>0.02</v>
      </c>
      <c r="I1330" s="4"/>
      <c r="J1330" s="1" t="s">
        <v>775</v>
      </c>
      <c r="K1330" s="1" t="s">
        <v>1912</v>
      </c>
      <c r="L1330" s="1" t="s">
        <v>79</v>
      </c>
      <c r="M1330" s="1" t="s">
        <v>79</v>
      </c>
      <c r="N1330" s="1" t="s">
        <v>79</v>
      </c>
      <c r="O1330" s="6">
        <v>43699</v>
      </c>
      <c r="P1330" s="6">
        <v>43694</v>
      </c>
      <c r="Q1330" s="6">
        <v>43694</v>
      </c>
      <c r="R1330" s="1" t="s">
        <v>1884</v>
      </c>
      <c r="S1330" s="1" t="s">
        <v>79</v>
      </c>
      <c r="T1330" s="5">
        <v>0</v>
      </c>
      <c r="U1330" s="4">
        <v>36</v>
      </c>
      <c r="V1330" s="5">
        <v>1101</v>
      </c>
      <c r="W1330" s="6"/>
      <c r="X1330" s="6"/>
      <c r="Y1330" s="6"/>
      <c r="Z1330" s="6"/>
      <c r="AA1330" s="6"/>
      <c r="AB1330" s="6"/>
      <c r="AC1330" s="6"/>
      <c r="AD1330" s="6"/>
    </row>
    <row r="1331" spans="1:30">
      <c r="A1331" s="1" t="s">
        <v>772</v>
      </c>
      <c r="B1331" s="1" t="s">
        <v>903</v>
      </c>
      <c r="C1331" s="1" t="s">
        <v>904</v>
      </c>
      <c r="D1331" s="1" t="s">
        <v>1913</v>
      </c>
      <c r="E1331" s="1" t="str">
        <f t="shared" si="20"/>
        <v>W03</v>
      </c>
      <c r="F1331" s="4">
        <v>0.01</v>
      </c>
      <c r="G1331" s="4">
        <v>0.01</v>
      </c>
      <c r="H1331" s="4">
        <v>0.01</v>
      </c>
      <c r="I1331" s="4"/>
      <c r="J1331" s="1" t="s">
        <v>775</v>
      </c>
      <c r="K1331" s="1" t="s">
        <v>1914</v>
      </c>
      <c r="L1331" s="1" t="s">
        <v>79</v>
      </c>
      <c r="M1331" s="1" t="s">
        <v>79</v>
      </c>
      <c r="N1331" s="1" t="s">
        <v>79</v>
      </c>
      <c r="O1331" s="6">
        <v>43699</v>
      </c>
      <c r="P1331" s="6">
        <v>43694</v>
      </c>
      <c r="Q1331" s="6">
        <v>43694</v>
      </c>
      <c r="R1331" s="1" t="s">
        <v>1884</v>
      </c>
      <c r="S1331" s="1" t="s">
        <v>79</v>
      </c>
      <c r="T1331" s="5">
        <v>0</v>
      </c>
      <c r="U1331" s="4">
        <v>36</v>
      </c>
      <c r="V1331" s="5">
        <v>1101</v>
      </c>
      <c r="W1331" s="6"/>
      <c r="X1331" s="6"/>
      <c r="Y1331" s="6"/>
      <c r="Z1331" s="6"/>
      <c r="AA1331" s="6"/>
      <c r="AB1331" s="6"/>
      <c r="AC1331" s="6"/>
      <c r="AD1331" s="6"/>
    </row>
    <row r="1332" spans="1:30">
      <c r="A1332" s="1" t="s">
        <v>772</v>
      </c>
      <c r="B1332" s="1" t="s">
        <v>903</v>
      </c>
      <c r="C1332" s="1" t="s">
        <v>904</v>
      </c>
      <c r="D1332" s="1" t="s">
        <v>1915</v>
      </c>
      <c r="E1332" s="1" t="str">
        <f t="shared" si="20"/>
        <v>W03</v>
      </c>
      <c r="F1332" s="4">
        <v>1.06</v>
      </c>
      <c r="G1332" s="4">
        <v>1.06</v>
      </c>
      <c r="H1332" s="4">
        <v>1.06</v>
      </c>
      <c r="I1332" s="4"/>
      <c r="J1332" s="1" t="s">
        <v>775</v>
      </c>
      <c r="K1332" s="1" t="s">
        <v>1810</v>
      </c>
      <c r="L1332" s="1" t="s">
        <v>79</v>
      </c>
      <c r="M1332" s="1" t="s">
        <v>79</v>
      </c>
      <c r="N1332" s="1" t="s">
        <v>79</v>
      </c>
      <c r="O1332" s="6">
        <v>44407</v>
      </c>
      <c r="P1332" s="6">
        <v>43997</v>
      </c>
      <c r="Q1332" s="6">
        <v>43997</v>
      </c>
      <c r="R1332" s="1" t="s">
        <v>1812</v>
      </c>
      <c r="S1332" s="1" t="s">
        <v>79</v>
      </c>
      <c r="T1332" s="5">
        <v>0</v>
      </c>
      <c r="U1332" s="4">
        <v>26</v>
      </c>
      <c r="V1332" s="5">
        <v>798</v>
      </c>
      <c r="W1332" s="6"/>
      <c r="X1332" s="6"/>
      <c r="Y1332" s="6"/>
      <c r="Z1332" s="6"/>
      <c r="AA1332" s="6"/>
      <c r="AB1332" s="6"/>
      <c r="AC1332" s="6"/>
      <c r="AD1332" s="6"/>
    </row>
    <row r="1333" spans="1:30">
      <c r="A1333" s="1" t="s">
        <v>772</v>
      </c>
      <c r="B1333" s="1" t="s">
        <v>903</v>
      </c>
      <c r="C1333" s="1" t="s">
        <v>904</v>
      </c>
      <c r="D1333" s="1" t="s">
        <v>1916</v>
      </c>
      <c r="E1333" s="1" t="str">
        <f t="shared" si="20"/>
        <v>W03</v>
      </c>
      <c r="F1333" s="4">
        <v>0.04</v>
      </c>
      <c r="G1333" s="4">
        <v>0.04</v>
      </c>
      <c r="H1333" s="4">
        <v>0.04</v>
      </c>
      <c r="I1333" s="4"/>
      <c r="J1333" s="1" t="s">
        <v>775</v>
      </c>
      <c r="K1333" s="1" t="s">
        <v>1917</v>
      </c>
      <c r="L1333" s="1" t="s">
        <v>788</v>
      </c>
      <c r="M1333" s="1" t="s">
        <v>777</v>
      </c>
      <c r="N1333" s="1" t="s">
        <v>79</v>
      </c>
      <c r="O1333" s="6">
        <v>44565</v>
      </c>
      <c r="P1333" s="6">
        <v>44562</v>
      </c>
      <c r="Q1333" s="6">
        <v>44562</v>
      </c>
      <c r="R1333" s="1" t="s">
        <v>779</v>
      </c>
      <c r="S1333" s="1" t="s">
        <v>79</v>
      </c>
      <c r="T1333" s="5">
        <v>120</v>
      </c>
      <c r="U1333" s="4">
        <v>7</v>
      </c>
      <c r="V1333" s="5">
        <v>233</v>
      </c>
      <c r="W1333" s="6"/>
      <c r="X1333" s="6"/>
      <c r="Y1333" s="6"/>
      <c r="Z1333" s="6"/>
      <c r="AA1333" s="6"/>
      <c r="AB1333" s="6"/>
      <c r="AC1333" s="6"/>
      <c r="AD1333" s="6"/>
    </row>
    <row r="1334" spans="1:30">
      <c r="A1334" s="1" t="s">
        <v>772</v>
      </c>
      <c r="B1334" s="1" t="s">
        <v>903</v>
      </c>
      <c r="C1334" s="1" t="s">
        <v>904</v>
      </c>
      <c r="D1334" s="1" t="s">
        <v>1918</v>
      </c>
      <c r="E1334" s="1" t="str">
        <f t="shared" si="20"/>
        <v>W03</v>
      </c>
      <c r="F1334" s="4">
        <v>1.1299999999999999</v>
      </c>
      <c r="G1334" s="4">
        <v>1.1299999999999999</v>
      </c>
      <c r="H1334" s="4">
        <v>1.1299999999999999</v>
      </c>
      <c r="I1334" s="4"/>
      <c r="J1334" s="1" t="s">
        <v>775</v>
      </c>
      <c r="K1334" s="1" t="s">
        <v>1919</v>
      </c>
      <c r="L1334" s="1" t="s">
        <v>777</v>
      </c>
      <c r="M1334" s="1" t="s">
        <v>787</v>
      </c>
      <c r="N1334" s="1" t="s">
        <v>79</v>
      </c>
      <c r="O1334" s="6">
        <v>44565</v>
      </c>
      <c r="P1334" s="6">
        <v>44562</v>
      </c>
      <c r="Q1334" s="6">
        <v>44562</v>
      </c>
      <c r="R1334" s="1" t="s">
        <v>779</v>
      </c>
      <c r="S1334" s="1" t="s">
        <v>79</v>
      </c>
      <c r="T1334" s="5">
        <v>30</v>
      </c>
      <c r="U1334" s="4">
        <v>7</v>
      </c>
      <c r="V1334" s="5">
        <v>233</v>
      </c>
      <c r="W1334" s="6"/>
      <c r="X1334" s="6"/>
      <c r="Y1334" s="6"/>
      <c r="Z1334" s="6"/>
      <c r="AA1334" s="6"/>
      <c r="AB1334" s="6"/>
      <c r="AC1334" s="6"/>
      <c r="AD1334" s="6"/>
    </row>
    <row r="1335" spans="1:30">
      <c r="A1335" s="1" t="s">
        <v>772</v>
      </c>
      <c r="B1335" s="1" t="s">
        <v>903</v>
      </c>
      <c r="C1335" s="1" t="s">
        <v>904</v>
      </c>
      <c r="D1335" s="1" t="s">
        <v>1920</v>
      </c>
      <c r="E1335" s="1" t="str">
        <f t="shared" si="20"/>
        <v>W03</v>
      </c>
      <c r="F1335" s="4">
        <v>1.59</v>
      </c>
      <c r="G1335" s="4">
        <v>1.59</v>
      </c>
      <c r="H1335" s="4">
        <v>1.59</v>
      </c>
      <c r="I1335" s="4"/>
      <c r="J1335" s="1" t="s">
        <v>775</v>
      </c>
      <c r="K1335" s="1" t="s">
        <v>840</v>
      </c>
      <c r="L1335" s="1" t="s">
        <v>787</v>
      </c>
      <c r="M1335" s="1" t="s">
        <v>778</v>
      </c>
      <c r="N1335" s="1" t="s">
        <v>79</v>
      </c>
      <c r="O1335" s="6">
        <v>44565</v>
      </c>
      <c r="P1335" s="6">
        <v>44562</v>
      </c>
      <c r="Q1335" s="6">
        <v>44562</v>
      </c>
      <c r="R1335" s="1" t="s">
        <v>779</v>
      </c>
      <c r="S1335" s="1" t="s">
        <v>1921</v>
      </c>
      <c r="T1335" s="5">
        <v>461</v>
      </c>
      <c r="U1335" s="4">
        <v>7</v>
      </c>
      <c r="V1335" s="5">
        <v>233</v>
      </c>
      <c r="W1335" s="6"/>
      <c r="X1335" s="6"/>
      <c r="Y1335" s="6"/>
      <c r="Z1335" s="6"/>
      <c r="AA1335" s="6"/>
      <c r="AB1335" s="6"/>
      <c r="AC1335" s="6"/>
      <c r="AD1335" s="6">
        <v>44574</v>
      </c>
    </row>
    <row r="1336" spans="1:30">
      <c r="A1336" s="1" t="s">
        <v>772</v>
      </c>
      <c r="B1336" s="1" t="s">
        <v>903</v>
      </c>
      <c r="C1336" s="1" t="s">
        <v>904</v>
      </c>
      <c r="D1336" s="1" t="s">
        <v>1922</v>
      </c>
      <c r="E1336" s="1" t="str">
        <f t="shared" si="20"/>
        <v>W03</v>
      </c>
      <c r="F1336" s="5">
        <v>0.03</v>
      </c>
      <c r="G1336" s="5">
        <v>0.03</v>
      </c>
      <c r="H1336" s="5">
        <v>0.03</v>
      </c>
      <c r="I1336" s="5"/>
      <c r="J1336" s="1" t="s">
        <v>775</v>
      </c>
      <c r="K1336" s="1" t="s">
        <v>1923</v>
      </c>
      <c r="L1336" s="1" t="s">
        <v>946</v>
      </c>
      <c r="M1336" s="1" t="s">
        <v>829</v>
      </c>
      <c r="N1336" s="1" t="s">
        <v>79</v>
      </c>
      <c r="O1336" s="6">
        <v>44312</v>
      </c>
      <c r="P1336" s="6">
        <v>44287</v>
      </c>
      <c r="Q1336" s="6">
        <v>44287</v>
      </c>
      <c r="R1336" s="1" t="s">
        <v>830</v>
      </c>
      <c r="S1336" s="1" t="s">
        <v>79</v>
      </c>
      <c r="T1336" s="5">
        <v>60</v>
      </c>
      <c r="U1336" s="4">
        <v>16</v>
      </c>
      <c r="V1336" s="5">
        <v>508</v>
      </c>
      <c r="W1336" s="6"/>
      <c r="X1336" s="6"/>
      <c r="Y1336" s="6"/>
      <c r="Z1336" s="6"/>
      <c r="AA1336" s="6"/>
      <c r="AB1336" s="6"/>
      <c r="AC1336" s="6"/>
      <c r="AD1336" s="6"/>
    </row>
    <row r="1337" spans="1:30">
      <c r="A1337" s="1" t="s">
        <v>772</v>
      </c>
      <c r="B1337" s="1" t="s">
        <v>903</v>
      </c>
      <c r="C1337" s="1" t="s">
        <v>904</v>
      </c>
      <c r="D1337" s="1" t="s">
        <v>1924</v>
      </c>
      <c r="E1337" s="1" t="str">
        <f t="shared" si="20"/>
        <v>W03</v>
      </c>
      <c r="F1337" s="5">
        <v>4.4400000000000004</v>
      </c>
      <c r="G1337" s="5">
        <v>4.4400000000000004</v>
      </c>
      <c r="H1337" s="5">
        <v>4.4400000000000004</v>
      </c>
      <c r="I1337" s="5"/>
      <c r="J1337" s="1" t="s">
        <v>775</v>
      </c>
      <c r="K1337" s="1" t="s">
        <v>1925</v>
      </c>
      <c r="L1337" s="1" t="s">
        <v>829</v>
      </c>
      <c r="M1337" s="1" t="s">
        <v>828</v>
      </c>
      <c r="N1337" s="1" t="s">
        <v>79</v>
      </c>
      <c r="O1337" s="6">
        <v>44312</v>
      </c>
      <c r="P1337" s="6">
        <v>44287</v>
      </c>
      <c r="Q1337" s="6">
        <v>44287</v>
      </c>
      <c r="R1337" s="1" t="s">
        <v>830</v>
      </c>
      <c r="S1337" s="1" t="s">
        <v>79</v>
      </c>
      <c r="T1337" s="5">
        <v>30</v>
      </c>
      <c r="U1337" s="4">
        <v>16</v>
      </c>
      <c r="V1337" s="5">
        <v>508</v>
      </c>
      <c r="W1337" s="6"/>
      <c r="X1337" s="6"/>
      <c r="Y1337" s="6"/>
      <c r="Z1337" s="6"/>
      <c r="AA1337" s="6"/>
      <c r="AB1337" s="6"/>
      <c r="AC1337" s="6"/>
      <c r="AD1337" s="6"/>
    </row>
    <row r="1338" spans="1:30">
      <c r="A1338" s="1" t="s">
        <v>772</v>
      </c>
      <c r="B1338" s="1" t="s">
        <v>773</v>
      </c>
      <c r="C1338" s="1" t="s">
        <v>989</v>
      </c>
      <c r="D1338" s="1" t="s">
        <v>1926</v>
      </c>
      <c r="E1338" s="1" t="str">
        <f t="shared" si="20"/>
        <v>W05</v>
      </c>
      <c r="F1338" s="5">
        <v>0</v>
      </c>
      <c r="G1338" s="5">
        <v>0</v>
      </c>
      <c r="H1338" s="5">
        <v>0</v>
      </c>
      <c r="I1338" s="5"/>
      <c r="J1338" s="1" t="s">
        <v>775</v>
      </c>
      <c r="K1338" s="1" t="s">
        <v>1927</v>
      </c>
      <c r="L1338" s="1" t="s">
        <v>828</v>
      </c>
      <c r="M1338" s="1" t="s">
        <v>913</v>
      </c>
      <c r="N1338" s="1" t="s">
        <v>79</v>
      </c>
      <c r="O1338" s="6">
        <v>44312</v>
      </c>
      <c r="P1338" s="6">
        <v>44287</v>
      </c>
      <c r="Q1338" s="6">
        <v>44287</v>
      </c>
      <c r="R1338" s="1" t="s">
        <v>830</v>
      </c>
      <c r="S1338" s="1" t="s">
        <v>1717</v>
      </c>
      <c r="T1338" s="5">
        <v>0</v>
      </c>
      <c r="U1338" s="4">
        <v>16</v>
      </c>
      <c r="V1338" s="5">
        <v>508</v>
      </c>
      <c r="W1338" s="6"/>
      <c r="X1338" s="6"/>
      <c r="Y1338" s="6"/>
      <c r="Z1338" s="6"/>
      <c r="AA1338" s="6"/>
      <c r="AB1338" s="6"/>
      <c r="AC1338" s="6"/>
      <c r="AD1338" s="6">
        <v>44324</v>
      </c>
    </row>
    <row r="1339" spans="1:30">
      <c r="A1339" s="1" t="s">
        <v>772</v>
      </c>
      <c r="B1339" s="1" t="s">
        <v>903</v>
      </c>
      <c r="C1339" s="1" t="s">
        <v>904</v>
      </c>
      <c r="D1339" s="1" t="s">
        <v>1928</v>
      </c>
      <c r="E1339" s="1" t="str">
        <f t="shared" si="20"/>
        <v>W03</v>
      </c>
      <c r="F1339" s="4">
        <v>0.01</v>
      </c>
      <c r="G1339" s="4">
        <v>0.01</v>
      </c>
      <c r="H1339" s="4">
        <v>0.01</v>
      </c>
      <c r="I1339" s="4"/>
      <c r="J1339" s="1" t="s">
        <v>775</v>
      </c>
      <c r="K1339" s="1" t="s">
        <v>1929</v>
      </c>
      <c r="L1339" s="1" t="s">
        <v>79</v>
      </c>
      <c r="M1339" s="1" t="s">
        <v>79</v>
      </c>
      <c r="N1339" s="1" t="s">
        <v>79</v>
      </c>
      <c r="O1339" s="6">
        <v>43606</v>
      </c>
      <c r="P1339" s="6">
        <v>43586</v>
      </c>
      <c r="Q1339" s="6">
        <v>43586</v>
      </c>
      <c r="R1339" s="1" t="s">
        <v>1235</v>
      </c>
      <c r="S1339" s="1" t="s">
        <v>79</v>
      </c>
      <c r="T1339" s="5">
        <v>0</v>
      </c>
      <c r="U1339" s="4">
        <v>39</v>
      </c>
      <c r="V1339" s="5">
        <v>1209</v>
      </c>
      <c r="W1339" s="6"/>
      <c r="X1339" s="6"/>
      <c r="Y1339" s="6"/>
      <c r="Z1339" s="6"/>
      <c r="AA1339" s="6"/>
      <c r="AB1339" s="6"/>
      <c r="AC1339" s="6"/>
      <c r="AD1339" s="6"/>
    </row>
    <row r="1340" spans="1:30">
      <c r="A1340" s="1" t="s">
        <v>772</v>
      </c>
      <c r="B1340" s="1" t="s">
        <v>903</v>
      </c>
      <c r="C1340" s="1" t="s">
        <v>904</v>
      </c>
      <c r="D1340" s="1" t="s">
        <v>1930</v>
      </c>
      <c r="E1340" s="1" t="str">
        <f t="shared" si="20"/>
        <v>W03</v>
      </c>
      <c r="F1340" s="4">
        <v>1.05</v>
      </c>
      <c r="G1340" s="4">
        <v>1.05</v>
      </c>
      <c r="H1340" s="4">
        <v>1.05</v>
      </c>
      <c r="I1340" s="4"/>
      <c r="J1340" s="1" t="s">
        <v>775</v>
      </c>
      <c r="K1340" s="1" t="s">
        <v>1931</v>
      </c>
      <c r="L1340" s="1" t="s">
        <v>79</v>
      </c>
      <c r="M1340" s="1" t="s">
        <v>79</v>
      </c>
      <c r="N1340" s="1" t="s">
        <v>79</v>
      </c>
      <c r="O1340" s="6">
        <v>43606</v>
      </c>
      <c r="P1340" s="6">
        <v>43586</v>
      </c>
      <c r="Q1340" s="6">
        <v>43586</v>
      </c>
      <c r="R1340" s="1" t="s">
        <v>1807</v>
      </c>
      <c r="S1340" s="1" t="s">
        <v>79</v>
      </c>
      <c r="T1340" s="5">
        <v>0</v>
      </c>
      <c r="U1340" s="4">
        <v>39</v>
      </c>
      <c r="V1340" s="5">
        <v>1209</v>
      </c>
      <c r="W1340" s="6"/>
      <c r="X1340" s="6"/>
      <c r="Y1340" s="6"/>
      <c r="Z1340" s="6"/>
      <c r="AA1340" s="6"/>
      <c r="AB1340" s="6"/>
      <c r="AC1340" s="6"/>
      <c r="AD1340" s="6"/>
    </row>
    <row r="1341" spans="1:30">
      <c r="A1341" s="1" t="s">
        <v>772</v>
      </c>
      <c r="B1341" s="1" t="s">
        <v>903</v>
      </c>
      <c r="C1341" s="1" t="s">
        <v>904</v>
      </c>
      <c r="D1341" s="1" t="s">
        <v>1932</v>
      </c>
      <c r="E1341" s="1" t="str">
        <f t="shared" si="20"/>
        <v>W03</v>
      </c>
      <c r="F1341" s="4">
        <v>0.3</v>
      </c>
      <c r="G1341" s="4">
        <v>0.3</v>
      </c>
      <c r="H1341" s="4">
        <v>0.3</v>
      </c>
      <c r="I1341" s="4"/>
      <c r="J1341" s="1" t="s">
        <v>79</v>
      </c>
      <c r="K1341" s="1" t="s">
        <v>79</v>
      </c>
      <c r="L1341" s="1" t="s">
        <v>79</v>
      </c>
      <c r="M1341" s="1" t="s">
        <v>79</v>
      </c>
      <c r="N1341" s="1" t="s">
        <v>79</v>
      </c>
      <c r="O1341" s="6"/>
      <c r="P1341" s="6"/>
      <c r="Q1341" s="6"/>
      <c r="R1341" s="1" t="s">
        <v>79</v>
      </c>
      <c r="S1341" s="1" t="s">
        <v>79</v>
      </c>
      <c r="T1341" s="5">
        <v>0</v>
      </c>
      <c r="U1341" s="4">
        <v>0</v>
      </c>
      <c r="V1341" s="5">
        <v>0</v>
      </c>
      <c r="W1341" s="6"/>
      <c r="X1341" s="6"/>
      <c r="Y1341" s="6"/>
      <c r="Z1341" s="6"/>
      <c r="AA1341" s="6"/>
      <c r="AB1341" s="6"/>
      <c r="AC1341" s="6"/>
      <c r="AD1341" s="6"/>
    </row>
    <row r="1342" spans="1:30">
      <c r="A1342" s="1" t="s">
        <v>772</v>
      </c>
      <c r="B1342" s="1" t="s">
        <v>903</v>
      </c>
      <c r="C1342" s="1" t="s">
        <v>989</v>
      </c>
      <c r="D1342" s="1" t="s">
        <v>1933</v>
      </c>
      <c r="E1342" s="1" t="str">
        <f t="shared" si="20"/>
        <v>W05</v>
      </c>
      <c r="F1342" s="4">
        <v>1.62</v>
      </c>
      <c r="G1342" s="4">
        <v>1.62</v>
      </c>
      <c r="H1342" s="4">
        <v>1.62</v>
      </c>
      <c r="I1342" s="4"/>
      <c r="J1342" s="1" t="s">
        <v>775</v>
      </c>
      <c r="K1342" s="1" t="s">
        <v>1197</v>
      </c>
      <c r="L1342" s="1" t="s">
        <v>79</v>
      </c>
      <c r="M1342" s="1" t="s">
        <v>79</v>
      </c>
      <c r="N1342" s="1" t="s">
        <v>79</v>
      </c>
      <c r="O1342" s="6">
        <v>44260</v>
      </c>
      <c r="P1342" s="6">
        <v>44256</v>
      </c>
      <c r="Q1342" s="6">
        <v>44256</v>
      </c>
      <c r="R1342" s="1" t="s">
        <v>1076</v>
      </c>
      <c r="S1342" s="1" t="s">
        <v>79</v>
      </c>
      <c r="T1342" s="5">
        <v>1154</v>
      </c>
      <c r="U1342" s="4">
        <v>17</v>
      </c>
      <c r="V1342" s="5">
        <v>539</v>
      </c>
      <c r="W1342" s="6"/>
      <c r="X1342" s="6"/>
      <c r="Y1342" s="6"/>
      <c r="Z1342" s="6"/>
      <c r="AA1342" s="6"/>
      <c r="AB1342" s="6"/>
      <c r="AC1342" s="6"/>
      <c r="AD1342" s="6">
        <v>44286</v>
      </c>
    </row>
    <row r="1343" spans="1:30">
      <c r="A1343" s="1" t="s">
        <v>772</v>
      </c>
      <c r="B1343" s="1" t="s">
        <v>903</v>
      </c>
      <c r="C1343" s="1" t="s">
        <v>989</v>
      </c>
      <c r="D1343" s="1" t="s">
        <v>1934</v>
      </c>
      <c r="E1343" s="1" t="str">
        <f t="shared" si="20"/>
        <v>W05</v>
      </c>
      <c r="F1343" s="4">
        <v>0.31</v>
      </c>
      <c r="G1343" s="4">
        <v>0.31</v>
      </c>
      <c r="H1343" s="4">
        <v>0.31</v>
      </c>
      <c r="I1343" s="4"/>
      <c r="J1343" s="1" t="s">
        <v>775</v>
      </c>
      <c r="K1343" s="1" t="s">
        <v>840</v>
      </c>
      <c r="L1343" s="1" t="s">
        <v>777</v>
      </c>
      <c r="M1343" s="1" t="s">
        <v>778</v>
      </c>
      <c r="N1343" s="1" t="s">
        <v>787</v>
      </c>
      <c r="O1343" s="6">
        <v>44565</v>
      </c>
      <c r="P1343" s="6">
        <v>44550</v>
      </c>
      <c r="Q1343" s="6">
        <v>44516</v>
      </c>
      <c r="R1343" s="1" t="s">
        <v>779</v>
      </c>
      <c r="S1343" s="1" t="s">
        <v>780</v>
      </c>
      <c r="T1343" s="5">
        <v>517</v>
      </c>
      <c r="U1343" s="4">
        <v>8</v>
      </c>
      <c r="V1343" s="5">
        <v>245</v>
      </c>
      <c r="W1343" s="6">
        <v>43535</v>
      </c>
      <c r="X1343" s="6">
        <v>43566</v>
      </c>
      <c r="Y1343" s="6"/>
      <c r="Z1343" s="6"/>
      <c r="AA1343" s="6"/>
      <c r="AB1343" s="6"/>
      <c r="AC1343" s="6"/>
      <c r="AD1343" s="6"/>
    </row>
    <row r="1344" spans="1:30">
      <c r="A1344" s="1" t="s">
        <v>772</v>
      </c>
      <c r="B1344" s="1" t="s">
        <v>903</v>
      </c>
      <c r="C1344" s="1" t="s">
        <v>989</v>
      </c>
      <c r="D1344" s="1" t="s">
        <v>1935</v>
      </c>
      <c r="E1344" s="1" t="str">
        <f t="shared" si="20"/>
        <v>W05</v>
      </c>
      <c r="F1344" s="4">
        <v>0.34</v>
      </c>
      <c r="G1344" s="4">
        <v>0.34</v>
      </c>
      <c r="H1344" s="4">
        <v>0.34</v>
      </c>
      <c r="I1344" s="4"/>
      <c r="J1344" s="1" t="s">
        <v>775</v>
      </c>
      <c r="K1344" s="1" t="s">
        <v>840</v>
      </c>
      <c r="L1344" s="1" t="s">
        <v>777</v>
      </c>
      <c r="M1344" s="1" t="s">
        <v>778</v>
      </c>
      <c r="N1344" s="1" t="s">
        <v>787</v>
      </c>
      <c r="O1344" s="6">
        <v>44565</v>
      </c>
      <c r="P1344" s="6">
        <v>44553</v>
      </c>
      <c r="Q1344" s="6">
        <v>44532</v>
      </c>
      <c r="R1344" s="1" t="s">
        <v>779</v>
      </c>
      <c r="S1344" s="1" t="s">
        <v>823</v>
      </c>
      <c r="T1344" s="5">
        <v>457</v>
      </c>
      <c r="U1344" s="4">
        <v>7</v>
      </c>
      <c r="V1344" s="5">
        <v>242</v>
      </c>
      <c r="W1344" s="6">
        <v>43497</v>
      </c>
      <c r="X1344" s="6">
        <v>42702</v>
      </c>
      <c r="Y1344" s="6"/>
      <c r="Z1344" s="6"/>
      <c r="AA1344" s="6"/>
      <c r="AB1344" s="6"/>
      <c r="AC1344" s="6"/>
      <c r="AD1344" s="6"/>
    </row>
    <row r="1345" spans="1:30">
      <c r="A1345" s="1" t="s">
        <v>772</v>
      </c>
      <c r="B1345" s="1" t="s">
        <v>903</v>
      </c>
      <c r="C1345" s="1" t="s">
        <v>989</v>
      </c>
      <c r="D1345" s="1" t="s">
        <v>1936</v>
      </c>
      <c r="E1345" s="1" t="str">
        <f t="shared" si="20"/>
        <v>W05</v>
      </c>
      <c r="F1345" s="4">
        <v>0.59</v>
      </c>
      <c r="G1345" s="4">
        <v>0.59</v>
      </c>
      <c r="H1345" s="4">
        <v>0.59</v>
      </c>
      <c r="I1345" s="4"/>
      <c r="J1345" s="1" t="s">
        <v>775</v>
      </c>
      <c r="K1345" s="1" t="s">
        <v>881</v>
      </c>
      <c r="L1345" s="1" t="s">
        <v>777</v>
      </c>
      <c r="M1345" s="1" t="s">
        <v>778</v>
      </c>
      <c r="N1345" s="1" t="s">
        <v>79</v>
      </c>
      <c r="O1345" s="6">
        <v>44531</v>
      </c>
      <c r="P1345" s="6">
        <v>44521</v>
      </c>
      <c r="Q1345" s="6">
        <v>44488</v>
      </c>
      <c r="R1345" s="1" t="s">
        <v>779</v>
      </c>
      <c r="S1345" s="1" t="s">
        <v>823</v>
      </c>
      <c r="T1345" s="5">
        <v>457</v>
      </c>
      <c r="U1345" s="4">
        <v>9</v>
      </c>
      <c r="V1345" s="5">
        <v>274</v>
      </c>
      <c r="W1345" s="6">
        <v>43720</v>
      </c>
      <c r="X1345" s="6"/>
      <c r="Y1345" s="6"/>
      <c r="Z1345" s="6"/>
      <c r="AA1345" s="6"/>
      <c r="AB1345" s="6"/>
      <c r="AC1345" s="6"/>
      <c r="AD1345" s="6"/>
    </row>
    <row r="1346" spans="1:30">
      <c r="A1346" s="1" t="s">
        <v>772</v>
      </c>
      <c r="B1346" s="1" t="s">
        <v>903</v>
      </c>
      <c r="C1346" s="1" t="s">
        <v>989</v>
      </c>
      <c r="D1346" s="1" t="s">
        <v>1937</v>
      </c>
      <c r="E1346" s="1" t="str">
        <f t="shared" si="20"/>
        <v>W05</v>
      </c>
      <c r="F1346" s="4">
        <v>0.26</v>
      </c>
      <c r="G1346" s="4">
        <v>0.26</v>
      </c>
      <c r="H1346" s="4">
        <v>0.26</v>
      </c>
      <c r="I1346" s="4"/>
      <c r="J1346" s="1" t="s">
        <v>775</v>
      </c>
      <c r="K1346" s="1" t="s">
        <v>899</v>
      </c>
      <c r="L1346" s="1" t="s">
        <v>777</v>
      </c>
      <c r="M1346" s="1" t="s">
        <v>778</v>
      </c>
      <c r="N1346" s="1" t="s">
        <v>79</v>
      </c>
      <c r="O1346" s="6">
        <v>44380</v>
      </c>
      <c r="P1346" s="6">
        <v>44378</v>
      </c>
      <c r="Q1346" s="6">
        <v>44352</v>
      </c>
      <c r="R1346" s="1" t="s">
        <v>779</v>
      </c>
      <c r="S1346" s="1" t="s">
        <v>823</v>
      </c>
      <c r="T1346" s="5">
        <v>457</v>
      </c>
      <c r="U1346" s="4">
        <v>13</v>
      </c>
      <c r="V1346" s="5">
        <v>417</v>
      </c>
      <c r="W1346" s="6"/>
      <c r="X1346" s="6"/>
      <c r="Y1346" s="6"/>
      <c r="Z1346" s="6"/>
      <c r="AA1346" s="6">
        <v>44712</v>
      </c>
      <c r="AB1346" s="6"/>
      <c r="AC1346" s="6"/>
      <c r="AD1346" s="6"/>
    </row>
    <row r="1347" spans="1:30">
      <c r="A1347" s="1" t="s">
        <v>772</v>
      </c>
      <c r="B1347" s="1" t="s">
        <v>903</v>
      </c>
      <c r="C1347" s="1" t="s">
        <v>989</v>
      </c>
      <c r="D1347" s="1" t="s">
        <v>1938</v>
      </c>
      <c r="E1347" s="1" t="str">
        <f t="shared" si="20"/>
        <v>W05</v>
      </c>
      <c r="F1347" s="4">
        <v>0.22</v>
      </c>
      <c r="G1347" s="4">
        <v>0.22</v>
      </c>
      <c r="H1347" s="4">
        <v>0.22</v>
      </c>
      <c r="I1347" s="4"/>
      <c r="J1347" s="1" t="s">
        <v>775</v>
      </c>
      <c r="K1347" s="1" t="s">
        <v>1939</v>
      </c>
      <c r="L1347" s="1" t="s">
        <v>787</v>
      </c>
      <c r="M1347" s="1" t="s">
        <v>788</v>
      </c>
      <c r="N1347" s="1" t="s">
        <v>777</v>
      </c>
      <c r="O1347" s="6">
        <v>44411</v>
      </c>
      <c r="P1347" s="6">
        <v>44380</v>
      </c>
      <c r="Q1347" s="6">
        <v>43928</v>
      </c>
      <c r="R1347" s="1" t="s">
        <v>779</v>
      </c>
      <c r="S1347" s="1" t="s">
        <v>79</v>
      </c>
      <c r="T1347" s="5">
        <v>402</v>
      </c>
      <c r="U1347" s="4">
        <v>13</v>
      </c>
      <c r="V1347" s="5">
        <v>415</v>
      </c>
      <c r="W1347" s="6">
        <v>43678</v>
      </c>
      <c r="X1347" s="6">
        <v>43637</v>
      </c>
      <c r="Y1347" s="6"/>
      <c r="Z1347" s="6"/>
      <c r="AA1347" s="6">
        <v>44632</v>
      </c>
      <c r="AB1347" s="6"/>
      <c r="AC1347" s="6"/>
      <c r="AD1347" s="6">
        <v>44779</v>
      </c>
    </row>
    <row r="1348" spans="1:30">
      <c r="A1348" s="1" t="s">
        <v>772</v>
      </c>
      <c r="B1348" s="1" t="s">
        <v>903</v>
      </c>
      <c r="C1348" s="1" t="s">
        <v>989</v>
      </c>
      <c r="D1348" s="1" t="s">
        <v>1940</v>
      </c>
      <c r="E1348" s="1" t="str">
        <f t="shared" si="20"/>
        <v>W05</v>
      </c>
      <c r="F1348" s="4">
        <v>0.14000000000000001</v>
      </c>
      <c r="G1348" s="4">
        <v>0.14000000000000001</v>
      </c>
      <c r="H1348" s="4">
        <v>0.14000000000000001</v>
      </c>
      <c r="I1348" s="4"/>
      <c r="J1348" s="1" t="s">
        <v>775</v>
      </c>
      <c r="K1348" s="1" t="s">
        <v>1209</v>
      </c>
      <c r="L1348" s="1" t="s">
        <v>1210</v>
      </c>
      <c r="M1348" s="1" t="s">
        <v>79</v>
      </c>
      <c r="N1348" s="1" t="s">
        <v>79</v>
      </c>
      <c r="O1348" s="6">
        <v>44753</v>
      </c>
      <c r="P1348" s="6">
        <v>44749</v>
      </c>
      <c r="Q1348" s="6">
        <v>44256</v>
      </c>
      <c r="R1348" s="1" t="s">
        <v>1076</v>
      </c>
      <c r="S1348" s="1" t="s">
        <v>79</v>
      </c>
      <c r="T1348" s="5">
        <v>0</v>
      </c>
      <c r="U1348" s="4">
        <v>1</v>
      </c>
      <c r="V1348" s="5">
        <v>46</v>
      </c>
      <c r="W1348" s="6"/>
      <c r="X1348" s="6"/>
      <c r="Y1348" s="6"/>
      <c r="Z1348" s="6"/>
      <c r="AA1348" s="6"/>
      <c r="AB1348" s="6"/>
      <c r="AC1348" s="6"/>
      <c r="AD1348" s="6"/>
    </row>
    <row r="1349" spans="1:30">
      <c r="A1349" s="1" t="s">
        <v>772</v>
      </c>
      <c r="B1349" s="1" t="s">
        <v>903</v>
      </c>
      <c r="C1349" s="1" t="s">
        <v>989</v>
      </c>
      <c r="D1349" s="1" t="s">
        <v>1941</v>
      </c>
      <c r="E1349" s="1" t="str">
        <f t="shared" ref="E1349:E1412" si="21">RIGHT(C1349,3)</f>
        <v>W05</v>
      </c>
      <c r="F1349" s="4">
        <v>0.1</v>
      </c>
      <c r="G1349" s="4">
        <v>0.1</v>
      </c>
      <c r="H1349" s="4">
        <v>0.1</v>
      </c>
      <c r="I1349" s="4"/>
      <c r="J1349" s="1" t="s">
        <v>775</v>
      </c>
      <c r="K1349" s="1" t="s">
        <v>1792</v>
      </c>
      <c r="L1349" s="1" t="s">
        <v>788</v>
      </c>
      <c r="M1349" s="1" t="s">
        <v>787</v>
      </c>
      <c r="N1349" s="1" t="s">
        <v>788</v>
      </c>
      <c r="O1349" s="6">
        <v>44781</v>
      </c>
      <c r="P1349" s="6">
        <v>44779</v>
      </c>
      <c r="Q1349" s="6"/>
      <c r="R1349" s="1" t="s">
        <v>779</v>
      </c>
      <c r="S1349" s="1" t="s">
        <v>79</v>
      </c>
      <c r="T1349" s="5">
        <v>30</v>
      </c>
      <c r="U1349" s="4">
        <v>0</v>
      </c>
      <c r="V1349" s="5">
        <v>16</v>
      </c>
      <c r="W1349" s="6">
        <v>43128</v>
      </c>
      <c r="X1349" s="6">
        <v>43503</v>
      </c>
      <c r="Y1349" s="6"/>
      <c r="Z1349" s="6"/>
      <c r="AA1349" s="6"/>
      <c r="AB1349" s="6"/>
      <c r="AC1349" s="6"/>
      <c r="AD1349" s="6"/>
    </row>
    <row r="1350" spans="1:30">
      <c r="A1350" s="1" t="s">
        <v>772</v>
      </c>
      <c r="B1350" s="1" t="s">
        <v>903</v>
      </c>
      <c r="C1350" s="1" t="s">
        <v>1002</v>
      </c>
      <c r="D1350" s="1" t="s">
        <v>1942</v>
      </c>
      <c r="E1350" s="1" t="str">
        <f t="shared" si="21"/>
        <v>W06</v>
      </c>
      <c r="F1350" s="4">
        <v>0.13</v>
      </c>
      <c r="G1350" s="4">
        <v>0.13</v>
      </c>
      <c r="H1350" s="4">
        <v>0.13</v>
      </c>
      <c r="I1350" s="4"/>
      <c r="J1350" s="1" t="s">
        <v>775</v>
      </c>
      <c r="K1350" s="1" t="s">
        <v>884</v>
      </c>
      <c r="L1350" s="1" t="s">
        <v>777</v>
      </c>
      <c r="M1350" s="1" t="s">
        <v>778</v>
      </c>
      <c r="N1350" s="1" t="s">
        <v>788</v>
      </c>
      <c r="O1350" s="6">
        <v>44715</v>
      </c>
      <c r="P1350" s="6">
        <v>44713</v>
      </c>
      <c r="Q1350" s="6">
        <v>44659</v>
      </c>
      <c r="R1350" s="1" t="s">
        <v>779</v>
      </c>
      <c r="S1350" s="1" t="s">
        <v>792</v>
      </c>
      <c r="T1350" s="5">
        <v>577</v>
      </c>
      <c r="U1350" s="4">
        <v>2</v>
      </c>
      <c r="V1350" s="5">
        <v>82</v>
      </c>
      <c r="W1350" s="6">
        <v>43128</v>
      </c>
      <c r="X1350" s="6">
        <v>43503</v>
      </c>
      <c r="Y1350" s="6"/>
      <c r="Z1350" s="6"/>
      <c r="AA1350" s="6"/>
      <c r="AB1350" s="6"/>
      <c r="AC1350" s="6"/>
      <c r="AD1350" s="6"/>
    </row>
    <row r="1351" spans="1:30">
      <c r="A1351" s="1" t="s">
        <v>772</v>
      </c>
      <c r="B1351" s="1" t="s">
        <v>903</v>
      </c>
      <c r="C1351" s="1" t="s">
        <v>1002</v>
      </c>
      <c r="D1351" s="1" t="s">
        <v>1943</v>
      </c>
      <c r="E1351" s="1" t="str">
        <f t="shared" si="21"/>
        <v>W06</v>
      </c>
      <c r="F1351" s="5">
        <v>0.24</v>
      </c>
      <c r="G1351" s="4">
        <v>0.24</v>
      </c>
      <c r="H1351" s="4">
        <v>0.24</v>
      </c>
      <c r="I1351" s="4"/>
      <c r="J1351" s="1" t="s">
        <v>775</v>
      </c>
      <c r="K1351" s="1" t="s">
        <v>884</v>
      </c>
      <c r="L1351" s="1" t="s">
        <v>777</v>
      </c>
      <c r="M1351" s="1" t="s">
        <v>778</v>
      </c>
      <c r="N1351" s="1" t="s">
        <v>787</v>
      </c>
      <c r="O1351" s="6">
        <v>44714</v>
      </c>
      <c r="P1351" s="6">
        <v>44700</v>
      </c>
      <c r="Q1351" s="6">
        <v>44655</v>
      </c>
      <c r="R1351" s="1" t="s">
        <v>779</v>
      </c>
      <c r="S1351" s="1" t="s">
        <v>795</v>
      </c>
      <c r="T1351" s="5">
        <v>577</v>
      </c>
      <c r="U1351" s="4">
        <v>3</v>
      </c>
      <c r="V1351" s="5">
        <v>95</v>
      </c>
      <c r="W1351" s="6">
        <v>43293</v>
      </c>
      <c r="X1351" s="6">
        <v>43079</v>
      </c>
      <c r="Y1351" s="6"/>
      <c r="Z1351" s="6"/>
      <c r="AA1351" s="6"/>
      <c r="AB1351" s="6"/>
      <c r="AC1351" s="6"/>
      <c r="AD1351" s="6"/>
    </row>
    <row r="1352" spans="1:30">
      <c r="A1352" s="1" t="s">
        <v>772</v>
      </c>
      <c r="B1352" s="1" t="s">
        <v>903</v>
      </c>
      <c r="C1352" s="1" t="s">
        <v>1002</v>
      </c>
      <c r="D1352" s="1" t="s">
        <v>1944</v>
      </c>
      <c r="E1352" s="1" t="str">
        <f t="shared" si="21"/>
        <v>W06</v>
      </c>
      <c r="F1352" s="4">
        <v>0.03</v>
      </c>
      <c r="G1352" s="4">
        <v>0.03</v>
      </c>
      <c r="H1352" s="4">
        <v>0.03</v>
      </c>
      <c r="I1352" s="4"/>
      <c r="J1352" s="1" t="s">
        <v>775</v>
      </c>
      <c r="K1352" s="1" t="s">
        <v>1078</v>
      </c>
      <c r="L1352" s="1" t="s">
        <v>787</v>
      </c>
      <c r="M1352" s="1" t="s">
        <v>788</v>
      </c>
      <c r="N1352" s="1" t="s">
        <v>79</v>
      </c>
      <c r="O1352" s="6">
        <v>44744</v>
      </c>
      <c r="P1352" s="6">
        <v>44734</v>
      </c>
      <c r="Q1352" s="6">
        <v>44175</v>
      </c>
      <c r="R1352" s="1" t="s">
        <v>779</v>
      </c>
      <c r="S1352" s="1" t="s">
        <v>79</v>
      </c>
      <c r="T1352" s="5">
        <v>300</v>
      </c>
      <c r="U1352" s="4">
        <v>2</v>
      </c>
      <c r="V1352" s="5">
        <v>61</v>
      </c>
      <c r="W1352" s="6"/>
      <c r="X1352" s="6"/>
      <c r="Y1352" s="6"/>
      <c r="Z1352" s="6"/>
      <c r="AA1352" s="6"/>
      <c r="AB1352" s="6"/>
      <c r="AC1352" s="6"/>
      <c r="AD1352" s="6">
        <v>44762</v>
      </c>
    </row>
    <row r="1353" spans="1:30">
      <c r="A1353" s="1" t="s">
        <v>772</v>
      </c>
      <c r="B1353" s="1" t="s">
        <v>903</v>
      </c>
      <c r="C1353" s="1" t="s">
        <v>1010</v>
      </c>
      <c r="D1353" s="1" t="s">
        <v>1945</v>
      </c>
      <c r="E1353" s="1" t="str">
        <f t="shared" si="21"/>
        <v>W07</v>
      </c>
      <c r="F1353" s="4">
        <v>1</v>
      </c>
      <c r="G1353" s="4">
        <v>1</v>
      </c>
      <c r="H1353" s="4">
        <v>1</v>
      </c>
      <c r="I1353" s="4"/>
      <c r="J1353" s="1" t="s">
        <v>775</v>
      </c>
      <c r="K1353" s="1" t="s">
        <v>793</v>
      </c>
      <c r="L1353" s="1" t="s">
        <v>787</v>
      </c>
      <c r="M1353" s="1" t="s">
        <v>788</v>
      </c>
      <c r="N1353" s="1" t="s">
        <v>787</v>
      </c>
      <c r="O1353" s="6">
        <v>44774</v>
      </c>
      <c r="P1353" s="6">
        <v>44751</v>
      </c>
      <c r="Q1353" s="6">
        <v>44176</v>
      </c>
      <c r="R1353" s="1" t="s">
        <v>779</v>
      </c>
      <c r="S1353" s="1" t="s">
        <v>79</v>
      </c>
      <c r="T1353" s="5">
        <v>402</v>
      </c>
      <c r="U1353" s="4">
        <v>1</v>
      </c>
      <c r="V1353" s="5">
        <v>44</v>
      </c>
      <c r="W1353" s="6">
        <v>43373</v>
      </c>
      <c r="X1353" s="6">
        <v>42702</v>
      </c>
      <c r="Y1353" s="6"/>
      <c r="Z1353" s="6"/>
      <c r="AA1353" s="6"/>
      <c r="AB1353" s="6"/>
      <c r="AC1353" s="6"/>
      <c r="AD1353" s="6"/>
    </row>
    <row r="1354" spans="1:30">
      <c r="A1354" s="1" t="s">
        <v>772</v>
      </c>
      <c r="B1354" s="1" t="s">
        <v>903</v>
      </c>
      <c r="C1354" s="1" t="s">
        <v>1010</v>
      </c>
      <c r="D1354" s="1" t="s">
        <v>1946</v>
      </c>
      <c r="E1354" s="1" t="str">
        <f t="shared" si="21"/>
        <v>W07</v>
      </c>
      <c r="F1354" s="4">
        <v>0.04</v>
      </c>
      <c r="G1354" s="4">
        <v>0.04</v>
      </c>
      <c r="H1354" s="4">
        <v>0.04</v>
      </c>
      <c r="I1354" s="4"/>
      <c r="J1354" s="1" t="s">
        <v>775</v>
      </c>
      <c r="K1354" s="1" t="s">
        <v>1209</v>
      </c>
      <c r="L1354" s="1" t="s">
        <v>1210</v>
      </c>
      <c r="M1354" s="1" t="s">
        <v>79</v>
      </c>
      <c r="N1354" s="1" t="s">
        <v>79</v>
      </c>
      <c r="O1354" s="6">
        <v>44753</v>
      </c>
      <c r="P1354" s="6">
        <v>44749</v>
      </c>
      <c r="Q1354" s="6">
        <v>44256</v>
      </c>
      <c r="R1354" s="1" t="s">
        <v>1076</v>
      </c>
      <c r="S1354" s="1" t="s">
        <v>79</v>
      </c>
      <c r="T1354" s="5">
        <v>0</v>
      </c>
      <c r="U1354" s="4">
        <v>1</v>
      </c>
      <c r="V1354" s="5">
        <v>46</v>
      </c>
      <c r="W1354" s="6"/>
      <c r="X1354" s="6"/>
      <c r="Y1354" s="6"/>
      <c r="Z1354" s="6"/>
      <c r="AA1354" s="6"/>
      <c r="AB1354" s="6"/>
      <c r="AC1354" s="6"/>
      <c r="AD1354" s="6"/>
    </row>
    <row r="1355" spans="1:30">
      <c r="A1355" s="1" t="s">
        <v>772</v>
      </c>
      <c r="B1355" s="1" t="s">
        <v>903</v>
      </c>
      <c r="C1355" s="1" t="s">
        <v>989</v>
      </c>
      <c r="D1355" s="1" t="s">
        <v>1947</v>
      </c>
      <c r="E1355" s="1" t="str">
        <f t="shared" si="21"/>
        <v>W05</v>
      </c>
      <c r="F1355" s="4">
        <v>0.9</v>
      </c>
      <c r="G1355" s="4">
        <v>0.9</v>
      </c>
      <c r="H1355" s="4">
        <v>0.9</v>
      </c>
      <c r="I1355" s="4"/>
      <c r="J1355" s="1" t="s">
        <v>775</v>
      </c>
      <c r="K1355" s="1" t="s">
        <v>962</v>
      </c>
      <c r="L1355" s="1" t="s">
        <v>778</v>
      </c>
      <c r="M1355" s="1" t="s">
        <v>777</v>
      </c>
      <c r="N1355" s="1" t="s">
        <v>788</v>
      </c>
      <c r="O1355" s="6">
        <v>44763</v>
      </c>
      <c r="P1355" s="6">
        <v>44756</v>
      </c>
      <c r="Q1355" s="6"/>
      <c r="R1355" s="1" t="s">
        <v>779</v>
      </c>
      <c r="S1355" s="1" t="s">
        <v>79</v>
      </c>
      <c r="T1355" s="5">
        <v>120</v>
      </c>
      <c r="U1355" s="4">
        <v>1</v>
      </c>
      <c r="V1355" s="5">
        <v>39</v>
      </c>
      <c r="W1355" s="6">
        <v>43680</v>
      </c>
      <c r="X1355" s="6">
        <v>43639</v>
      </c>
      <c r="Y1355" s="6"/>
      <c r="Z1355" s="6"/>
      <c r="AA1355" s="6"/>
      <c r="AB1355" s="6"/>
      <c r="AC1355" s="6"/>
      <c r="AD1355" s="6"/>
    </row>
    <row r="1356" spans="1:30">
      <c r="A1356" s="1" t="s">
        <v>772</v>
      </c>
      <c r="B1356" s="1" t="s">
        <v>903</v>
      </c>
      <c r="C1356" s="1" t="s">
        <v>989</v>
      </c>
      <c r="D1356" s="1" t="s">
        <v>1948</v>
      </c>
      <c r="E1356" s="1" t="str">
        <f t="shared" si="21"/>
        <v>W05</v>
      </c>
      <c r="F1356" s="4">
        <v>0.09</v>
      </c>
      <c r="G1356" s="4">
        <v>0.09</v>
      </c>
      <c r="H1356" s="4">
        <v>0.09</v>
      </c>
      <c r="I1356" s="4"/>
      <c r="J1356" s="1" t="s">
        <v>775</v>
      </c>
      <c r="K1356" s="1" t="s">
        <v>962</v>
      </c>
      <c r="L1356" s="1" t="s">
        <v>778</v>
      </c>
      <c r="M1356" s="1" t="s">
        <v>777</v>
      </c>
      <c r="N1356" s="1" t="s">
        <v>788</v>
      </c>
      <c r="O1356" s="6">
        <v>44770</v>
      </c>
      <c r="P1356" s="6">
        <v>44757</v>
      </c>
      <c r="Q1356" s="6"/>
      <c r="R1356" s="1" t="s">
        <v>779</v>
      </c>
      <c r="S1356" s="1" t="s">
        <v>79</v>
      </c>
      <c r="T1356" s="5">
        <v>120</v>
      </c>
      <c r="U1356" s="4">
        <v>1</v>
      </c>
      <c r="V1356" s="5">
        <v>38</v>
      </c>
      <c r="W1356" s="6">
        <v>43680</v>
      </c>
      <c r="X1356" s="6">
        <v>43639</v>
      </c>
      <c r="Y1356" s="6"/>
      <c r="Z1356" s="6"/>
      <c r="AA1356" s="6"/>
      <c r="AB1356" s="6"/>
      <c r="AC1356" s="6"/>
      <c r="AD1356" s="6"/>
    </row>
    <row r="1357" spans="1:30">
      <c r="A1357" s="1" t="s">
        <v>772</v>
      </c>
      <c r="B1357" s="1" t="s">
        <v>903</v>
      </c>
      <c r="C1357" s="1" t="s">
        <v>1010</v>
      </c>
      <c r="D1357" s="1" t="s">
        <v>1949</v>
      </c>
      <c r="E1357" s="1" t="str">
        <f t="shared" si="21"/>
        <v>W07</v>
      </c>
      <c r="F1357" s="4">
        <v>1.08</v>
      </c>
      <c r="G1357" s="4">
        <v>1.08</v>
      </c>
      <c r="H1357" s="4">
        <v>1.08</v>
      </c>
      <c r="I1357" s="4"/>
      <c r="J1357" s="1" t="s">
        <v>775</v>
      </c>
      <c r="K1357" s="1" t="s">
        <v>860</v>
      </c>
      <c r="L1357" s="1" t="s">
        <v>777</v>
      </c>
      <c r="M1357" s="1" t="s">
        <v>778</v>
      </c>
      <c r="N1357" s="1" t="s">
        <v>79</v>
      </c>
      <c r="O1357" s="6">
        <v>44442</v>
      </c>
      <c r="P1357" s="6">
        <v>44439</v>
      </c>
      <c r="Q1357" s="6">
        <v>44412</v>
      </c>
      <c r="R1357" s="1" t="s">
        <v>779</v>
      </c>
      <c r="S1357" s="1" t="s">
        <v>780</v>
      </c>
      <c r="T1357" s="5">
        <v>517</v>
      </c>
      <c r="U1357" s="4">
        <v>11</v>
      </c>
      <c r="V1357" s="5">
        <v>356</v>
      </c>
      <c r="W1357" s="6">
        <v>43803</v>
      </c>
      <c r="X1357" s="6"/>
      <c r="Y1357" s="6"/>
      <c r="Z1357" s="6"/>
      <c r="AA1357" s="6">
        <v>44791</v>
      </c>
      <c r="AB1357" s="6"/>
      <c r="AC1357" s="6"/>
      <c r="AD1357" s="6"/>
    </row>
    <row r="1358" spans="1:30">
      <c r="A1358" s="1" t="s">
        <v>772</v>
      </c>
      <c r="B1358" s="1" t="s">
        <v>903</v>
      </c>
      <c r="C1358" s="1" t="s">
        <v>1010</v>
      </c>
      <c r="D1358" s="1" t="s">
        <v>1950</v>
      </c>
      <c r="E1358" s="1" t="str">
        <f t="shared" si="21"/>
        <v>W07</v>
      </c>
      <c r="F1358" s="4">
        <v>1.35</v>
      </c>
      <c r="G1358" s="4">
        <v>1.35</v>
      </c>
      <c r="H1358" s="4">
        <v>1.35</v>
      </c>
      <c r="I1358" s="4"/>
      <c r="J1358" s="1" t="s">
        <v>775</v>
      </c>
      <c r="K1358" s="1" t="s">
        <v>860</v>
      </c>
      <c r="L1358" s="1" t="s">
        <v>777</v>
      </c>
      <c r="M1358" s="1" t="s">
        <v>778</v>
      </c>
      <c r="N1358" s="1" t="s">
        <v>79</v>
      </c>
      <c r="O1358" s="6">
        <v>44442</v>
      </c>
      <c r="P1358" s="6">
        <v>44440</v>
      </c>
      <c r="Q1358" s="6">
        <v>44421</v>
      </c>
      <c r="R1358" s="1" t="s">
        <v>779</v>
      </c>
      <c r="S1358" s="1" t="s">
        <v>795</v>
      </c>
      <c r="T1358" s="5">
        <v>577</v>
      </c>
      <c r="U1358" s="4">
        <v>11</v>
      </c>
      <c r="V1358" s="5">
        <v>355</v>
      </c>
      <c r="W1358" s="6">
        <v>43803</v>
      </c>
      <c r="X1358" s="6"/>
      <c r="Y1358" s="6"/>
      <c r="Z1358" s="6"/>
      <c r="AA1358" s="6"/>
      <c r="AB1358" s="6"/>
      <c r="AC1358" s="6"/>
      <c r="AD1358" s="6"/>
    </row>
    <row r="1359" spans="1:30">
      <c r="A1359" s="1" t="s">
        <v>772</v>
      </c>
      <c r="B1359" s="1" t="s">
        <v>903</v>
      </c>
      <c r="C1359" s="1" t="s">
        <v>1010</v>
      </c>
      <c r="D1359" s="1" t="s">
        <v>1951</v>
      </c>
      <c r="E1359" s="1" t="str">
        <f t="shared" si="21"/>
        <v>W07</v>
      </c>
      <c r="F1359" s="4">
        <v>0.55000000000000004</v>
      </c>
      <c r="G1359" s="4">
        <v>0.55000000000000004</v>
      </c>
      <c r="H1359" s="4">
        <v>0.55000000000000004</v>
      </c>
      <c r="I1359" s="4"/>
      <c r="J1359" s="1" t="s">
        <v>775</v>
      </c>
      <c r="K1359" s="1" t="s">
        <v>860</v>
      </c>
      <c r="L1359" s="1" t="s">
        <v>777</v>
      </c>
      <c r="M1359" s="1" t="s">
        <v>778</v>
      </c>
      <c r="N1359" s="1" t="s">
        <v>777</v>
      </c>
      <c r="O1359" s="6">
        <v>44455</v>
      </c>
      <c r="P1359" s="6">
        <v>44450</v>
      </c>
      <c r="Q1359" s="6">
        <v>44427</v>
      </c>
      <c r="R1359" s="1" t="s">
        <v>779</v>
      </c>
      <c r="S1359" s="1" t="s">
        <v>795</v>
      </c>
      <c r="T1359" s="5">
        <v>577</v>
      </c>
      <c r="U1359" s="4">
        <v>11</v>
      </c>
      <c r="V1359" s="5">
        <v>345</v>
      </c>
      <c r="W1359" s="6">
        <v>43895</v>
      </c>
      <c r="X1359" s="6">
        <v>42898</v>
      </c>
      <c r="Y1359" s="6"/>
      <c r="Z1359" s="6"/>
      <c r="AA1359" s="6"/>
      <c r="AB1359" s="6"/>
      <c r="AC1359" s="6"/>
      <c r="AD1359" s="6"/>
    </row>
    <row r="1360" spans="1:30">
      <c r="A1360" s="1" t="s">
        <v>772</v>
      </c>
      <c r="B1360" s="1" t="s">
        <v>903</v>
      </c>
      <c r="C1360" s="1" t="s">
        <v>1002</v>
      </c>
      <c r="D1360" s="1" t="s">
        <v>1952</v>
      </c>
      <c r="E1360" s="1" t="str">
        <f t="shared" si="21"/>
        <v>W06</v>
      </c>
      <c r="F1360" s="4">
        <v>0.9</v>
      </c>
      <c r="G1360" s="4">
        <v>0.9</v>
      </c>
      <c r="H1360" s="4">
        <v>0.9</v>
      </c>
      <c r="I1360" s="4"/>
      <c r="J1360" s="1" t="s">
        <v>775</v>
      </c>
      <c r="K1360" s="1" t="s">
        <v>1247</v>
      </c>
      <c r="L1360" s="1" t="s">
        <v>809</v>
      </c>
      <c r="M1360" s="1" t="s">
        <v>777</v>
      </c>
      <c r="N1360" s="1" t="s">
        <v>777</v>
      </c>
      <c r="O1360" s="6">
        <v>44715</v>
      </c>
      <c r="P1360" s="6">
        <v>44703</v>
      </c>
      <c r="Q1360" s="6"/>
      <c r="R1360" s="1" t="s">
        <v>779</v>
      </c>
      <c r="S1360" s="1" t="s">
        <v>79</v>
      </c>
      <c r="T1360" s="5">
        <v>120</v>
      </c>
      <c r="U1360" s="4">
        <v>3</v>
      </c>
      <c r="V1360" s="5">
        <v>92</v>
      </c>
      <c r="W1360" s="6">
        <v>43678</v>
      </c>
      <c r="X1360" s="6">
        <v>43637</v>
      </c>
      <c r="Y1360" s="6"/>
      <c r="Z1360" s="6"/>
      <c r="AA1360" s="6"/>
      <c r="AB1360" s="6"/>
      <c r="AC1360" s="6"/>
      <c r="AD1360" s="6"/>
    </row>
    <row r="1361" spans="1:30">
      <c r="A1361" s="1" t="s">
        <v>772</v>
      </c>
      <c r="B1361" s="1" t="s">
        <v>903</v>
      </c>
      <c r="C1361" s="1" t="s">
        <v>1002</v>
      </c>
      <c r="D1361" s="1" t="s">
        <v>1953</v>
      </c>
      <c r="E1361" s="1" t="str">
        <f t="shared" si="21"/>
        <v>W06</v>
      </c>
      <c r="F1361" s="4">
        <v>0.02</v>
      </c>
      <c r="G1361" s="4">
        <v>0.02</v>
      </c>
      <c r="H1361" s="4">
        <v>0.02</v>
      </c>
      <c r="I1361" s="4"/>
      <c r="J1361" s="1" t="s">
        <v>775</v>
      </c>
      <c r="K1361" s="1" t="s">
        <v>1197</v>
      </c>
      <c r="L1361" s="1" t="s">
        <v>79</v>
      </c>
      <c r="M1361" s="1" t="s">
        <v>79</v>
      </c>
      <c r="N1361" s="1" t="s">
        <v>79</v>
      </c>
      <c r="O1361" s="6">
        <v>44260</v>
      </c>
      <c r="P1361" s="6">
        <v>44256</v>
      </c>
      <c r="Q1361" s="6">
        <v>44256</v>
      </c>
      <c r="R1361" s="1" t="s">
        <v>1076</v>
      </c>
      <c r="S1361" s="1" t="s">
        <v>79</v>
      </c>
      <c r="T1361" s="5">
        <v>1154</v>
      </c>
      <c r="U1361" s="4">
        <v>17</v>
      </c>
      <c r="V1361" s="5">
        <v>539</v>
      </c>
      <c r="W1361" s="6"/>
      <c r="X1361" s="6"/>
      <c r="Y1361" s="6"/>
      <c r="Z1361" s="6"/>
      <c r="AA1361" s="6"/>
      <c r="AB1361" s="6"/>
      <c r="AC1361" s="6"/>
      <c r="AD1361" s="6">
        <v>44725</v>
      </c>
    </row>
    <row r="1362" spans="1:30">
      <c r="A1362" s="1" t="s">
        <v>772</v>
      </c>
      <c r="B1362" s="1" t="s">
        <v>903</v>
      </c>
      <c r="C1362" s="1" t="s">
        <v>1002</v>
      </c>
      <c r="D1362" s="1" t="s">
        <v>1954</v>
      </c>
      <c r="E1362" s="1" t="str">
        <f t="shared" si="21"/>
        <v>W06</v>
      </c>
      <c r="F1362" s="4">
        <v>0.1</v>
      </c>
      <c r="G1362" s="4">
        <v>0.1</v>
      </c>
      <c r="H1362" s="4">
        <v>0.1</v>
      </c>
      <c r="I1362" s="4"/>
      <c r="J1362" s="1" t="s">
        <v>775</v>
      </c>
      <c r="K1362" s="1" t="s">
        <v>1197</v>
      </c>
      <c r="L1362" s="1" t="s">
        <v>79</v>
      </c>
      <c r="M1362" s="1" t="s">
        <v>79</v>
      </c>
      <c r="N1362" s="1" t="s">
        <v>79</v>
      </c>
      <c r="O1362" s="6">
        <v>44260</v>
      </c>
      <c r="P1362" s="6">
        <v>44256</v>
      </c>
      <c r="Q1362" s="6">
        <v>44256</v>
      </c>
      <c r="R1362" s="1" t="s">
        <v>1076</v>
      </c>
      <c r="S1362" s="1" t="s">
        <v>79</v>
      </c>
      <c r="T1362" s="5">
        <v>1154</v>
      </c>
      <c r="U1362" s="4">
        <v>17</v>
      </c>
      <c r="V1362" s="5">
        <v>539</v>
      </c>
      <c r="W1362" s="6"/>
      <c r="X1362" s="6"/>
      <c r="Y1362" s="6"/>
      <c r="Z1362" s="6"/>
      <c r="AA1362" s="6"/>
      <c r="AB1362" s="6"/>
      <c r="AC1362" s="6"/>
      <c r="AD1362" s="6">
        <v>44715</v>
      </c>
    </row>
    <row r="1363" spans="1:30">
      <c r="A1363" s="1" t="s">
        <v>772</v>
      </c>
      <c r="B1363" s="1" t="s">
        <v>903</v>
      </c>
      <c r="C1363" s="1" t="s">
        <v>1002</v>
      </c>
      <c r="D1363" s="1" t="s">
        <v>1955</v>
      </c>
      <c r="E1363" s="1" t="str">
        <f t="shared" si="21"/>
        <v>W06</v>
      </c>
      <c r="F1363" s="4">
        <v>0.33</v>
      </c>
      <c r="G1363" s="4">
        <v>0.33</v>
      </c>
      <c r="H1363" s="4">
        <v>0.33</v>
      </c>
      <c r="I1363" s="4"/>
      <c r="J1363" s="1" t="s">
        <v>775</v>
      </c>
      <c r="K1363" s="1" t="s">
        <v>1762</v>
      </c>
      <c r="L1363" s="1" t="s">
        <v>777</v>
      </c>
      <c r="M1363" s="1" t="s">
        <v>778</v>
      </c>
      <c r="N1363" s="1" t="s">
        <v>777</v>
      </c>
      <c r="O1363" s="6">
        <v>44287</v>
      </c>
      <c r="P1363" s="6">
        <v>44286</v>
      </c>
      <c r="Q1363" s="6">
        <v>44272</v>
      </c>
      <c r="R1363" s="1" t="s">
        <v>779</v>
      </c>
      <c r="S1363" s="1" t="s">
        <v>1747</v>
      </c>
      <c r="T1363" s="5">
        <v>517</v>
      </c>
      <c r="U1363" s="4">
        <v>16</v>
      </c>
      <c r="V1363" s="5">
        <v>509</v>
      </c>
      <c r="W1363" s="6">
        <v>43100</v>
      </c>
      <c r="X1363" s="6">
        <v>43100</v>
      </c>
      <c r="Y1363" s="6"/>
      <c r="Z1363" s="6"/>
      <c r="AA1363" s="6">
        <v>44676</v>
      </c>
      <c r="AB1363" s="6"/>
      <c r="AC1363" s="6"/>
      <c r="AD1363" s="6"/>
    </row>
    <row r="1364" spans="1:30">
      <c r="A1364" s="1" t="s">
        <v>772</v>
      </c>
      <c r="B1364" s="1" t="s">
        <v>903</v>
      </c>
      <c r="C1364" s="1" t="s">
        <v>1002</v>
      </c>
      <c r="D1364" s="1" t="s">
        <v>1956</v>
      </c>
      <c r="E1364" s="1" t="str">
        <f t="shared" si="21"/>
        <v>W06</v>
      </c>
      <c r="F1364" s="4">
        <v>0.61</v>
      </c>
      <c r="G1364" s="4">
        <v>0.61</v>
      </c>
      <c r="H1364" s="4">
        <v>0.61</v>
      </c>
      <c r="I1364" s="4"/>
      <c r="J1364" s="1" t="s">
        <v>775</v>
      </c>
      <c r="K1364" s="1" t="s">
        <v>1762</v>
      </c>
      <c r="L1364" s="1" t="s">
        <v>777</v>
      </c>
      <c r="M1364" s="1" t="s">
        <v>778</v>
      </c>
      <c r="N1364" s="1" t="s">
        <v>777</v>
      </c>
      <c r="O1364" s="6">
        <v>44287</v>
      </c>
      <c r="P1364" s="6">
        <v>44286</v>
      </c>
      <c r="Q1364" s="6">
        <v>44276</v>
      </c>
      <c r="R1364" s="1" t="s">
        <v>779</v>
      </c>
      <c r="S1364" s="1" t="s">
        <v>1747</v>
      </c>
      <c r="T1364" s="5">
        <v>517</v>
      </c>
      <c r="U1364" s="4">
        <v>16</v>
      </c>
      <c r="V1364" s="5">
        <v>509</v>
      </c>
      <c r="W1364" s="6">
        <v>43100</v>
      </c>
      <c r="X1364" s="6">
        <v>43100</v>
      </c>
      <c r="Y1364" s="6"/>
      <c r="Z1364" s="6"/>
      <c r="AA1364" s="6">
        <v>44676</v>
      </c>
      <c r="AB1364" s="6"/>
      <c r="AC1364" s="6"/>
      <c r="AD1364" s="6"/>
    </row>
    <row r="1365" spans="1:30">
      <c r="A1365" s="1" t="s">
        <v>772</v>
      </c>
      <c r="B1365" s="1" t="s">
        <v>903</v>
      </c>
      <c r="C1365" s="1" t="s">
        <v>1002</v>
      </c>
      <c r="D1365" s="1" t="s">
        <v>1957</v>
      </c>
      <c r="E1365" s="1" t="str">
        <f t="shared" si="21"/>
        <v>W06</v>
      </c>
      <c r="F1365" s="4">
        <v>1.27</v>
      </c>
      <c r="G1365" s="4">
        <v>1.27</v>
      </c>
      <c r="H1365" s="4">
        <v>1.27</v>
      </c>
      <c r="I1365" s="4"/>
      <c r="J1365" s="1" t="s">
        <v>775</v>
      </c>
      <c r="K1365" s="1" t="s">
        <v>987</v>
      </c>
      <c r="L1365" s="1" t="s">
        <v>778</v>
      </c>
      <c r="M1365" s="1" t="s">
        <v>777</v>
      </c>
      <c r="N1365" s="1" t="s">
        <v>788</v>
      </c>
      <c r="O1365" s="6">
        <v>44795</v>
      </c>
      <c r="P1365" s="6">
        <v>44783</v>
      </c>
      <c r="Q1365" s="6"/>
      <c r="R1365" s="1" t="s">
        <v>779</v>
      </c>
      <c r="S1365" s="1" t="s">
        <v>79</v>
      </c>
      <c r="T1365" s="5">
        <v>120</v>
      </c>
      <c r="U1365" s="4">
        <v>0</v>
      </c>
      <c r="V1365" s="5">
        <v>12</v>
      </c>
      <c r="W1365" s="6">
        <v>43680</v>
      </c>
      <c r="X1365" s="6">
        <v>43639</v>
      </c>
      <c r="Y1365" s="6"/>
      <c r="Z1365" s="6"/>
      <c r="AA1365" s="6"/>
      <c r="AB1365" s="6"/>
      <c r="AC1365" s="6"/>
      <c r="AD1365" s="6"/>
    </row>
    <row r="1366" spans="1:30">
      <c r="A1366" s="1" t="s">
        <v>772</v>
      </c>
      <c r="B1366" s="1" t="s">
        <v>903</v>
      </c>
      <c r="C1366" s="1" t="s">
        <v>1002</v>
      </c>
      <c r="D1366" s="1" t="s">
        <v>1958</v>
      </c>
      <c r="E1366" s="1" t="str">
        <f t="shared" si="21"/>
        <v>W06</v>
      </c>
      <c r="F1366" s="4">
        <v>0.84</v>
      </c>
      <c r="G1366" s="4">
        <v>0.84</v>
      </c>
      <c r="H1366" s="4">
        <v>0.84</v>
      </c>
      <c r="I1366" s="4"/>
      <c r="J1366" s="1" t="s">
        <v>775</v>
      </c>
      <c r="K1366" s="1" t="s">
        <v>1247</v>
      </c>
      <c r="L1366" s="1" t="s">
        <v>809</v>
      </c>
      <c r="M1366" s="1" t="s">
        <v>777</v>
      </c>
      <c r="N1366" s="1" t="s">
        <v>777</v>
      </c>
      <c r="O1366" s="6">
        <v>44715</v>
      </c>
      <c r="P1366" s="6">
        <v>44703</v>
      </c>
      <c r="Q1366" s="6"/>
      <c r="R1366" s="1" t="s">
        <v>779</v>
      </c>
      <c r="S1366" s="1" t="s">
        <v>79</v>
      </c>
      <c r="T1366" s="5">
        <v>120</v>
      </c>
      <c r="U1366" s="4">
        <v>3</v>
      </c>
      <c r="V1366" s="5">
        <v>92</v>
      </c>
      <c r="W1366" s="6">
        <v>43678</v>
      </c>
      <c r="X1366" s="6">
        <v>43637</v>
      </c>
      <c r="Y1366" s="6"/>
      <c r="Z1366" s="6"/>
      <c r="AA1366" s="6"/>
      <c r="AB1366" s="6"/>
      <c r="AC1366" s="6"/>
      <c r="AD1366" s="6"/>
    </row>
    <row r="1367" spans="1:30">
      <c r="A1367" s="1" t="s">
        <v>772</v>
      </c>
      <c r="B1367" s="1" t="s">
        <v>903</v>
      </c>
      <c r="C1367" s="1" t="s">
        <v>1010</v>
      </c>
      <c r="D1367" s="1" t="s">
        <v>1959</v>
      </c>
      <c r="E1367" s="1" t="str">
        <f t="shared" si="21"/>
        <v>W07</v>
      </c>
      <c r="F1367" s="4">
        <v>0.86</v>
      </c>
      <c r="G1367" s="4">
        <v>0.86</v>
      </c>
      <c r="H1367" s="4">
        <v>0.86</v>
      </c>
      <c r="I1367" s="4"/>
      <c r="J1367" s="1" t="s">
        <v>775</v>
      </c>
      <c r="K1367" s="1" t="s">
        <v>1238</v>
      </c>
      <c r="L1367" s="1" t="s">
        <v>829</v>
      </c>
      <c r="M1367" s="1" t="s">
        <v>913</v>
      </c>
      <c r="N1367" s="1" t="s">
        <v>787</v>
      </c>
      <c r="O1367" s="6">
        <v>44506</v>
      </c>
      <c r="P1367" s="6">
        <v>44499</v>
      </c>
      <c r="Q1367" s="6">
        <v>44498</v>
      </c>
      <c r="R1367" s="1" t="s">
        <v>830</v>
      </c>
      <c r="S1367" s="1" t="s">
        <v>914</v>
      </c>
      <c r="T1367" s="5">
        <v>330</v>
      </c>
      <c r="U1367" s="4">
        <v>9</v>
      </c>
      <c r="V1367" s="5">
        <v>296</v>
      </c>
      <c r="W1367" s="6">
        <v>43373</v>
      </c>
      <c r="X1367" s="6">
        <v>42702</v>
      </c>
      <c r="Y1367" s="6"/>
      <c r="Z1367" s="6"/>
      <c r="AA1367" s="6"/>
      <c r="AB1367" s="6"/>
      <c r="AC1367" s="6"/>
      <c r="AD1367" s="6">
        <v>44785</v>
      </c>
    </row>
    <row r="1368" spans="1:30">
      <c r="A1368" s="1" t="s">
        <v>772</v>
      </c>
      <c r="B1368" s="1" t="s">
        <v>903</v>
      </c>
      <c r="C1368" s="1" t="s">
        <v>1010</v>
      </c>
      <c r="D1368" s="1" t="s">
        <v>1960</v>
      </c>
      <c r="E1368" s="1" t="str">
        <f t="shared" si="21"/>
        <v>W07</v>
      </c>
      <c r="F1368" s="4">
        <v>0.5</v>
      </c>
      <c r="G1368" s="4">
        <v>0.5</v>
      </c>
      <c r="H1368" s="4">
        <v>0.5</v>
      </c>
      <c r="I1368" s="4"/>
      <c r="J1368" s="1" t="s">
        <v>775</v>
      </c>
      <c r="K1368" s="1" t="s">
        <v>1206</v>
      </c>
      <c r="L1368" s="1" t="s">
        <v>829</v>
      </c>
      <c r="M1368" s="1" t="s">
        <v>913</v>
      </c>
      <c r="N1368" s="1" t="s">
        <v>787</v>
      </c>
      <c r="O1368" s="6">
        <v>44547</v>
      </c>
      <c r="P1368" s="6">
        <v>44543</v>
      </c>
      <c r="Q1368" s="6">
        <v>44535</v>
      </c>
      <c r="R1368" s="1" t="s">
        <v>830</v>
      </c>
      <c r="S1368" s="1" t="s">
        <v>914</v>
      </c>
      <c r="T1368" s="5">
        <v>330</v>
      </c>
      <c r="U1368" s="4">
        <v>8</v>
      </c>
      <c r="V1368" s="5">
        <v>252</v>
      </c>
      <c r="W1368" s="6">
        <v>43963</v>
      </c>
      <c r="X1368" s="6">
        <v>43997</v>
      </c>
      <c r="Y1368" s="6"/>
      <c r="Z1368" s="6"/>
      <c r="AA1368" s="6"/>
      <c r="AB1368" s="6"/>
      <c r="AC1368" s="6"/>
      <c r="AD1368" s="6"/>
    </row>
    <row r="1369" spans="1:30">
      <c r="A1369" s="1" t="s">
        <v>772</v>
      </c>
      <c r="B1369" s="1" t="s">
        <v>903</v>
      </c>
      <c r="C1369" s="1" t="s">
        <v>1010</v>
      </c>
      <c r="D1369" s="1" t="s">
        <v>1961</v>
      </c>
      <c r="E1369" s="1" t="str">
        <f t="shared" si="21"/>
        <v>W07</v>
      </c>
      <c r="F1369" s="4">
        <v>0.89</v>
      </c>
      <c r="G1369" s="4">
        <v>0.89</v>
      </c>
      <c r="H1369" s="4">
        <v>0.89</v>
      </c>
      <c r="I1369" s="4"/>
      <c r="J1369" s="1" t="s">
        <v>775</v>
      </c>
      <c r="K1369" s="1" t="s">
        <v>1197</v>
      </c>
      <c r="L1369" s="1" t="s">
        <v>79</v>
      </c>
      <c r="M1369" s="1" t="s">
        <v>79</v>
      </c>
      <c r="N1369" s="1" t="s">
        <v>79</v>
      </c>
      <c r="O1369" s="6">
        <v>44260</v>
      </c>
      <c r="P1369" s="6">
        <v>44256</v>
      </c>
      <c r="Q1369" s="6">
        <v>44256</v>
      </c>
      <c r="R1369" s="1" t="s">
        <v>1076</v>
      </c>
      <c r="S1369" s="1" t="s">
        <v>79</v>
      </c>
      <c r="T1369" s="5">
        <v>1154</v>
      </c>
      <c r="U1369" s="4">
        <v>17</v>
      </c>
      <c r="V1369" s="5">
        <v>539</v>
      </c>
      <c r="W1369" s="6"/>
      <c r="X1369" s="6"/>
      <c r="Y1369" s="6"/>
      <c r="Z1369" s="6"/>
      <c r="AA1369" s="6"/>
      <c r="AB1369" s="6"/>
      <c r="AC1369" s="6"/>
      <c r="AD1369" s="6"/>
    </row>
    <row r="1370" spans="1:30">
      <c r="A1370" s="1" t="s">
        <v>772</v>
      </c>
      <c r="B1370" s="1" t="s">
        <v>903</v>
      </c>
      <c r="C1370" s="1" t="s">
        <v>1010</v>
      </c>
      <c r="D1370" s="1" t="s">
        <v>1962</v>
      </c>
      <c r="E1370" s="1" t="str">
        <f t="shared" si="21"/>
        <v>W07</v>
      </c>
      <c r="F1370" s="4">
        <v>1.32</v>
      </c>
      <c r="G1370" s="4">
        <v>1.32</v>
      </c>
      <c r="H1370" s="4">
        <v>1.32</v>
      </c>
      <c r="I1370" s="4"/>
      <c r="J1370" s="1" t="s">
        <v>775</v>
      </c>
      <c r="K1370" s="1" t="s">
        <v>987</v>
      </c>
      <c r="L1370" s="1" t="s">
        <v>778</v>
      </c>
      <c r="M1370" s="1" t="s">
        <v>777</v>
      </c>
      <c r="N1370" s="1" t="s">
        <v>777</v>
      </c>
      <c r="O1370" s="6">
        <v>44789</v>
      </c>
      <c r="P1370" s="6">
        <v>44786</v>
      </c>
      <c r="Q1370" s="6"/>
      <c r="R1370" s="1" t="s">
        <v>779</v>
      </c>
      <c r="S1370" s="1" t="s">
        <v>79</v>
      </c>
      <c r="T1370" s="5">
        <v>120</v>
      </c>
      <c r="U1370" s="4">
        <v>0</v>
      </c>
      <c r="V1370" s="5">
        <v>9</v>
      </c>
      <c r="W1370" s="6">
        <v>43678</v>
      </c>
      <c r="X1370" s="6">
        <v>43637</v>
      </c>
      <c r="Y1370" s="6"/>
      <c r="Z1370" s="6"/>
      <c r="AA1370" s="6"/>
      <c r="AB1370" s="6"/>
      <c r="AC1370" s="6"/>
      <c r="AD1370" s="6"/>
    </row>
    <row r="1371" spans="1:30">
      <c r="A1371" s="1" t="s">
        <v>772</v>
      </c>
      <c r="B1371" s="1" t="s">
        <v>903</v>
      </c>
      <c r="C1371" s="1" t="s">
        <v>904</v>
      </c>
      <c r="D1371" s="1" t="s">
        <v>1963</v>
      </c>
      <c r="E1371" s="1" t="str">
        <f t="shared" si="21"/>
        <v>W03</v>
      </c>
      <c r="F1371" s="4">
        <v>0.2</v>
      </c>
      <c r="G1371" s="4">
        <v>0.2</v>
      </c>
      <c r="H1371" s="4">
        <v>0.2</v>
      </c>
      <c r="I1371" s="4"/>
      <c r="J1371" s="1" t="s">
        <v>775</v>
      </c>
      <c r="K1371" s="1" t="s">
        <v>1769</v>
      </c>
      <c r="L1371" s="1" t="s">
        <v>787</v>
      </c>
      <c r="M1371" s="1" t="s">
        <v>788</v>
      </c>
      <c r="N1371" s="1" t="s">
        <v>787</v>
      </c>
      <c r="O1371" s="6">
        <v>44441</v>
      </c>
      <c r="P1371" s="6">
        <v>44424</v>
      </c>
      <c r="Q1371" s="6">
        <v>43942</v>
      </c>
      <c r="R1371" s="1" t="s">
        <v>779</v>
      </c>
      <c r="S1371" s="1" t="s">
        <v>79</v>
      </c>
      <c r="T1371" s="5">
        <v>402</v>
      </c>
      <c r="U1371" s="4">
        <v>12</v>
      </c>
      <c r="V1371" s="5">
        <v>371</v>
      </c>
      <c r="W1371" s="6">
        <v>43963</v>
      </c>
      <c r="X1371" s="6">
        <v>43997</v>
      </c>
      <c r="Y1371" s="6"/>
      <c r="Z1371" s="6"/>
      <c r="AA1371" s="6">
        <v>44706</v>
      </c>
      <c r="AB1371" s="6"/>
      <c r="AC1371" s="6"/>
      <c r="AD1371" s="6">
        <v>44443</v>
      </c>
    </row>
    <row r="1372" spans="1:30">
      <c r="A1372" s="1" t="s">
        <v>772</v>
      </c>
      <c r="B1372" s="1" t="s">
        <v>903</v>
      </c>
      <c r="C1372" s="1" t="s">
        <v>904</v>
      </c>
      <c r="D1372" s="1" t="s">
        <v>1964</v>
      </c>
      <c r="E1372" s="1" t="str">
        <f t="shared" si="21"/>
        <v>W03</v>
      </c>
      <c r="F1372" s="4">
        <v>0.03</v>
      </c>
      <c r="G1372" s="4">
        <v>0.03</v>
      </c>
      <c r="H1372" s="4">
        <v>0.03</v>
      </c>
      <c r="I1372" s="4"/>
      <c r="J1372" s="1" t="s">
        <v>775</v>
      </c>
      <c r="K1372" s="1" t="s">
        <v>1769</v>
      </c>
      <c r="L1372" s="1" t="s">
        <v>787</v>
      </c>
      <c r="M1372" s="1" t="s">
        <v>788</v>
      </c>
      <c r="N1372" s="1" t="s">
        <v>787</v>
      </c>
      <c r="O1372" s="6">
        <v>44441</v>
      </c>
      <c r="P1372" s="6">
        <v>44425</v>
      </c>
      <c r="Q1372" s="6">
        <v>43911</v>
      </c>
      <c r="R1372" s="1" t="s">
        <v>779</v>
      </c>
      <c r="S1372" s="1" t="s">
        <v>79</v>
      </c>
      <c r="T1372" s="5">
        <v>402</v>
      </c>
      <c r="U1372" s="4">
        <v>12</v>
      </c>
      <c r="V1372" s="5">
        <v>370</v>
      </c>
      <c r="W1372" s="6">
        <v>43963</v>
      </c>
      <c r="X1372" s="6">
        <v>43997</v>
      </c>
      <c r="Y1372" s="6"/>
      <c r="Z1372" s="6"/>
      <c r="AA1372" s="6">
        <v>44674</v>
      </c>
      <c r="AB1372" s="6"/>
      <c r="AC1372" s="6"/>
      <c r="AD1372" s="6">
        <v>44441</v>
      </c>
    </row>
    <row r="1373" spans="1:30">
      <c r="A1373" s="1" t="s">
        <v>772</v>
      </c>
      <c r="B1373" s="1" t="s">
        <v>773</v>
      </c>
      <c r="C1373" s="1" t="s">
        <v>989</v>
      </c>
      <c r="D1373" s="1" t="s">
        <v>1965</v>
      </c>
      <c r="E1373" s="1" t="str">
        <f t="shared" si="21"/>
        <v>W05</v>
      </c>
      <c r="F1373" s="4">
        <v>0</v>
      </c>
      <c r="G1373" s="5">
        <v>0</v>
      </c>
      <c r="H1373" s="5">
        <v>0</v>
      </c>
      <c r="I1373" s="5"/>
      <c r="J1373" s="1" t="s">
        <v>775</v>
      </c>
      <c r="K1373" s="1" t="s">
        <v>1229</v>
      </c>
      <c r="L1373" s="1" t="s">
        <v>787</v>
      </c>
      <c r="M1373" s="1" t="s">
        <v>788</v>
      </c>
      <c r="N1373" s="1" t="s">
        <v>788</v>
      </c>
      <c r="O1373" s="6">
        <v>44502</v>
      </c>
      <c r="P1373" s="6">
        <v>44500</v>
      </c>
      <c r="Q1373" s="6">
        <v>43930</v>
      </c>
      <c r="R1373" s="1" t="s">
        <v>779</v>
      </c>
      <c r="S1373" s="1" t="s">
        <v>79</v>
      </c>
      <c r="T1373" s="5">
        <v>402</v>
      </c>
      <c r="U1373" s="4">
        <v>9</v>
      </c>
      <c r="V1373" s="5">
        <v>295</v>
      </c>
      <c r="W1373" s="6">
        <v>43747</v>
      </c>
      <c r="X1373" s="6">
        <v>43665</v>
      </c>
      <c r="Y1373" s="6"/>
      <c r="Z1373" s="6"/>
      <c r="AA1373" s="6">
        <v>44734</v>
      </c>
      <c r="AB1373" s="6"/>
      <c r="AC1373" s="6"/>
      <c r="AD1373" s="6">
        <v>44503</v>
      </c>
    </row>
    <row r="1374" spans="1:30">
      <c r="A1374" s="1" t="s">
        <v>772</v>
      </c>
      <c r="B1374" s="1" t="s">
        <v>773</v>
      </c>
      <c r="C1374" s="1" t="s">
        <v>989</v>
      </c>
      <c r="D1374" s="1" t="s">
        <v>390</v>
      </c>
      <c r="E1374" s="1" t="str">
        <f t="shared" si="21"/>
        <v>W05</v>
      </c>
      <c r="F1374" s="4">
        <v>2.42</v>
      </c>
      <c r="G1374" s="4">
        <v>1.92</v>
      </c>
      <c r="H1374" s="4">
        <v>1.92</v>
      </c>
      <c r="I1374" s="4"/>
      <c r="J1374" s="1" t="s">
        <v>775</v>
      </c>
      <c r="K1374" s="1" t="s">
        <v>1231</v>
      </c>
      <c r="L1374" s="1" t="s">
        <v>787</v>
      </c>
      <c r="M1374" s="1" t="s">
        <v>788</v>
      </c>
      <c r="N1374" s="1" t="s">
        <v>787</v>
      </c>
      <c r="O1374" s="6">
        <v>44471</v>
      </c>
      <c r="P1374" s="6">
        <v>44456</v>
      </c>
      <c r="Q1374" s="6">
        <v>43948</v>
      </c>
      <c r="R1374" s="1" t="s">
        <v>779</v>
      </c>
      <c r="S1374" s="1" t="s">
        <v>79</v>
      </c>
      <c r="T1374" s="5">
        <v>402</v>
      </c>
      <c r="U1374" s="4">
        <v>11</v>
      </c>
      <c r="V1374" s="5">
        <v>339</v>
      </c>
      <c r="W1374" s="6">
        <v>43963</v>
      </c>
      <c r="X1374" s="6">
        <v>43997</v>
      </c>
      <c r="Y1374" s="6"/>
      <c r="Z1374" s="6"/>
      <c r="AA1374" s="6">
        <v>44706</v>
      </c>
      <c r="AB1374" s="6"/>
      <c r="AC1374" s="6"/>
      <c r="AD1374" s="6">
        <v>44485</v>
      </c>
    </row>
    <row r="1375" spans="1:30">
      <c r="A1375" s="1" t="s">
        <v>772</v>
      </c>
      <c r="B1375" s="1" t="s">
        <v>773</v>
      </c>
      <c r="C1375" s="1" t="s">
        <v>858</v>
      </c>
      <c r="D1375" s="1" t="s">
        <v>1966</v>
      </c>
      <c r="E1375" s="1" t="str">
        <f t="shared" si="21"/>
        <v>W04</v>
      </c>
      <c r="F1375" s="5">
        <v>0</v>
      </c>
      <c r="G1375" s="4">
        <v>0</v>
      </c>
      <c r="H1375" s="4">
        <v>0</v>
      </c>
      <c r="I1375" s="4"/>
      <c r="J1375" s="1" t="s">
        <v>775</v>
      </c>
      <c r="K1375" s="1" t="s">
        <v>987</v>
      </c>
      <c r="L1375" s="1" t="s">
        <v>79</v>
      </c>
      <c r="M1375" s="1" t="s">
        <v>777</v>
      </c>
      <c r="N1375" s="1" t="s">
        <v>79</v>
      </c>
      <c r="O1375" s="6">
        <v>44777</v>
      </c>
      <c r="P1375" s="6">
        <v>44773</v>
      </c>
      <c r="Q1375" s="6"/>
      <c r="R1375" s="1" t="s">
        <v>779</v>
      </c>
      <c r="S1375" s="1" t="s">
        <v>79</v>
      </c>
      <c r="T1375" s="5">
        <v>120</v>
      </c>
      <c r="U1375" s="4">
        <v>0</v>
      </c>
      <c r="V1375" s="5">
        <v>22</v>
      </c>
      <c r="W1375" s="6"/>
      <c r="X1375" s="6"/>
      <c r="Y1375" s="6"/>
      <c r="Z1375" s="6"/>
      <c r="AA1375" s="6"/>
      <c r="AB1375" s="6"/>
      <c r="AC1375" s="6"/>
      <c r="AD1375" s="6"/>
    </row>
    <row r="1376" spans="1:30">
      <c r="A1376" s="1" t="s">
        <v>772</v>
      </c>
      <c r="B1376" s="1" t="s">
        <v>773</v>
      </c>
      <c r="C1376" s="1" t="s">
        <v>989</v>
      </c>
      <c r="D1376" s="1" t="s">
        <v>1967</v>
      </c>
      <c r="E1376" s="1" t="str">
        <f t="shared" si="21"/>
        <v>W05</v>
      </c>
      <c r="F1376" s="4">
        <v>0</v>
      </c>
      <c r="G1376" s="4">
        <v>0</v>
      </c>
      <c r="H1376" s="4">
        <v>0</v>
      </c>
      <c r="I1376" s="4"/>
      <c r="J1376" s="1" t="s">
        <v>775</v>
      </c>
      <c r="K1376" s="1" t="s">
        <v>987</v>
      </c>
      <c r="L1376" s="1" t="s">
        <v>79</v>
      </c>
      <c r="M1376" s="1" t="s">
        <v>777</v>
      </c>
      <c r="N1376" s="1" t="s">
        <v>79</v>
      </c>
      <c r="O1376" s="6">
        <v>44777</v>
      </c>
      <c r="P1376" s="6">
        <v>44773</v>
      </c>
      <c r="Q1376" s="6"/>
      <c r="R1376" s="1" t="s">
        <v>779</v>
      </c>
      <c r="S1376" s="1" t="s">
        <v>79</v>
      </c>
      <c r="T1376" s="5">
        <v>120</v>
      </c>
      <c r="U1376" s="4">
        <v>0</v>
      </c>
      <c r="V1376" s="5">
        <v>22</v>
      </c>
      <c r="W1376" s="6"/>
      <c r="X1376" s="6"/>
      <c r="Y1376" s="6"/>
      <c r="Z1376" s="6"/>
      <c r="AA1376" s="6"/>
      <c r="AB1376" s="6"/>
      <c r="AC1376" s="6"/>
      <c r="AD1376" s="6"/>
    </row>
    <row r="1377" spans="1:30">
      <c r="A1377" s="1" t="s">
        <v>772</v>
      </c>
      <c r="B1377" s="1" t="s">
        <v>773</v>
      </c>
      <c r="C1377" s="1" t="s">
        <v>989</v>
      </c>
      <c r="D1377" s="1" t="s">
        <v>1968</v>
      </c>
      <c r="E1377" s="1" t="str">
        <f t="shared" si="21"/>
        <v>W05</v>
      </c>
      <c r="F1377" s="4">
        <v>0</v>
      </c>
      <c r="G1377" s="4">
        <v>0</v>
      </c>
      <c r="H1377" s="4">
        <v>0</v>
      </c>
      <c r="I1377" s="4"/>
      <c r="J1377" s="1" t="s">
        <v>775</v>
      </c>
      <c r="K1377" s="1" t="s">
        <v>987</v>
      </c>
      <c r="L1377" s="1" t="s">
        <v>778</v>
      </c>
      <c r="M1377" s="1" t="s">
        <v>777</v>
      </c>
      <c r="N1377" s="1" t="s">
        <v>777</v>
      </c>
      <c r="O1377" s="6">
        <v>44789</v>
      </c>
      <c r="P1377" s="6">
        <v>44786</v>
      </c>
      <c r="Q1377" s="6"/>
      <c r="R1377" s="1" t="s">
        <v>779</v>
      </c>
      <c r="S1377" s="1" t="s">
        <v>79</v>
      </c>
      <c r="T1377" s="5">
        <v>120</v>
      </c>
      <c r="U1377" s="4">
        <v>0</v>
      </c>
      <c r="V1377" s="5">
        <v>9</v>
      </c>
      <c r="W1377" s="6">
        <v>43678</v>
      </c>
      <c r="X1377" s="6">
        <v>43637</v>
      </c>
      <c r="Y1377" s="6"/>
      <c r="Z1377" s="6"/>
      <c r="AA1377" s="6"/>
      <c r="AB1377" s="6"/>
      <c r="AC1377" s="6"/>
      <c r="AD1377" s="6"/>
    </row>
    <row r="1378" spans="1:30">
      <c r="A1378" s="1" t="s">
        <v>772</v>
      </c>
      <c r="B1378" s="1" t="s">
        <v>773</v>
      </c>
      <c r="C1378" s="1" t="s">
        <v>989</v>
      </c>
      <c r="D1378" s="1" t="s">
        <v>1969</v>
      </c>
      <c r="E1378" s="1" t="str">
        <f t="shared" si="21"/>
        <v>W05</v>
      </c>
      <c r="F1378" s="4">
        <v>0</v>
      </c>
      <c r="G1378" s="4">
        <v>0</v>
      </c>
      <c r="H1378" s="4">
        <v>0</v>
      </c>
      <c r="I1378" s="4"/>
      <c r="J1378" s="1" t="s">
        <v>775</v>
      </c>
      <c r="K1378" s="1" t="s">
        <v>877</v>
      </c>
      <c r="L1378" s="1" t="s">
        <v>778</v>
      </c>
      <c r="M1378" s="1" t="s">
        <v>777</v>
      </c>
      <c r="N1378" s="1" t="s">
        <v>788</v>
      </c>
      <c r="O1378" s="6">
        <v>44653</v>
      </c>
      <c r="P1378" s="6">
        <v>44651</v>
      </c>
      <c r="Q1378" s="6"/>
      <c r="R1378" s="1" t="s">
        <v>779</v>
      </c>
      <c r="S1378" s="1" t="s">
        <v>79</v>
      </c>
      <c r="T1378" s="5">
        <v>120</v>
      </c>
      <c r="U1378" s="4">
        <v>4</v>
      </c>
      <c r="V1378" s="5">
        <v>144</v>
      </c>
      <c r="W1378" s="6">
        <v>43128</v>
      </c>
      <c r="X1378" s="6">
        <v>43503</v>
      </c>
      <c r="Y1378" s="6"/>
      <c r="Z1378" s="6"/>
      <c r="AA1378" s="6"/>
      <c r="AB1378" s="6"/>
      <c r="AC1378" s="6"/>
      <c r="AD1378" s="6"/>
    </row>
    <row r="1379" spans="1:30">
      <c r="A1379" s="1" t="s">
        <v>772</v>
      </c>
      <c r="B1379" s="1" t="s">
        <v>773</v>
      </c>
      <c r="C1379" s="1" t="s">
        <v>989</v>
      </c>
      <c r="D1379" s="1" t="s">
        <v>1970</v>
      </c>
      <c r="E1379" s="1" t="str">
        <f t="shared" si="21"/>
        <v>W05</v>
      </c>
      <c r="F1379" s="4">
        <v>0</v>
      </c>
      <c r="G1379" s="4">
        <v>0</v>
      </c>
      <c r="H1379" s="4">
        <v>0</v>
      </c>
      <c r="I1379" s="4"/>
      <c r="J1379" s="1" t="s">
        <v>775</v>
      </c>
      <c r="K1379" s="1" t="s">
        <v>1197</v>
      </c>
      <c r="L1379" s="1" t="s">
        <v>79</v>
      </c>
      <c r="M1379" s="1" t="s">
        <v>79</v>
      </c>
      <c r="N1379" s="1" t="s">
        <v>79</v>
      </c>
      <c r="O1379" s="6">
        <v>44260</v>
      </c>
      <c r="P1379" s="6">
        <v>44256</v>
      </c>
      <c r="Q1379" s="6">
        <v>44256</v>
      </c>
      <c r="R1379" s="1" t="s">
        <v>1076</v>
      </c>
      <c r="S1379" s="1" t="s">
        <v>79</v>
      </c>
      <c r="T1379" s="5">
        <v>1154</v>
      </c>
      <c r="U1379" s="4">
        <v>17</v>
      </c>
      <c r="V1379" s="5">
        <v>539</v>
      </c>
      <c r="W1379" s="6"/>
      <c r="X1379" s="6"/>
      <c r="Y1379" s="6"/>
      <c r="Z1379" s="6"/>
      <c r="AA1379" s="6"/>
      <c r="AB1379" s="6"/>
      <c r="AC1379" s="6"/>
      <c r="AD1379" s="6"/>
    </row>
    <row r="1380" spans="1:30">
      <c r="A1380" s="1" t="s">
        <v>772</v>
      </c>
      <c r="B1380" s="1" t="s">
        <v>773</v>
      </c>
      <c r="C1380" s="1" t="s">
        <v>904</v>
      </c>
      <c r="D1380" s="1" t="s">
        <v>1971</v>
      </c>
      <c r="E1380" s="1" t="str">
        <f t="shared" si="21"/>
        <v>W03</v>
      </c>
      <c r="F1380" s="4">
        <v>0</v>
      </c>
      <c r="G1380" s="4">
        <v>0</v>
      </c>
      <c r="H1380" s="4">
        <v>0</v>
      </c>
      <c r="I1380" s="4"/>
      <c r="J1380" s="1" t="s">
        <v>775</v>
      </c>
      <c r="K1380" s="1" t="s">
        <v>962</v>
      </c>
      <c r="L1380" s="1" t="s">
        <v>778</v>
      </c>
      <c r="M1380" s="1" t="s">
        <v>777</v>
      </c>
      <c r="N1380" s="1" t="s">
        <v>79</v>
      </c>
      <c r="O1380" s="6">
        <v>44744</v>
      </c>
      <c r="P1380" s="6">
        <v>44737</v>
      </c>
      <c r="Q1380" s="6"/>
      <c r="R1380" s="1" t="s">
        <v>779</v>
      </c>
      <c r="S1380" s="1" t="s">
        <v>79</v>
      </c>
      <c r="T1380" s="5">
        <v>120</v>
      </c>
      <c r="U1380" s="4">
        <v>1</v>
      </c>
      <c r="V1380" s="5">
        <v>58</v>
      </c>
      <c r="W1380" s="6">
        <v>43720</v>
      </c>
      <c r="X1380" s="6"/>
      <c r="Y1380" s="6"/>
      <c r="Z1380" s="6"/>
      <c r="AA1380" s="6"/>
      <c r="AB1380" s="6"/>
      <c r="AC1380" s="6"/>
      <c r="AD1380" s="6"/>
    </row>
    <row r="1381" spans="1:30">
      <c r="A1381" s="1" t="s">
        <v>772</v>
      </c>
      <c r="B1381" s="1" t="s">
        <v>773</v>
      </c>
      <c r="C1381" s="1" t="s">
        <v>904</v>
      </c>
      <c r="D1381" s="1" t="s">
        <v>1972</v>
      </c>
      <c r="E1381" s="1" t="str">
        <f t="shared" si="21"/>
        <v>W03</v>
      </c>
      <c r="F1381" s="4">
        <v>0</v>
      </c>
      <c r="G1381" s="4">
        <v>0</v>
      </c>
      <c r="H1381" s="4">
        <v>0</v>
      </c>
      <c r="I1381" s="4"/>
      <c r="J1381" s="1" t="s">
        <v>775</v>
      </c>
      <c r="K1381" s="1" t="s">
        <v>872</v>
      </c>
      <c r="L1381" s="1" t="s">
        <v>777</v>
      </c>
      <c r="M1381" s="1" t="s">
        <v>778</v>
      </c>
      <c r="N1381" s="1" t="s">
        <v>873</v>
      </c>
      <c r="O1381" s="6">
        <v>44504</v>
      </c>
      <c r="P1381" s="6">
        <v>44496</v>
      </c>
      <c r="Q1381" s="6">
        <v>44475</v>
      </c>
      <c r="R1381" s="1" t="s">
        <v>779</v>
      </c>
      <c r="S1381" s="1" t="s">
        <v>823</v>
      </c>
      <c r="T1381" s="5">
        <v>457</v>
      </c>
      <c r="U1381" s="4">
        <v>9</v>
      </c>
      <c r="V1381" s="5">
        <v>299</v>
      </c>
      <c r="W1381" s="6">
        <v>43954</v>
      </c>
      <c r="X1381" s="6">
        <v>43275</v>
      </c>
      <c r="Y1381" s="6"/>
      <c r="Z1381" s="6"/>
      <c r="AA1381" s="6"/>
      <c r="AB1381" s="6"/>
      <c r="AC1381" s="6"/>
      <c r="AD1381" s="6"/>
    </row>
    <row r="1382" spans="1:30">
      <c r="A1382" s="1" t="s">
        <v>772</v>
      </c>
      <c r="B1382" s="1" t="s">
        <v>773</v>
      </c>
      <c r="C1382" s="1" t="s">
        <v>904</v>
      </c>
      <c r="D1382" s="1" t="s">
        <v>1973</v>
      </c>
      <c r="E1382" s="1" t="str">
        <f t="shared" si="21"/>
        <v>W03</v>
      </c>
      <c r="F1382" s="4">
        <v>0</v>
      </c>
      <c r="G1382" s="4">
        <v>0</v>
      </c>
      <c r="H1382" s="4">
        <v>0</v>
      </c>
      <c r="I1382" s="4"/>
      <c r="J1382" s="1" t="s">
        <v>775</v>
      </c>
      <c r="K1382" s="1" t="s">
        <v>898</v>
      </c>
      <c r="L1382" s="1" t="s">
        <v>787</v>
      </c>
      <c r="M1382" s="1" t="s">
        <v>788</v>
      </c>
      <c r="N1382" s="1" t="s">
        <v>787</v>
      </c>
      <c r="O1382" s="6">
        <v>44715</v>
      </c>
      <c r="P1382" s="6">
        <v>44706</v>
      </c>
      <c r="Q1382" s="6">
        <v>44130</v>
      </c>
      <c r="R1382" s="1" t="s">
        <v>779</v>
      </c>
      <c r="S1382" s="1" t="s">
        <v>79</v>
      </c>
      <c r="T1382" s="5">
        <v>402</v>
      </c>
      <c r="U1382" s="4">
        <v>2</v>
      </c>
      <c r="V1382" s="5">
        <v>89</v>
      </c>
      <c r="W1382" s="6">
        <v>43535</v>
      </c>
      <c r="X1382" s="6">
        <v>43566</v>
      </c>
      <c r="Y1382" s="6"/>
      <c r="Z1382" s="6"/>
      <c r="AA1382" s="6"/>
      <c r="AB1382" s="6"/>
      <c r="AC1382" s="6"/>
      <c r="AD1382" s="6"/>
    </row>
    <row r="1383" spans="1:30">
      <c r="A1383" s="1" t="s">
        <v>772</v>
      </c>
      <c r="B1383" s="1" t="s">
        <v>773</v>
      </c>
      <c r="C1383" s="1" t="s">
        <v>989</v>
      </c>
      <c r="D1383" s="1" t="s">
        <v>1974</v>
      </c>
      <c r="E1383" s="1" t="str">
        <f t="shared" si="21"/>
        <v>W05</v>
      </c>
      <c r="F1383" s="4">
        <v>0</v>
      </c>
      <c r="G1383" s="4">
        <v>0</v>
      </c>
      <c r="H1383" s="4">
        <v>0</v>
      </c>
      <c r="I1383" s="4"/>
      <c r="J1383" s="1" t="s">
        <v>775</v>
      </c>
      <c r="K1383" s="1" t="s">
        <v>843</v>
      </c>
      <c r="L1383" s="1" t="s">
        <v>787</v>
      </c>
      <c r="M1383" s="1" t="s">
        <v>788</v>
      </c>
      <c r="N1383" s="1" t="s">
        <v>787</v>
      </c>
      <c r="O1383" s="6">
        <v>44774</v>
      </c>
      <c r="P1383" s="6">
        <v>44754</v>
      </c>
      <c r="Q1383" s="6">
        <v>44201</v>
      </c>
      <c r="R1383" s="1" t="s">
        <v>779</v>
      </c>
      <c r="S1383" s="1" t="s">
        <v>79</v>
      </c>
      <c r="T1383" s="5">
        <v>300</v>
      </c>
      <c r="U1383" s="4">
        <v>1</v>
      </c>
      <c r="V1383" s="5">
        <v>41</v>
      </c>
      <c r="W1383" s="6">
        <v>43373</v>
      </c>
      <c r="X1383" s="6">
        <v>42702</v>
      </c>
      <c r="Y1383" s="6"/>
      <c r="Z1383" s="6"/>
      <c r="AA1383" s="6"/>
      <c r="AB1383" s="6"/>
      <c r="AC1383" s="6"/>
      <c r="AD1383" s="6"/>
    </row>
    <row r="1384" spans="1:30">
      <c r="A1384" s="1" t="s">
        <v>772</v>
      </c>
      <c r="B1384" s="1" t="s">
        <v>773</v>
      </c>
      <c r="C1384" s="1" t="s">
        <v>989</v>
      </c>
      <c r="D1384" s="1" t="s">
        <v>1975</v>
      </c>
      <c r="E1384" s="1" t="str">
        <f t="shared" si="21"/>
        <v>W05</v>
      </c>
      <c r="F1384" s="4">
        <v>0</v>
      </c>
      <c r="G1384" s="4">
        <v>0</v>
      </c>
      <c r="H1384" s="4">
        <v>0</v>
      </c>
      <c r="I1384" s="4"/>
      <c r="J1384" s="1" t="s">
        <v>775</v>
      </c>
      <c r="K1384" s="1" t="s">
        <v>799</v>
      </c>
      <c r="L1384" s="1" t="s">
        <v>777</v>
      </c>
      <c r="M1384" s="1" t="s">
        <v>778</v>
      </c>
      <c r="N1384" s="1" t="s">
        <v>788</v>
      </c>
      <c r="O1384" s="6">
        <v>44372</v>
      </c>
      <c r="P1384" s="6">
        <v>44367</v>
      </c>
      <c r="Q1384" s="6">
        <v>44337</v>
      </c>
      <c r="R1384" s="1" t="s">
        <v>779</v>
      </c>
      <c r="S1384" s="1" t="s">
        <v>792</v>
      </c>
      <c r="T1384" s="5">
        <v>577</v>
      </c>
      <c r="U1384" s="4">
        <v>14</v>
      </c>
      <c r="V1384" s="5">
        <v>428</v>
      </c>
      <c r="W1384" s="6">
        <v>43763</v>
      </c>
      <c r="X1384" s="6">
        <v>43468</v>
      </c>
      <c r="Y1384" s="6"/>
      <c r="Z1384" s="6"/>
      <c r="AA1384" s="6">
        <v>44771</v>
      </c>
      <c r="AB1384" s="6"/>
      <c r="AC1384" s="6"/>
      <c r="AD1384" s="6"/>
    </row>
    <row r="1385" spans="1:30">
      <c r="A1385" s="1" t="s">
        <v>772</v>
      </c>
      <c r="B1385" s="1" t="s">
        <v>773</v>
      </c>
      <c r="C1385" s="1" t="s">
        <v>989</v>
      </c>
      <c r="D1385" s="1" t="s">
        <v>1976</v>
      </c>
      <c r="E1385" s="1" t="str">
        <f t="shared" si="21"/>
        <v>W05</v>
      </c>
      <c r="F1385" s="4">
        <v>0</v>
      </c>
      <c r="G1385" s="4">
        <v>0</v>
      </c>
      <c r="H1385" s="4">
        <v>0</v>
      </c>
      <c r="I1385" s="4"/>
      <c r="J1385" s="1" t="s">
        <v>775</v>
      </c>
      <c r="K1385" s="1" t="s">
        <v>843</v>
      </c>
      <c r="L1385" s="1" t="s">
        <v>787</v>
      </c>
      <c r="M1385" s="1" t="s">
        <v>788</v>
      </c>
      <c r="N1385" s="1" t="s">
        <v>787</v>
      </c>
      <c r="O1385" s="6">
        <v>44774</v>
      </c>
      <c r="P1385" s="6">
        <v>44755</v>
      </c>
      <c r="Q1385" s="6">
        <v>44208</v>
      </c>
      <c r="R1385" s="1" t="s">
        <v>779</v>
      </c>
      <c r="S1385" s="1" t="s">
        <v>79</v>
      </c>
      <c r="T1385" s="5">
        <v>300</v>
      </c>
      <c r="U1385" s="4">
        <v>1</v>
      </c>
      <c r="V1385" s="5">
        <v>40</v>
      </c>
      <c r="W1385" s="6">
        <v>43373</v>
      </c>
      <c r="X1385" s="6">
        <v>42702</v>
      </c>
      <c r="Y1385" s="6"/>
      <c r="Z1385" s="6"/>
      <c r="AA1385" s="6"/>
      <c r="AB1385" s="6"/>
      <c r="AC1385" s="6"/>
      <c r="AD1385" s="6"/>
    </row>
    <row r="1386" spans="1:30">
      <c r="A1386" s="1" t="s">
        <v>772</v>
      </c>
      <c r="B1386" s="1" t="s">
        <v>773</v>
      </c>
      <c r="C1386" s="1" t="s">
        <v>989</v>
      </c>
      <c r="D1386" s="1" t="s">
        <v>1977</v>
      </c>
      <c r="E1386" s="1" t="str">
        <f t="shared" si="21"/>
        <v>W05</v>
      </c>
      <c r="F1386" s="4">
        <v>0</v>
      </c>
      <c r="G1386" s="4">
        <v>0</v>
      </c>
      <c r="H1386" s="4">
        <v>0</v>
      </c>
      <c r="I1386" s="4"/>
      <c r="J1386" s="1" t="s">
        <v>775</v>
      </c>
      <c r="K1386" s="1" t="s">
        <v>1247</v>
      </c>
      <c r="L1386" s="1" t="s">
        <v>809</v>
      </c>
      <c r="M1386" s="1" t="s">
        <v>777</v>
      </c>
      <c r="N1386" s="1" t="s">
        <v>787</v>
      </c>
      <c r="O1386" s="6">
        <v>44742</v>
      </c>
      <c r="P1386" s="6">
        <v>44737</v>
      </c>
      <c r="Q1386" s="6"/>
      <c r="R1386" s="1" t="s">
        <v>779</v>
      </c>
      <c r="S1386" s="1" t="s">
        <v>79</v>
      </c>
      <c r="T1386" s="5">
        <v>120</v>
      </c>
      <c r="U1386" s="4">
        <v>1</v>
      </c>
      <c r="V1386" s="5">
        <v>58</v>
      </c>
      <c r="W1386" s="6">
        <v>43963</v>
      </c>
      <c r="X1386" s="6">
        <v>43997</v>
      </c>
      <c r="Y1386" s="6"/>
      <c r="Z1386" s="6"/>
      <c r="AA1386" s="6"/>
      <c r="AB1386" s="6"/>
      <c r="AC1386" s="6"/>
      <c r="AD1386" s="6"/>
    </row>
    <row r="1387" spans="1:30">
      <c r="A1387" s="1" t="s">
        <v>772</v>
      </c>
      <c r="B1387" s="1" t="s">
        <v>773</v>
      </c>
      <c r="C1387" s="1" t="s">
        <v>989</v>
      </c>
      <c r="D1387" s="1" t="s">
        <v>1978</v>
      </c>
      <c r="E1387" s="1" t="str">
        <f t="shared" si="21"/>
        <v>W05</v>
      </c>
      <c r="F1387" s="4">
        <v>0</v>
      </c>
      <c r="G1387" s="4">
        <v>0</v>
      </c>
      <c r="H1387" s="4">
        <v>0</v>
      </c>
      <c r="I1387" s="4"/>
      <c r="J1387" s="1" t="s">
        <v>775</v>
      </c>
      <c r="K1387" s="1" t="s">
        <v>1197</v>
      </c>
      <c r="L1387" s="1" t="s">
        <v>79</v>
      </c>
      <c r="M1387" s="1" t="s">
        <v>79</v>
      </c>
      <c r="N1387" s="1" t="s">
        <v>79</v>
      </c>
      <c r="O1387" s="6">
        <v>44260</v>
      </c>
      <c r="P1387" s="6">
        <v>44256</v>
      </c>
      <c r="Q1387" s="6">
        <v>44256</v>
      </c>
      <c r="R1387" s="1" t="s">
        <v>1076</v>
      </c>
      <c r="S1387" s="1" t="s">
        <v>79</v>
      </c>
      <c r="T1387" s="5">
        <v>1154</v>
      </c>
      <c r="U1387" s="4">
        <v>17</v>
      </c>
      <c r="V1387" s="5">
        <v>539</v>
      </c>
      <c r="W1387" s="6"/>
      <c r="X1387" s="6"/>
      <c r="Y1387" s="6"/>
      <c r="Z1387" s="6"/>
      <c r="AA1387" s="6"/>
      <c r="AB1387" s="6"/>
      <c r="AC1387" s="6"/>
      <c r="AD1387" s="6"/>
    </row>
    <row r="1388" spans="1:30">
      <c r="A1388" s="1" t="s">
        <v>772</v>
      </c>
      <c r="B1388" s="1" t="s">
        <v>773</v>
      </c>
      <c r="C1388" s="1" t="s">
        <v>989</v>
      </c>
      <c r="D1388" s="1" t="s">
        <v>1979</v>
      </c>
      <c r="E1388" s="1" t="str">
        <f t="shared" si="21"/>
        <v>W05</v>
      </c>
      <c r="F1388" s="4">
        <v>0</v>
      </c>
      <c r="G1388" s="4">
        <v>0</v>
      </c>
      <c r="H1388" s="4">
        <v>0</v>
      </c>
      <c r="I1388" s="4"/>
      <c r="J1388" s="1" t="s">
        <v>775</v>
      </c>
      <c r="K1388" s="1" t="s">
        <v>1980</v>
      </c>
      <c r="L1388" s="1" t="s">
        <v>809</v>
      </c>
      <c r="M1388" s="1" t="s">
        <v>777</v>
      </c>
      <c r="N1388" s="1" t="s">
        <v>788</v>
      </c>
      <c r="O1388" s="6">
        <v>44698</v>
      </c>
      <c r="P1388" s="6">
        <v>44696</v>
      </c>
      <c r="Q1388" s="6"/>
      <c r="R1388" s="1" t="s">
        <v>779</v>
      </c>
      <c r="S1388" s="1" t="s">
        <v>79</v>
      </c>
      <c r="T1388" s="5">
        <v>120</v>
      </c>
      <c r="U1388" s="4">
        <v>3</v>
      </c>
      <c r="V1388" s="5">
        <v>99</v>
      </c>
      <c r="W1388" s="6">
        <v>43680</v>
      </c>
      <c r="X1388" s="6">
        <v>43639</v>
      </c>
      <c r="Y1388" s="6"/>
      <c r="Z1388" s="6"/>
      <c r="AA1388" s="6"/>
      <c r="AB1388" s="6"/>
      <c r="AC1388" s="6"/>
      <c r="AD1388" s="6"/>
    </row>
    <row r="1389" spans="1:30">
      <c r="A1389" s="1" t="s">
        <v>772</v>
      </c>
      <c r="B1389" s="1" t="s">
        <v>773</v>
      </c>
      <c r="C1389" s="1" t="s">
        <v>989</v>
      </c>
      <c r="D1389" s="1" t="s">
        <v>1981</v>
      </c>
      <c r="E1389" s="1" t="str">
        <f t="shared" si="21"/>
        <v>W05</v>
      </c>
      <c r="F1389" s="4">
        <v>0</v>
      </c>
      <c r="G1389" s="4">
        <v>0</v>
      </c>
      <c r="H1389" s="4">
        <v>0</v>
      </c>
      <c r="I1389" s="4"/>
      <c r="J1389" s="1" t="s">
        <v>775</v>
      </c>
      <c r="K1389" s="1" t="s">
        <v>1982</v>
      </c>
      <c r="L1389" s="1" t="s">
        <v>788</v>
      </c>
      <c r="M1389" s="1" t="s">
        <v>787</v>
      </c>
      <c r="N1389" s="1" t="s">
        <v>787</v>
      </c>
      <c r="O1389" s="6">
        <v>44725</v>
      </c>
      <c r="P1389" s="6">
        <v>44721</v>
      </c>
      <c r="Q1389" s="6">
        <v>44722</v>
      </c>
      <c r="R1389" s="1" t="s">
        <v>779</v>
      </c>
      <c r="S1389" s="1" t="s">
        <v>79</v>
      </c>
      <c r="T1389" s="5">
        <v>30</v>
      </c>
      <c r="U1389" s="4">
        <v>2</v>
      </c>
      <c r="V1389" s="5">
        <v>74</v>
      </c>
      <c r="W1389" s="6">
        <v>43293</v>
      </c>
      <c r="X1389" s="6">
        <v>43079</v>
      </c>
      <c r="Y1389" s="6"/>
      <c r="Z1389" s="6"/>
      <c r="AA1389" s="6"/>
      <c r="AB1389" s="6"/>
      <c r="AC1389" s="6"/>
      <c r="AD1389" s="6"/>
    </row>
    <row r="1390" spans="1:30">
      <c r="A1390" s="1" t="s">
        <v>772</v>
      </c>
      <c r="B1390" s="1" t="s">
        <v>773</v>
      </c>
      <c r="C1390" s="1" t="s">
        <v>989</v>
      </c>
      <c r="D1390" s="1" t="s">
        <v>380</v>
      </c>
      <c r="E1390" s="1" t="str">
        <f t="shared" si="21"/>
        <v>W05</v>
      </c>
      <c r="F1390" s="4">
        <v>10.32</v>
      </c>
      <c r="G1390" s="4">
        <v>8.2799999999999994</v>
      </c>
      <c r="H1390" s="4">
        <v>8.2799999999999994</v>
      </c>
      <c r="I1390" s="4"/>
      <c r="J1390" s="1" t="s">
        <v>775</v>
      </c>
      <c r="K1390" s="1" t="s">
        <v>839</v>
      </c>
      <c r="L1390" s="1" t="s">
        <v>777</v>
      </c>
      <c r="M1390" s="1" t="s">
        <v>778</v>
      </c>
      <c r="N1390" s="1" t="s">
        <v>787</v>
      </c>
      <c r="O1390" s="6">
        <v>44775</v>
      </c>
      <c r="P1390" s="6">
        <v>44758</v>
      </c>
      <c r="Q1390" s="6">
        <v>44725</v>
      </c>
      <c r="R1390" s="1" t="s">
        <v>779</v>
      </c>
      <c r="S1390" s="1" t="s">
        <v>792</v>
      </c>
      <c r="T1390" s="5">
        <v>577</v>
      </c>
      <c r="U1390" s="4">
        <v>1</v>
      </c>
      <c r="V1390" s="5">
        <v>37</v>
      </c>
      <c r="W1390" s="6">
        <v>43535</v>
      </c>
      <c r="X1390" s="6">
        <v>43566</v>
      </c>
      <c r="Y1390" s="6"/>
      <c r="Z1390" s="6"/>
      <c r="AA1390" s="6"/>
      <c r="AB1390" s="6"/>
      <c r="AC1390" s="6"/>
      <c r="AD1390" s="6"/>
    </row>
    <row r="1391" spans="1:30">
      <c r="A1391" s="1" t="s">
        <v>772</v>
      </c>
      <c r="B1391" s="1" t="s">
        <v>773</v>
      </c>
      <c r="C1391" s="1" t="s">
        <v>989</v>
      </c>
      <c r="D1391" s="1" t="s">
        <v>1983</v>
      </c>
      <c r="E1391" s="1" t="str">
        <f t="shared" si="21"/>
        <v>W05</v>
      </c>
      <c r="F1391" s="4">
        <v>0</v>
      </c>
      <c r="G1391" s="4">
        <v>0</v>
      </c>
      <c r="H1391" s="4">
        <v>0</v>
      </c>
      <c r="I1391" s="4"/>
      <c r="J1391" s="1" t="s">
        <v>775</v>
      </c>
      <c r="K1391" s="1" t="s">
        <v>1984</v>
      </c>
      <c r="L1391" s="1" t="s">
        <v>828</v>
      </c>
      <c r="M1391" s="1" t="s">
        <v>829</v>
      </c>
      <c r="N1391" s="1" t="s">
        <v>79</v>
      </c>
      <c r="O1391" s="6">
        <v>44744</v>
      </c>
      <c r="P1391" s="6">
        <v>44742</v>
      </c>
      <c r="Q1391" s="6"/>
      <c r="R1391" s="1" t="s">
        <v>830</v>
      </c>
      <c r="S1391" s="1" t="s">
        <v>79</v>
      </c>
      <c r="T1391" s="5">
        <v>60</v>
      </c>
      <c r="U1391" s="4">
        <v>1</v>
      </c>
      <c r="V1391" s="5">
        <v>53</v>
      </c>
      <c r="W1391" s="6"/>
      <c r="X1391" s="6"/>
      <c r="Y1391" s="6"/>
      <c r="Z1391" s="6"/>
      <c r="AA1391" s="6"/>
      <c r="AB1391" s="6"/>
      <c r="AC1391" s="6"/>
      <c r="AD1391" s="6"/>
    </row>
    <row r="1392" spans="1:30">
      <c r="A1392" s="1" t="s">
        <v>772</v>
      </c>
      <c r="B1392" s="1" t="s">
        <v>773</v>
      </c>
      <c r="C1392" s="1" t="s">
        <v>848</v>
      </c>
      <c r="D1392" s="1" t="s">
        <v>1985</v>
      </c>
      <c r="E1392" s="1" t="str">
        <f t="shared" si="21"/>
        <v>W02</v>
      </c>
      <c r="F1392" s="4">
        <v>0.88</v>
      </c>
      <c r="G1392" s="4">
        <v>0.86</v>
      </c>
      <c r="H1392" s="4">
        <v>0.86</v>
      </c>
      <c r="I1392" s="4"/>
      <c r="J1392" s="1" t="s">
        <v>775</v>
      </c>
      <c r="K1392" s="1" t="s">
        <v>805</v>
      </c>
      <c r="L1392" s="1" t="s">
        <v>777</v>
      </c>
      <c r="M1392" s="1" t="s">
        <v>778</v>
      </c>
      <c r="N1392" s="1" t="s">
        <v>788</v>
      </c>
      <c r="O1392" s="6">
        <v>44669</v>
      </c>
      <c r="P1392" s="6">
        <v>44664</v>
      </c>
      <c r="Q1392" s="6">
        <v>44643</v>
      </c>
      <c r="R1392" s="1" t="s">
        <v>779</v>
      </c>
      <c r="S1392" s="1" t="s">
        <v>780</v>
      </c>
      <c r="T1392" s="5">
        <v>517</v>
      </c>
      <c r="U1392" s="4">
        <v>4</v>
      </c>
      <c r="V1392" s="5">
        <v>131</v>
      </c>
      <c r="W1392" s="6">
        <v>43178</v>
      </c>
      <c r="X1392" s="6">
        <v>43553</v>
      </c>
      <c r="Y1392" s="6"/>
      <c r="Z1392" s="6"/>
      <c r="AA1392" s="6"/>
      <c r="AB1392" s="6"/>
      <c r="AC1392" s="6"/>
      <c r="AD1392" s="6"/>
    </row>
    <row r="1393" spans="1:30">
      <c r="A1393" s="1" t="s">
        <v>772</v>
      </c>
      <c r="B1393" s="1" t="s">
        <v>773</v>
      </c>
      <c r="C1393" s="1" t="s">
        <v>989</v>
      </c>
      <c r="D1393" s="1" t="s">
        <v>1986</v>
      </c>
      <c r="E1393" s="1" t="str">
        <f t="shared" si="21"/>
        <v>W05</v>
      </c>
      <c r="F1393" s="4">
        <v>0</v>
      </c>
      <c r="G1393" s="4">
        <v>0</v>
      </c>
      <c r="H1393" s="4">
        <v>0</v>
      </c>
      <c r="I1393" s="4"/>
      <c r="J1393" s="1" t="s">
        <v>775</v>
      </c>
      <c r="K1393" s="1" t="s">
        <v>839</v>
      </c>
      <c r="L1393" s="1" t="s">
        <v>777</v>
      </c>
      <c r="M1393" s="1" t="s">
        <v>778</v>
      </c>
      <c r="N1393" s="1" t="s">
        <v>787</v>
      </c>
      <c r="O1393" s="6">
        <v>44775</v>
      </c>
      <c r="P1393" s="6">
        <v>44768</v>
      </c>
      <c r="Q1393" s="6">
        <v>44715</v>
      </c>
      <c r="R1393" s="1" t="s">
        <v>779</v>
      </c>
      <c r="S1393" s="1" t="s">
        <v>882</v>
      </c>
      <c r="T1393" s="5">
        <v>517</v>
      </c>
      <c r="U1393" s="4">
        <v>0</v>
      </c>
      <c r="V1393" s="5">
        <v>27</v>
      </c>
      <c r="W1393" s="6">
        <v>43535</v>
      </c>
      <c r="X1393" s="6">
        <v>43566</v>
      </c>
      <c r="Y1393" s="6"/>
      <c r="Z1393" s="6"/>
      <c r="AA1393" s="6"/>
      <c r="AB1393" s="6"/>
      <c r="AC1393" s="6"/>
      <c r="AD1393" s="6"/>
    </row>
    <row r="1394" spans="1:30">
      <c r="A1394" s="1" t="s">
        <v>772</v>
      </c>
      <c r="B1394" s="1" t="s">
        <v>773</v>
      </c>
      <c r="C1394" s="1" t="s">
        <v>989</v>
      </c>
      <c r="D1394" s="1" t="s">
        <v>407</v>
      </c>
      <c r="E1394" s="1" t="str">
        <f t="shared" si="21"/>
        <v>W05</v>
      </c>
      <c r="F1394" s="4">
        <v>7.53</v>
      </c>
      <c r="G1394" s="4">
        <v>6.02</v>
      </c>
      <c r="H1394" s="4">
        <v>6.02</v>
      </c>
      <c r="I1394" s="4"/>
      <c r="J1394" s="1" t="s">
        <v>775</v>
      </c>
      <c r="K1394" s="1" t="s">
        <v>824</v>
      </c>
      <c r="L1394" s="1" t="s">
        <v>777</v>
      </c>
      <c r="M1394" s="1" t="s">
        <v>778</v>
      </c>
      <c r="N1394" s="1" t="s">
        <v>787</v>
      </c>
      <c r="O1394" s="6">
        <v>44650</v>
      </c>
      <c r="P1394" s="6">
        <v>44629</v>
      </c>
      <c r="Q1394" s="6">
        <v>44613</v>
      </c>
      <c r="R1394" s="1" t="s">
        <v>779</v>
      </c>
      <c r="S1394" s="1" t="s">
        <v>795</v>
      </c>
      <c r="T1394" s="5">
        <v>577</v>
      </c>
      <c r="U1394" s="4">
        <v>5</v>
      </c>
      <c r="V1394" s="5">
        <v>166</v>
      </c>
      <c r="W1394" s="6">
        <v>43373</v>
      </c>
      <c r="X1394" s="6">
        <v>42702</v>
      </c>
      <c r="Y1394" s="6"/>
      <c r="Z1394" s="6"/>
      <c r="AA1394" s="6"/>
      <c r="AB1394" s="6"/>
      <c r="AC1394" s="6"/>
      <c r="AD1394" s="6"/>
    </row>
    <row r="1395" spans="1:30">
      <c r="A1395" s="1" t="s">
        <v>772</v>
      </c>
      <c r="B1395" s="1" t="s">
        <v>773</v>
      </c>
      <c r="C1395" s="1" t="s">
        <v>989</v>
      </c>
      <c r="D1395" s="1" t="s">
        <v>1987</v>
      </c>
      <c r="E1395" s="1" t="str">
        <f t="shared" si="21"/>
        <v>W05</v>
      </c>
      <c r="F1395" s="4">
        <v>0</v>
      </c>
      <c r="G1395" s="4">
        <v>0</v>
      </c>
      <c r="H1395" s="4">
        <v>0</v>
      </c>
      <c r="I1395" s="4"/>
      <c r="J1395" s="1" t="s">
        <v>775</v>
      </c>
      <c r="K1395" s="1" t="s">
        <v>987</v>
      </c>
      <c r="L1395" s="1" t="s">
        <v>778</v>
      </c>
      <c r="M1395" s="1" t="s">
        <v>777</v>
      </c>
      <c r="N1395" s="1" t="s">
        <v>79</v>
      </c>
      <c r="O1395" s="6">
        <v>44774</v>
      </c>
      <c r="P1395" s="6">
        <v>44758</v>
      </c>
      <c r="Q1395" s="6"/>
      <c r="R1395" s="1" t="s">
        <v>779</v>
      </c>
      <c r="S1395" s="1" t="s">
        <v>79</v>
      </c>
      <c r="T1395" s="5">
        <v>120</v>
      </c>
      <c r="U1395" s="4">
        <v>1</v>
      </c>
      <c r="V1395" s="5">
        <v>37</v>
      </c>
      <c r="W1395" s="6">
        <v>43720</v>
      </c>
      <c r="X1395" s="6"/>
      <c r="Y1395" s="6"/>
      <c r="Z1395" s="6"/>
      <c r="AA1395" s="6"/>
      <c r="AB1395" s="6"/>
      <c r="AC1395" s="6"/>
      <c r="AD1395" s="6"/>
    </row>
    <row r="1396" spans="1:30">
      <c r="A1396" s="1" t="s">
        <v>772</v>
      </c>
      <c r="B1396" s="1" t="s">
        <v>773</v>
      </c>
      <c r="C1396" s="1" t="s">
        <v>989</v>
      </c>
      <c r="D1396" s="1" t="s">
        <v>1988</v>
      </c>
      <c r="E1396" s="1" t="str">
        <f t="shared" si="21"/>
        <v>W05</v>
      </c>
      <c r="F1396" s="4">
        <v>0</v>
      </c>
      <c r="G1396" s="4">
        <v>0</v>
      </c>
      <c r="H1396" s="4">
        <v>0</v>
      </c>
      <c r="I1396" s="4"/>
      <c r="J1396" s="1" t="s">
        <v>775</v>
      </c>
      <c r="K1396" s="1" t="s">
        <v>1982</v>
      </c>
      <c r="L1396" s="1" t="s">
        <v>788</v>
      </c>
      <c r="M1396" s="1" t="s">
        <v>787</v>
      </c>
      <c r="N1396" s="1" t="s">
        <v>787</v>
      </c>
      <c r="O1396" s="6">
        <v>44725</v>
      </c>
      <c r="P1396" s="6">
        <v>44721</v>
      </c>
      <c r="Q1396" s="6">
        <v>44722</v>
      </c>
      <c r="R1396" s="1" t="s">
        <v>779</v>
      </c>
      <c r="S1396" s="1" t="s">
        <v>79</v>
      </c>
      <c r="T1396" s="5">
        <v>30</v>
      </c>
      <c r="U1396" s="4">
        <v>2</v>
      </c>
      <c r="V1396" s="5">
        <v>74</v>
      </c>
      <c r="W1396" s="6">
        <v>43293</v>
      </c>
      <c r="X1396" s="6">
        <v>43079</v>
      </c>
      <c r="Y1396" s="6"/>
      <c r="Z1396" s="6"/>
      <c r="AA1396" s="6"/>
      <c r="AB1396" s="6"/>
      <c r="AC1396" s="6"/>
      <c r="AD1396" s="6"/>
    </row>
    <row r="1397" spans="1:30">
      <c r="A1397" s="1" t="s">
        <v>772</v>
      </c>
      <c r="B1397" s="1" t="s">
        <v>773</v>
      </c>
      <c r="C1397" s="1" t="s">
        <v>989</v>
      </c>
      <c r="D1397" s="1" t="s">
        <v>1989</v>
      </c>
      <c r="E1397" s="1" t="str">
        <f t="shared" si="21"/>
        <v>W05</v>
      </c>
      <c r="F1397" s="4">
        <v>0</v>
      </c>
      <c r="G1397" s="4">
        <v>0</v>
      </c>
      <c r="H1397" s="4">
        <v>0</v>
      </c>
      <c r="I1397" s="4"/>
      <c r="J1397" s="1" t="s">
        <v>775</v>
      </c>
      <c r="K1397" s="1" t="s">
        <v>805</v>
      </c>
      <c r="L1397" s="1" t="s">
        <v>777</v>
      </c>
      <c r="M1397" s="1" t="s">
        <v>778</v>
      </c>
      <c r="N1397" s="1" t="s">
        <v>788</v>
      </c>
      <c r="O1397" s="6">
        <v>44669</v>
      </c>
      <c r="P1397" s="6">
        <v>44663</v>
      </c>
      <c r="Q1397" s="6">
        <v>44648</v>
      </c>
      <c r="R1397" s="1" t="s">
        <v>779</v>
      </c>
      <c r="S1397" s="1" t="s">
        <v>795</v>
      </c>
      <c r="T1397" s="5">
        <v>577</v>
      </c>
      <c r="U1397" s="4">
        <v>4</v>
      </c>
      <c r="V1397" s="5">
        <v>132</v>
      </c>
      <c r="W1397" s="6">
        <v>43858</v>
      </c>
      <c r="X1397" s="6">
        <v>44234</v>
      </c>
      <c r="Y1397" s="6"/>
      <c r="Z1397" s="6"/>
      <c r="AA1397" s="6"/>
      <c r="AB1397" s="6"/>
      <c r="AC1397" s="6"/>
      <c r="AD1397" s="6"/>
    </row>
    <row r="1398" spans="1:30">
      <c r="A1398" s="1" t="s">
        <v>772</v>
      </c>
      <c r="B1398" s="1" t="s">
        <v>773</v>
      </c>
      <c r="C1398" s="1" t="s">
        <v>989</v>
      </c>
      <c r="D1398" s="1" t="s">
        <v>1990</v>
      </c>
      <c r="E1398" s="1" t="str">
        <f t="shared" si="21"/>
        <v>W05</v>
      </c>
      <c r="F1398" s="4">
        <v>0</v>
      </c>
      <c r="G1398" s="4">
        <v>0</v>
      </c>
      <c r="H1398" s="4">
        <v>0</v>
      </c>
      <c r="I1398" s="4"/>
      <c r="J1398" s="1" t="s">
        <v>775</v>
      </c>
      <c r="K1398" s="1" t="s">
        <v>1197</v>
      </c>
      <c r="L1398" s="1" t="s">
        <v>79</v>
      </c>
      <c r="M1398" s="1" t="s">
        <v>79</v>
      </c>
      <c r="N1398" s="1" t="s">
        <v>79</v>
      </c>
      <c r="O1398" s="6">
        <v>44260</v>
      </c>
      <c r="P1398" s="6">
        <v>44256</v>
      </c>
      <c r="Q1398" s="6">
        <v>44256</v>
      </c>
      <c r="R1398" s="1" t="s">
        <v>1076</v>
      </c>
      <c r="S1398" s="1" t="s">
        <v>79</v>
      </c>
      <c r="T1398" s="5">
        <v>1154</v>
      </c>
      <c r="U1398" s="4">
        <v>17</v>
      </c>
      <c r="V1398" s="5">
        <v>539</v>
      </c>
      <c r="W1398" s="6"/>
      <c r="X1398" s="6"/>
      <c r="Y1398" s="6"/>
      <c r="Z1398" s="6"/>
      <c r="AA1398" s="6"/>
      <c r="AB1398" s="6"/>
      <c r="AC1398" s="6"/>
      <c r="AD1398" s="6"/>
    </row>
    <row r="1399" spans="1:30">
      <c r="A1399" s="1" t="s">
        <v>772</v>
      </c>
      <c r="B1399" s="1" t="s">
        <v>773</v>
      </c>
      <c r="C1399" s="1" t="s">
        <v>989</v>
      </c>
      <c r="D1399" s="1" t="s">
        <v>1991</v>
      </c>
      <c r="E1399" s="1" t="str">
        <f t="shared" si="21"/>
        <v>W05</v>
      </c>
      <c r="F1399" s="4">
        <v>0</v>
      </c>
      <c r="G1399" s="4">
        <v>0</v>
      </c>
      <c r="H1399" s="4">
        <v>0</v>
      </c>
      <c r="I1399" s="4"/>
      <c r="J1399" s="1" t="s">
        <v>775</v>
      </c>
      <c r="K1399" s="1" t="s">
        <v>839</v>
      </c>
      <c r="L1399" s="1" t="s">
        <v>777</v>
      </c>
      <c r="M1399" s="1" t="s">
        <v>778</v>
      </c>
      <c r="N1399" s="1" t="s">
        <v>787</v>
      </c>
      <c r="O1399" s="6">
        <v>44775</v>
      </c>
      <c r="P1399" s="6">
        <v>44754</v>
      </c>
      <c r="Q1399" s="6">
        <v>44698</v>
      </c>
      <c r="R1399" s="1" t="s">
        <v>779</v>
      </c>
      <c r="S1399" s="1" t="s">
        <v>882</v>
      </c>
      <c r="T1399" s="5">
        <v>517</v>
      </c>
      <c r="U1399" s="4">
        <v>1</v>
      </c>
      <c r="V1399" s="5">
        <v>41</v>
      </c>
      <c r="W1399" s="6">
        <v>43535</v>
      </c>
      <c r="X1399" s="6">
        <v>43566</v>
      </c>
      <c r="Y1399" s="6"/>
      <c r="Z1399" s="6"/>
      <c r="AA1399" s="6"/>
      <c r="AB1399" s="6"/>
      <c r="AC1399" s="6"/>
      <c r="AD1399" s="6"/>
    </row>
    <row r="1400" spans="1:30">
      <c r="A1400" s="1" t="s">
        <v>772</v>
      </c>
      <c r="B1400" s="1" t="s">
        <v>773</v>
      </c>
      <c r="C1400" s="1" t="s">
        <v>989</v>
      </c>
      <c r="D1400" s="1" t="s">
        <v>1992</v>
      </c>
      <c r="E1400" s="1" t="str">
        <f t="shared" si="21"/>
        <v>W05</v>
      </c>
      <c r="F1400" s="4">
        <v>0</v>
      </c>
      <c r="G1400" s="4">
        <v>0</v>
      </c>
      <c r="H1400" s="4">
        <v>0</v>
      </c>
      <c r="I1400" s="4"/>
      <c r="J1400" s="1" t="s">
        <v>775</v>
      </c>
      <c r="K1400" s="1" t="s">
        <v>1993</v>
      </c>
      <c r="L1400" s="1" t="s">
        <v>829</v>
      </c>
      <c r="M1400" s="1" t="s">
        <v>913</v>
      </c>
      <c r="N1400" s="1" t="s">
        <v>79</v>
      </c>
      <c r="O1400" s="6">
        <v>44583</v>
      </c>
      <c r="P1400" s="6">
        <v>44582</v>
      </c>
      <c r="Q1400" s="6">
        <v>44581</v>
      </c>
      <c r="R1400" s="1" t="s">
        <v>830</v>
      </c>
      <c r="S1400" s="1" t="s">
        <v>1717</v>
      </c>
      <c r="T1400" s="5">
        <v>0</v>
      </c>
      <c r="U1400" s="4">
        <v>7</v>
      </c>
      <c r="V1400" s="5">
        <v>213</v>
      </c>
      <c r="W1400" s="6"/>
      <c r="X1400" s="6"/>
      <c r="Y1400" s="6"/>
      <c r="Z1400" s="6"/>
      <c r="AA1400" s="6"/>
      <c r="AB1400" s="6"/>
      <c r="AC1400" s="6"/>
      <c r="AD1400" s="6"/>
    </row>
    <row r="1401" spans="1:30">
      <c r="A1401" s="1" t="s">
        <v>772</v>
      </c>
      <c r="B1401" s="1" t="s">
        <v>773</v>
      </c>
      <c r="C1401" s="1" t="s">
        <v>989</v>
      </c>
      <c r="D1401" s="1" t="s">
        <v>1994</v>
      </c>
      <c r="E1401" s="1" t="str">
        <f t="shared" si="21"/>
        <v>W05</v>
      </c>
      <c r="F1401" s="4">
        <v>0</v>
      </c>
      <c r="G1401" s="4">
        <v>0</v>
      </c>
      <c r="H1401" s="4">
        <v>0</v>
      </c>
      <c r="I1401" s="4"/>
      <c r="J1401" s="1" t="s">
        <v>775</v>
      </c>
      <c r="K1401" s="1" t="s">
        <v>881</v>
      </c>
      <c r="L1401" s="1" t="s">
        <v>777</v>
      </c>
      <c r="M1401" s="1" t="s">
        <v>778</v>
      </c>
      <c r="N1401" s="1" t="s">
        <v>787</v>
      </c>
      <c r="O1401" s="6">
        <v>44537</v>
      </c>
      <c r="P1401" s="6">
        <v>44528</v>
      </c>
      <c r="Q1401" s="6">
        <v>44512</v>
      </c>
      <c r="R1401" s="1" t="s">
        <v>779</v>
      </c>
      <c r="S1401" s="1" t="s">
        <v>795</v>
      </c>
      <c r="T1401" s="5">
        <v>577</v>
      </c>
      <c r="U1401" s="4">
        <v>8</v>
      </c>
      <c r="V1401" s="5">
        <v>267</v>
      </c>
      <c r="W1401" s="6">
        <v>43535</v>
      </c>
      <c r="X1401" s="6">
        <v>43566</v>
      </c>
      <c r="Y1401" s="6"/>
      <c r="Z1401" s="6"/>
      <c r="AA1401" s="6"/>
      <c r="AB1401" s="6"/>
      <c r="AC1401" s="6"/>
      <c r="AD1401" s="6"/>
    </row>
    <row r="1402" spans="1:30">
      <c r="A1402" s="1" t="s">
        <v>772</v>
      </c>
      <c r="B1402" s="1" t="s">
        <v>773</v>
      </c>
      <c r="C1402" s="1" t="s">
        <v>989</v>
      </c>
      <c r="D1402" s="1" t="s">
        <v>1995</v>
      </c>
      <c r="E1402" s="1" t="str">
        <f t="shared" si="21"/>
        <v>W05</v>
      </c>
      <c r="F1402" s="4">
        <v>0</v>
      </c>
      <c r="G1402" s="4">
        <v>0</v>
      </c>
      <c r="H1402" s="4">
        <v>0</v>
      </c>
      <c r="I1402" s="4"/>
      <c r="J1402" s="1" t="s">
        <v>775</v>
      </c>
      <c r="K1402" s="1" t="s">
        <v>1939</v>
      </c>
      <c r="L1402" s="1" t="s">
        <v>787</v>
      </c>
      <c r="M1402" s="1" t="s">
        <v>788</v>
      </c>
      <c r="N1402" s="1" t="s">
        <v>777</v>
      </c>
      <c r="O1402" s="6">
        <v>44411</v>
      </c>
      <c r="P1402" s="6">
        <v>44396</v>
      </c>
      <c r="Q1402" s="6">
        <v>43994</v>
      </c>
      <c r="R1402" s="1" t="s">
        <v>779</v>
      </c>
      <c r="S1402" s="1" t="s">
        <v>79</v>
      </c>
      <c r="T1402" s="5">
        <v>402</v>
      </c>
      <c r="U1402" s="4">
        <v>13</v>
      </c>
      <c r="V1402" s="5">
        <v>399</v>
      </c>
      <c r="W1402" s="6">
        <v>43678</v>
      </c>
      <c r="X1402" s="6">
        <v>43637</v>
      </c>
      <c r="Y1402" s="6"/>
      <c r="Z1402" s="6"/>
      <c r="AA1402" s="6">
        <v>44674</v>
      </c>
      <c r="AB1402" s="6"/>
      <c r="AC1402" s="6"/>
      <c r="AD1402" s="6">
        <v>44659</v>
      </c>
    </row>
    <row r="1403" spans="1:30">
      <c r="A1403" s="1" t="s">
        <v>772</v>
      </c>
      <c r="B1403" s="1" t="s">
        <v>773</v>
      </c>
      <c r="C1403" s="1" t="s">
        <v>1010</v>
      </c>
      <c r="D1403" s="1" t="s">
        <v>1996</v>
      </c>
      <c r="E1403" s="1" t="str">
        <f t="shared" si="21"/>
        <v>W07</v>
      </c>
      <c r="F1403" s="4">
        <v>0</v>
      </c>
      <c r="G1403" s="5">
        <v>0</v>
      </c>
      <c r="H1403" s="5">
        <v>0</v>
      </c>
      <c r="I1403" s="5"/>
      <c r="J1403" s="1" t="s">
        <v>775</v>
      </c>
      <c r="K1403" s="1" t="s">
        <v>839</v>
      </c>
      <c r="L1403" s="1" t="s">
        <v>777</v>
      </c>
      <c r="M1403" s="1" t="s">
        <v>778</v>
      </c>
      <c r="N1403" s="1" t="s">
        <v>787</v>
      </c>
      <c r="O1403" s="6">
        <v>44775</v>
      </c>
      <c r="P1403" s="6">
        <v>44772</v>
      </c>
      <c r="Q1403" s="6">
        <v>44719</v>
      </c>
      <c r="R1403" s="1" t="s">
        <v>779</v>
      </c>
      <c r="S1403" s="1" t="s">
        <v>792</v>
      </c>
      <c r="T1403" s="5">
        <v>577</v>
      </c>
      <c r="U1403" s="4">
        <v>0</v>
      </c>
      <c r="V1403" s="5">
        <v>23</v>
      </c>
      <c r="W1403" s="6">
        <v>43710</v>
      </c>
      <c r="X1403" s="6">
        <v>42572</v>
      </c>
      <c r="Y1403" s="6"/>
      <c r="Z1403" s="6"/>
      <c r="AA1403" s="6"/>
      <c r="AB1403" s="6"/>
      <c r="AC1403" s="6"/>
      <c r="AD1403" s="6"/>
    </row>
    <row r="1404" spans="1:30">
      <c r="A1404" s="1" t="s">
        <v>772</v>
      </c>
      <c r="B1404" s="1" t="s">
        <v>773</v>
      </c>
      <c r="C1404" s="1" t="s">
        <v>1010</v>
      </c>
      <c r="D1404" s="1" t="s">
        <v>1997</v>
      </c>
      <c r="E1404" s="1" t="str">
        <f t="shared" si="21"/>
        <v>W07</v>
      </c>
      <c r="F1404" s="4">
        <v>0</v>
      </c>
      <c r="G1404" s="4">
        <v>0</v>
      </c>
      <c r="H1404" s="4">
        <v>0</v>
      </c>
      <c r="I1404" s="4"/>
      <c r="J1404" s="1" t="s">
        <v>775</v>
      </c>
      <c r="K1404" s="1" t="s">
        <v>941</v>
      </c>
      <c r="L1404" s="1" t="s">
        <v>866</v>
      </c>
      <c r="M1404" s="1" t="s">
        <v>867</v>
      </c>
      <c r="N1404" s="1" t="s">
        <v>788</v>
      </c>
      <c r="O1404" s="6">
        <v>44746</v>
      </c>
      <c r="P1404" s="6">
        <v>44735</v>
      </c>
      <c r="Q1404" s="6">
        <v>44718</v>
      </c>
      <c r="R1404" s="1" t="s">
        <v>868</v>
      </c>
      <c r="S1404" s="1" t="s">
        <v>79</v>
      </c>
      <c r="T1404" s="5">
        <v>240</v>
      </c>
      <c r="U1404" s="4">
        <v>1</v>
      </c>
      <c r="V1404" s="5">
        <v>60</v>
      </c>
      <c r="W1404" s="6">
        <v>43747</v>
      </c>
      <c r="X1404" s="6">
        <v>43665</v>
      </c>
      <c r="Y1404" s="6"/>
      <c r="Z1404" s="6"/>
      <c r="AA1404" s="6"/>
      <c r="AB1404" s="6"/>
      <c r="AC1404" s="6"/>
      <c r="AD1404" s="6"/>
    </row>
    <row r="1405" spans="1:30">
      <c r="A1405" s="1" t="s">
        <v>772</v>
      </c>
      <c r="B1405" s="1" t="s">
        <v>773</v>
      </c>
      <c r="C1405" s="1" t="s">
        <v>1010</v>
      </c>
      <c r="D1405" s="1" t="s">
        <v>1998</v>
      </c>
      <c r="E1405" s="1" t="str">
        <f t="shared" si="21"/>
        <v>W07</v>
      </c>
      <c r="F1405" s="5">
        <v>0</v>
      </c>
      <c r="G1405" s="4">
        <v>0</v>
      </c>
      <c r="H1405" s="4">
        <v>0</v>
      </c>
      <c r="I1405" s="4"/>
      <c r="J1405" s="1" t="s">
        <v>775</v>
      </c>
      <c r="K1405" s="1" t="s">
        <v>1238</v>
      </c>
      <c r="L1405" s="1" t="s">
        <v>829</v>
      </c>
      <c r="M1405" s="1" t="s">
        <v>913</v>
      </c>
      <c r="N1405" s="1" t="s">
        <v>787</v>
      </c>
      <c r="O1405" s="6">
        <v>44506</v>
      </c>
      <c r="P1405" s="6">
        <v>44498</v>
      </c>
      <c r="Q1405" s="6">
        <v>44497</v>
      </c>
      <c r="R1405" s="1" t="s">
        <v>830</v>
      </c>
      <c r="S1405" s="1" t="s">
        <v>914</v>
      </c>
      <c r="T1405" s="5">
        <v>330</v>
      </c>
      <c r="U1405" s="4">
        <v>9</v>
      </c>
      <c r="V1405" s="5">
        <v>297</v>
      </c>
      <c r="W1405" s="6">
        <v>43373</v>
      </c>
      <c r="X1405" s="6">
        <v>42702</v>
      </c>
      <c r="Y1405" s="6"/>
      <c r="Z1405" s="6"/>
      <c r="AA1405" s="6"/>
      <c r="AB1405" s="6"/>
      <c r="AC1405" s="6"/>
      <c r="AD1405" s="6"/>
    </row>
    <row r="1406" spans="1:30">
      <c r="A1406" s="1" t="s">
        <v>772</v>
      </c>
      <c r="B1406" s="1" t="s">
        <v>773</v>
      </c>
      <c r="C1406" s="1" t="s">
        <v>1002</v>
      </c>
      <c r="D1406" s="1" t="s">
        <v>1999</v>
      </c>
      <c r="E1406" s="1" t="str">
        <f t="shared" si="21"/>
        <v>W06</v>
      </c>
      <c r="F1406" s="4">
        <v>0</v>
      </c>
      <c r="G1406" s="4">
        <v>0</v>
      </c>
      <c r="H1406" s="4">
        <v>0</v>
      </c>
      <c r="I1406" s="4"/>
      <c r="J1406" s="1" t="s">
        <v>775</v>
      </c>
      <c r="K1406" s="1" t="s">
        <v>1247</v>
      </c>
      <c r="L1406" s="1" t="s">
        <v>778</v>
      </c>
      <c r="M1406" s="1" t="s">
        <v>777</v>
      </c>
      <c r="N1406" s="1" t="s">
        <v>777</v>
      </c>
      <c r="O1406" s="6">
        <v>44714</v>
      </c>
      <c r="P1406" s="6">
        <v>44709</v>
      </c>
      <c r="Q1406" s="6"/>
      <c r="R1406" s="1" t="s">
        <v>779</v>
      </c>
      <c r="S1406" s="1" t="s">
        <v>79</v>
      </c>
      <c r="T1406" s="5">
        <v>120</v>
      </c>
      <c r="U1406" s="4">
        <v>2</v>
      </c>
      <c r="V1406" s="5">
        <v>86</v>
      </c>
      <c r="W1406" s="6">
        <v>43678</v>
      </c>
      <c r="X1406" s="6">
        <v>43637</v>
      </c>
      <c r="Y1406" s="6"/>
      <c r="Z1406" s="6"/>
      <c r="AA1406" s="6"/>
      <c r="AB1406" s="6"/>
      <c r="AC1406" s="6"/>
      <c r="AD1406" s="6"/>
    </row>
    <row r="1407" spans="1:30">
      <c r="A1407" s="1" t="s">
        <v>772</v>
      </c>
      <c r="B1407" s="1" t="s">
        <v>773</v>
      </c>
      <c r="C1407" s="1" t="s">
        <v>989</v>
      </c>
      <c r="D1407" s="1" t="s">
        <v>2000</v>
      </c>
      <c r="E1407" s="1" t="str">
        <f t="shared" si="21"/>
        <v>W05</v>
      </c>
      <c r="F1407" s="4">
        <v>0</v>
      </c>
      <c r="G1407" s="4">
        <v>0</v>
      </c>
      <c r="H1407" s="4">
        <v>0</v>
      </c>
      <c r="I1407" s="4"/>
      <c r="J1407" s="1" t="s">
        <v>775</v>
      </c>
      <c r="K1407" s="1" t="s">
        <v>839</v>
      </c>
      <c r="L1407" s="1" t="s">
        <v>777</v>
      </c>
      <c r="M1407" s="1" t="s">
        <v>778</v>
      </c>
      <c r="N1407" s="1" t="s">
        <v>788</v>
      </c>
      <c r="O1407" s="6">
        <v>44775</v>
      </c>
      <c r="P1407" s="6">
        <v>44748</v>
      </c>
      <c r="Q1407" s="6">
        <v>44693</v>
      </c>
      <c r="R1407" s="1" t="s">
        <v>779</v>
      </c>
      <c r="S1407" s="1" t="s">
        <v>780</v>
      </c>
      <c r="T1407" s="5">
        <v>517</v>
      </c>
      <c r="U1407" s="4">
        <v>1</v>
      </c>
      <c r="V1407" s="5">
        <v>47</v>
      </c>
      <c r="W1407" s="6">
        <v>43178</v>
      </c>
      <c r="X1407" s="6">
        <v>43553</v>
      </c>
      <c r="Y1407" s="6"/>
      <c r="Z1407" s="6"/>
      <c r="AA1407" s="6"/>
      <c r="AB1407" s="6"/>
      <c r="AC1407" s="6"/>
      <c r="AD1407" s="6"/>
    </row>
    <row r="1408" spans="1:30">
      <c r="A1408" s="1" t="s">
        <v>772</v>
      </c>
      <c r="B1408" s="1" t="s">
        <v>773</v>
      </c>
      <c r="C1408" s="1" t="s">
        <v>989</v>
      </c>
      <c r="D1408" s="1" t="s">
        <v>2001</v>
      </c>
      <c r="E1408" s="1" t="str">
        <f t="shared" si="21"/>
        <v>W05</v>
      </c>
      <c r="F1408" s="4">
        <v>0</v>
      </c>
      <c r="G1408" s="4">
        <v>0</v>
      </c>
      <c r="H1408" s="4">
        <v>0</v>
      </c>
      <c r="I1408" s="4"/>
      <c r="J1408" s="1" t="s">
        <v>775</v>
      </c>
      <c r="K1408" s="1" t="s">
        <v>859</v>
      </c>
      <c r="L1408" s="1" t="s">
        <v>777</v>
      </c>
      <c r="M1408" s="1" t="s">
        <v>778</v>
      </c>
      <c r="N1408" s="1" t="s">
        <v>778</v>
      </c>
      <c r="O1408" s="6">
        <v>44746</v>
      </c>
      <c r="P1408" s="6">
        <v>44741</v>
      </c>
      <c r="Q1408" s="6">
        <v>44699</v>
      </c>
      <c r="R1408" s="1" t="s">
        <v>779</v>
      </c>
      <c r="S1408" s="1" t="s">
        <v>792</v>
      </c>
      <c r="T1408" s="5">
        <v>577</v>
      </c>
      <c r="U1408" s="4">
        <v>1</v>
      </c>
      <c r="V1408" s="5">
        <v>54</v>
      </c>
      <c r="W1408" s="6">
        <v>44728</v>
      </c>
      <c r="X1408" s="6">
        <v>45246</v>
      </c>
      <c r="Y1408" s="6"/>
      <c r="Z1408" s="6"/>
      <c r="AA1408" s="6"/>
      <c r="AB1408" s="6"/>
      <c r="AC1408" s="6"/>
      <c r="AD1408" s="6"/>
    </row>
    <row r="1409" spans="1:30">
      <c r="A1409" s="1" t="s">
        <v>772</v>
      </c>
      <c r="B1409" s="1" t="s">
        <v>773</v>
      </c>
      <c r="C1409" s="1" t="s">
        <v>989</v>
      </c>
      <c r="D1409" s="1" t="s">
        <v>2002</v>
      </c>
      <c r="E1409" s="1" t="str">
        <f t="shared" si="21"/>
        <v>W05</v>
      </c>
      <c r="F1409" s="4">
        <v>0</v>
      </c>
      <c r="G1409" s="4">
        <v>0</v>
      </c>
      <c r="H1409" s="4">
        <v>0</v>
      </c>
      <c r="I1409" s="4"/>
      <c r="J1409" s="1" t="s">
        <v>775</v>
      </c>
      <c r="K1409" s="1" t="s">
        <v>1197</v>
      </c>
      <c r="L1409" s="1" t="s">
        <v>79</v>
      </c>
      <c r="M1409" s="1" t="s">
        <v>79</v>
      </c>
      <c r="N1409" s="1" t="s">
        <v>79</v>
      </c>
      <c r="O1409" s="6">
        <v>44260</v>
      </c>
      <c r="P1409" s="6">
        <v>44256</v>
      </c>
      <c r="Q1409" s="6">
        <v>44256</v>
      </c>
      <c r="R1409" s="1" t="s">
        <v>1076</v>
      </c>
      <c r="S1409" s="1" t="s">
        <v>79</v>
      </c>
      <c r="T1409" s="5">
        <v>1154</v>
      </c>
      <c r="U1409" s="4">
        <v>17</v>
      </c>
      <c r="V1409" s="5">
        <v>539</v>
      </c>
      <c r="W1409" s="6"/>
      <c r="X1409" s="6"/>
      <c r="Y1409" s="6"/>
      <c r="Z1409" s="6"/>
      <c r="AA1409" s="6"/>
      <c r="AB1409" s="6"/>
      <c r="AC1409" s="6"/>
      <c r="AD1409" s="6">
        <v>44392</v>
      </c>
    </row>
    <row r="1410" spans="1:30">
      <c r="A1410" s="1" t="s">
        <v>772</v>
      </c>
      <c r="B1410" s="1" t="s">
        <v>773</v>
      </c>
      <c r="C1410" s="1" t="s">
        <v>989</v>
      </c>
      <c r="D1410" s="1" t="s">
        <v>2003</v>
      </c>
      <c r="E1410" s="1" t="str">
        <f t="shared" si="21"/>
        <v>W05</v>
      </c>
      <c r="F1410" s="4">
        <v>0</v>
      </c>
      <c r="G1410" s="4">
        <v>0</v>
      </c>
      <c r="H1410" s="4">
        <v>0</v>
      </c>
      <c r="I1410" s="4"/>
      <c r="J1410" s="1" t="s">
        <v>775</v>
      </c>
      <c r="K1410" s="1" t="s">
        <v>2004</v>
      </c>
      <c r="L1410" s="1" t="s">
        <v>788</v>
      </c>
      <c r="M1410" s="1" t="s">
        <v>777</v>
      </c>
      <c r="N1410" s="1" t="s">
        <v>777</v>
      </c>
      <c r="O1410" s="6">
        <v>44508</v>
      </c>
      <c r="P1410" s="6">
        <v>44508</v>
      </c>
      <c r="Q1410" s="6">
        <v>44508</v>
      </c>
      <c r="R1410" s="1" t="s">
        <v>1235</v>
      </c>
      <c r="S1410" s="1" t="s">
        <v>79</v>
      </c>
      <c r="T1410" s="5">
        <v>0</v>
      </c>
      <c r="U1410" s="4">
        <v>9</v>
      </c>
      <c r="V1410" s="5">
        <v>287</v>
      </c>
      <c r="W1410" s="6">
        <v>43500</v>
      </c>
      <c r="X1410" s="6">
        <v>43635</v>
      </c>
      <c r="Y1410" s="6"/>
      <c r="Z1410" s="6"/>
      <c r="AA1410" s="6"/>
      <c r="AB1410" s="6"/>
      <c r="AC1410" s="6"/>
      <c r="AD1410" s="6"/>
    </row>
    <row r="1411" spans="1:30">
      <c r="A1411" s="1" t="s">
        <v>772</v>
      </c>
      <c r="B1411" s="1" t="s">
        <v>773</v>
      </c>
      <c r="C1411" s="1" t="s">
        <v>989</v>
      </c>
      <c r="D1411" s="1" t="s">
        <v>2005</v>
      </c>
      <c r="E1411" s="1" t="str">
        <f t="shared" si="21"/>
        <v>W05</v>
      </c>
      <c r="F1411" s="4">
        <v>0</v>
      </c>
      <c r="G1411" s="4">
        <v>0</v>
      </c>
      <c r="H1411" s="4">
        <v>0</v>
      </c>
      <c r="I1411" s="4"/>
      <c r="J1411" s="1" t="s">
        <v>775</v>
      </c>
      <c r="K1411" s="1" t="s">
        <v>1085</v>
      </c>
      <c r="L1411" s="1" t="s">
        <v>778</v>
      </c>
      <c r="M1411" s="1" t="s">
        <v>777</v>
      </c>
      <c r="N1411" s="1" t="s">
        <v>777</v>
      </c>
      <c r="O1411" s="6">
        <v>44618</v>
      </c>
      <c r="P1411" s="6">
        <v>44613</v>
      </c>
      <c r="Q1411" s="6"/>
      <c r="R1411" s="1" t="s">
        <v>779</v>
      </c>
      <c r="S1411" s="1" t="s">
        <v>79</v>
      </c>
      <c r="T1411" s="5">
        <v>120</v>
      </c>
      <c r="U1411" s="4">
        <v>5</v>
      </c>
      <c r="V1411" s="5">
        <v>182</v>
      </c>
      <c r="W1411" s="6">
        <v>44441</v>
      </c>
      <c r="X1411" s="6">
        <v>44763</v>
      </c>
      <c r="Y1411" s="6"/>
      <c r="Z1411" s="6"/>
      <c r="AA1411" s="6"/>
      <c r="AB1411" s="6"/>
      <c r="AC1411" s="6"/>
      <c r="AD1411" s="6">
        <v>44608</v>
      </c>
    </row>
    <row r="1412" spans="1:30">
      <c r="A1412" s="1" t="s">
        <v>772</v>
      </c>
      <c r="B1412" s="1" t="s">
        <v>773</v>
      </c>
      <c r="C1412" s="1" t="s">
        <v>989</v>
      </c>
      <c r="D1412" s="1" t="s">
        <v>2006</v>
      </c>
      <c r="E1412" s="1" t="str">
        <f t="shared" si="21"/>
        <v>W05</v>
      </c>
      <c r="F1412" s="4">
        <v>0</v>
      </c>
      <c r="G1412" s="4">
        <v>0</v>
      </c>
      <c r="H1412" s="4">
        <v>0</v>
      </c>
      <c r="I1412" s="4"/>
      <c r="J1412" s="1" t="s">
        <v>775</v>
      </c>
      <c r="K1412" s="1" t="s">
        <v>2007</v>
      </c>
      <c r="L1412" s="1" t="s">
        <v>2008</v>
      </c>
      <c r="M1412" s="1" t="s">
        <v>79</v>
      </c>
      <c r="N1412" s="1" t="s">
        <v>79</v>
      </c>
      <c r="O1412" s="6">
        <v>44770</v>
      </c>
      <c r="P1412" s="6">
        <v>44768</v>
      </c>
      <c r="Q1412" s="6">
        <v>44768</v>
      </c>
      <c r="R1412" s="1" t="s">
        <v>1235</v>
      </c>
      <c r="S1412" s="1" t="s">
        <v>79</v>
      </c>
      <c r="T1412" s="5">
        <v>0</v>
      </c>
      <c r="U1412" s="4">
        <v>0</v>
      </c>
      <c r="V1412" s="5">
        <v>27</v>
      </c>
      <c r="W1412" s="6"/>
      <c r="X1412" s="6"/>
      <c r="Y1412" s="6"/>
      <c r="Z1412" s="6"/>
      <c r="AA1412" s="6"/>
      <c r="AB1412" s="6"/>
      <c r="AC1412" s="6"/>
      <c r="AD1412" s="6"/>
    </row>
    <row r="1413" spans="1:30">
      <c r="A1413" s="1" t="s">
        <v>772</v>
      </c>
      <c r="B1413" s="1" t="s">
        <v>773</v>
      </c>
      <c r="C1413" s="1" t="s">
        <v>989</v>
      </c>
      <c r="D1413" s="1" t="s">
        <v>2009</v>
      </c>
      <c r="E1413" s="1" t="str">
        <f t="shared" ref="E1413:E1476" si="22">RIGHT(C1413,3)</f>
        <v>W05</v>
      </c>
      <c r="F1413" s="4">
        <v>0</v>
      </c>
      <c r="G1413" s="4">
        <v>0</v>
      </c>
      <c r="H1413" s="4">
        <v>0</v>
      </c>
      <c r="I1413" s="4"/>
      <c r="J1413" s="1" t="s">
        <v>775</v>
      </c>
      <c r="K1413" s="1" t="s">
        <v>962</v>
      </c>
      <c r="L1413" s="1" t="s">
        <v>79</v>
      </c>
      <c r="M1413" s="1" t="s">
        <v>79</v>
      </c>
      <c r="N1413" s="1" t="s">
        <v>79</v>
      </c>
      <c r="O1413" s="6">
        <v>44753</v>
      </c>
      <c r="P1413" s="6">
        <v>44613</v>
      </c>
      <c r="Q1413" s="6"/>
      <c r="R1413" s="1" t="s">
        <v>779</v>
      </c>
      <c r="S1413" s="1" t="s">
        <v>79</v>
      </c>
      <c r="T1413" s="5">
        <v>23</v>
      </c>
      <c r="U1413" s="4">
        <v>5</v>
      </c>
      <c r="V1413" s="5">
        <v>182</v>
      </c>
      <c r="W1413" s="6"/>
      <c r="X1413" s="6"/>
      <c r="Y1413" s="6"/>
      <c r="Z1413" s="6"/>
      <c r="AA1413" s="6"/>
      <c r="AB1413" s="6"/>
      <c r="AC1413" s="6"/>
      <c r="AD1413" s="6"/>
    </row>
    <row r="1414" spans="1:30">
      <c r="A1414" s="1" t="s">
        <v>772</v>
      </c>
      <c r="B1414" s="1" t="s">
        <v>773</v>
      </c>
      <c r="C1414" s="1" t="s">
        <v>989</v>
      </c>
      <c r="D1414" s="1" t="s">
        <v>2010</v>
      </c>
      <c r="E1414" s="1" t="str">
        <f t="shared" si="22"/>
        <v>W05</v>
      </c>
      <c r="F1414" s="4">
        <v>0</v>
      </c>
      <c r="G1414" s="4">
        <v>0</v>
      </c>
      <c r="H1414" s="4">
        <v>0</v>
      </c>
      <c r="I1414" s="4"/>
      <c r="J1414" s="1" t="s">
        <v>775</v>
      </c>
      <c r="K1414" s="1" t="s">
        <v>2011</v>
      </c>
      <c r="L1414" s="1" t="s">
        <v>79</v>
      </c>
      <c r="M1414" s="1" t="s">
        <v>79</v>
      </c>
      <c r="N1414" s="1" t="s">
        <v>79</v>
      </c>
      <c r="O1414" s="6">
        <v>44753</v>
      </c>
      <c r="P1414" s="6">
        <v>44613</v>
      </c>
      <c r="Q1414" s="6"/>
      <c r="R1414" s="1" t="s">
        <v>1804</v>
      </c>
      <c r="S1414" s="1" t="s">
        <v>79</v>
      </c>
      <c r="T1414" s="5">
        <v>0</v>
      </c>
      <c r="U1414" s="4">
        <v>5</v>
      </c>
      <c r="V1414" s="5">
        <v>182</v>
      </c>
      <c r="W1414" s="6"/>
      <c r="X1414" s="6"/>
      <c r="Y1414" s="6"/>
      <c r="Z1414" s="6"/>
      <c r="AA1414" s="6"/>
      <c r="AB1414" s="6"/>
      <c r="AC1414" s="6"/>
      <c r="AD1414" s="6"/>
    </row>
    <row r="1415" spans="1:30">
      <c r="A1415" s="1" t="s">
        <v>772</v>
      </c>
      <c r="B1415" s="1" t="s">
        <v>773</v>
      </c>
      <c r="C1415" s="1" t="s">
        <v>989</v>
      </c>
      <c r="D1415" s="1" t="s">
        <v>2012</v>
      </c>
      <c r="E1415" s="1" t="str">
        <f t="shared" si="22"/>
        <v>W05</v>
      </c>
      <c r="F1415" s="4">
        <v>0</v>
      </c>
      <c r="G1415" s="4">
        <v>0</v>
      </c>
      <c r="H1415" s="4">
        <v>0</v>
      </c>
      <c r="I1415" s="4"/>
      <c r="J1415" s="1" t="s">
        <v>775</v>
      </c>
      <c r="K1415" s="1" t="s">
        <v>2013</v>
      </c>
      <c r="L1415" s="1" t="s">
        <v>788</v>
      </c>
      <c r="M1415" s="1" t="s">
        <v>777</v>
      </c>
      <c r="N1415" s="1" t="s">
        <v>787</v>
      </c>
      <c r="O1415" s="6">
        <v>44154</v>
      </c>
      <c r="P1415" s="6">
        <v>44150</v>
      </c>
      <c r="Q1415" s="6">
        <v>44150</v>
      </c>
      <c r="R1415" s="1" t="s">
        <v>1235</v>
      </c>
      <c r="S1415" s="1" t="s">
        <v>79</v>
      </c>
      <c r="T1415" s="5">
        <v>0</v>
      </c>
      <c r="U1415" s="4">
        <v>21</v>
      </c>
      <c r="V1415" s="5">
        <v>645</v>
      </c>
      <c r="W1415" s="6">
        <v>43565</v>
      </c>
      <c r="X1415" s="6">
        <v>43596</v>
      </c>
      <c r="Y1415" s="6"/>
      <c r="Z1415" s="6"/>
      <c r="AA1415" s="6"/>
      <c r="AB1415" s="6"/>
      <c r="AC1415" s="6"/>
      <c r="AD1415" s="6"/>
    </row>
    <row r="1416" spans="1:30">
      <c r="A1416" s="1" t="s">
        <v>772</v>
      </c>
      <c r="B1416" s="1" t="s">
        <v>773</v>
      </c>
      <c r="C1416" s="1" t="s">
        <v>989</v>
      </c>
      <c r="D1416" s="1" t="s">
        <v>2014</v>
      </c>
      <c r="E1416" s="1" t="str">
        <f t="shared" si="22"/>
        <v>W05</v>
      </c>
      <c r="F1416" s="4">
        <v>0</v>
      </c>
      <c r="G1416" s="4">
        <v>0</v>
      </c>
      <c r="H1416" s="4">
        <v>0</v>
      </c>
      <c r="I1416" s="4"/>
      <c r="J1416" s="1" t="s">
        <v>775</v>
      </c>
      <c r="K1416" s="1" t="s">
        <v>2013</v>
      </c>
      <c r="L1416" s="1" t="s">
        <v>788</v>
      </c>
      <c r="M1416" s="1" t="s">
        <v>777</v>
      </c>
      <c r="N1416" s="1" t="s">
        <v>788</v>
      </c>
      <c r="O1416" s="6">
        <v>44159</v>
      </c>
      <c r="P1416" s="6">
        <v>44155</v>
      </c>
      <c r="Q1416" s="6">
        <v>44155</v>
      </c>
      <c r="R1416" s="1" t="s">
        <v>1235</v>
      </c>
      <c r="S1416" s="1" t="s">
        <v>79</v>
      </c>
      <c r="T1416" s="5">
        <v>0</v>
      </c>
      <c r="U1416" s="4">
        <v>21</v>
      </c>
      <c r="V1416" s="5">
        <v>640</v>
      </c>
      <c r="W1416" s="6">
        <v>43997</v>
      </c>
      <c r="X1416" s="6">
        <v>43475</v>
      </c>
      <c r="Y1416" s="6"/>
      <c r="Z1416" s="6"/>
      <c r="AA1416" s="6"/>
      <c r="AB1416" s="6"/>
      <c r="AC1416" s="6"/>
      <c r="AD1416" s="6"/>
    </row>
    <row r="1417" spans="1:30">
      <c r="A1417" s="1" t="s">
        <v>772</v>
      </c>
      <c r="B1417" s="1" t="s">
        <v>773</v>
      </c>
      <c r="C1417" s="1" t="s">
        <v>989</v>
      </c>
      <c r="D1417" s="1" t="s">
        <v>2015</v>
      </c>
      <c r="E1417" s="1" t="str">
        <f t="shared" si="22"/>
        <v>W05</v>
      </c>
      <c r="F1417" s="4">
        <v>0</v>
      </c>
      <c r="G1417" s="4">
        <v>0</v>
      </c>
      <c r="H1417" s="4">
        <v>0</v>
      </c>
      <c r="I1417" s="4"/>
      <c r="J1417" s="1" t="s">
        <v>775</v>
      </c>
      <c r="K1417" s="1" t="s">
        <v>2016</v>
      </c>
      <c r="L1417" s="1" t="s">
        <v>788</v>
      </c>
      <c r="M1417" s="1" t="s">
        <v>777</v>
      </c>
      <c r="N1417" s="1" t="s">
        <v>787</v>
      </c>
      <c r="O1417" s="6">
        <v>44515</v>
      </c>
      <c r="P1417" s="6">
        <v>44515</v>
      </c>
      <c r="Q1417" s="6">
        <v>44515</v>
      </c>
      <c r="R1417" s="1" t="s">
        <v>1807</v>
      </c>
      <c r="S1417" s="1" t="s">
        <v>79</v>
      </c>
      <c r="T1417" s="5">
        <v>0</v>
      </c>
      <c r="U1417" s="4">
        <v>9</v>
      </c>
      <c r="V1417" s="5">
        <v>280</v>
      </c>
      <c r="W1417" s="6">
        <v>43710</v>
      </c>
      <c r="X1417" s="6">
        <v>42572</v>
      </c>
      <c r="Y1417" s="6"/>
      <c r="Z1417" s="6"/>
      <c r="AA1417" s="6"/>
      <c r="AB1417" s="6"/>
      <c r="AC1417" s="6"/>
      <c r="AD1417" s="6"/>
    </row>
    <row r="1418" spans="1:30">
      <c r="A1418" s="1" t="s">
        <v>772</v>
      </c>
      <c r="B1418" s="1" t="s">
        <v>773</v>
      </c>
      <c r="C1418" s="1" t="s">
        <v>989</v>
      </c>
      <c r="D1418" s="1" t="s">
        <v>2017</v>
      </c>
      <c r="E1418" s="1" t="str">
        <f t="shared" si="22"/>
        <v>W05</v>
      </c>
      <c r="F1418" s="4">
        <v>0</v>
      </c>
      <c r="G1418" s="4">
        <v>0</v>
      </c>
      <c r="H1418" s="4">
        <v>0</v>
      </c>
      <c r="I1418" s="4"/>
      <c r="J1418" s="1" t="s">
        <v>775</v>
      </c>
      <c r="K1418" s="1" t="s">
        <v>2018</v>
      </c>
      <c r="L1418" s="1" t="s">
        <v>788</v>
      </c>
      <c r="M1418" s="1" t="s">
        <v>777</v>
      </c>
      <c r="N1418" s="1" t="s">
        <v>787</v>
      </c>
      <c r="O1418" s="6">
        <v>44505</v>
      </c>
      <c r="P1418" s="6">
        <v>44488</v>
      </c>
      <c r="Q1418" s="6">
        <v>44488</v>
      </c>
      <c r="R1418" s="1" t="s">
        <v>1235</v>
      </c>
      <c r="S1418" s="1" t="s">
        <v>79</v>
      </c>
      <c r="T1418" s="5">
        <v>0</v>
      </c>
      <c r="U1418" s="4">
        <v>10</v>
      </c>
      <c r="V1418" s="5">
        <v>307</v>
      </c>
      <c r="W1418" s="6">
        <v>43565</v>
      </c>
      <c r="X1418" s="6">
        <v>43596</v>
      </c>
      <c r="Y1418" s="6"/>
      <c r="Z1418" s="6"/>
      <c r="AA1418" s="6"/>
      <c r="AB1418" s="6"/>
      <c r="AC1418" s="6"/>
      <c r="AD1418" s="6"/>
    </row>
    <row r="1419" spans="1:30">
      <c r="A1419" s="1" t="s">
        <v>772</v>
      </c>
      <c r="B1419" s="1" t="s">
        <v>773</v>
      </c>
      <c r="C1419" s="1" t="s">
        <v>989</v>
      </c>
      <c r="D1419" s="1" t="s">
        <v>2019</v>
      </c>
      <c r="E1419" s="1" t="str">
        <f t="shared" si="22"/>
        <v>W05</v>
      </c>
      <c r="F1419" s="4">
        <v>0</v>
      </c>
      <c r="G1419" s="4">
        <v>0</v>
      </c>
      <c r="H1419" s="4">
        <v>0</v>
      </c>
      <c r="I1419" s="4"/>
      <c r="J1419" s="1" t="s">
        <v>775</v>
      </c>
      <c r="K1419" s="1" t="s">
        <v>2020</v>
      </c>
      <c r="L1419" s="1" t="s">
        <v>788</v>
      </c>
      <c r="M1419" s="1" t="s">
        <v>777</v>
      </c>
      <c r="N1419" s="1" t="s">
        <v>777</v>
      </c>
      <c r="O1419" s="6">
        <v>44341</v>
      </c>
      <c r="P1419" s="6">
        <v>44317</v>
      </c>
      <c r="Q1419" s="6">
        <v>44317</v>
      </c>
      <c r="R1419" s="1" t="s">
        <v>1235</v>
      </c>
      <c r="S1419" s="1" t="s">
        <v>79</v>
      </c>
      <c r="T1419" s="5">
        <v>0</v>
      </c>
      <c r="U1419" s="4">
        <v>15</v>
      </c>
      <c r="V1419" s="5">
        <v>478</v>
      </c>
      <c r="W1419" s="6">
        <v>43100</v>
      </c>
      <c r="X1419" s="6">
        <v>43100</v>
      </c>
      <c r="Y1419" s="6"/>
      <c r="Z1419" s="6"/>
      <c r="AA1419" s="6"/>
      <c r="AB1419" s="6"/>
      <c r="AC1419" s="6"/>
      <c r="AD1419" s="6"/>
    </row>
    <row r="1420" spans="1:30">
      <c r="A1420" s="1" t="s">
        <v>772</v>
      </c>
      <c r="B1420" s="1" t="s">
        <v>773</v>
      </c>
      <c r="C1420" s="1" t="s">
        <v>858</v>
      </c>
      <c r="D1420" s="1" t="s">
        <v>2021</v>
      </c>
      <c r="E1420" s="1" t="str">
        <f t="shared" si="22"/>
        <v>W04</v>
      </c>
      <c r="F1420" s="4">
        <v>0</v>
      </c>
      <c r="G1420" s="5">
        <v>0</v>
      </c>
      <c r="H1420" s="5">
        <v>0</v>
      </c>
      <c r="I1420" s="5"/>
      <c r="J1420" s="1" t="s">
        <v>775</v>
      </c>
      <c r="K1420" s="1" t="s">
        <v>1231</v>
      </c>
      <c r="L1420" s="1" t="s">
        <v>809</v>
      </c>
      <c r="M1420" s="1" t="s">
        <v>788</v>
      </c>
      <c r="N1420" s="1" t="s">
        <v>787</v>
      </c>
      <c r="O1420" s="6">
        <v>44494</v>
      </c>
      <c r="P1420" s="6">
        <v>44438</v>
      </c>
      <c r="Q1420" s="6">
        <v>43902</v>
      </c>
      <c r="R1420" s="1" t="s">
        <v>779</v>
      </c>
      <c r="S1420" s="1" t="s">
        <v>79</v>
      </c>
      <c r="T1420" s="5">
        <v>402</v>
      </c>
      <c r="U1420" s="4">
        <v>11</v>
      </c>
      <c r="V1420" s="5">
        <v>357</v>
      </c>
      <c r="W1420" s="6">
        <v>43963</v>
      </c>
      <c r="X1420" s="6">
        <v>43997</v>
      </c>
      <c r="Y1420" s="6"/>
      <c r="Z1420" s="6"/>
      <c r="AA1420" s="6">
        <v>44714</v>
      </c>
      <c r="AB1420" s="6"/>
      <c r="AC1420" s="6"/>
      <c r="AD1420" s="6"/>
    </row>
    <row r="1421" spans="1:30">
      <c r="A1421" s="1" t="s">
        <v>772</v>
      </c>
      <c r="B1421" s="1" t="s">
        <v>773</v>
      </c>
      <c r="C1421" s="1" t="s">
        <v>858</v>
      </c>
      <c r="D1421" s="1" t="s">
        <v>2022</v>
      </c>
      <c r="E1421" s="1" t="str">
        <f t="shared" si="22"/>
        <v>W04</v>
      </c>
      <c r="F1421" s="4">
        <v>0</v>
      </c>
      <c r="G1421" s="4">
        <v>0</v>
      </c>
      <c r="H1421" s="4">
        <v>0</v>
      </c>
      <c r="I1421" s="4"/>
      <c r="J1421" s="1" t="s">
        <v>775</v>
      </c>
      <c r="K1421" s="1" t="s">
        <v>1247</v>
      </c>
      <c r="L1421" s="1" t="s">
        <v>809</v>
      </c>
      <c r="M1421" s="1" t="s">
        <v>777</v>
      </c>
      <c r="N1421" s="1" t="s">
        <v>777</v>
      </c>
      <c r="O1421" s="6">
        <v>44714</v>
      </c>
      <c r="P1421" s="6">
        <v>44703</v>
      </c>
      <c r="Q1421" s="6"/>
      <c r="R1421" s="1" t="s">
        <v>779</v>
      </c>
      <c r="S1421" s="1" t="s">
        <v>79</v>
      </c>
      <c r="T1421" s="5">
        <v>120</v>
      </c>
      <c r="U1421" s="4">
        <v>3</v>
      </c>
      <c r="V1421" s="5">
        <v>92</v>
      </c>
      <c r="W1421" s="6">
        <v>43678</v>
      </c>
      <c r="X1421" s="6">
        <v>43637</v>
      </c>
      <c r="Y1421" s="6"/>
      <c r="Z1421" s="6"/>
      <c r="AA1421" s="6"/>
      <c r="AB1421" s="6"/>
      <c r="AC1421" s="6"/>
      <c r="AD1421" s="6"/>
    </row>
    <row r="1422" spans="1:30">
      <c r="A1422" s="1" t="s">
        <v>772</v>
      </c>
      <c r="B1422" s="1" t="s">
        <v>773</v>
      </c>
      <c r="C1422" s="1" t="s">
        <v>774</v>
      </c>
      <c r="D1422" s="1" t="s">
        <v>2023</v>
      </c>
      <c r="E1422" s="1" t="str">
        <f t="shared" si="22"/>
        <v>W01</v>
      </c>
      <c r="F1422" s="4">
        <v>0</v>
      </c>
      <c r="G1422" s="4">
        <v>0</v>
      </c>
      <c r="H1422" s="4">
        <v>0</v>
      </c>
      <c r="I1422" s="4"/>
      <c r="J1422" s="1" t="s">
        <v>775</v>
      </c>
      <c r="K1422" s="1" t="s">
        <v>2024</v>
      </c>
      <c r="L1422" s="1" t="s">
        <v>79</v>
      </c>
      <c r="M1422" s="1" t="s">
        <v>829</v>
      </c>
      <c r="N1422" s="1" t="s">
        <v>79</v>
      </c>
      <c r="O1422" s="6">
        <v>44488</v>
      </c>
      <c r="P1422" s="6">
        <v>44454</v>
      </c>
      <c r="Q1422" s="6"/>
      <c r="R1422" s="1" t="s">
        <v>830</v>
      </c>
      <c r="S1422" s="1" t="s">
        <v>79</v>
      </c>
      <c r="T1422" s="5">
        <v>60</v>
      </c>
      <c r="U1422" s="4">
        <v>11</v>
      </c>
      <c r="V1422" s="5">
        <v>341</v>
      </c>
      <c r="W1422" s="6"/>
      <c r="X1422" s="6"/>
      <c r="Y1422" s="6"/>
      <c r="Z1422" s="6"/>
      <c r="AA1422" s="6"/>
      <c r="AB1422" s="6"/>
      <c r="AC1422" s="6"/>
      <c r="AD1422" s="6"/>
    </row>
    <row r="1423" spans="1:30">
      <c r="A1423" s="1" t="s">
        <v>772</v>
      </c>
      <c r="B1423" s="1" t="s">
        <v>773</v>
      </c>
      <c r="C1423" s="1" t="s">
        <v>774</v>
      </c>
      <c r="D1423" s="1" t="s">
        <v>2025</v>
      </c>
      <c r="E1423" s="1" t="str">
        <f t="shared" si="22"/>
        <v>W01</v>
      </c>
      <c r="F1423" s="4">
        <v>0</v>
      </c>
      <c r="G1423" s="4">
        <v>0</v>
      </c>
      <c r="H1423" s="4">
        <v>0</v>
      </c>
      <c r="I1423" s="4"/>
      <c r="J1423" s="1" t="s">
        <v>775</v>
      </c>
      <c r="K1423" s="1" t="s">
        <v>805</v>
      </c>
      <c r="L1423" s="1" t="s">
        <v>777</v>
      </c>
      <c r="M1423" s="1" t="s">
        <v>778</v>
      </c>
      <c r="N1423" s="1" t="s">
        <v>788</v>
      </c>
      <c r="O1423" s="6">
        <v>44669</v>
      </c>
      <c r="P1423" s="6">
        <v>44664</v>
      </c>
      <c r="Q1423" s="6">
        <v>44651</v>
      </c>
      <c r="R1423" s="1" t="s">
        <v>779</v>
      </c>
      <c r="S1423" s="1" t="s">
        <v>795</v>
      </c>
      <c r="T1423" s="5">
        <v>577</v>
      </c>
      <c r="U1423" s="4">
        <v>4</v>
      </c>
      <c r="V1423" s="5">
        <v>131</v>
      </c>
      <c r="W1423" s="6">
        <v>43858</v>
      </c>
      <c r="X1423" s="6">
        <v>44234</v>
      </c>
      <c r="Y1423" s="6"/>
      <c r="Z1423" s="6"/>
      <c r="AA1423" s="6"/>
      <c r="AB1423" s="6"/>
      <c r="AC1423" s="6"/>
      <c r="AD1423" s="6"/>
    </row>
    <row r="1424" spans="1:30">
      <c r="A1424" s="1" t="s">
        <v>772</v>
      </c>
      <c r="B1424" s="1" t="s">
        <v>773</v>
      </c>
      <c r="C1424" s="1" t="s">
        <v>989</v>
      </c>
      <c r="D1424" s="1" t="s">
        <v>2026</v>
      </c>
      <c r="E1424" s="1" t="str">
        <f t="shared" si="22"/>
        <v>W05</v>
      </c>
      <c r="F1424" s="4">
        <v>0</v>
      </c>
      <c r="G1424" s="4">
        <v>0</v>
      </c>
      <c r="H1424" s="4">
        <v>0</v>
      </c>
      <c r="I1424" s="4"/>
      <c r="J1424" s="1" t="s">
        <v>775</v>
      </c>
      <c r="K1424" s="1" t="s">
        <v>899</v>
      </c>
      <c r="L1424" s="1" t="s">
        <v>777</v>
      </c>
      <c r="M1424" s="1" t="s">
        <v>778</v>
      </c>
      <c r="N1424" s="1" t="s">
        <v>79</v>
      </c>
      <c r="O1424" s="6">
        <v>44380</v>
      </c>
      <c r="P1424" s="6">
        <v>44373</v>
      </c>
      <c r="Q1424" s="6">
        <v>44307</v>
      </c>
      <c r="R1424" s="1" t="s">
        <v>779</v>
      </c>
      <c r="S1424" s="1" t="s">
        <v>882</v>
      </c>
      <c r="T1424" s="5">
        <v>517</v>
      </c>
      <c r="U1424" s="4">
        <v>13</v>
      </c>
      <c r="V1424" s="5">
        <v>422</v>
      </c>
      <c r="W1424" s="6"/>
      <c r="X1424" s="6"/>
      <c r="Y1424" s="6"/>
      <c r="Z1424" s="6"/>
      <c r="AA1424" s="6">
        <v>44712</v>
      </c>
      <c r="AB1424" s="6"/>
      <c r="AC1424" s="6"/>
      <c r="AD1424" s="6"/>
    </row>
    <row r="1425" spans="1:30">
      <c r="A1425" s="1" t="s">
        <v>772</v>
      </c>
      <c r="B1425" s="1" t="s">
        <v>773</v>
      </c>
      <c r="C1425" s="1" t="s">
        <v>848</v>
      </c>
      <c r="D1425" s="1" t="s">
        <v>2027</v>
      </c>
      <c r="E1425" s="1" t="str">
        <f t="shared" si="22"/>
        <v>W02</v>
      </c>
      <c r="F1425" s="4">
        <v>0.08</v>
      </c>
      <c r="G1425" s="4">
        <v>0.08</v>
      </c>
      <c r="H1425" s="4">
        <v>0.08</v>
      </c>
      <c r="I1425" s="4"/>
      <c r="J1425" s="1" t="s">
        <v>775</v>
      </c>
      <c r="K1425" s="1" t="s">
        <v>2028</v>
      </c>
      <c r="L1425" s="1" t="s">
        <v>788</v>
      </c>
      <c r="M1425" s="1" t="s">
        <v>777</v>
      </c>
      <c r="N1425" s="1" t="s">
        <v>777</v>
      </c>
      <c r="O1425" s="6">
        <v>44373</v>
      </c>
      <c r="P1425" s="6">
        <v>44447</v>
      </c>
      <c r="Q1425" s="6">
        <v>44447</v>
      </c>
      <c r="R1425" s="1" t="s">
        <v>1807</v>
      </c>
      <c r="S1425" s="1" t="s">
        <v>79</v>
      </c>
      <c r="T1425" s="5">
        <v>0</v>
      </c>
      <c r="U1425" s="4">
        <v>11</v>
      </c>
      <c r="V1425" s="5">
        <v>348</v>
      </c>
      <c r="W1425" s="6">
        <v>43830</v>
      </c>
      <c r="X1425" s="6">
        <v>43577</v>
      </c>
      <c r="Y1425" s="6"/>
      <c r="Z1425" s="6"/>
      <c r="AA1425" s="6"/>
      <c r="AB1425" s="6"/>
      <c r="AC1425" s="6"/>
      <c r="AD1425" s="6"/>
    </row>
    <row r="1426" spans="1:30">
      <c r="A1426" s="1" t="s">
        <v>772</v>
      </c>
      <c r="B1426" s="1" t="s">
        <v>773</v>
      </c>
      <c r="C1426" s="1" t="s">
        <v>989</v>
      </c>
      <c r="D1426" s="1" t="s">
        <v>2029</v>
      </c>
      <c r="E1426" s="1" t="str">
        <f t="shared" si="22"/>
        <v>W05</v>
      </c>
      <c r="F1426" s="4">
        <v>0</v>
      </c>
      <c r="G1426" s="4">
        <v>0</v>
      </c>
      <c r="H1426" s="4">
        <v>0</v>
      </c>
      <c r="I1426" s="4"/>
      <c r="J1426" s="1" t="s">
        <v>775</v>
      </c>
      <c r="K1426" s="1" t="s">
        <v>1197</v>
      </c>
      <c r="L1426" s="1" t="s">
        <v>79</v>
      </c>
      <c r="M1426" s="1" t="s">
        <v>79</v>
      </c>
      <c r="N1426" s="1" t="s">
        <v>79</v>
      </c>
      <c r="O1426" s="6">
        <v>44260</v>
      </c>
      <c r="P1426" s="6">
        <v>44256</v>
      </c>
      <c r="Q1426" s="6">
        <v>44256</v>
      </c>
      <c r="R1426" s="1" t="s">
        <v>1076</v>
      </c>
      <c r="S1426" s="1" t="s">
        <v>79</v>
      </c>
      <c r="T1426" s="5">
        <v>1154</v>
      </c>
      <c r="U1426" s="4">
        <v>17</v>
      </c>
      <c r="V1426" s="5">
        <v>539</v>
      </c>
      <c r="W1426" s="6"/>
      <c r="X1426" s="6"/>
      <c r="Y1426" s="6"/>
      <c r="Z1426" s="6"/>
      <c r="AA1426" s="6"/>
      <c r="AB1426" s="6"/>
      <c r="AC1426" s="6"/>
      <c r="AD1426" s="6">
        <v>44384</v>
      </c>
    </row>
    <row r="1427" spans="1:30">
      <c r="A1427" s="1" t="s">
        <v>772</v>
      </c>
      <c r="B1427" s="1" t="s">
        <v>773</v>
      </c>
      <c r="C1427" s="1" t="s">
        <v>989</v>
      </c>
      <c r="D1427" s="1" t="s">
        <v>2030</v>
      </c>
      <c r="E1427" s="1" t="str">
        <f t="shared" si="22"/>
        <v>W05</v>
      </c>
      <c r="F1427" s="4">
        <v>0</v>
      </c>
      <c r="G1427" s="4">
        <v>0</v>
      </c>
      <c r="H1427" s="4">
        <v>0</v>
      </c>
      <c r="I1427" s="4"/>
      <c r="J1427" s="1" t="s">
        <v>775</v>
      </c>
      <c r="K1427" s="1" t="s">
        <v>962</v>
      </c>
      <c r="L1427" s="1" t="s">
        <v>778</v>
      </c>
      <c r="M1427" s="1" t="s">
        <v>777</v>
      </c>
      <c r="N1427" s="1" t="s">
        <v>79</v>
      </c>
      <c r="O1427" s="6">
        <v>44744</v>
      </c>
      <c r="P1427" s="6">
        <v>44727</v>
      </c>
      <c r="Q1427" s="6"/>
      <c r="R1427" s="1" t="s">
        <v>779</v>
      </c>
      <c r="S1427" s="1" t="s">
        <v>79</v>
      </c>
      <c r="T1427" s="5">
        <v>120</v>
      </c>
      <c r="U1427" s="4">
        <v>2</v>
      </c>
      <c r="V1427" s="5">
        <v>68</v>
      </c>
      <c r="W1427" s="6">
        <v>43720</v>
      </c>
      <c r="X1427" s="6"/>
      <c r="Y1427" s="6"/>
      <c r="Z1427" s="6"/>
      <c r="AA1427" s="6"/>
      <c r="AB1427" s="6"/>
      <c r="AC1427" s="6"/>
      <c r="AD1427" s="6"/>
    </row>
    <row r="1428" spans="1:30">
      <c r="A1428" s="1" t="s">
        <v>772</v>
      </c>
      <c r="B1428" s="1" t="s">
        <v>773</v>
      </c>
      <c r="C1428" s="1" t="s">
        <v>989</v>
      </c>
      <c r="D1428" s="1" t="s">
        <v>2031</v>
      </c>
      <c r="E1428" s="1" t="str">
        <f t="shared" si="22"/>
        <v>W05</v>
      </c>
      <c r="F1428" s="4">
        <v>0</v>
      </c>
      <c r="G1428" s="4">
        <v>0</v>
      </c>
      <c r="H1428" s="4">
        <v>0</v>
      </c>
      <c r="I1428" s="4"/>
      <c r="J1428" s="1" t="s">
        <v>775</v>
      </c>
      <c r="K1428" s="1" t="s">
        <v>839</v>
      </c>
      <c r="L1428" s="1" t="s">
        <v>777</v>
      </c>
      <c r="M1428" s="1" t="s">
        <v>778</v>
      </c>
      <c r="N1428" s="1" t="s">
        <v>787</v>
      </c>
      <c r="O1428" s="6">
        <v>44775</v>
      </c>
      <c r="P1428" s="6">
        <v>44772</v>
      </c>
      <c r="Q1428" s="6">
        <v>44721</v>
      </c>
      <c r="R1428" s="1" t="s">
        <v>779</v>
      </c>
      <c r="S1428" s="1" t="s">
        <v>795</v>
      </c>
      <c r="T1428" s="5">
        <v>577</v>
      </c>
      <c r="U1428" s="4">
        <v>0</v>
      </c>
      <c r="V1428" s="5">
        <v>23</v>
      </c>
      <c r="W1428" s="6">
        <v>43710</v>
      </c>
      <c r="X1428" s="6">
        <v>42572</v>
      </c>
      <c r="Y1428" s="6"/>
      <c r="Z1428" s="6"/>
      <c r="AA1428" s="6"/>
      <c r="AB1428" s="6"/>
      <c r="AC1428" s="6"/>
      <c r="AD1428" s="6"/>
    </row>
    <row r="1429" spans="1:30">
      <c r="A1429" s="1" t="s">
        <v>772</v>
      </c>
      <c r="B1429" s="1" t="s">
        <v>773</v>
      </c>
      <c r="C1429" s="1" t="s">
        <v>989</v>
      </c>
      <c r="D1429" s="1" t="s">
        <v>2032</v>
      </c>
      <c r="E1429" s="1" t="str">
        <f t="shared" si="22"/>
        <v>W05</v>
      </c>
      <c r="F1429" s="4">
        <v>0</v>
      </c>
      <c r="G1429" s="4">
        <v>0</v>
      </c>
      <c r="H1429" s="4">
        <v>0</v>
      </c>
      <c r="I1429" s="4"/>
      <c r="J1429" s="1" t="s">
        <v>775</v>
      </c>
      <c r="K1429" s="1" t="s">
        <v>1939</v>
      </c>
      <c r="L1429" s="1" t="s">
        <v>787</v>
      </c>
      <c r="M1429" s="1" t="s">
        <v>788</v>
      </c>
      <c r="N1429" s="1" t="s">
        <v>777</v>
      </c>
      <c r="O1429" s="6">
        <v>44411</v>
      </c>
      <c r="P1429" s="6">
        <v>44393</v>
      </c>
      <c r="Q1429" s="6">
        <v>43900</v>
      </c>
      <c r="R1429" s="1" t="s">
        <v>779</v>
      </c>
      <c r="S1429" s="1" t="s">
        <v>79</v>
      </c>
      <c r="T1429" s="5">
        <v>402</v>
      </c>
      <c r="U1429" s="4">
        <v>13</v>
      </c>
      <c r="V1429" s="5">
        <v>402</v>
      </c>
      <c r="W1429" s="6">
        <v>43678</v>
      </c>
      <c r="X1429" s="6">
        <v>43637</v>
      </c>
      <c r="Y1429" s="6"/>
      <c r="Z1429" s="6"/>
      <c r="AA1429" s="6">
        <v>44650</v>
      </c>
      <c r="AB1429" s="6"/>
      <c r="AC1429" s="6"/>
      <c r="AD1429" s="6"/>
    </row>
    <row r="1430" spans="1:30">
      <c r="A1430" s="1" t="s">
        <v>772</v>
      </c>
      <c r="B1430" s="1" t="s">
        <v>773</v>
      </c>
      <c r="C1430" s="1" t="s">
        <v>989</v>
      </c>
      <c r="D1430" s="1" t="s">
        <v>2033</v>
      </c>
      <c r="E1430" s="1" t="str">
        <f t="shared" si="22"/>
        <v>W05</v>
      </c>
      <c r="F1430" s="4">
        <v>0</v>
      </c>
      <c r="G1430" s="4">
        <v>0</v>
      </c>
      <c r="H1430" s="4">
        <v>0</v>
      </c>
      <c r="I1430" s="4"/>
      <c r="J1430" s="1" t="s">
        <v>775</v>
      </c>
      <c r="K1430" s="1" t="s">
        <v>824</v>
      </c>
      <c r="L1430" s="1" t="s">
        <v>777</v>
      </c>
      <c r="M1430" s="1" t="s">
        <v>778</v>
      </c>
      <c r="N1430" s="1" t="s">
        <v>79</v>
      </c>
      <c r="O1430" s="6">
        <v>44635</v>
      </c>
      <c r="P1430" s="6">
        <v>44618</v>
      </c>
      <c r="Q1430" s="6">
        <v>44596</v>
      </c>
      <c r="R1430" s="1" t="s">
        <v>779</v>
      </c>
      <c r="S1430" s="1" t="s">
        <v>795</v>
      </c>
      <c r="T1430" s="5">
        <v>577</v>
      </c>
      <c r="U1430" s="4">
        <v>5</v>
      </c>
      <c r="V1430" s="5">
        <v>177</v>
      </c>
      <c r="W1430" s="6"/>
      <c r="X1430" s="6"/>
      <c r="Y1430" s="6"/>
      <c r="Z1430" s="6"/>
      <c r="AA1430" s="6"/>
      <c r="AB1430" s="6"/>
      <c r="AC1430" s="6"/>
      <c r="AD1430" s="6"/>
    </row>
    <row r="1431" spans="1:30">
      <c r="A1431" s="1" t="s">
        <v>772</v>
      </c>
      <c r="B1431" s="1" t="s">
        <v>773</v>
      </c>
      <c r="C1431" s="1" t="s">
        <v>989</v>
      </c>
      <c r="D1431" s="1" t="s">
        <v>2034</v>
      </c>
      <c r="E1431" s="1" t="str">
        <f t="shared" si="22"/>
        <v>W05</v>
      </c>
      <c r="F1431" s="4">
        <v>0</v>
      </c>
      <c r="G1431" s="4">
        <v>0</v>
      </c>
      <c r="H1431" s="4">
        <v>0</v>
      </c>
      <c r="I1431" s="4"/>
      <c r="J1431" s="1" t="s">
        <v>775</v>
      </c>
      <c r="K1431" s="1" t="s">
        <v>859</v>
      </c>
      <c r="L1431" s="1" t="s">
        <v>777</v>
      </c>
      <c r="M1431" s="1" t="s">
        <v>778</v>
      </c>
      <c r="N1431" s="1" t="s">
        <v>79</v>
      </c>
      <c r="O1431" s="6">
        <v>44746</v>
      </c>
      <c r="P1431" s="6">
        <v>44743</v>
      </c>
      <c r="Q1431" s="6">
        <v>44705</v>
      </c>
      <c r="R1431" s="1" t="s">
        <v>779</v>
      </c>
      <c r="S1431" s="1" t="s">
        <v>792</v>
      </c>
      <c r="T1431" s="5">
        <v>577</v>
      </c>
      <c r="U1431" s="4">
        <v>1</v>
      </c>
      <c r="V1431" s="5">
        <v>52</v>
      </c>
      <c r="W1431" s="6"/>
      <c r="X1431" s="6"/>
      <c r="Y1431" s="6"/>
      <c r="Z1431" s="6"/>
      <c r="AA1431" s="6"/>
      <c r="AB1431" s="6"/>
      <c r="AC1431" s="6"/>
      <c r="AD1431" s="6"/>
    </row>
    <row r="1432" spans="1:30">
      <c r="A1432" s="1" t="s">
        <v>772</v>
      </c>
      <c r="B1432" s="1" t="s">
        <v>773</v>
      </c>
      <c r="C1432" s="1" t="s">
        <v>989</v>
      </c>
      <c r="D1432" s="1" t="s">
        <v>377</v>
      </c>
      <c r="E1432" s="1" t="str">
        <f t="shared" si="22"/>
        <v>W05</v>
      </c>
      <c r="F1432" s="4">
        <v>1.1399999999999999</v>
      </c>
      <c r="G1432" s="4">
        <v>0.89</v>
      </c>
      <c r="H1432" s="4">
        <v>0.89</v>
      </c>
      <c r="I1432" s="4"/>
      <c r="J1432" s="1" t="s">
        <v>775</v>
      </c>
      <c r="K1432" s="1" t="s">
        <v>833</v>
      </c>
      <c r="L1432" s="1" t="s">
        <v>777</v>
      </c>
      <c r="M1432" s="1" t="s">
        <v>778</v>
      </c>
      <c r="N1432" s="1" t="s">
        <v>787</v>
      </c>
      <c r="O1432" s="6">
        <v>44418</v>
      </c>
      <c r="P1432" s="6">
        <v>44409</v>
      </c>
      <c r="Q1432" s="6">
        <v>44399</v>
      </c>
      <c r="R1432" s="1" t="s">
        <v>779</v>
      </c>
      <c r="S1432" s="1" t="s">
        <v>795</v>
      </c>
      <c r="T1432" s="5">
        <v>577</v>
      </c>
      <c r="U1432" s="4">
        <v>12</v>
      </c>
      <c r="V1432" s="5">
        <v>386</v>
      </c>
      <c r="W1432" s="6">
        <v>43293</v>
      </c>
      <c r="X1432" s="6">
        <v>43079</v>
      </c>
      <c r="Y1432" s="6"/>
      <c r="Z1432" s="6"/>
      <c r="AA1432" s="6"/>
      <c r="AB1432" s="6"/>
      <c r="AC1432" s="6"/>
      <c r="AD1432" s="6"/>
    </row>
    <row r="1433" spans="1:30">
      <c r="A1433" s="1" t="s">
        <v>772</v>
      </c>
      <c r="B1433" s="1" t="s">
        <v>773</v>
      </c>
      <c r="C1433" s="1" t="s">
        <v>989</v>
      </c>
      <c r="D1433" s="1" t="s">
        <v>2035</v>
      </c>
      <c r="E1433" s="1" t="str">
        <f t="shared" si="22"/>
        <v>W05</v>
      </c>
      <c r="F1433" s="4">
        <v>0</v>
      </c>
      <c r="G1433" s="4">
        <v>0</v>
      </c>
      <c r="H1433" s="4">
        <v>0</v>
      </c>
      <c r="I1433" s="4"/>
      <c r="J1433" s="1" t="s">
        <v>775</v>
      </c>
      <c r="K1433" s="1" t="s">
        <v>987</v>
      </c>
      <c r="L1433" s="1" t="s">
        <v>778</v>
      </c>
      <c r="M1433" s="1" t="s">
        <v>777</v>
      </c>
      <c r="N1433" s="1" t="s">
        <v>777</v>
      </c>
      <c r="O1433" s="6">
        <v>44789</v>
      </c>
      <c r="P1433" s="6">
        <v>44786</v>
      </c>
      <c r="Q1433" s="6"/>
      <c r="R1433" s="1" t="s">
        <v>779</v>
      </c>
      <c r="S1433" s="1" t="s">
        <v>79</v>
      </c>
      <c r="T1433" s="5">
        <v>120</v>
      </c>
      <c r="U1433" s="4">
        <v>0</v>
      </c>
      <c r="V1433" s="5">
        <v>9</v>
      </c>
      <c r="W1433" s="6">
        <v>43678</v>
      </c>
      <c r="X1433" s="6">
        <v>43637</v>
      </c>
      <c r="Y1433" s="6"/>
      <c r="Z1433" s="6"/>
      <c r="AA1433" s="6"/>
      <c r="AB1433" s="6"/>
      <c r="AC1433" s="6"/>
      <c r="AD1433" s="6">
        <v>44775</v>
      </c>
    </row>
    <row r="1434" spans="1:30">
      <c r="A1434" s="1" t="s">
        <v>772</v>
      </c>
      <c r="B1434" s="1" t="s">
        <v>773</v>
      </c>
      <c r="C1434" s="1" t="s">
        <v>989</v>
      </c>
      <c r="D1434" s="1" t="s">
        <v>2036</v>
      </c>
      <c r="E1434" s="1" t="str">
        <f t="shared" si="22"/>
        <v>W05</v>
      </c>
      <c r="F1434" s="4">
        <v>0</v>
      </c>
      <c r="G1434" s="4">
        <v>0</v>
      </c>
      <c r="H1434" s="4">
        <v>0</v>
      </c>
      <c r="I1434" s="4"/>
      <c r="J1434" s="1" t="s">
        <v>775</v>
      </c>
      <c r="K1434" s="1" t="s">
        <v>1247</v>
      </c>
      <c r="L1434" s="1" t="s">
        <v>809</v>
      </c>
      <c r="M1434" s="1" t="s">
        <v>777</v>
      </c>
      <c r="N1434" s="1" t="s">
        <v>777</v>
      </c>
      <c r="O1434" s="6">
        <v>44714</v>
      </c>
      <c r="P1434" s="6">
        <v>44703</v>
      </c>
      <c r="Q1434" s="6"/>
      <c r="R1434" s="1" t="s">
        <v>779</v>
      </c>
      <c r="S1434" s="1" t="s">
        <v>79</v>
      </c>
      <c r="T1434" s="5">
        <v>120</v>
      </c>
      <c r="U1434" s="4">
        <v>3</v>
      </c>
      <c r="V1434" s="5">
        <v>92</v>
      </c>
      <c r="W1434" s="6">
        <v>43678</v>
      </c>
      <c r="X1434" s="6">
        <v>43637</v>
      </c>
      <c r="Y1434" s="6"/>
      <c r="Z1434" s="6"/>
      <c r="AA1434" s="6"/>
      <c r="AB1434" s="6"/>
      <c r="AC1434" s="6"/>
      <c r="AD1434" s="6"/>
    </row>
    <row r="1435" spans="1:30">
      <c r="A1435" s="1" t="s">
        <v>772</v>
      </c>
      <c r="B1435" s="1" t="s">
        <v>773</v>
      </c>
      <c r="C1435" s="1" t="s">
        <v>989</v>
      </c>
      <c r="D1435" s="1" t="s">
        <v>2037</v>
      </c>
      <c r="E1435" s="1" t="str">
        <f t="shared" si="22"/>
        <v>W05</v>
      </c>
      <c r="F1435" s="4">
        <v>0</v>
      </c>
      <c r="G1435" s="4">
        <v>0</v>
      </c>
      <c r="H1435" s="4">
        <v>0</v>
      </c>
      <c r="I1435" s="4"/>
      <c r="J1435" s="1" t="s">
        <v>775</v>
      </c>
      <c r="K1435" s="1" t="s">
        <v>863</v>
      </c>
      <c r="L1435" s="1" t="s">
        <v>778</v>
      </c>
      <c r="M1435" s="1" t="s">
        <v>788</v>
      </c>
      <c r="N1435" s="1" t="s">
        <v>79</v>
      </c>
      <c r="O1435" s="6">
        <v>44729</v>
      </c>
      <c r="P1435" s="6">
        <v>44651</v>
      </c>
      <c r="Q1435" s="6">
        <v>44080</v>
      </c>
      <c r="R1435" s="1" t="s">
        <v>779</v>
      </c>
      <c r="S1435" s="1" t="s">
        <v>79</v>
      </c>
      <c r="T1435" s="5">
        <v>300</v>
      </c>
      <c r="U1435" s="4">
        <v>4</v>
      </c>
      <c r="V1435" s="5">
        <v>144</v>
      </c>
      <c r="W1435" s="6">
        <v>44523</v>
      </c>
      <c r="X1435" s="6"/>
      <c r="Y1435" s="6"/>
      <c r="Z1435" s="6"/>
      <c r="AA1435" s="6"/>
      <c r="AB1435" s="6"/>
      <c r="AC1435" s="6"/>
      <c r="AD1435" s="6">
        <v>44735</v>
      </c>
    </row>
    <row r="1436" spans="1:30">
      <c r="A1436" s="1" t="s">
        <v>772</v>
      </c>
      <c r="B1436" s="1" t="s">
        <v>773</v>
      </c>
      <c r="C1436" s="1" t="s">
        <v>989</v>
      </c>
      <c r="D1436" s="1" t="s">
        <v>2038</v>
      </c>
      <c r="E1436" s="1" t="str">
        <f t="shared" si="22"/>
        <v>W05</v>
      </c>
      <c r="F1436" s="5">
        <v>0</v>
      </c>
      <c r="G1436" s="4">
        <v>0</v>
      </c>
      <c r="H1436" s="4">
        <v>0</v>
      </c>
      <c r="I1436" s="4"/>
      <c r="J1436" s="1" t="s">
        <v>775</v>
      </c>
      <c r="K1436" s="1" t="s">
        <v>1247</v>
      </c>
      <c r="L1436" s="1" t="s">
        <v>778</v>
      </c>
      <c r="M1436" s="1" t="s">
        <v>777</v>
      </c>
      <c r="N1436" s="1" t="s">
        <v>777</v>
      </c>
      <c r="O1436" s="6">
        <v>44714</v>
      </c>
      <c r="P1436" s="6">
        <v>44709</v>
      </c>
      <c r="Q1436" s="6"/>
      <c r="R1436" s="1" t="s">
        <v>779</v>
      </c>
      <c r="S1436" s="1" t="s">
        <v>79</v>
      </c>
      <c r="T1436" s="5">
        <v>120</v>
      </c>
      <c r="U1436" s="4">
        <v>2</v>
      </c>
      <c r="V1436" s="5">
        <v>86</v>
      </c>
      <c r="W1436" s="6">
        <v>43678</v>
      </c>
      <c r="X1436" s="6">
        <v>43637</v>
      </c>
      <c r="Y1436" s="6"/>
      <c r="Z1436" s="6"/>
      <c r="AA1436" s="6"/>
      <c r="AB1436" s="6"/>
      <c r="AC1436" s="6"/>
      <c r="AD1436" s="6"/>
    </row>
    <row r="1437" spans="1:30">
      <c r="A1437" s="1" t="s">
        <v>772</v>
      </c>
      <c r="B1437" s="1" t="s">
        <v>773</v>
      </c>
      <c r="C1437" s="1" t="s">
        <v>989</v>
      </c>
      <c r="D1437" s="1" t="s">
        <v>2039</v>
      </c>
      <c r="E1437" s="1" t="str">
        <f t="shared" si="22"/>
        <v>W05</v>
      </c>
      <c r="F1437" s="4">
        <v>0</v>
      </c>
      <c r="G1437" s="4">
        <v>0</v>
      </c>
      <c r="H1437" s="4">
        <v>0</v>
      </c>
      <c r="I1437" s="4"/>
      <c r="J1437" s="1" t="s">
        <v>775</v>
      </c>
      <c r="K1437" s="1" t="s">
        <v>1197</v>
      </c>
      <c r="L1437" s="1" t="s">
        <v>79</v>
      </c>
      <c r="M1437" s="1" t="s">
        <v>79</v>
      </c>
      <c r="N1437" s="1" t="s">
        <v>79</v>
      </c>
      <c r="O1437" s="6">
        <v>44260</v>
      </c>
      <c r="P1437" s="6">
        <v>44256</v>
      </c>
      <c r="Q1437" s="6">
        <v>44256</v>
      </c>
      <c r="R1437" s="1" t="s">
        <v>1076</v>
      </c>
      <c r="S1437" s="1" t="s">
        <v>79</v>
      </c>
      <c r="T1437" s="5">
        <v>1154</v>
      </c>
      <c r="U1437" s="4">
        <v>17</v>
      </c>
      <c r="V1437" s="5">
        <v>539</v>
      </c>
      <c r="W1437" s="6"/>
      <c r="X1437" s="6"/>
      <c r="Y1437" s="6"/>
      <c r="Z1437" s="6"/>
      <c r="AA1437" s="6"/>
      <c r="AB1437" s="6"/>
      <c r="AC1437" s="6"/>
      <c r="AD1437" s="6">
        <v>44359</v>
      </c>
    </row>
    <row r="1438" spans="1:30">
      <c r="A1438" s="1" t="s">
        <v>772</v>
      </c>
      <c r="B1438" s="1" t="s">
        <v>773</v>
      </c>
      <c r="C1438" s="1" t="s">
        <v>989</v>
      </c>
      <c r="D1438" s="1" t="s">
        <v>2040</v>
      </c>
      <c r="E1438" s="1" t="str">
        <f t="shared" si="22"/>
        <v>W05</v>
      </c>
      <c r="F1438" s="4">
        <v>0</v>
      </c>
      <c r="G1438" s="4">
        <v>0</v>
      </c>
      <c r="H1438" s="4">
        <v>0</v>
      </c>
      <c r="I1438" s="4"/>
      <c r="J1438" s="1" t="s">
        <v>775</v>
      </c>
      <c r="K1438" s="1" t="s">
        <v>1238</v>
      </c>
      <c r="L1438" s="1" t="s">
        <v>829</v>
      </c>
      <c r="M1438" s="1" t="s">
        <v>913</v>
      </c>
      <c r="N1438" s="1" t="s">
        <v>787</v>
      </c>
      <c r="O1438" s="6">
        <v>44524</v>
      </c>
      <c r="P1438" s="6">
        <v>44514</v>
      </c>
      <c r="Q1438" s="6">
        <v>44504</v>
      </c>
      <c r="R1438" s="1" t="s">
        <v>830</v>
      </c>
      <c r="S1438" s="1" t="s">
        <v>914</v>
      </c>
      <c r="T1438" s="5">
        <v>330</v>
      </c>
      <c r="U1438" s="4">
        <v>9</v>
      </c>
      <c r="V1438" s="5">
        <v>281</v>
      </c>
      <c r="W1438" s="6">
        <v>43963</v>
      </c>
      <c r="X1438" s="6">
        <v>43997</v>
      </c>
      <c r="Y1438" s="6"/>
      <c r="Z1438" s="6"/>
      <c r="AA1438" s="6"/>
      <c r="AB1438" s="6"/>
      <c r="AC1438" s="6"/>
      <c r="AD1438" s="6"/>
    </row>
    <row r="1439" spans="1:30">
      <c r="A1439" s="1" t="s">
        <v>772</v>
      </c>
      <c r="B1439" s="1" t="s">
        <v>773</v>
      </c>
      <c r="C1439" s="1" t="s">
        <v>989</v>
      </c>
      <c r="D1439" s="1" t="s">
        <v>2041</v>
      </c>
      <c r="E1439" s="1" t="str">
        <f t="shared" si="22"/>
        <v>W05</v>
      </c>
      <c r="F1439" s="4">
        <v>0</v>
      </c>
      <c r="G1439" s="4">
        <v>0</v>
      </c>
      <c r="H1439" s="4">
        <v>0</v>
      </c>
      <c r="I1439" s="4"/>
      <c r="J1439" s="1" t="s">
        <v>775</v>
      </c>
      <c r="K1439" s="1" t="s">
        <v>2042</v>
      </c>
      <c r="L1439" s="1" t="s">
        <v>778</v>
      </c>
      <c r="M1439" s="1" t="s">
        <v>777</v>
      </c>
      <c r="N1439" s="1" t="s">
        <v>777</v>
      </c>
      <c r="O1439" s="6">
        <v>44523</v>
      </c>
      <c r="P1439" s="6">
        <v>44515</v>
      </c>
      <c r="Q1439" s="6"/>
      <c r="R1439" s="1" t="s">
        <v>779</v>
      </c>
      <c r="S1439" s="1" t="s">
        <v>79</v>
      </c>
      <c r="T1439" s="5">
        <v>120</v>
      </c>
      <c r="U1439" s="4">
        <v>9</v>
      </c>
      <c r="V1439" s="5">
        <v>280</v>
      </c>
      <c r="W1439" s="6">
        <v>43483</v>
      </c>
      <c r="X1439" s="6">
        <v>43356</v>
      </c>
      <c r="Y1439" s="6"/>
      <c r="Z1439" s="6"/>
      <c r="AA1439" s="6"/>
      <c r="AB1439" s="6"/>
      <c r="AC1439" s="6"/>
      <c r="AD1439" s="6"/>
    </row>
    <row r="1440" spans="1:30">
      <c r="A1440" s="1" t="s">
        <v>772</v>
      </c>
      <c r="B1440" s="1" t="s">
        <v>773</v>
      </c>
      <c r="C1440" s="1" t="s">
        <v>989</v>
      </c>
      <c r="D1440" s="1" t="s">
        <v>2043</v>
      </c>
      <c r="E1440" s="1" t="str">
        <f t="shared" si="22"/>
        <v>W05</v>
      </c>
      <c r="F1440" s="4">
        <v>0</v>
      </c>
      <c r="G1440" s="4">
        <v>0</v>
      </c>
      <c r="H1440" s="4">
        <v>0</v>
      </c>
      <c r="I1440" s="4"/>
      <c r="J1440" s="1" t="s">
        <v>775</v>
      </c>
      <c r="K1440" s="1" t="s">
        <v>1229</v>
      </c>
      <c r="L1440" s="1" t="s">
        <v>787</v>
      </c>
      <c r="M1440" s="1" t="s">
        <v>788</v>
      </c>
      <c r="N1440" s="1" t="s">
        <v>778</v>
      </c>
      <c r="O1440" s="6">
        <v>44524</v>
      </c>
      <c r="P1440" s="6">
        <v>44511</v>
      </c>
      <c r="Q1440" s="6">
        <v>44020</v>
      </c>
      <c r="R1440" s="1" t="s">
        <v>779</v>
      </c>
      <c r="S1440" s="1" t="s">
        <v>79</v>
      </c>
      <c r="T1440" s="5">
        <v>402</v>
      </c>
      <c r="U1440" s="4">
        <v>9</v>
      </c>
      <c r="V1440" s="5">
        <v>284</v>
      </c>
      <c r="W1440" s="6">
        <v>43357</v>
      </c>
      <c r="X1440" s="6">
        <v>43877</v>
      </c>
      <c r="Y1440" s="6"/>
      <c r="Z1440" s="6"/>
      <c r="AA1440" s="6">
        <v>44743</v>
      </c>
      <c r="AB1440" s="6"/>
      <c r="AC1440" s="6"/>
      <c r="AD1440" s="6"/>
    </row>
    <row r="1441" spans="1:30">
      <c r="A1441" s="1" t="s">
        <v>772</v>
      </c>
      <c r="B1441" s="1" t="s">
        <v>773</v>
      </c>
      <c r="C1441" s="1" t="s">
        <v>989</v>
      </c>
      <c r="D1441" s="1" t="s">
        <v>2044</v>
      </c>
      <c r="E1441" s="1" t="str">
        <f t="shared" si="22"/>
        <v>W05</v>
      </c>
      <c r="F1441" s="4">
        <v>0</v>
      </c>
      <c r="G1441" s="4">
        <v>0</v>
      </c>
      <c r="H1441" s="4">
        <v>0</v>
      </c>
      <c r="I1441" s="4"/>
      <c r="J1441" s="1" t="s">
        <v>775</v>
      </c>
      <c r="K1441" s="1" t="s">
        <v>1247</v>
      </c>
      <c r="L1441" s="1" t="s">
        <v>809</v>
      </c>
      <c r="M1441" s="1" t="s">
        <v>777</v>
      </c>
      <c r="N1441" s="1" t="s">
        <v>777</v>
      </c>
      <c r="O1441" s="6">
        <v>44714</v>
      </c>
      <c r="P1441" s="6">
        <v>44703</v>
      </c>
      <c r="Q1441" s="6"/>
      <c r="R1441" s="1" t="s">
        <v>779</v>
      </c>
      <c r="S1441" s="1" t="s">
        <v>79</v>
      </c>
      <c r="T1441" s="5">
        <v>120</v>
      </c>
      <c r="U1441" s="4">
        <v>3</v>
      </c>
      <c r="V1441" s="5">
        <v>92</v>
      </c>
      <c r="W1441" s="6">
        <v>43678</v>
      </c>
      <c r="X1441" s="6">
        <v>43637</v>
      </c>
      <c r="Y1441" s="6"/>
      <c r="Z1441" s="6"/>
      <c r="AA1441" s="6"/>
      <c r="AB1441" s="6"/>
      <c r="AC1441" s="6"/>
      <c r="AD1441" s="6"/>
    </row>
    <row r="1442" spans="1:30">
      <c r="A1442" s="1" t="s">
        <v>772</v>
      </c>
      <c r="B1442" s="1" t="s">
        <v>773</v>
      </c>
      <c r="C1442" s="1" t="s">
        <v>989</v>
      </c>
      <c r="D1442" s="1" t="s">
        <v>2045</v>
      </c>
      <c r="E1442" s="1" t="str">
        <f t="shared" si="22"/>
        <v>W05</v>
      </c>
      <c r="F1442" s="4">
        <v>0</v>
      </c>
      <c r="G1442" s="4">
        <v>0</v>
      </c>
      <c r="H1442" s="4">
        <v>0</v>
      </c>
      <c r="I1442" s="4"/>
      <c r="J1442" s="1" t="s">
        <v>775</v>
      </c>
      <c r="K1442" s="1" t="s">
        <v>1247</v>
      </c>
      <c r="L1442" s="1" t="s">
        <v>809</v>
      </c>
      <c r="M1442" s="1" t="s">
        <v>777</v>
      </c>
      <c r="N1442" s="1" t="s">
        <v>777</v>
      </c>
      <c r="O1442" s="6">
        <v>44714</v>
      </c>
      <c r="P1442" s="6">
        <v>44703</v>
      </c>
      <c r="Q1442" s="6"/>
      <c r="R1442" s="1" t="s">
        <v>779</v>
      </c>
      <c r="S1442" s="1" t="s">
        <v>79</v>
      </c>
      <c r="T1442" s="5">
        <v>120</v>
      </c>
      <c r="U1442" s="4">
        <v>3</v>
      </c>
      <c r="V1442" s="5">
        <v>92</v>
      </c>
      <c r="W1442" s="6">
        <v>43678</v>
      </c>
      <c r="X1442" s="6">
        <v>43637</v>
      </c>
      <c r="Y1442" s="6"/>
      <c r="Z1442" s="6"/>
      <c r="AA1442" s="6"/>
      <c r="AB1442" s="6"/>
      <c r="AC1442" s="6"/>
      <c r="AD1442" s="6"/>
    </row>
    <row r="1443" spans="1:30">
      <c r="A1443" s="1" t="s">
        <v>772</v>
      </c>
      <c r="B1443" s="1" t="s">
        <v>773</v>
      </c>
      <c r="C1443" s="1" t="s">
        <v>989</v>
      </c>
      <c r="D1443" s="1" t="s">
        <v>2046</v>
      </c>
      <c r="E1443" s="1" t="str">
        <f t="shared" si="22"/>
        <v>W05</v>
      </c>
      <c r="F1443" s="4">
        <v>0</v>
      </c>
      <c r="G1443" s="4">
        <v>0</v>
      </c>
      <c r="H1443" s="4">
        <v>0</v>
      </c>
      <c r="I1443" s="4"/>
      <c r="J1443" s="1" t="s">
        <v>775</v>
      </c>
      <c r="K1443" s="1" t="s">
        <v>2047</v>
      </c>
      <c r="L1443" s="1" t="s">
        <v>777</v>
      </c>
      <c r="M1443" s="1" t="s">
        <v>778</v>
      </c>
      <c r="N1443" s="1" t="s">
        <v>778</v>
      </c>
      <c r="O1443" s="6">
        <v>44250</v>
      </c>
      <c r="P1443" s="6">
        <v>44237</v>
      </c>
      <c r="Q1443" s="6">
        <v>44218</v>
      </c>
      <c r="R1443" s="1" t="s">
        <v>779</v>
      </c>
      <c r="S1443" s="1" t="s">
        <v>1747</v>
      </c>
      <c r="T1443" s="5">
        <v>517</v>
      </c>
      <c r="U1443" s="4">
        <v>18</v>
      </c>
      <c r="V1443" s="5">
        <v>558</v>
      </c>
      <c r="W1443" s="6">
        <v>44351</v>
      </c>
      <c r="X1443" s="6">
        <v>44663</v>
      </c>
      <c r="Y1443" s="6"/>
      <c r="Z1443" s="6"/>
      <c r="AA1443" s="6">
        <v>44652</v>
      </c>
      <c r="AB1443" s="6"/>
      <c r="AC1443" s="6"/>
      <c r="AD1443" s="6"/>
    </row>
    <row r="1444" spans="1:30">
      <c r="A1444" s="1" t="s">
        <v>772</v>
      </c>
      <c r="B1444" s="1" t="s">
        <v>773</v>
      </c>
      <c r="C1444" s="1" t="s">
        <v>989</v>
      </c>
      <c r="D1444" s="1" t="s">
        <v>2048</v>
      </c>
      <c r="E1444" s="1" t="str">
        <f t="shared" si="22"/>
        <v>W05</v>
      </c>
      <c r="F1444" s="4">
        <v>0</v>
      </c>
      <c r="G1444" s="4">
        <v>0</v>
      </c>
      <c r="H1444" s="4">
        <v>0</v>
      </c>
      <c r="I1444" s="4"/>
      <c r="J1444" s="1" t="s">
        <v>775</v>
      </c>
      <c r="K1444" s="1" t="s">
        <v>839</v>
      </c>
      <c r="L1444" s="1" t="s">
        <v>777</v>
      </c>
      <c r="M1444" s="1" t="s">
        <v>778</v>
      </c>
      <c r="N1444" s="1" t="s">
        <v>788</v>
      </c>
      <c r="O1444" s="6">
        <v>44778</v>
      </c>
      <c r="P1444" s="6">
        <v>44773</v>
      </c>
      <c r="Q1444" s="6">
        <v>44760</v>
      </c>
      <c r="R1444" s="1" t="s">
        <v>779</v>
      </c>
      <c r="S1444" s="1" t="s">
        <v>792</v>
      </c>
      <c r="T1444" s="5">
        <v>577</v>
      </c>
      <c r="U1444" s="4">
        <v>0</v>
      </c>
      <c r="V1444" s="5">
        <v>22</v>
      </c>
      <c r="W1444" s="6">
        <v>43178</v>
      </c>
      <c r="X1444" s="6">
        <v>43553</v>
      </c>
      <c r="Y1444" s="6"/>
      <c r="Z1444" s="6"/>
      <c r="AA1444" s="6"/>
      <c r="AB1444" s="6"/>
      <c r="AC1444" s="6"/>
      <c r="AD1444" s="6"/>
    </row>
    <row r="1445" spans="1:30">
      <c r="A1445" s="1" t="s">
        <v>772</v>
      </c>
      <c r="B1445" s="1" t="s">
        <v>773</v>
      </c>
      <c r="C1445" s="1" t="s">
        <v>989</v>
      </c>
      <c r="D1445" s="1" t="s">
        <v>2049</v>
      </c>
      <c r="E1445" s="1" t="str">
        <f t="shared" si="22"/>
        <v>W05</v>
      </c>
      <c r="F1445" s="4">
        <v>0</v>
      </c>
      <c r="G1445" s="4">
        <v>0</v>
      </c>
      <c r="H1445" s="4">
        <v>0</v>
      </c>
      <c r="I1445" s="4"/>
      <c r="J1445" s="1" t="s">
        <v>775</v>
      </c>
      <c r="K1445" s="1" t="s">
        <v>1195</v>
      </c>
      <c r="L1445" s="1" t="s">
        <v>788</v>
      </c>
      <c r="M1445" s="1" t="s">
        <v>787</v>
      </c>
      <c r="N1445" s="1" t="s">
        <v>788</v>
      </c>
      <c r="O1445" s="6">
        <v>44764</v>
      </c>
      <c r="P1445" s="6">
        <v>44763</v>
      </c>
      <c r="Q1445" s="6"/>
      <c r="R1445" s="1" t="s">
        <v>779</v>
      </c>
      <c r="S1445" s="1" t="s">
        <v>79</v>
      </c>
      <c r="T1445" s="5">
        <v>30</v>
      </c>
      <c r="U1445" s="4">
        <v>1</v>
      </c>
      <c r="V1445" s="5">
        <v>32</v>
      </c>
      <c r="W1445" s="6">
        <v>44478</v>
      </c>
      <c r="X1445" s="6">
        <v>44761</v>
      </c>
      <c r="Y1445" s="6"/>
      <c r="Z1445" s="6"/>
      <c r="AA1445" s="6"/>
      <c r="AB1445" s="6"/>
      <c r="AC1445" s="6"/>
      <c r="AD1445" s="6"/>
    </row>
    <row r="1446" spans="1:30">
      <c r="A1446" s="1" t="s">
        <v>772</v>
      </c>
      <c r="B1446" s="1" t="s">
        <v>773</v>
      </c>
      <c r="C1446" s="1" t="s">
        <v>989</v>
      </c>
      <c r="D1446" s="1" t="s">
        <v>2050</v>
      </c>
      <c r="E1446" s="1" t="str">
        <f t="shared" si="22"/>
        <v>W05</v>
      </c>
      <c r="F1446" s="4">
        <v>0</v>
      </c>
      <c r="G1446" s="4">
        <v>0</v>
      </c>
      <c r="H1446" s="4">
        <v>0</v>
      </c>
      <c r="I1446" s="4"/>
      <c r="J1446" s="1" t="s">
        <v>775</v>
      </c>
      <c r="K1446" s="1" t="s">
        <v>962</v>
      </c>
      <c r="L1446" s="1" t="s">
        <v>778</v>
      </c>
      <c r="M1446" s="1" t="s">
        <v>777</v>
      </c>
      <c r="N1446" s="1" t="s">
        <v>788</v>
      </c>
      <c r="O1446" s="6">
        <v>44767</v>
      </c>
      <c r="P1446" s="6">
        <v>44761</v>
      </c>
      <c r="Q1446" s="6"/>
      <c r="R1446" s="1" t="s">
        <v>779</v>
      </c>
      <c r="S1446" s="1" t="s">
        <v>79</v>
      </c>
      <c r="T1446" s="5">
        <v>120</v>
      </c>
      <c r="U1446" s="4">
        <v>1</v>
      </c>
      <c r="V1446" s="5">
        <v>34</v>
      </c>
      <c r="W1446" s="6">
        <v>43747</v>
      </c>
      <c r="X1446" s="6">
        <v>43665</v>
      </c>
      <c r="Y1446" s="6"/>
      <c r="Z1446" s="6"/>
      <c r="AA1446" s="6"/>
      <c r="AB1446" s="6"/>
      <c r="AC1446" s="6"/>
      <c r="AD1446" s="6"/>
    </row>
    <row r="1447" spans="1:30">
      <c r="A1447" s="1" t="s">
        <v>772</v>
      </c>
      <c r="B1447" s="1" t="s">
        <v>773</v>
      </c>
      <c r="C1447" s="1" t="s">
        <v>1002</v>
      </c>
      <c r="D1447" s="1" t="s">
        <v>2051</v>
      </c>
      <c r="E1447" s="1" t="str">
        <f t="shared" si="22"/>
        <v>W06</v>
      </c>
      <c r="F1447" s="4">
        <v>0</v>
      </c>
      <c r="G1447" s="4">
        <v>0</v>
      </c>
      <c r="H1447" s="4">
        <v>0</v>
      </c>
      <c r="I1447" s="4"/>
      <c r="J1447" s="1" t="s">
        <v>775</v>
      </c>
      <c r="K1447" s="1" t="s">
        <v>962</v>
      </c>
      <c r="L1447" s="1" t="s">
        <v>778</v>
      </c>
      <c r="M1447" s="1" t="s">
        <v>777</v>
      </c>
      <c r="N1447" s="1" t="s">
        <v>788</v>
      </c>
      <c r="O1447" s="6">
        <v>44767</v>
      </c>
      <c r="P1447" s="6">
        <v>44762</v>
      </c>
      <c r="Q1447" s="6"/>
      <c r="R1447" s="1" t="s">
        <v>779</v>
      </c>
      <c r="S1447" s="1" t="s">
        <v>79</v>
      </c>
      <c r="T1447" s="5">
        <v>120</v>
      </c>
      <c r="U1447" s="4">
        <v>1</v>
      </c>
      <c r="V1447" s="5">
        <v>33</v>
      </c>
      <c r="W1447" s="6">
        <v>43747</v>
      </c>
      <c r="X1447" s="6">
        <v>43665</v>
      </c>
      <c r="Y1447" s="6"/>
      <c r="Z1447" s="6"/>
      <c r="AA1447" s="6"/>
      <c r="AB1447" s="6"/>
      <c r="AC1447" s="6"/>
      <c r="AD1447" s="6"/>
    </row>
    <row r="1448" spans="1:30">
      <c r="A1448" s="1" t="s">
        <v>772</v>
      </c>
      <c r="B1448" s="1" t="s">
        <v>773</v>
      </c>
      <c r="C1448" s="1" t="s">
        <v>1002</v>
      </c>
      <c r="D1448" s="1" t="s">
        <v>2052</v>
      </c>
      <c r="E1448" s="1" t="str">
        <f t="shared" si="22"/>
        <v>W06</v>
      </c>
      <c r="F1448" s="4">
        <v>0</v>
      </c>
      <c r="G1448" s="4">
        <v>0</v>
      </c>
      <c r="H1448" s="4">
        <v>0</v>
      </c>
      <c r="I1448" s="4"/>
      <c r="J1448" s="1" t="s">
        <v>775</v>
      </c>
      <c r="K1448" s="1" t="s">
        <v>840</v>
      </c>
      <c r="L1448" s="1" t="s">
        <v>777</v>
      </c>
      <c r="M1448" s="1" t="s">
        <v>778</v>
      </c>
      <c r="N1448" s="1" t="s">
        <v>787</v>
      </c>
      <c r="O1448" s="6">
        <v>44592</v>
      </c>
      <c r="P1448" s="6">
        <v>44588</v>
      </c>
      <c r="Q1448" s="6">
        <v>44573</v>
      </c>
      <c r="R1448" s="1" t="s">
        <v>779</v>
      </c>
      <c r="S1448" s="1" t="s">
        <v>823</v>
      </c>
      <c r="T1448" s="5">
        <v>457</v>
      </c>
      <c r="U1448" s="4">
        <v>6</v>
      </c>
      <c r="V1448" s="5">
        <v>207</v>
      </c>
      <c r="W1448" s="6">
        <v>43963</v>
      </c>
      <c r="X1448" s="6">
        <v>43997</v>
      </c>
      <c r="Y1448" s="6"/>
      <c r="Z1448" s="6"/>
      <c r="AA1448" s="6"/>
      <c r="AB1448" s="6"/>
      <c r="AC1448" s="6"/>
      <c r="AD1448" s="6"/>
    </row>
    <row r="1449" spans="1:30">
      <c r="A1449" s="1" t="s">
        <v>772</v>
      </c>
      <c r="B1449" s="1" t="s">
        <v>773</v>
      </c>
      <c r="C1449" s="1" t="s">
        <v>1010</v>
      </c>
      <c r="D1449" s="1" t="s">
        <v>2053</v>
      </c>
      <c r="E1449" s="1" t="str">
        <f t="shared" si="22"/>
        <v>W07</v>
      </c>
      <c r="F1449" s="4">
        <v>0</v>
      </c>
      <c r="G1449" s="4">
        <v>0</v>
      </c>
      <c r="H1449" s="4">
        <v>0</v>
      </c>
      <c r="I1449" s="4"/>
      <c r="J1449" s="1" t="s">
        <v>775</v>
      </c>
      <c r="K1449" s="1" t="s">
        <v>822</v>
      </c>
      <c r="L1449" s="1" t="s">
        <v>777</v>
      </c>
      <c r="M1449" s="1" t="s">
        <v>778</v>
      </c>
      <c r="N1449" s="1" t="s">
        <v>787</v>
      </c>
      <c r="O1449" s="6">
        <v>44617</v>
      </c>
      <c r="P1449" s="6">
        <v>44604</v>
      </c>
      <c r="Q1449" s="6">
        <v>44578</v>
      </c>
      <c r="R1449" s="1" t="s">
        <v>779</v>
      </c>
      <c r="S1449" s="1" t="s">
        <v>780</v>
      </c>
      <c r="T1449" s="5">
        <v>517</v>
      </c>
      <c r="U1449" s="4">
        <v>6</v>
      </c>
      <c r="V1449" s="5">
        <v>191</v>
      </c>
      <c r="W1449" s="6">
        <v>43963</v>
      </c>
      <c r="X1449" s="6">
        <v>43997</v>
      </c>
      <c r="Y1449" s="6"/>
      <c r="Z1449" s="6"/>
      <c r="AA1449" s="6"/>
      <c r="AB1449" s="6"/>
      <c r="AC1449" s="6"/>
      <c r="AD1449" s="6"/>
    </row>
    <row r="1450" spans="1:30">
      <c r="A1450" s="1" t="s">
        <v>772</v>
      </c>
      <c r="B1450" s="1" t="s">
        <v>773</v>
      </c>
      <c r="C1450" s="1" t="s">
        <v>904</v>
      </c>
      <c r="D1450" s="1" t="s">
        <v>2054</v>
      </c>
      <c r="E1450" s="1" t="str">
        <f t="shared" si="22"/>
        <v>W03</v>
      </c>
      <c r="F1450" s="4">
        <v>0</v>
      </c>
      <c r="G1450" s="4">
        <v>0</v>
      </c>
      <c r="H1450" s="4">
        <v>0</v>
      </c>
      <c r="I1450" s="4"/>
      <c r="J1450" s="1" t="s">
        <v>775</v>
      </c>
      <c r="K1450" s="1" t="s">
        <v>1197</v>
      </c>
      <c r="L1450" s="1" t="s">
        <v>79</v>
      </c>
      <c r="M1450" s="1" t="s">
        <v>79</v>
      </c>
      <c r="N1450" s="1" t="s">
        <v>79</v>
      </c>
      <c r="O1450" s="6">
        <v>44260</v>
      </c>
      <c r="P1450" s="6">
        <v>44256</v>
      </c>
      <c r="Q1450" s="6">
        <v>44256</v>
      </c>
      <c r="R1450" s="1" t="s">
        <v>1076</v>
      </c>
      <c r="S1450" s="1" t="s">
        <v>79</v>
      </c>
      <c r="T1450" s="5">
        <v>1154</v>
      </c>
      <c r="U1450" s="4">
        <v>17</v>
      </c>
      <c r="V1450" s="5">
        <v>539</v>
      </c>
      <c r="W1450" s="6"/>
      <c r="X1450" s="6"/>
      <c r="Y1450" s="6"/>
      <c r="Z1450" s="6"/>
      <c r="AA1450" s="6"/>
      <c r="AB1450" s="6"/>
      <c r="AC1450" s="6"/>
      <c r="AD1450" s="6">
        <v>44656</v>
      </c>
    </row>
    <row r="1451" spans="1:30">
      <c r="A1451" s="1" t="s">
        <v>772</v>
      </c>
      <c r="B1451" s="1" t="s">
        <v>773</v>
      </c>
      <c r="C1451" s="1" t="s">
        <v>1010</v>
      </c>
      <c r="D1451" s="1" t="s">
        <v>2055</v>
      </c>
      <c r="E1451" s="1" t="str">
        <f t="shared" si="22"/>
        <v>W07</v>
      </c>
      <c r="F1451" s="4">
        <v>0</v>
      </c>
      <c r="G1451" s="4">
        <v>0</v>
      </c>
      <c r="H1451" s="4">
        <v>0</v>
      </c>
      <c r="I1451" s="4"/>
      <c r="J1451" s="1" t="s">
        <v>775</v>
      </c>
      <c r="K1451" s="1" t="s">
        <v>872</v>
      </c>
      <c r="L1451" s="1" t="s">
        <v>777</v>
      </c>
      <c r="M1451" s="1" t="s">
        <v>778</v>
      </c>
      <c r="N1451" s="1" t="s">
        <v>873</v>
      </c>
      <c r="O1451" s="6">
        <v>44504</v>
      </c>
      <c r="P1451" s="6">
        <v>44500</v>
      </c>
      <c r="Q1451" s="6">
        <v>44480</v>
      </c>
      <c r="R1451" s="1" t="s">
        <v>779</v>
      </c>
      <c r="S1451" s="1" t="s">
        <v>795</v>
      </c>
      <c r="T1451" s="5">
        <v>577</v>
      </c>
      <c r="U1451" s="4">
        <v>9</v>
      </c>
      <c r="V1451" s="5">
        <v>295</v>
      </c>
      <c r="W1451" s="6">
        <v>43954</v>
      </c>
      <c r="X1451" s="6">
        <v>43275</v>
      </c>
      <c r="Y1451" s="6"/>
      <c r="Z1451" s="6"/>
      <c r="AA1451" s="6"/>
      <c r="AB1451" s="6"/>
      <c r="AC1451" s="6"/>
      <c r="AD1451" s="6"/>
    </row>
    <row r="1452" spans="1:30">
      <c r="A1452" s="1" t="s">
        <v>772</v>
      </c>
      <c r="B1452" s="1" t="s">
        <v>773</v>
      </c>
      <c r="C1452" s="1" t="s">
        <v>1002</v>
      </c>
      <c r="D1452" s="1" t="s">
        <v>2056</v>
      </c>
      <c r="E1452" s="1" t="str">
        <f t="shared" si="22"/>
        <v>W06</v>
      </c>
      <c r="F1452" s="4">
        <v>0</v>
      </c>
      <c r="G1452" s="4">
        <v>0</v>
      </c>
      <c r="H1452" s="4">
        <v>0</v>
      </c>
      <c r="I1452" s="4"/>
      <c r="J1452" s="1" t="s">
        <v>775</v>
      </c>
      <c r="K1452" s="1" t="s">
        <v>886</v>
      </c>
      <c r="L1452" s="1" t="s">
        <v>777</v>
      </c>
      <c r="M1452" s="1" t="s">
        <v>778</v>
      </c>
      <c r="N1452" s="1" t="s">
        <v>788</v>
      </c>
      <c r="O1452" s="6">
        <v>44490</v>
      </c>
      <c r="P1452" s="6">
        <v>44484</v>
      </c>
      <c r="Q1452" s="6">
        <v>44452</v>
      </c>
      <c r="R1452" s="1" t="s">
        <v>779</v>
      </c>
      <c r="S1452" s="1" t="s">
        <v>780</v>
      </c>
      <c r="T1452" s="5">
        <v>517</v>
      </c>
      <c r="U1452" s="4">
        <v>10</v>
      </c>
      <c r="V1452" s="5">
        <v>311</v>
      </c>
      <c r="W1452" s="6">
        <v>43983</v>
      </c>
      <c r="X1452" s="6">
        <v>43411</v>
      </c>
      <c r="Y1452" s="6"/>
      <c r="Z1452" s="6"/>
      <c r="AA1452" s="6"/>
      <c r="AB1452" s="6"/>
      <c r="AC1452" s="6"/>
      <c r="AD1452" s="6"/>
    </row>
    <row r="1453" spans="1:30">
      <c r="A1453" s="1" t="s">
        <v>772</v>
      </c>
      <c r="B1453" s="1" t="s">
        <v>773</v>
      </c>
      <c r="C1453" s="1" t="s">
        <v>1002</v>
      </c>
      <c r="D1453" s="1" t="s">
        <v>2057</v>
      </c>
      <c r="E1453" s="1" t="str">
        <f t="shared" si="22"/>
        <v>W06</v>
      </c>
      <c r="F1453" s="4">
        <v>0</v>
      </c>
      <c r="G1453" s="4">
        <v>0</v>
      </c>
      <c r="H1453" s="4">
        <v>0</v>
      </c>
      <c r="I1453" s="4"/>
      <c r="J1453" s="1" t="s">
        <v>775</v>
      </c>
      <c r="K1453" s="1" t="s">
        <v>886</v>
      </c>
      <c r="L1453" s="1" t="s">
        <v>777</v>
      </c>
      <c r="M1453" s="1" t="s">
        <v>778</v>
      </c>
      <c r="N1453" s="1" t="s">
        <v>788</v>
      </c>
      <c r="O1453" s="6">
        <v>44492</v>
      </c>
      <c r="P1453" s="6">
        <v>44470</v>
      </c>
      <c r="Q1453" s="6">
        <v>44442</v>
      </c>
      <c r="R1453" s="1" t="s">
        <v>779</v>
      </c>
      <c r="S1453" s="1" t="s">
        <v>823</v>
      </c>
      <c r="T1453" s="5">
        <v>457</v>
      </c>
      <c r="U1453" s="4">
        <v>10</v>
      </c>
      <c r="V1453" s="5">
        <v>325</v>
      </c>
      <c r="W1453" s="6">
        <v>43983</v>
      </c>
      <c r="X1453" s="6">
        <v>43411</v>
      </c>
      <c r="Y1453" s="6"/>
      <c r="Z1453" s="6"/>
      <c r="AA1453" s="6"/>
      <c r="AB1453" s="6"/>
      <c r="AC1453" s="6"/>
      <c r="AD1453" s="6"/>
    </row>
    <row r="1454" spans="1:30">
      <c r="A1454" s="1" t="s">
        <v>772</v>
      </c>
      <c r="B1454" s="1" t="s">
        <v>773</v>
      </c>
      <c r="C1454" s="1" t="s">
        <v>1002</v>
      </c>
      <c r="D1454" s="1" t="s">
        <v>2058</v>
      </c>
      <c r="E1454" s="1" t="str">
        <f t="shared" si="22"/>
        <v>W06</v>
      </c>
      <c r="F1454" s="4">
        <v>0</v>
      </c>
      <c r="G1454" s="4">
        <v>0</v>
      </c>
      <c r="H1454" s="4">
        <v>0</v>
      </c>
      <c r="I1454" s="4"/>
      <c r="J1454" s="1" t="s">
        <v>775</v>
      </c>
      <c r="K1454" s="1" t="s">
        <v>1769</v>
      </c>
      <c r="L1454" s="1" t="s">
        <v>809</v>
      </c>
      <c r="M1454" s="1" t="s">
        <v>788</v>
      </c>
      <c r="N1454" s="1" t="s">
        <v>777</v>
      </c>
      <c r="O1454" s="6">
        <v>44441</v>
      </c>
      <c r="P1454" s="6">
        <v>44402</v>
      </c>
      <c r="Q1454" s="6">
        <v>43769</v>
      </c>
      <c r="R1454" s="1" t="s">
        <v>779</v>
      </c>
      <c r="S1454" s="1" t="s">
        <v>79</v>
      </c>
      <c r="T1454" s="5">
        <v>402</v>
      </c>
      <c r="U1454" s="4">
        <v>12</v>
      </c>
      <c r="V1454" s="5">
        <v>393</v>
      </c>
      <c r="W1454" s="6">
        <v>44706</v>
      </c>
      <c r="X1454" s="6">
        <v>44767</v>
      </c>
      <c r="Y1454" s="6"/>
      <c r="Z1454" s="6"/>
      <c r="AA1454" s="6">
        <v>44649</v>
      </c>
      <c r="AB1454" s="6"/>
      <c r="AC1454" s="6"/>
      <c r="AD1454" s="6"/>
    </row>
    <row r="1455" spans="1:30">
      <c r="A1455" s="1" t="s">
        <v>772</v>
      </c>
      <c r="B1455" s="1" t="s">
        <v>773</v>
      </c>
      <c r="C1455" s="1" t="s">
        <v>1002</v>
      </c>
      <c r="D1455" s="1" t="s">
        <v>2059</v>
      </c>
      <c r="E1455" s="1" t="str">
        <f t="shared" si="22"/>
        <v>W06</v>
      </c>
      <c r="F1455" s="4">
        <v>0</v>
      </c>
      <c r="G1455" s="4">
        <v>0</v>
      </c>
      <c r="H1455" s="4">
        <v>0</v>
      </c>
      <c r="I1455" s="4"/>
      <c r="J1455" s="1" t="s">
        <v>775</v>
      </c>
      <c r="K1455" s="1" t="s">
        <v>1769</v>
      </c>
      <c r="L1455" s="1" t="s">
        <v>809</v>
      </c>
      <c r="M1455" s="1" t="s">
        <v>788</v>
      </c>
      <c r="N1455" s="1" t="s">
        <v>788</v>
      </c>
      <c r="O1455" s="6">
        <v>44441</v>
      </c>
      <c r="P1455" s="6">
        <v>44402</v>
      </c>
      <c r="Q1455" s="6">
        <v>43747</v>
      </c>
      <c r="R1455" s="1" t="s">
        <v>779</v>
      </c>
      <c r="S1455" s="1" t="s">
        <v>79</v>
      </c>
      <c r="T1455" s="5">
        <v>402</v>
      </c>
      <c r="U1455" s="4">
        <v>12</v>
      </c>
      <c r="V1455" s="5">
        <v>393</v>
      </c>
      <c r="W1455" s="6">
        <v>43747</v>
      </c>
      <c r="X1455" s="6">
        <v>43665</v>
      </c>
      <c r="Y1455" s="6"/>
      <c r="Z1455" s="6"/>
      <c r="AA1455" s="6">
        <v>44649</v>
      </c>
      <c r="AB1455" s="6"/>
      <c r="AC1455" s="6"/>
      <c r="AD1455" s="6"/>
    </row>
    <row r="1456" spans="1:30">
      <c r="A1456" s="1" t="s">
        <v>772</v>
      </c>
      <c r="B1456" s="1" t="s">
        <v>773</v>
      </c>
      <c r="C1456" s="1" t="s">
        <v>1010</v>
      </c>
      <c r="D1456" s="1" t="s">
        <v>2060</v>
      </c>
      <c r="E1456" s="1" t="str">
        <f t="shared" si="22"/>
        <v>W07</v>
      </c>
      <c r="F1456" s="4">
        <v>0</v>
      </c>
      <c r="G1456" s="4">
        <v>0</v>
      </c>
      <c r="H1456" s="4">
        <v>0</v>
      </c>
      <c r="I1456" s="4"/>
      <c r="J1456" s="1" t="s">
        <v>775</v>
      </c>
      <c r="K1456" s="1" t="s">
        <v>1762</v>
      </c>
      <c r="L1456" s="1" t="s">
        <v>777</v>
      </c>
      <c r="M1456" s="1" t="s">
        <v>778</v>
      </c>
      <c r="N1456" s="1" t="s">
        <v>777</v>
      </c>
      <c r="O1456" s="6">
        <v>44287</v>
      </c>
      <c r="P1456" s="6">
        <v>44278</v>
      </c>
      <c r="Q1456" s="6">
        <v>44258</v>
      </c>
      <c r="R1456" s="1" t="s">
        <v>779</v>
      </c>
      <c r="S1456" s="1" t="s">
        <v>1747</v>
      </c>
      <c r="T1456" s="5">
        <v>517</v>
      </c>
      <c r="U1456" s="4">
        <v>17</v>
      </c>
      <c r="V1456" s="5">
        <v>517</v>
      </c>
      <c r="W1456" s="6">
        <v>43100</v>
      </c>
      <c r="X1456" s="6">
        <v>43100</v>
      </c>
      <c r="Y1456" s="6"/>
      <c r="Z1456" s="6"/>
      <c r="AA1456" s="6">
        <v>44652</v>
      </c>
      <c r="AB1456" s="6"/>
      <c r="AC1456" s="6"/>
      <c r="AD1456" s="6">
        <v>44785</v>
      </c>
    </row>
    <row r="1457" spans="1:30">
      <c r="A1457" s="1" t="s">
        <v>772</v>
      </c>
      <c r="B1457" s="1" t="s">
        <v>773</v>
      </c>
      <c r="C1457" s="1" t="s">
        <v>904</v>
      </c>
      <c r="D1457" s="1" t="s">
        <v>2061</v>
      </c>
      <c r="E1457" s="1" t="str">
        <f t="shared" si="22"/>
        <v>W03</v>
      </c>
      <c r="F1457" s="4">
        <v>0</v>
      </c>
      <c r="G1457" s="4">
        <v>0</v>
      </c>
      <c r="H1457" s="4">
        <v>0</v>
      </c>
      <c r="I1457" s="4"/>
      <c r="J1457" s="1" t="s">
        <v>775</v>
      </c>
      <c r="K1457" s="1" t="s">
        <v>2047</v>
      </c>
      <c r="L1457" s="1" t="s">
        <v>777</v>
      </c>
      <c r="M1457" s="1" t="s">
        <v>778</v>
      </c>
      <c r="N1457" s="1" t="s">
        <v>778</v>
      </c>
      <c r="O1457" s="6">
        <v>44250</v>
      </c>
      <c r="P1457" s="6">
        <v>44245</v>
      </c>
      <c r="Q1457" s="6">
        <v>44222</v>
      </c>
      <c r="R1457" s="1" t="s">
        <v>779</v>
      </c>
      <c r="S1457" s="1" t="s">
        <v>1747</v>
      </c>
      <c r="T1457" s="5">
        <v>517</v>
      </c>
      <c r="U1457" s="4">
        <v>18</v>
      </c>
      <c r="V1457" s="5">
        <v>550</v>
      </c>
      <c r="W1457" s="6">
        <v>44351</v>
      </c>
      <c r="X1457" s="6">
        <v>44663</v>
      </c>
      <c r="Y1457" s="6"/>
      <c r="Z1457" s="6"/>
      <c r="AA1457" s="6">
        <v>44632</v>
      </c>
      <c r="AB1457" s="6"/>
      <c r="AC1457" s="6"/>
      <c r="AD1457" s="6">
        <v>44771</v>
      </c>
    </row>
    <row r="1458" spans="1:30">
      <c r="A1458" s="1" t="s">
        <v>772</v>
      </c>
      <c r="B1458" s="1" t="s">
        <v>773</v>
      </c>
      <c r="C1458" s="1" t="s">
        <v>848</v>
      </c>
      <c r="D1458" s="1" t="s">
        <v>2062</v>
      </c>
      <c r="E1458" s="1" t="str">
        <f t="shared" si="22"/>
        <v>W02</v>
      </c>
      <c r="F1458" s="4">
        <v>0</v>
      </c>
      <c r="G1458" s="4">
        <v>0</v>
      </c>
      <c r="H1458" s="4">
        <v>0</v>
      </c>
      <c r="I1458" s="4"/>
      <c r="J1458" s="1" t="s">
        <v>775</v>
      </c>
      <c r="K1458" s="1" t="s">
        <v>793</v>
      </c>
      <c r="L1458" s="1" t="s">
        <v>787</v>
      </c>
      <c r="M1458" s="1" t="s">
        <v>788</v>
      </c>
      <c r="N1458" s="1" t="s">
        <v>778</v>
      </c>
      <c r="O1458" s="6">
        <v>44774</v>
      </c>
      <c r="P1458" s="6">
        <v>44773</v>
      </c>
      <c r="Q1458" s="6">
        <v>44222</v>
      </c>
      <c r="R1458" s="1" t="s">
        <v>779</v>
      </c>
      <c r="S1458" s="1" t="s">
        <v>79</v>
      </c>
      <c r="T1458" s="5">
        <v>402</v>
      </c>
      <c r="U1458" s="4">
        <v>0</v>
      </c>
      <c r="V1458" s="5">
        <v>22</v>
      </c>
      <c r="W1458" s="6">
        <v>44351</v>
      </c>
      <c r="X1458" s="6">
        <v>44663</v>
      </c>
      <c r="Y1458" s="6"/>
      <c r="Z1458" s="6"/>
      <c r="AA1458" s="6"/>
      <c r="AB1458" s="6"/>
      <c r="AC1458" s="6"/>
      <c r="AD1458" s="6">
        <v>44771</v>
      </c>
    </row>
    <row r="1459" spans="1:30">
      <c r="A1459" s="1" t="s">
        <v>772</v>
      </c>
      <c r="B1459" s="1" t="s">
        <v>773</v>
      </c>
      <c r="C1459" s="1" t="s">
        <v>848</v>
      </c>
      <c r="D1459" s="1" t="s">
        <v>2063</v>
      </c>
      <c r="E1459" s="1" t="str">
        <f t="shared" si="22"/>
        <v>W02</v>
      </c>
      <c r="F1459" s="4">
        <v>0</v>
      </c>
      <c r="G1459" s="4">
        <v>0</v>
      </c>
      <c r="H1459" s="4">
        <v>0</v>
      </c>
      <c r="I1459" s="4"/>
      <c r="J1459" s="1" t="s">
        <v>775</v>
      </c>
      <c r="K1459" s="1" t="s">
        <v>1197</v>
      </c>
      <c r="L1459" s="1" t="s">
        <v>79</v>
      </c>
      <c r="M1459" s="1" t="s">
        <v>79</v>
      </c>
      <c r="N1459" s="1" t="s">
        <v>79</v>
      </c>
      <c r="O1459" s="6">
        <v>44260</v>
      </c>
      <c r="P1459" s="6">
        <v>44256</v>
      </c>
      <c r="Q1459" s="6">
        <v>44256</v>
      </c>
      <c r="R1459" s="1" t="s">
        <v>1076</v>
      </c>
      <c r="S1459" s="1" t="s">
        <v>79</v>
      </c>
      <c r="T1459" s="5">
        <v>1154</v>
      </c>
      <c r="U1459" s="4">
        <v>17</v>
      </c>
      <c r="V1459" s="5">
        <v>539</v>
      </c>
      <c r="W1459" s="6"/>
      <c r="X1459" s="6"/>
      <c r="Y1459" s="6"/>
      <c r="Z1459" s="6"/>
      <c r="AA1459" s="6"/>
      <c r="AB1459" s="6"/>
      <c r="AC1459" s="6"/>
      <c r="AD1459" s="6">
        <v>44674</v>
      </c>
    </row>
    <row r="1460" spans="1:30">
      <c r="A1460" s="1" t="s">
        <v>772</v>
      </c>
      <c r="B1460" s="1" t="s">
        <v>773</v>
      </c>
      <c r="C1460" s="1" t="s">
        <v>904</v>
      </c>
      <c r="D1460" s="1" t="s">
        <v>124</v>
      </c>
      <c r="E1460" s="1" t="str">
        <f t="shared" si="22"/>
        <v>W03</v>
      </c>
      <c r="F1460" s="4">
        <v>4.88</v>
      </c>
      <c r="G1460" s="4">
        <v>4.08</v>
      </c>
      <c r="H1460" s="4">
        <v>4.08</v>
      </c>
      <c r="I1460" s="4"/>
      <c r="J1460" s="1" t="s">
        <v>775</v>
      </c>
      <c r="K1460" s="1" t="s">
        <v>2047</v>
      </c>
      <c r="L1460" s="1" t="s">
        <v>777</v>
      </c>
      <c r="M1460" s="1" t="s">
        <v>778</v>
      </c>
      <c r="N1460" s="1" t="s">
        <v>79</v>
      </c>
      <c r="O1460" s="6">
        <v>44228</v>
      </c>
      <c r="P1460" s="6">
        <v>44219</v>
      </c>
      <c r="Q1460" s="6">
        <v>44161</v>
      </c>
      <c r="R1460" s="1" t="s">
        <v>779</v>
      </c>
      <c r="S1460" s="1" t="s">
        <v>841</v>
      </c>
      <c r="T1460" s="5">
        <v>577</v>
      </c>
      <c r="U1460" s="4">
        <v>18</v>
      </c>
      <c r="V1460" s="5">
        <v>576</v>
      </c>
      <c r="W1460" s="6">
        <v>43863</v>
      </c>
      <c r="X1460" s="6"/>
      <c r="Y1460" s="6"/>
      <c r="Z1460" s="6"/>
      <c r="AA1460" s="6">
        <v>44622</v>
      </c>
      <c r="AB1460" s="6"/>
      <c r="AC1460" s="6"/>
      <c r="AD1460" s="6">
        <v>44741</v>
      </c>
    </row>
    <row r="1461" spans="1:30">
      <c r="A1461" s="1" t="s">
        <v>772</v>
      </c>
      <c r="B1461" s="1" t="s">
        <v>773</v>
      </c>
      <c r="C1461" s="1" t="s">
        <v>904</v>
      </c>
      <c r="D1461" s="1" t="s">
        <v>137</v>
      </c>
      <c r="E1461" s="1" t="str">
        <f t="shared" si="22"/>
        <v>W03</v>
      </c>
      <c r="F1461" s="4">
        <v>7.25</v>
      </c>
      <c r="G1461" s="4">
        <v>6.06</v>
      </c>
      <c r="H1461" s="4">
        <v>6.06</v>
      </c>
      <c r="I1461" s="4"/>
      <c r="J1461" s="1" t="s">
        <v>775</v>
      </c>
      <c r="K1461" s="1" t="s">
        <v>1792</v>
      </c>
      <c r="L1461" s="1" t="s">
        <v>788</v>
      </c>
      <c r="M1461" s="1" t="s">
        <v>787</v>
      </c>
      <c r="N1461" s="1" t="s">
        <v>79</v>
      </c>
      <c r="O1461" s="6">
        <v>44779</v>
      </c>
      <c r="P1461" s="6">
        <v>44778</v>
      </c>
      <c r="Q1461" s="6">
        <v>44780</v>
      </c>
      <c r="R1461" s="1" t="s">
        <v>779</v>
      </c>
      <c r="S1461" s="1" t="s">
        <v>79</v>
      </c>
      <c r="T1461" s="5">
        <v>30</v>
      </c>
      <c r="U1461" s="4">
        <v>0</v>
      </c>
      <c r="V1461" s="5">
        <v>17</v>
      </c>
      <c r="W1461" s="6">
        <v>43720</v>
      </c>
      <c r="X1461" s="6"/>
      <c r="Y1461" s="6"/>
      <c r="Z1461" s="6"/>
      <c r="AA1461" s="6"/>
      <c r="AB1461" s="6"/>
      <c r="AC1461" s="6"/>
      <c r="AD1461" s="6"/>
    </row>
    <row r="1462" spans="1:30">
      <c r="A1462" s="1" t="s">
        <v>772</v>
      </c>
      <c r="B1462" s="1" t="s">
        <v>773</v>
      </c>
      <c r="D1462" s="1" t="s">
        <v>2064</v>
      </c>
      <c r="E1462" s="1" t="str">
        <f t="shared" si="22"/>
        <v/>
      </c>
      <c r="F1462" s="4">
        <v>99</v>
      </c>
      <c r="G1462" s="4">
        <v>99</v>
      </c>
      <c r="H1462" s="4">
        <v>99</v>
      </c>
      <c r="I1462" s="4"/>
      <c r="J1462" s="1" t="s">
        <v>775</v>
      </c>
      <c r="K1462" s="1" t="s">
        <v>1769</v>
      </c>
      <c r="L1462" s="1" t="s">
        <v>787</v>
      </c>
      <c r="M1462" s="1" t="s">
        <v>788</v>
      </c>
      <c r="N1462" s="1" t="s">
        <v>788</v>
      </c>
      <c r="O1462" s="6">
        <v>44469</v>
      </c>
      <c r="P1462" s="6">
        <v>44455</v>
      </c>
      <c r="Q1462" s="6">
        <v>43962</v>
      </c>
      <c r="R1462" s="1" t="s">
        <v>779</v>
      </c>
      <c r="S1462" s="1" t="s">
        <v>79</v>
      </c>
      <c r="T1462" s="5">
        <v>402</v>
      </c>
      <c r="U1462" s="4">
        <v>11</v>
      </c>
      <c r="V1462" s="5">
        <v>340</v>
      </c>
      <c r="W1462" s="6">
        <v>44453</v>
      </c>
      <c r="X1462" s="6">
        <v>44608</v>
      </c>
      <c r="Y1462" s="6"/>
      <c r="Z1462" s="6"/>
      <c r="AA1462" s="6">
        <v>44694</v>
      </c>
      <c r="AB1462" s="6"/>
      <c r="AC1462" s="6"/>
      <c r="AD1462" s="6">
        <v>44469</v>
      </c>
    </row>
    <row r="1463" spans="1:30">
      <c r="A1463" s="1" t="s">
        <v>772</v>
      </c>
      <c r="B1463" s="1" t="s">
        <v>773</v>
      </c>
      <c r="C1463" s="1" t="s">
        <v>1010</v>
      </c>
      <c r="D1463" s="1" t="s">
        <v>2065</v>
      </c>
      <c r="E1463" s="1" t="str">
        <f t="shared" si="22"/>
        <v>W07</v>
      </c>
      <c r="F1463" s="4">
        <v>0</v>
      </c>
      <c r="G1463" s="4">
        <v>0</v>
      </c>
      <c r="H1463" s="4">
        <v>0</v>
      </c>
      <c r="I1463" s="4"/>
      <c r="J1463" s="1" t="s">
        <v>775</v>
      </c>
      <c r="K1463" s="1" t="s">
        <v>1197</v>
      </c>
      <c r="L1463" s="1" t="s">
        <v>79</v>
      </c>
      <c r="M1463" s="1" t="s">
        <v>79</v>
      </c>
      <c r="N1463" s="1" t="s">
        <v>79</v>
      </c>
      <c r="O1463" s="6">
        <v>44260</v>
      </c>
      <c r="P1463" s="6">
        <v>44256</v>
      </c>
      <c r="Q1463" s="6">
        <v>44256</v>
      </c>
      <c r="R1463" s="1" t="s">
        <v>1076</v>
      </c>
      <c r="S1463" s="1" t="s">
        <v>79</v>
      </c>
      <c r="T1463" s="5">
        <v>1154</v>
      </c>
      <c r="U1463" s="4">
        <v>17</v>
      </c>
      <c r="V1463" s="5">
        <v>539</v>
      </c>
      <c r="W1463" s="6"/>
      <c r="X1463" s="6"/>
      <c r="Y1463" s="6"/>
      <c r="Z1463" s="6"/>
      <c r="AA1463" s="6"/>
      <c r="AB1463" s="6"/>
      <c r="AC1463" s="6"/>
      <c r="AD1463" s="6"/>
    </row>
    <row r="1464" spans="1:30">
      <c r="A1464" s="1" t="s">
        <v>772</v>
      </c>
      <c r="B1464" s="1" t="s">
        <v>773</v>
      </c>
      <c r="C1464" s="1" t="s">
        <v>904</v>
      </c>
      <c r="D1464" s="1" t="s">
        <v>2066</v>
      </c>
      <c r="E1464" s="1" t="str">
        <f t="shared" si="22"/>
        <v>W03</v>
      </c>
      <c r="F1464" s="1">
        <v>0</v>
      </c>
      <c r="G1464" s="1">
        <v>0</v>
      </c>
      <c r="H1464" s="1">
        <v>0</v>
      </c>
    </row>
    <row r="1465" spans="1:30">
      <c r="A1465" s="1" t="s">
        <v>772</v>
      </c>
      <c r="B1465" s="1" t="s">
        <v>773</v>
      </c>
      <c r="C1465" s="1" t="s">
        <v>904</v>
      </c>
      <c r="D1465" s="1" t="s">
        <v>2067</v>
      </c>
      <c r="E1465" s="1" t="str">
        <f t="shared" si="22"/>
        <v>W03</v>
      </c>
      <c r="F1465" s="1">
        <v>0</v>
      </c>
      <c r="G1465" s="1">
        <v>0</v>
      </c>
      <c r="H1465" s="1">
        <v>0</v>
      </c>
    </row>
    <row r="1466" spans="1:30">
      <c r="A1466" s="1" t="s">
        <v>772</v>
      </c>
      <c r="B1466" s="1" t="s">
        <v>773</v>
      </c>
      <c r="C1466" s="1" t="s">
        <v>989</v>
      </c>
      <c r="D1466" s="1" t="s">
        <v>2068</v>
      </c>
      <c r="E1466" s="1" t="str">
        <f t="shared" si="22"/>
        <v>W05</v>
      </c>
      <c r="F1466" s="1">
        <v>0</v>
      </c>
      <c r="G1466" s="1">
        <v>0</v>
      </c>
      <c r="H1466" s="1">
        <v>0</v>
      </c>
    </row>
    <row r="1467" spans="1:30">
      <c r="A1467" s="1" t="s">
        <v>772</v>
      </c>
      <c r="B1467" s="1" t="s">
        <v>773</v>
      </c>
      <c r="C1467" s="1" t="s">
        <v>989</v>
      </c>
      <c r="D1467" s="1" t="s">
        <v>2069</v>
      </c>
      <c r="E1467" s="1" t="str">
        <f t="shared" si="22"/>
        <v>W05</v>
      </c>
      <c r="F1467" s="1">
        <v>0</v>
      </c>
      <c r="G1467" s="1">
        <v>0</v>
      </c>
      <c r="H1467" s="1">
        <v>0</v>
      </c>
    </row>
    <row r="1468" spans="1:30">
      <c r="A1468" s="1" t="s">
        <v>772</v>
      </c>
      <c r="B1468" s="1" t="s">
        <v>773</v>
      </c>
      <c r="C1468" s="1" t="s">
        <v>989</v>
      </c>
      <c r="D1468" s="1" t="s">
        <v>2070</v>
      </c>
      <c r="E1468" s="1" t="str">
        <f t="shared" si="22"/>
        <v>W05</v>
      </c>
      <c r="F1468" s="1">
        <v>0</v>
      </c>
      <c r="G1468" s="1">
        <v>0</v>
      </c>
      <c r="H1468" s="1">
        <v>0</v>
      </c>
      <c r="L1468" s="247"/>
    </row>
    <row r="1469" spans="1:30">
      <c r="A1469" s="1" t="s">
        <v>772</v>
      </c>
      <c r="B1469" s="1" t="s">
        <v>773</v>
      </c>
      <c r="C1469" s="1" t="s">
        <v>989</v>
      </c>
      <c r="D1469" s="1" t="s">
        <v>2071</v>
      </c>
      <c r="E1469" s="1" t="str">
        <f t="shared" si="22"/>
        <v>W05</v>
      </c>
      <c r="F1469" s="1">
        <v>0</v>
      </c>
      <c r="G1469" s="1">
        <v>0</v>
      </c>
      <c r="H1469" s="1">
        <v>0</v>
      </c>
      <c r="L1469" s="247"/>
    </row>
    <row r="1470" spans="1:30">
      <c r="A1470" s="1" t="s">
        <v>772</v>
      </c>
      <c r="B1470" s="1" t="s">
        <v>773</v>
      </c>
      <c r="C1470" s="1" t="s">
        <v>989</v>
      </c>
      <c r="D1470" s="1" t="s">
        <v>2072</v>
      </c>
      <c r="E1470" s="1" t="str">
        <f t="shared" si="22"/>
        <v>W05</v>
      </c>
      <c r="F1470" s="1">
        <v>0</v>
      </c>
      <c r="G1470" s="1">
        <v>0</v>
      </c>
      <c r="H1470" s="1">
        <v>0</v>
      </c>
      <c r="L1470" s="247"/>
    </row>
    <row r="1471" spans="1:30">
      <c r="A1471" s="1" t="s">
        <v>772</v>
      </c>
      <c r="B1471" s="1" t="s">
        <v>773</v>
      </c>
      <c r="C1471" s="1" t="s">
        <v>848</v>
      </c>
      <c r="D1471" s="1" t="s">
        <v>2073</v>
      </c>
      <c r="E1471" s="1" t="str">
        <f t="shared" si="22"/>
        <v>W02</v>
      </c>
      <c r="F1471" s="1">
        <v>0.86</v>
      </c>
      <c r="G1471" s="1">
        <v>0.86</v>
      </c>
      <c r="H1471" s="1">
        <v>0.86</v>
      </c>
      <c r="L1471" s="247"/>
    </row>
    <row r="1472" spans="1:30">
      <c r="A1472" s="1" t="s">
        <v>772</v>
      </c>
      <c r="B1472" s="1" t="s">
        <v>773</v>
      </c>
      <c r="C1472" s="1" t="s">
        <v>989</v>
      </c>
      <c r="D1472" s="1" t="s">
        <v>2074</v>
      </c>
      <c r="E1472" s="1" t="str">
        <f t="shared" si="22"/>
        <v>W05</v>
      </c>
      <c r="F1472" s="1">
        <v>0</v>
      </c>
      <c r="G1472" s="1">
        <v>0</v>
      </c>
      <c r="H1472" s="1">
        <v>0</v>
      </c>
      <c r="L1472" s="247"/>
    </row>
    <row r="1473" spans="1:13">
      <c r="A1473" s="1" t="s">
        <v>772</v>
      </c>
      <c r="B1473" s="1" t="s">
        <v>773</v>
      </c>
      <c r="C1473" s="1" t="s">
        <v>989</v>
      </c>
      <c r="D1473" s="1" t="s">
        <v>2075</v>
      </c>
      <c r="E1473" s="1" t="str">
        <f t="shared" si="22"/>
        <v>W05</v>
      </c>
      <c r="F1473" s="1">
        <v>0</v>
      </c>
      <c r="G1473" s="1">
        <v>0</v>
      </c>
      <c r="H1473" s="1">
        <v>0</v>
      </c>
      <c r="L1473" s="247"/>
    </row>
    <row r="1474" spans="1:13">
      <c r="A1474" s="1" t="s">
        <v>772</v>
      </c>
      <c r="B1474" s="1" t="s">
        <v>773</v>
      </c>
      <c r="C1474" s="1" t="s">
        <v>989</v>
      </c>
      <c r="D1474" s="1" t="s">
        <v>2076</v>
      </c>
      <c r="E1474" s="1" t="str">
        <f t="shared" si="22"/>
        <v>W05</v>
      </c>
      <c r="F1474" s="1">
        <v>0</v>
      </c>
      <c r="G1474" s="1">
        <v>0</v>
      </c>
      <c r="H1474" s="1">
        <v>0</v>
      </c>
      <c r="L1474" s="247"/>
      <c r="M1474" s="248"/>
    </row>
    <row r="1475" spans="1:13">
      <c r="A1475" s="1" t="s">
        <v>772</v>
      </c>
      <c r="B1475" s="1" t="s">
        <v>773</v>
      </c>
      <c r="C1475" s="1" t="s">
        <v>989</v>
      </c>
      <c r="D1475" s="1" t="s">
        <v>2077</v>
      </c>
      <c r="E1475" s="1" t="str">
        <f t="shared" si="22"/>
        <v>W05</v>
      </c>
      <c r="F1475" s="1">
        <v>0</v>
      </c>
      <c r="G1475" s="1">
        <v>0</v>
      </c>
      <c r="H1475" s="1">
        <v>0</v>
      </c>
      <c r="L1475" s="248"/>
    </row>
    <row r="1476" spans="1:13">
      <c r="A1476" s="1" t="s">
        <v>772</v>
      </c>
      <c r="B1476" s="1" t="s">
        <v>773</v>
      </c>
      <c r="C1476" s="1" t="s">
        <v>989</v>
      </c>
      <c r="D1476" s="1" t="s">
        <v>2078</v>
      </c>
      <c r="E1476" s="1" t="str">
        <f t="shared" si="22"/>
        <v>W05</v>
      </c>
      <c r="F1476" s="1">
        <v>0</v>
      </c>
      <c r="G1476" s="1">
        <v>0</v>
      </c>
      <c r="H1476" s="1">
        <v>0</v>
      </c>
      <c r="L1476" s="247"/>
    </row>
    <row r="1477" spans="1:13">
      <c r="A1477" s="1" t="s">
        <v>772</v>
      </c>
      <c r="B1477" s="1" t="s">
        <v>773</v>
      </c>
      <c r="C1477" s="1" t="s">
        <v>989</v>
      </c>
      <c r="D1477" s="1" t="s">
        <v>2079</v>
      </c>
      <c r="E1477" s="1" t="str">
        <f t="shared" ref="E1477:E1540" si="23">RIGHT(C1477,3)</f>
        <v>W05</v>
      </c>
      <c r="F1477" s="1">
        <v>0</v>
      </c>
      <c r="G1477" s="1">
        <v>0</v>
      </c>
      <c r="H1477" s="1">
        <v>0</v>
      </c>
    </row>
    <row r="1478" spans="1:13">
      <c r="A1478" s="1" t="s">
        <v>772</v>
      </c>
      <c r="B1478" s="1" t="s">
        <v>773</v>
      </c>
      <c r="C1478" s="1" t="s">
        <v>858</v>
      </c>
      <c r="D1478" s="1" t="s">
        <v>2080</v>
      </c>
      <c r="E1478" s="1" t="str">
        <f t="shared" si="23"/>
        <v>W04</v>
      </c>
      <c r="F1478" s="1">
        <v>0.4</v>
      </c>
      <c r="G1478" s="1">
        <v>0.4</v>
      </c>
      <c r="H1478" s="1">
        <v>0.4</v>
      </c>
    </row>
    <row r="1479" spans="1:13">
      <c r="A1479" s="1" t="s">
        <v>772</v>
      </c>
      <c r="B1479" s="1" t="s">
        <v>773</v>
      </c>
      <c r="C1479" s="1" t="s">
        <v>989</v>
      </c>
      <c r="D1479" s="1" t="s">
        <v>2081</v>
      </c>
      <c r="E1479" s="1" t="str">
        <f t="shared" si="23"/>
        <v>W05</v>
      </c>
      <c r="F1479" s="1">
        <v>0</v>
      </c>
      <c r="G1479" s="1">
        <v>0</v>
      </c>
      <c r="H1479" s="1">
        <v>0</v>
      </c>
    </row>
    <row r="1480" spans="1:13">
      <c r="A1480" s="1" t="s">
        <v>772</v>
      </c>
      <c r="B1480" s="1" t="s">
        <v>773</v>
      </c>
      <c r="C1480" s="1" t="s">
        <v>989</v>
      </c>
      <c r="D1480" s="1" t="s">
        <v>2082</v>
      </c>
      <c r="E1480" s="1" t="str">
        <f t="shared" si="23"/>
        <v>W05</v>
      </c>
      <c r="F1480" s="1">
        <v>0</v>
      </c>
      <c r="G1480" s="1">
        <v>0</v>
      </c>
      <c r="H1480" s="1">
        <v>0</v>
      </c>
    </row>
    <row r="1481" spans="1:13">
      <c r="A1481" s="1" t="s">
        <v>772</v>
      </c>
      <c r="B1481" s="1" t="s">
        <v>773</v>
      </c>
      <c r="C1481" s="1" t="s">
        <v>989</v>
      </c>
      <c r="D1481" s="1" t="s">
        <v>2083</v>
      </c>
      <c r="E1481" s="1" t="str">
        <f t="shared" si="23"/>
        <v>W05</v>
      </c>
      <c r="F1481" s="1">
        <v>0</v>
      </c>
      <c r="G1481" s="1">
        <v>0</v>
      </c>
      <c r="H1481" s="1">
        <v>0</v>
      </c>
    </row>
    <row r="1482" spans="1:13">
      <c r="A1482" s="1" t="s">
        <v>772</v>
      </c>
      <c r="B1482" s="1" t="s">
        <v>773</v>
      </c>
      <c r="C1482" s="1" t="s">
        <v>989</v>
      </c>
      <c r="D1482" s="1" t="s">
        <v>2084</v>
      </c>
      <c r="E1482" s="1" t="str">
        <f t="shared" si="23"/>
        <v>W05</v>
      </c>
      <c r="F1482" s="1">
        <v>0</v>
      </c>
      <c r="G1482" s="1">
        <v>0</v>
      </c>
      <c r="H1482" s="1">
        <v>0</v>
      </c>
    </row>
    <row r="1483" spans="1:13">
      <c r="A1483" s="1" t="s">
        <v>772</v>
      </c>
      <c r="B1483" s="1" t="s">
        <v>773</v>
      </c>
      <c r="C1483" s="1" t="s">
        <v>989</v>
      </c>
      <c r="D1483" s="1" t="s">
        <v>2085</v>
      </c>
      <c r="E1483" s="1" t="str">
        <f t="shared" si="23"/>
        <v>W05</v>
      </c>
      <c r="F1483" s="1">
        <v>0</v>
      </c>
      <c r="G1483" s="1">
        <v>0</v>
      </c>
      <c r="H1483" s="1">
        <v>0</v>
      </c>
    </row>
    <row r="1484" spans="1:13">
      <c r="A1484" s="1" t="s">
        <v>772</v>
      </c>
      <c r="B1484" s="1" t="s">
        <v>773</v>
      </c>
      <c r="C1484" s="1" t="s">
        <v>989</v>
      </c>
      <c r="D1484" s="1" t="s">
        <v>2086</v>
      </c>
      <c r="E1484" s="1" t="str">
        <f t="shared" si="23"/>
        <v>W05</v>
      </c>
      <c r="F1484" s="1">
        <v>0</v>
      </c>
      <c r="G1484" s="1">
        <v>0</v>
      </c>
      <c r="H1484" s="1">
        <v>0</v>
      </c>
    </row>
    <row r="1485" spans="1:13">
      <c r="A1485" s="1" t="s">
        <v>772</v>
      </c>
      <c r="B1485" s="1" t="s">
        <v>773</v>
      </c>
      <c r="C1485" s="1" t="s">
        <v>989</v>
      </c>
      <c r="D1485" s="1" t="s">
        <v>2087</v>
      </c>
      <c r="E1485" s="1" t="str">
        <f t="shared" si="23"/>
        <v>W05</v>
      </c>
      <c r="F1485" s="1">
        <v>0</v>
      </c>
      <c r="G1485" s="1">
        <v>0</v>
      </c>
      <c r="H1485" s="1">
        <v>0</v>
      </c>
    </row>
    <row r="1486" spans="1:13">
      <c r="A1486" s="1" t="s">
        <v>772</v>
      </c>
      <c r="B1486" s="1" t="s">
        <v>773</v>
      </c>
      <c r="C1486" s="1" t="s">
        <v>989</v>
      </c>
      <c r="D1486" s="1" t="s">
        <v>2088</v>
      </c>
      <c r="E1486" s="1" t="str">
        <f t="shared" si="23"/>
        <v>W05</v>
      </c>
      <c r="F1486" s="1">
        <v>0</v>
      </c>
      <c r="G1486" s="1">
        <v>0</v>
      </c>
      <c r="H1486" s="1">
        <v>0</v>
      </c>
    </row>
    <row r="1487" spans="1:13">
      <c r="A1487" s="1" t="s">
        <v>772</v>
      </c>
      <c r="B1487" s="1" t="s">
        <v>773</v>
      </c>
      <c r="C1487" s="1" t="s">
        <v>1002</v>
      </c>
      <c r="D1487" s="1" t="s">
        <v>2089</v>
      </c>
      <c r="E1487" s="1" t="str">
        <f t="shared" si="23"/>
        <v>W06</v>
      </c>
      <c r="F1487" s="1">
        <v>0</v>
      </c>
      <c r="G1487" s="1">
        <v>0</v>
      </c>
      <c r="H1487" s="1">
        <v>0</v>
      </c>
    </row>
    <row r="1488" spans="1:13">
      <c r="A1488" s="1" t="s">
        <v>772</v>
      </c>
      <c r="B1488" s="1" t="s">
        <v>773</v>
      </c>
      <c r="C1488" s="1" t="s">
        <v>1010</v>
      </c>
      <c r="D1488" s="1" t="s">
        <v>2090</v>
      </c>
      <c r="E1488" s="1" t="str">
        <f t="shared" si="23"/>
        <v>W07</v>
      </c>
      <c r="F1488" s="1">
        <v>0</v>
      </c>
      <c r="G1488" s="1">
        <v>0</v>
      </c>
      <c r="H1488" s="1">
        <v>0</v>
      </c>
    </row>
    <row r="1489" spans="1:8">
      <c r="A1489" s="1" t="s">
        <v>772</v>
      </c>
      <c r="B1489" s="1" t="s">
        <v>773</v>
      </c>
      <c r="C1489" s="1" t="s">
        <v>989</v>
      </c>
      <c r="D1489" s="1" t="s">
        <v>2091</v>
      </c>
      <c r="E1489" s="1" t="str">
        <f t="shared" si="23"/>
        <v>W05</v>
      </c>
      <c r="F1489" s="1">
        <v>0</v>
      </c>
      <c r="G1489" s="1">
        <v>0</v>
      </c>
      <c r="H1489" s="1">
        <v>0</v>
      </c>
    </row>
    <row r="1490" spans="1:8">
      <c r="A1490" s="1" t="s">
        <v>772</v>
      </c>
      <c r="B1490" s="1" t="s">
        <v>773</v>
      </c>
      <c r="C1490" s="1" t="s">
        <v>989</v>
      </c>
      <c r="D1490" s="1" t="s">
        <v>2092</v>
      </c>
      <c r="E1490" s="1" t="str">
        <f t="shared" si="23"/>
        <v>W05</v>
      </c>
      <c r="F1490" s="1">
        <v>0</v>
      </c>
      <c r="G1490" s="1">
        <v>0</v>
      </c>
      <c r="H1490" s="1">
        <v>0</v>
      </c>
    </row>
    <row r="1491" spans="1:8">
      <c r="A1491" s="1" t="s">
        <v>772</v>
      </c>
      <c r="B1491" s="1" t="s">
        <v>773</v>
      </c>
      <c r="C1491" s="1" t="s">
        <v>989</v>
      </c>
      <c r="D1491" s="1" t="s">
        <v>2093</v>
      </c>
      <c r="E1491" s="1" t="str">
        <f t="shared" si="23"/>
        <v>W05</v>
      </c>
      <c r="F1491" s="1">
        <v>0</v>
      </c>
      <c r="G1491" s="1">
        <v>0</v>
      </c>
      <c r="H1491" s="1">
        <v>0</v>
      </c>
    </row>
    <row r="1492" spans="1:8">
      <c r="A1492" s="1" t="s">
        <v>772</v>
      </c>
      <c r="B1492" s="1" t="s">
        <v>773</v>
      </c>
      <c r="C1492" s="1" t="s">
        <v>904</v>
      </c>
      <c r="D1492" s="1" t="s">
        <v>2094</v>
      </c>
      <c r="E1492" s="1" t="str">
        <f t="shared" si="23"/>
        <v>W03</v>
      </c>
      <c r="F1492" s="1">
        <v>0</v>
      </c>
      <c r="G1492" s="1">
        <v>0</v>
      </c>
      <c r="H1492" s="1">
        <v>0</v>
      </c>
    </row>
    <row r="1493" spans="1:8">
      <c r="A1493" s="1" t="s">
        <v>772</v>
      </c>
      <c r="B1493" s="1" t="s">
        <v>773</v>
      </c>
      <c r="C1493" s="1" t="s">
        <v>904</v>
      </c>
      <c r="D1493" s="1" t="s">
        <v>2095</v>
      </c>
      <c r="E1493" s="1" t="str">
        <f t="shared" si="23"/>
        <v>W03</v>
      </c>
      <c r="F1493" s="1">
        <v>0</v>
      </c>
      <c r="G1493" s="1">
        <v>0</v>
      </c>
      <c r="H1493" s="1">
        <v>0</v>
      </c>
    </row>
    <row r="1494" spans="1:8">
      <c r="A1494" s="1" t="s">
        <v>772</v>
      </c>
      <c r="B1494" s="1" t="s">
        <v>773</v>
      </c>
      <c r="C1494" s="1" t="s">
        <v>904</v>
      </c>
      <c r="D1494" s="1" t="s">
        <v>2096</v>
      </c>
      <c r="E1494" s="1" t="str">
        <f t="shared" si="23"/>
        <v>W03</v>
      </c>
      <c r="F1494" s="1">
        <v>0</v>
      </c>
      <c r="G1494" s="1">
        <v>0</v>
      </c>
      <c r="H1494" s="1">
        <v>0</v>
      </c>
    </row>
    <row r="1495" spans="1:8">
      <c r="A1495" s="1" t="s">
        <v>772</v>
      </c>
      <c r="B1495" s="1" t="s">
        <v>773</v>
      </c>
      <c r="C1495" s="1" t="s">
        <v>904</v>
      </c>
      <c r="D1495" s="1" t="s">
        <v>2097</v>
      </c>
      <c r="E1495" s="1" t="str">
        <f t="shared" si="23"/>
        <v>W03</v>
      </c>
      <c r="F1495" s="1">
        <v>0</v>
      </c>
      <c r="G1495" s="1">
        <v>0</v>
      </c>
      <c r="H1495" s="1">
        <v>0</v>
      </c>
    </row>
    <row r="1496" spans="1:8">
      <c r="A1496" s="1" t="s">
        <v>772</v>
      </c>
      <c r="B1496" s="1" t="s">
        <v>773</v>
      </c>
      <c r="C1496" s="1" t="s">
        <v>904</v>
      </c>
      <c r="D1496" s="1" t="s">
        <v>2098</v>
      </c>
      <c r="E1496" s="1" t="str">
        <f t="shared" si="23"/>
        <v>W03</v>
      </c>
      <c r="F1496" s="1">
        <v>0</v>
      </c>
      <c r="G1496" s="1">
        <v>0</v>
      </c>
      <c r="H1496" s="1">
        <v>0</v>
      </c>
    </row>
    <row r="1497" spans="1:8">
      <c r="A1497" s="1" t="s">
        <v>772</v>
      </c>
      <c r="B1497" s="1" t="s">
        <v>773</v>
      </c>
      <c r="C1497" s="1" t="s">
        <v>848</v>
      </c>
      <c r="D1497" s="1" t="s">
        <v>2099</v>
      </c>
      <c r="E1497" s="1" t="str">
        <f t="shared" si="23"/>
        <v>W02</v>
      </c>
      <c r="F1497" s="1">
        <v>0</v>
      </c>
      <c r="G1497" s="1">
        <v>0</v>
      </c>
      <c r="H1497" s="1">
        <v>0</v>
      </c>
    </row>
    <row r="1498" spans="1:8">
      <c r="A1498" s="1" t="s">
        <v>772</v>
      </c>
      <c r="B1498" s="1" t="s">
        <v>773</v>
      </c>
      <c r="C1498" s="1" t="s">
        <v>774</v>
      </c>
      <c r="D1498" s="1" t="s">
        <v>2100</v>
      </c>
      <c r="E1498" s="1" t="str">
        <f t="shared" si="23"/>
        <v>W01</v>
      </c>
      <c r="F1498" s="1">
        <v>0.56000000000000005</v>
      </c>
      <c r="G1498" s="1">
        <v>0.56000000000000005</v>
      </c>
      <c r="H1498" s="1">
        <v>0.56000000000000005</v>
      </c>
    </row>
    <row r="1499" spans="1:8">
      <c r="A1499" s="1" t="s">
        <v>772</v>
      </c>
      <c r="B1499" s="1" t="s">
        <v>773</v>
      </c>
      <c r="C1499" s="1" t="s">
        <v>774</v>
      </c>
      <c r="D1499" s="1" t="s">
        <v>2101</v>
      </c>
      <c r="E1499" s="1" t="str">
        <f t="shared" si="23"/>
        <v>W01</v>
      </c>
      <c r="F1499" s="1">
        <v>0.85</v>
      </c>
      <c r="G1499" s="1">
        <v>0.85</v>
      </c>
      <c r="H1499" s="1">
        <v>0.85</v>
      </c>
    </row>
    <row r="1500" spans="1:8">
      <c r="A1500" s="1" t="s">
        <v>772</v>
      </c>
      <c r="B1500" s="1" t="s">
        <v>773</v>
      </c>
      <c r="C1500" s="1" t="s">
        <v>989</v>
      </c>
      <c r="D1500" s="1" t="s">
        <v>2102</v>
      </c>
      <c r="E1500" s="1" t="str">
        <f t="shared" si="23"/>
        <v>W05</v>
      </c>
      <c r="F1500" s="1">
        <v>0</v>
      </c>
      <c r="G1500" s="1">
        <v>0</v>
      </c>
      <c r="H1500" s="1">
        <v>0</v>
      </c>
    </row>
    <row r="1501" spans="1:8">
      <c r="A1501" s="1" t="s">
        <v>772</v>
      </c>
      <c r="B1501" s="1" t="s">
        <v>773</v>
      </c>
      <c r="C1501" s="1" t="s">
        <v>989</v>
      </c>
      <c r="D1501" s="1" t="s">
        <v>2103</v>
      </c>
      <c r="E1501" s="1" t="str">
        <f t="shared" si="23"/>
        <v>W05</v>
      </c>
      <c r="F1501" s="1">
        <v>0</v>
      </c>
      <c r="G1501" s="1">
        <v>0</v>
      </c>
      <c r="H1501" s="1">
        <v>0</v>
      </c>
    </row>
    <row r="1502" spans="1:8">
      <c r="A1502" s="1" t="s">
        <v>772</v>
      </c>
      <c r="B1502" s="1" t="s">
        <v>773</v>
      </c>
      <c r="C1502" s="1" t="s">
        <v>989</v>
      </c>
      <c r="D1502" s="1" t="s">
        <v>2104</v>
      </c>
      <c r="E1502" s="1" t="str">
        <f t="shared" si="23"/>
        <v>W05</v>
      </c>
      <c r="F1502" s="1">
        <v>0</v>
      </c>
      <c r="G1502" s="1">
        <v>0</v>
      </c>
      <c r="H1502" s="1">
        <v>0</v>
      </c>
    </row>
    <row r="1503" spans="1:8">
      <c r="A1503" s="1" t="s">
        <v>772</v>
      </c>
      <c r="B1503" s="1" t="s">
        <v>773</v>
      </c>
      <c r="C1503" s="1" t="s">
        <v>989</v>
      </c>
      <c r="D1503" s="1" t="s">
        <v>2105</v>
      </c>
      <c r="E1503" s="1" t="str">
        <f t="shared" si="23"/>
        <v>W05</v>
      </c>
      <c r="F1503" s="1">
        <v>0</v>
      </c>
      <c r="G1503" s="1">
        <v>0</v>
      </c>
      <c r="H1503" s="1">
        <v>0</v>
      </c>
    </row>
    <row r="1504" spans="1:8">
      <c r="A1504" s="1" t="s">
        <v>772</v>
      </c>
      <c r="B1504" s="1" t="s">
        <v>773</v>
      </c>
      <c r="C1504" s="1" t="s">
        <v>989</v>
      </c>
      <c r="D1504" s="1" t="s">
        <v>2106</v>
      </c>
      <c r="E1504" s="1" t="str">
        <f t="shared" si="23"/>
        <v>W05</v>
      </c>
      <c r="F1504" s="1">
        <v>0</v>
      </c>
      <c r="G1504" s="1">
        <v>0</v>
      </c>
      <c r="H1504" s="1">
        <v>0</v>
      </c>
    </row>
    <row r="1505" spans="1:8">
      <c r="A1505" s="1" t="s">
        <v>772</v>
      </c>
      <c r="B1505" s="1" t="s">
        <v>773</v>
      </c>
      <c r="C1505" s="1" t="s">
        <v>989</v>
      </c>
      <c r="D1505" s="1" t="s">
        <v>2107</v>
      </c>
      <c r="E1505" s="1" t="str">
        <f t="shared" si="23"/>
        <v>W05</v>
      </c>
      <c r="F1505" s="1">
        <v>0</v>
      </c>
      <c r="G1505" s="1">
        <v>0</v>
      </c>
      <c r="H1505" s="1">
        <v>0</v>
      </c>
    </row>
    <row r="1506" spans="1:8">
      <c r="A1506" s="1" t="s">
        <v>772</v>
      </c>
      <c r="B1506" s="1" t="s">
        <v>773</v>
      </c>
      <c r="C1506" s="1" t="s">
        <v>989</v>
      </c>
      <c r="D1506" s="1" t="s">
        <v>2108</v>
      </c>
      <c r="E1506" s="1" t="str">
        <f t="shared" si="23"/>
        <v>W05</v>
      </c>
      <c r="F1506" s="1">
        <v>0</v>
      </c>
      <c r="G1506" s="1">
        <v>0</v>
      </c>
      <c r="H1506" s="1">
        <v>0</v>
      </c>
    </row>
    <row r="1507" spans="1:8">
      <c r="A1507" s="1" t="s">
        <v>772</v>
      </c>
      <c r="B1507" s="1" t="s">
        <v>773</v>
      </c>
      <c r="C1507" s="1" t="s">
        <v>858</v>
      </c>
      <c r="D1507" s="1" t="s">
        <v>2109</v>
      </c>
      <c r="E1507" s="1" t="str">
        <f t="shared" si="23"/>
        <v>W04</v>
      </c>
      <c r="F1507" s="1">
        <v>0.8</v>
      </c>
      <c r="G1507" s="1">
        <v>0.8</v>
      </c>
      <c r="H1507" s="1">
        <v>0.8</v>
      </c>
    </row>
    <row r="1508" spans="1:8">
      <c r="A1508" s="1" t="s">
        <v>772</v>
      </c>
      <c r="B1508" s="1" t="s">
        <v>773</v>
      </c>
      <c r="C1508" s="1" t="s">
        <v>989</v>
      </c>
      <c r="D1508" s="1" t="s">
        <v>2110</v>
      </c>
      <c r="E1508" s="1" t="str">
        <f t="shared" si="23"/>
        <v>W05</v>
      </c>
      <c r="F1508" s="1">
        <v>0</v>
      </c>
      <c r="G1508" s="1">
        <v>0</v>
      </c>
      <c r="H1508" s="1">
        <v>0</v>
      </c>
    </row>
    <row r="1509" spans="1:8">
      <c r="A1509" s="1" t="s">
        <v>772</v>
      </c>
      <c r="B1509" s="1" t="s">
        <v>773</v>
      </c>
      <c r="C1509" s="1" t="s">
        <v>989</v>
      </c>
      <c r="D1509" s="1" t="s">
        <v>2111</v>
      </c>
      <c r="E1509" s="1" t="str">
        <f t="shared" si="23"/>
        <v>W05</v>
      </c>
      <c r="F1509" s="1">
        <v>0</v>
      </c>
      <c r="G1509" s="1">
        <v>0</v>
      </c>
      <c r="H1509" s="1">
        <v>0</v>
      </c>
    </row>
    <row r="1510" spans="1:8">
      <c r="A1510" s="1" t="s">
        <v>772</v>
      </c>
      <c r="B1510" s="1" t="s">
        <v>773</v>
      </c>
      <c r="C1510" s="1" t="s">
        <v>989</v>
      </c>
      <c r="D1510" s="1" t="s">
        <v>2112</v>
      </c>
      <c r="E1510" s="1" t="str">
        <f t="shared" si="23"/>
        <v>W05</v>
      </c>
      <c r="F1510" s="1">
        <v>0</v>
      </c>
      <c r="G1510" s="1">
        <v>0</v>
      </c>
      <c r="H1510" s="1">
        <v>0</v>
      </c>
    </row>
    <row r="1511" spans="1:8">
      <c r="A1511" s="1" t="s">
        <v>772</v>
      </c>
      <c r="B1511" s="1" t="s">
        <v>773</v>
      </c>
      <c r="C1511" s="1" t="s">
        <v>989</v>
      </c>
      <c r="D1511" s="1" t="s">
        <v>2113</v>
      </c>
      <c r="E1511" s="1" t="str">
        <f t="shared" si="23"/>
        <v>W05</v>
      </c>
      <c r="F1511" s="1">
        <v>0</v>
      </c>
      <c r="G1511" s="1">
        <v>0</v>
      </c>
      <c r="H1511" s="1">
        <v>0</v>
      </c>
    </row>
    <row r="1512" spans="1:8">
      <c r="A1512" s="1" t="s">
        <v>772</v>
      </c>
      <c r="B1512" s="1" t="s">
        <v>773</v>
      </c>
      <c r="C1512" s="1" t="s">
        <v>989</v>
      </c>
      <c r="D1512" s="1" t="s">
        <v>2114</v>
      </c>
      <c r="E1512" s="1" t="str">
        <f t="shared" si="23"/>
        <v>W05</v>
      </c>
      <c r="F1512" s="1">
        <v>0</v>
      </c>
      <c r="G1512" s="1">
        <v>0</v>
      </c>
      <c r="H1512" s="1">
        <v>0</v>
      </c>
    </row>
    <row r="1513" spans="1:8">
      <c r="A1513" s="1" t="s">
        <v>772</v>
      </c>
      <c r="B1513" s="1" t="s">
        <v>773</v>
      </c>
      <c r="C1513" s="1" t="s">
        <v>989</v>
      </c>
      <c r="D1513" s="1" t="s">
        <v>2115</v>
      </c>
      <c r="E1513" s="1" t="str">
        <f t="shared" si="23"/>
        <v>W05</v>
      </c>
      <c r="F1513" s="1">
        <v>0</v>
      </c>
      <c r="G1513" s="1">
        <v>0</v>
      </c>
      <c r="H1513" s="1">
        <v>0</v>
      </c>
    </row>
    <row r="1514" spans="1:8">
      <c r="A1514" s="1" t="s">
        <v>772</v>
      </c>
      <c r="B1514" s="1" t="s">
        <v>773</v>
      </c>
      <c r="C1514" s="1" t="s">
        <v>989</v>
      </c>
      <c r="D1514" s="1" t="s">
        <v>2116</v>
      </c>
      <c r="E1514" s="1" t="str">
        <f t="shared" si="23"/>
        <v>W05</v>
      </c>
      <c r="F1514" s="1">
        <v>0</v>
      </c>
      <c r="G1514" s="1">
        <v>0</v>
      </c>
      <c r="H1514" s="1">
        <v>0</v>
      </c>
    </row>
    <row r="1515" spans="1:8">
      <c r="A1515" s="1" t="s">
        <v>772</v>
      </c>
      <c r="B1515" s="1" t="s">
        <v>773</v>
      </c>
      <c r="C1515" s="1" t="s">
        <v>989</v>
      </c>
      <c r="D1515" s="1" t="s">
        <v>2117</v>
      </c>
      <c r="E1515" s="1" t="str">
        <f t="shared" si="23"/>
        <v>W05</v>
      </c>
      <c r="F1515" s="1">
        <v>0</v>
      </c>
      <c r="G1515" s="1">
        <v>0</v>
      </c>
      <c r="H1515" s="1">
        <v>0</v>
      </c>
    </row>
    <row r="1516" spans="1:8">
      <c r="A1516" s="1" t="s">
        <v>772</v>
      </c>
      <c r="B1516" s="1" t="s">
        <v>773</v>
      </c>
      <c r="C1516" s="1" t="s">
        <v>989</v>
      </c>
      <c r="D1516" s="1" t="s">
        <v>2118</v>
      </c>
      <c r="E1516" s="1" t="str">
        <f t="shared" si="23"/>
        <v>W05</v>
      </c>
      <c r="F1516" s="1">
        <v>0</v>
      </c>
      <c r="G1516" s="1">
        <v>0</v>
      </c>
      <c r="H1516" s="1">
        <v>0</v>
      </c>
    </row>
    <row r="1517" spans="1:8">
      <c r="A1517" s="1" t="s">
        <v>772</v>
      </c>
      <c r="B1517" s="1" t="s">
        <v>773</v>
      </c>
      <c r="C1517" s="1" t="s">
        <v>848</v>
      </c>
      <c r="D1517" s="1" t="s">
        <v>459</v>
      </c>
      <c r="E1517" s="1" t="str">
        <f t="shared" si="23"/>
        <v>W02</v>
      </c>
      <c r="F1517" s="1">
        <v>6.7</v>
      </c>
      <c r="G1517" s="1">
        <v>5.23</v>
      </c>
      <c r="H1517" s="1">
        <v>5.23</v>
      </c>
    </row>
    <row r="1518" spans="1:8">
      <c r="A1518" s="1" t="s">
        <v>772</v>
      </c>
      <c r="B1518" s="1" t="s">
        <v>773</v>
      </c>
      <c r="C1518" s="1" t="s">
        <v>774</v>
      </c>
      <c r="D1518" s="1" t="s">
        <v>2119</v>
      </c>
      <c r="E1518" s="1" t="str">
        <f t="shared" si="23"/>
        <v>W01</v>
      </c>
      <c r="F1518" s="1">
        <v>0.25</v>
      </c>
      <c r="G1518" s="1">
        <v>0.25</v>
      </c>
      <c r="H1518" s="1">
        <v>0.25</v>
      </c>
    </row>
    <row r="1519" spans="1:8">
      <c r="A1519" s="1" t="s">
        <v>772</v>
      </c>
      <c r="B1519" s="1" t="s">
        <v>773</v>
      </c>
      <c r="C1519" s="1" t="s">
        <v>989</v>
      </c>
      <c r="D1519" s="1" t="s">
        <v>2120</v>
      </c>
      <c r="E1519" s="1" t="str">
        <f t="shared" si="23"/>
        <v>W05</v>
      </c>
      <c r="F1519" s="1">
        <v>0.25</v>
      </c>
      <c r="G1519" s="1">
        <v>0.25</v>
      </c>
      <c r="H1519" s="1">
        <v>0.25</v>
      </c>
    </row>
    <row r="1520" spans="1:8">
      <c r="A1520" s="1" t="s">
        <v>772</v>
      </c>
      <c r="B1520" s="1" t="s">
        <v>773</v>
      </c>
      <c r="C1520" s="1" t="s">
        <v>989</v>
      </c>
      <c r="D1520" s="1" t="s">
        <v>2121</v>
      </c>
      <c r="E1520" s="1" t="str">
        <f t="shared" si="23"/>
        <v>W05</v>
      </c>
      <c r="F1520" s="1">
        <v>0</v>
      </c>
      <c r="G1520" s="1">
        <v>0</v>
      </c>
      <c r="H1520" s="1">
        <v>0</v>
      </c>
    </row>
    <row r="1521" spans="1:8">
      <c r="A1521" s="1" t="s">
        <v>772</v>
      </c>
      <c r="B1521" s="1" t="s">
        <v>773</v>
      </c>
      <c r="C1521" s="1" t="s">
        <v>989</v>
      </c>
      <c r="D1521" s="1" t="s">
        <v>2122</v>
      </c>
      <c r="E1521" s="1" t="str">
        <f t="shared" si="23"/>
        <v>W05</v>
      </c>
      <c r="F1521" s="1">
        <v>0</v>
      </c>
      <c r="G1521" s="1">
        <v>0</v>
      </c>
      <c r="H1521" s="1">
        <v>0</v>
      </c>
    </row>
    <row r="1522" spans="1:8">
      <c r="A1522" s="1" t="s">
        <v>772</v>
      </c>
      <c r="B1522" s="1" t="s">
        <v>773</v>
      </c>
      <c r="C1522" s="1" t="s">
        <v>989</v>
      </c>
      <c r="D1522" s="1" t="s">
        <v>2123</v>
      </c>
      <c r="E1522" s="1" t="str">
        <f t="shared" si="23"/>
        <v>W05</v>
      </c>
      <c r="F1522" s="1">
        <v>0</v>
      </c>
      <c r="G1522" s="1">
        <v>0</v>
      </c>
      <c r="H1522" s="1">
        <v>0</v>
      </c>
    </row>
    <row r="1523" spans="1:8">
      <c r="A1523" s="1" t="s">
        <v>772</v>
      </c>
      <c r="B1523" s="1" t="s">
        <v>773</v>
      </c>
      <c r="C1523" s="1" t="s">
        <v>858</v>
      </c>
      <c r="D1523" s="1" t="s">
        <v>2124</v>
      </c>
      <c r="E1523" s="1" t="str">
        <f t="shared" si="23"/>
        <v>W04</v>
      </c>
      <c r="F1523" s="1">
        <v>0.18</v>
      </c>
      <c r="G1523" s="1">
        <v>0.18</v>
      </c>
      <c r="H1523" s="1">
        <v>0.18</v>
      </c>
    </row>
    <row r="1524" spans="1:8">
      <c r="A1524" s="1" t="s">
        <v>772</v>
      </c>
      <c r="B1524" s="1" t="s">
        <v>773</v>
      </c>
      <c r="C1524" s="1" t="s">
        <v>989</v>
      </c>
      <c r="D1524" s="1" t="s">
        <v>2125</v>
      </c>
      <c r="E1524" s="1" t="str">
        <f t="shared" si="23"/>
        <v>W05</v>
      </c>
      <c r="F1524" s="1">
        <v>0</v>
      </c>
      <c r="G1524" s="1">
        <v>0</v>
      </c>
      <c r="H1524" s="1">
        <v>0</v>
      </c>
    </row>
    <row r="1525" spans="1:8">
      <c r="A1525" s="1" t="s">
        <v>772</v>
      </c>
      <c r="B1525" s="1" t="s">
        <v>773</v>
      </c>
      <c r="C1525" s="1" t="s">
        <v>774</v>
      </c>
      <c r="D1525" s="1" t="s">
        <v>2126</v>
      </c>
      <c r="E1525" s="1" t="str">
        <f t="shared" si="23"/>
        <v>W01</v>
      </c>
      <c r="F1525" s="1">
        <v>5.8</v>
      </c>
      <c r="G1525" s="1">
        <v>4.5999999999999996</v>
      </c>
      <c r="H1525" s="1">
        <v>4.5999999999999996</v>
      </c>
    </row>
    <row r="1526" spans="1:8">
      <c r="A1526" s="1" t="s">
        <v>772</v>
      </c>
      <c r="B1526" s="1" t="s">
        <v>773</v>
      </c>
      <c r="C1526" s="1" t="s">
        <v>774</v>
      </c>
      <c r="D1526" s="1" t="s">
        <v>2127</v>
      </c>
      <c r="E1526" s="1" t="str">
        <f t="shared" si="23"/>
        <v>W01</v>
      </c>
      <c r="F1526" s="1">
        <v>7.45</v>
      </c>
      <c r="G1526" s="1">
        <v>5.9</v>
      </c>
      <c r="H1526" s="1">
        <v>5.9</v>
      </c>
    </row>
    <row r="1527" spans="1:8">
      <c r="A1527" s="1" t="s">
        <v>772</v>
      </c>
      <c r="B1527" s="1" t="s">
        <v>773</v>
      </c>
      <c r="C1527" s="1" t="s">
        <v>858</v>
      </c>
      <c r="D1527" s="1" t="s">
        <v>2128</v>
      </c>
      <c r="E1527" s="1" t="str">
        <f t="shared" si="23"/>
        <v>W04</v>
      </c>
      <c r="F1527" s="1">
        <v>0.65</v>
      </c>
      <c r="G1527" s="1">
        <v>0.65</v>
      </c>
      <c r="H1527" s="1">
        <v>0.65</v>
      </c>
    </row>
    <row r="1528" spans="1:8">
      <c r="A1528" s="1" t="s">
        <v>772</v>
      </c>
      <c r="B1528" s="1" t="s">
        <v>773</v>
      </c>
      <c r="C1528" s="1" t="s">
        <v>858</v>
      </c>
      <c r="D1528" s="1" t="s">
        <v>2129</v>
      </c>
      <c r="E1528" s="1" t="str">
        <f t="shared" si="23"/>
        <v>W04</v>
      </c>
      <c r="F1528" s="1">
        <v>0.7</v>
      </c>
      <c r="G1528" s="1">
        <v>0.7</v>
      </c>
      <c r="H1528" s="1">
        <v>0.7</v>
      </c>
    </row>
    <row r="1529" spans="1:8">
      <c r="A1529" s="1" t="s">
        <v>772</v>
      </c>
      <c r="B1529" s="1" t="s">
        <v>773</v>
      </c>
      <c r="C1529" s="1" t="s">
        <v>989</v>
      </c>
      <c r="D1529" s="1" t="s">
        <v>2130</v>
      </c>
      <c r="E1529" s="1" t="str">
        <f t="shared" si="23"/>
        <v>W05</v>
      </c>
      <c r="F1529" s="1">
        <v>0</v>
      </c>
      <c r="G1529" s="1">
        <v>0</v>
      </c>
      <c r="H1529" s="1">
        <v>0</v>
      </c>
    </row>
    <row r="1530" spans="1:8">
      <c r="A1530" s="1" t="s">
        <v>772</v>
      </c>
      <c r="B1530" s="1" t="s">
        <v>773</v>
      </c>
      <c r="C1530" s="1" t="s">
        <v>989</v>
      </c>
      <c r="D1530" s="1" t="s">
        <v>2131</v>
      </c>
      <c r="E1530" s="1" t="str">
        <f t="shared" si="23"/>
        <v>W05</v>
      </c>
      <c r="F1530" s="1">
        <v>0</v>
      </c>
      <c r="G1530" s="1">
        <v>0</v>
      </c>
      <c r="H1530" s="1">
        <v>0</v>
      </c>
    </row>
    <row r="1531" spans="1:8">
      <c r="A1531" s="1" t="s">
        <v>772</v>
      </c>
      <c r="B1531" s="1" t="s">
        <v>773</v>
      </c>
      <c r="C1531" s="1" t="s">
        <v>989</v>
      </c>
      <c r="D1531" s="1" t="s">
        <v>2132</v>
      </c>
      <c r="E1531" s="1" t="str">
        <f t="shared" si="23"/>
        <v>W05</v>
      </c>
      <c r="F1531" s="1">
        <v>0</v>
      </c>
      <c r="G1531" s="1">
        <v>0</v>
      </c>
      <c r="H1531" s="1">
        <v>0</v>
      </c>
    </row>
    <row r="1532" spans="1:8">
      <c r="A1532" s="1" t="s">
        <v>772</v>
      </c>
      <c r="B1532" s="1" t="s">
        <v>773</v>
      </c>
      <c r="C1532" s="1" t="s">
        <v>989</v>
      </c>
      <c r="D1532" s="1" t="s">
        <v>2133</v>
      </c>
      <c r="E1532" s="1" t="str">
        <f t="shared" si="23"/>
        <v>W05</v>
      </c>
      <c r="F1532" s="1">
        <v>0</v>
      </c>
      <c r="G1532" s="1">
        <v>0</v>
      </c>
      <c r="H1532" s="1">
        <v>0</v>
      </c>
    </row>
    <row r="1533" spans="1:8">
      <c r="A1533" s="1" t="s">
        <v>772</v>
      </c>
      <c r="B1533" s="1" t="s">
        <v>773</v>
      </c>
      <c r="C1533" s="1" t="s">
        <v>989</v>
      </c>
      <c r="D1533" s="1" t="s">
        <v>2134</v>
      </c>
      <c r="E1533" s="1" t="str">
        <f t="shared" si="23"/>
        <v>W05</v>
      </c>
      <c r="F1533" s="1">
        <v>0</v>
      </c>
      <c r="G1533" s="1">
        <v>0</v>
      </c>
      <c r="H1533" s="1">
        <v>0</v>
      </c>
    </row>
    <row r="1534" spans="1:8">
      <c r="A1534" s="1" t="s">
        <v>772</v>
      </c>
      <c r="B1534" s="1" t="s">
        <v>773</v>
      </c>
      <c r="C1534" s="1" t="s">
        <v>989</v>
      </c>
      <c r="D1534" s="1" t="s">
        <v>2135</v>
      </c>
      <c r="E1534" s="1" t="str">
        <f t="shared" si="23"/>
        <v>W05</v>
      </c>
      <c r="F1534" s="1">
        <v>0</v>
      </c>
      <c r="G1534" s="1">
        <v>0</v>
      </c>
      <c r="H1534" s="1">
        <v>0</v>
      </c>
    </row>
    <row r="1535" spans="1:8">
      <c r="A1535" s="1" t="s">
        <v>772</v>
      </c>
      <c r="B1535" s="1" t="s">
        <v>773</v>
      </c>
      <c r="C1535" s="1" t="s">
        <v>989</v>
      </c>
      <c r="D1535" s="1" t="s">
        <v>2136</v>
      </c>
      <c r="E1535" s="1" t="str">
        <f t="shared" si="23"/>
        <v>W05</v>
      </c>
      <c r="F1535" s="1">
        <v>0</v>
      </c>
      <c r="G1535" s="1">
        <v>0</v>
      </c>
      <c r="H1535" s="1">
        <v>0</v>
      </c>
    </row>
    <row r="1536" spans="1:8">
      <c r="A1536" s="1" t="s">
        <v>772</v>
      </c>
      <c r="B1536" s="1" t="s">
        <v>773</v>
      </c>
      <c r="C1536" s="1" t="s">
        <v>989</v>
      </c>
      <c r="D1536" s="1" t="s">
        <v>2137</v>
      </c>
      <c r="E1536" s="1" t="str">
        <f t="shared" si="23"/>
        <v>W05</v>
      </c>
      <c r="F1536" s="1">
        <v>0</v>
      </c>
      <c r="G1536" s="1">
        <v>0</v>
      </c>
      <c r="H1536" s="1">
        <v>0</v>
      </c>
    </row>
    <row r="1537" spans="1:8">
      <c r="A1537" s="1" t="s">
        <v>772</v>
      </c>
      <c r="B1537" s="1" t="s">
        <v>773</v>
      </c>
      <c r="C1537" s="1" t="s">
        <v>989</v>
      </c>
      <c r="D1537" s="1" t="s">
        <v>2138</v>
      </c>
      <c r="E1537" s="1" t="str">
        <f t="shared" si="23"/>
        <v>W05</v>
      </c>
      <c r="F1537" s="1">
        <v>0.82</v>
      </c>
      <c r="G1537" s="1">
        <v>0.82</v>
      </c>
      <c r="H1537" s="1">
        <v>0.82</v>
      </c>
    </row>
    <row r="1538" spans="1:8">
      <c r="A1538" s="1" t="s">
        <v>772</v>
      </c>
      <c r="B1538" s="1" t="s">
        <v>773</v>
      </c>
      <c r="C1538" s="1" t="s">
        <v>774</v>
      </c>
      <c r="D1538" s="1" t="s">
        <v>2139</v>
      </c>
      <c r="E1538" s="1" t="str">
        <f t="shared" si="23"/>
        <v>W01</v>
      </c>
      <c r="F1538" s="1">
        <v>8.9</v>
      </c>
      <c r="G1538" s="1">
        <v>7.82</v>
      </c>
      <c r="H1538" s="1">
        <v>7.82</v>
      </c>
    </row>
    <row r="1539" spans="1:8">
      <c r="A1539" s="1" t="s">
        <v>772</v>
      </c>
      <c r="B1539" s="1" t="s">
        <v>773</v>
      </c>
      <c r="C1539" s="1" t="s">
        <v>774</v>
      </c>
      <c r="D1539" s="1" t="s">
        <v>2140</v>
      </c>
      <c r="E1539" s="1" t="str">
        <f t="shared" si="23"/>
        <v>W01</v>
      </c>
      <c r="F1539" s="1">
        <v>8.5399999999999991</v>
      </c>
      <c r="G1539" s="1">
        <v>7.56</v>
      </c>
      <c r="H1539" s="1">
        <v>7.56</v>
      </c>
    </row>
    <row r="1540" spans="1:8">
      <c r="A1540" s="1" t="s">
        <v>772</v>
      </c>
      <c r="B1540" s="1" t="s">
        <v>773</v>
      </c>
      <c r="C1540" s="1" t="s">
        <v>774</v>
      </c>
      <c r="D1540" s="1" t="s">
        <v>2141</v>
      </c>
      <c r="E1540" s="1" t="str">
        <f t="shared" si="23"/>
        <v>W01</v>
      </c>
      <c r="F1540" s="1">
        <v>5</v>
      </c>
      <c r="G1540" s="1">
        <v>4.43</v>
      </c>
      <c r="H1540" s="1">
        <v>4.43</v>
      </c>
    </row>
    <row r="1541" spans="1:8">
      <c r="A1541" s="1" t="s">
        <v>772</v>
      </c>
      <c r="B1541" s="1" t="s">
        <v>773</v>
      </c>
      <c r="C1541" s="1" t="s">
        <v>848</v>
      </c>
      <c r="D1541" s="1" t="s">
        <v>490</v>
      </c>
      <c r="E1541" s="1" t="str">
        <f t="shared" ref="E1541:E1604" si="24">RIGHT(C1541,3)</f>
        <v>W02</v>
      </c>
      <c r="F1541" s="1">
        <v>16.53</v>
      </c>
      <c r="G1541" s="1">
        <v>13.18</v>
      </c>
      <c r="H1541" s="1">
        <v>13.18</v>
      </c>
    </row>
    <row r="1542" spans="1:8">
      <c r="A1542" s="1" t="s">
        <v>772</v>
      </c>
      <c r="B1542" s="1" t="s">
        <v>773</v>
      </c>
      <c r="C1542" s="1" t="s">
        <v>989</v>
      </c>
      <c r="D1542" s="1" t="s">
        <v>2142</v>
      </c>
      <c r="E1542" s="1" t="str">
        <f t="shared" si="24"/>
        <v>W05</v>
      </c>
      <c r="F1542" s="1">
        <v>1.32</v>
      </c>
      <c r="G1542" s="1">
        <v>1.32</v>
      </c>
      <c r="H1542" s="1">
        <v>1.32</v>
      </c>
    </row>
    <row r="1543" spans="1:8">
      <c r="A1543" s="1" t="s">
        <v>772</v>
      </c>
      <c r="B1543" s="1" t="s">
        <v>773</v>
      </c>
      <c r="C1543" s="1" t="s">
        <v>989</v>
      </c>
      <c r="D1543" s="1" t="s">
        <v>2143</v>
      </c>
      <c r="E1543" s="1" t="str">
        <f t="shared" si="24"/>
        <v>W05</v>
      </c>
      <c r="F1543" s="1">
        <v>0</v>
      </c>
      <c r="G1543" s="1">
        <v>0</v>
      </c>
      <c r="H1543" s="1">
        <v>0</v>
      </c>
    </row>
    <row r="1544" spans="1:8">
      <c r="A1544" s="1" t="s">
        <v>772</v>
      </c>
      <c r="B1544" s="1" t="s">
        <v>773</v>
      </c>
      <c r="C1544" s="1" t="s">
        <v>989</v>
      </c>
      <c r="D1544" s="1" t="s">
        <v>2144</v>
      </c>
      <c r="E1544" s="1" t="str">
        <f t="shared" si="24"/>
        <v>W05</v>
      </c>
      <c r="F1544" s="1">
        <v>0</v>
      </c>
      <c r="G1544" s="1">
        <v>0</v>
      </c>
      <c r="H1544" s="1">
        <v>0</v>
      </c>
    </row>
    <row r="1545" spans="1:8">
      <c r="A1545" s="1" t="s">
        <v>772</v>
      </c>
      <c r="B1545" s="1" t="s">
        <v>773</v>
      </c>
      <c r="C1545" s="1" t="s">
        <v>989</v>
      </c>
      <c r="D1545" s="1" t="s">
        <v>2145</v>
      </c>
      <c r="E1545" s="1" t="str">
        <f t="shared" si="24"/>
        <v>W05</v>
      </c>
      <c r="F1545" s="1">
        <v>0</v>
      </c>
      <c r="G1545" s="1">
        <v>0</v>
      </c>
      <c r="H1545" s="1">
        <v>0</v>
      </c>
    </row>
    <row r="1546" spans="1:8">
      <c r="A1546" s="1" t="s">
        <v>772</v>
      </c>
      <c r="B1546" s="1" t="s">
        <v>773</v>
      </c>
      <c r="C1546" s="1" t="s">
        <v>989</v>
      </c>
      <c r="D1546" s="1" t="s">
        <v>2146</v>
      </c>
      <c r="E1546" s="1" t="str">
        <f t="shared" si="24"/>
        <v>W05</v>
      </c>
      <c r="F1546" s="1">
        <v>0.7</v>
      </c>
      <c r="G1546" s="1">
        <v>0.7</v>
      </c>
      <c r="H1546" s="1">
        <v>0.7</v>
      </c>
    </row>
    <row r="1547" spans="1:8">
      <c r="A1547" s="1" t="s">
        <v>772</v>
      </c>
      <c r="B1547" s="1" t="s">
        <v>773</v>
      </c>
      <c r="C1547" s="1" t="s">
        <v>989</v>
      </c>
      <c r="D1547" s="1" t="s">
        <v>2147</v>
      </c>
      <c r="E1547" s="1" t="str">
        <f t="shared" si="24"/>
        <v>W05</v>
      </c>
      <c r="F1547" s="1">
        <v>0.14000000000000001</v>
      </c>
      <c r="G1547" s="1">
        <v>0.14000000000000001</v>
      </c>
      <c r="H1547" s="1">
        <v>0.14000000000000001</v>
      </c>
    </row>
    <row r="1548" spans="1:8">
      <c r="A1548" s="1" t="s">
        <v>772</v>
      </c>
      <c r="B1548" s="1" t="s">
        <v>773</v>
      </c>
      <c r="C1548" s="1" t="s">
        <v>989</v>
      </c>
      <c r="D1548" s="1" t="s">
        <v>2148</v>
      </c>
      <c r="E1548" s="1" t="str">
        <f t="shared" si="24"/>
        <v>W05</v>
      </c>
      <c r="F1548" s="1">
        <v>2.1800000000000002</v>
      </c>
      <c r="G1548" s="1">
        <v>2.1800000000000002</v>
      </c>
      <c r="H1548" s="1">
        <v>2.1800000000000002</v>
      </c>
    </row>
    <row r="1549" spans="1:8">
      <c r="A1549" s="1" t="s">
        <v>772</v>
      </c>
      <c r="B1549" s="1" t="s">
        <v>773</v>
      </c>
      <c r="C1549" s="1" t="s">
        <v>848</v>
      </c>
      <c r="D1549" s="1" t="s">
        <v>2149</v>
      </c>
      <c r="E1549" s="1" t="str">
        <f t="shared" si="24"/>
        <v>W02</v>
      </c>
      <c r="F1549" s="1">
        <v>7</v>
      </c>
      <c r="G1549" s="1">
        <v>5.64</v>
      </c>
      <c r="H1549" s="1">
        <v>5.64</v>
      </c>
    </row>
    <row r="1550" spans="1:8">
      <c r="A1550" s="1" t="s">
        <v>772</v>
      </c>
      <c r="B1550" s="1" t="s">
        <v>773</v>
      </c>
      <c r="C1550" s="1" t="s">
        <v>989</v>
      </c>
      <c r="D1550" s="1" t="s">
        <v>2150</v>
      </c>
      <c r="E1550" s="1" t="str">
        <f t="shared" si="24"/>
        <v>W05</v>
      </c>
      <c r="F1550" s="1">
        <v>0</v>
      </c>
      <c r="G1550" s="1">
        <v>0</v>
      </c>
      <c r="H1550" s="1">
        <v>0</v>
      </c>
    </row>
    <row r="1551" spans="1:8">
      <c r="A1551" s="1" t="s">
        <v>772</v>
      </c>
      <c r="B1551" s="1" t="s">
        <v>773</v>
      </c>
      <c r="C1551" s="1" t="s">
        <v>989</v>
      </c>
      <c r="D1551" s="1" t="s">
        <v>2151</v>
      </c>
      <c r="E1551" s="1" t="str">
        <f t="shared" si="24"/>
        <v>W05</v>
      </c>
      <c r="F1551" s="1">
        <v>0</v>
      </c>
      <c r="G1551" s="1">
        <v>0</v>
      </c>
      <c r="H1551" s="1">
        <v>0</v>
      </c>
    </row>
    <row r="1552" spans="1:8">
      <c r="A1552" s="1" t="s">
        <v>772</v>
      </c>
      <c r="B1552" s="1" t="s">
        <v>773</v>
      </c>
      <c r="C1552" s="1" t="s">
        <v>774</v>
      </c>
      <c r="D1552" s="1" t="s">
        <v>2152</v>
      </c>
      <c r="E1552" s="1" t="str">
        <f t="shared" si="24"/>
        <v>W01</v>
      </c>
      <c r="F1552" s="1">
        <v>0</v>
      </c>
      <c r="G1552" s="1">
        <v>0</v>
      </c>
      <c r="H1552" s="1">
        <v>0</v>
      </c>
    </row>
    <row r="1553" spans="1:8">
      <c r="A1553" s="1" t="s">
        <v>772</v>
      </c>
      <c r="B1553" s="1" t="s">
        <v>773</v>
      </c>
      <c r="C1553" s="1" t="s">
        <v>989</v>
      </c>
      <c r="D1553" s="1" t="s">
        <v>2153</v>
      </c>
      <c r="E1553" s="1" t="str">
        <f t="shared" si="24"/>
        <v>W05</v>
      </c>
      <c r="F1553" s="1">
        <v>0</v>
      </c>
      <c r="G1553" s="1">
        <v>0</v>
      </c>
      <c r="H1553" s="1">
        <v>0</v>
      </c>
    </row>
    <row r="1554" spans="1:8">
      <c r="A1554" s="1" t="s">
        <v>772</v>
      </c>
      <c r="B1554" s="1" t="s">
        <v>773</v>
      </c>
      <c r="C1554" s="1" t="s">
        <v>989</v>
      </c>
      <c r="D1554" s="1" t="s">
        <v>2154</v>
      </c>
      <c r="E1554" s="1" t="str">
        <f t="shared" si="24"/>
        <v>W05</v>
      </c>
      <c r="F1554" s="1">
        <v>0</v>
      </c>
      <c r="G1554" s="1">
        <v>0</v>
      </c>
      <c r="H1554" s="1">
        <v>0</v>
      </c>
    </row>
    <row r="1555" spans="1:8">
      <c r="A1555" s="1" t="s">
        <v>772</v>
      </c>
      <c r="B1555" s="1" t="s">
        <v>773</v>
      </c>
      <c r="C1555" s="1" t="s">
        <v>774</v>
      </c>
      <c r="D1555" s="1" t="s">
        <v>2155</v>
      </c>
      <c r="E1555" s="1" t="str">
        <f t="shared" si="24"/>
        <v>W01</v>
      </c>
      <c r="F1555" s="1">
        <v>0</v>
      </c>
      <c r="G1555" s="1">
        <v>0</v>
      </c>
      <c r="H1555" s="1">
        <v>0</v>
      </c>
    </row>
    <row r="1556" spans="1:8">
      <c r="A1556" s="1" t="s">
        <v>772</v>
      </c>
      <c r="B1556" s="1" t="s">
        <v>773</v>
      </c>
      <c r="C1556" s="1" t="s">
        <v>774</v>
      </c>
      <c r="D1556" s="1" t="s">
        <v>2156</v>
      </c>
      <c r="E1556" s="1" t="str">
        <f t="shared" si="24"/>
        <v>W01</v>
      </c>
      <c r="F1556" s="1">
        <v>0</v>
      </c>
      <c r="G1556" s="1">
        <v>0</v>
      </c>
      <c r="H1556" s="1">
        <v>0</v>
      </c>
    </row>
    <row r="1557" spans="1:8">
      <c r="A1557" s="1" t="s">
        <v>772</v>
      </c>
      <c r="B1557" s="1" t="s">
        <v>773</v>
      </c>
      <c r="C1557" s="1" t="s">
        <v>774</v>
      </c>
      <c r="D1557" s="1" t="s">
        <v>2157</v>
      </c>
      <c r="E1557" s="1" t="str">
        <f t="shared" si="24"/>
        <v>W01</v>
      </c>
      <c r="F1557" s="1">
        <v>0</v>
      </c>
      <c r="G1557" s="1">
        <v>0</v>
      </c>
      <c r="H1557" s="1">
        <v>0</v>
      </c>
    </row>
    <row r="1558" spans="1:8">
      <c r="A1558" s="1" t="s">
        <v>772</v>
      </c>
      <c r="B1558" s="1" t="s">
        <v>773</v>
      </c>
      <c r="C1558" s="1" t="s">
        <v>989</v>
      </c>
      <c r="D1558" s="1" t="s">
        <v>2158</v>
      </c>
      <c r="E1558" s="1" t="str">
        <f t="shared" si="24"/>
        <v>W05</v>
      </c>
      <c r="F1558" s="1">
        <v>0</v>
      </c>
      <c r="G1558" s="1">
        <v>0</v>
      </c>
      <c r="H1558" s="1">
        <v>0</v>
      </c>
    </row>
    <row r="1559" spans="1:8">
      <c r="A1559" s="1" t="s">
        <v>772</v>
      </c>
      <c r="B1559" s="1" t="s">
        <v>773</v>
      </c>
      <c r="C1559" s="1" t="s">
        <v>989</v>
      </c>
      <c r="D1559" s="1" t="s">
        <v>2159</v>
      </c>
      <c r="E1559" s="1" t="str">
        <f t="shared" si="24"/>
        <v>W05</v>
      </c>
      <c r="F1559" s="1">
        <v>0</v>
      </c>
      <c r="G1559" s="1">
        <v>0</v>
      </c>
      <c r="H1559" s="1">
        <v>0</v>
      </c>
    </row>
    <row r="1560" spans="1:8">
      <c r="A1560" s="1" t="s">
        <v>772</v>
      </c>
      <c r="B1560" s="1" t="s">
        <v>773</v>
      </c>
      <c r="C1560" s="1" t="s">
        <v>858</v>
      </c>
      <c r="D1560" s="1" t="s">
        <v>508</v>
      </c>
      <c r="E1560" s="1" t="str">
        <f t="shared" si="24"/>
        <v>W04</v>
      </c>
      <c r="F1560" s="1">
        <v>9.7799999999999994</v>
      </c>
      <c r="G1560" s="1">
        <v>7.75</v>
      </c>
      <c r="H1560" s="1">
        <v>7.75</v>
      </c>
    </row>
    <row r="1561" spans="1:8">
      <c r="A1561" s="1" t="s">
        <v>772</v>
      </c>
      <c r="B1561" s="1" t="s">
        <v>773</v>
      </c>
      <c r="C1561" s="1" t="s">
        <v>858</v>
      </c>
      <c r="D1561" s="1" t="s">
        <v>526</v>
      </c>
      <c r="E1561" s="1" t="str">
        <f t="shared" si="24"/>
        <v>W04</v>
      </c>
      <c r="F1561" s="1">
        <v>10.220000000000001</v>
      </c>
      <c r="G1561" s="1">
        <v>7.93</v>
      </c>
      <c r="H1561" s="1">
        <v>7.93</v>
      </c>
    </row>
    <row r="1562" spans="1:8">
      <c r="A1562" s="1" t="s">
        <v>772</v>
      </c>
      <c r="B1562" s="1" t="s">
        <v>773</v>
      </c>
      <c r="C1562" s="1" t="s">
        <v>1002</v>
      </c>
      <c r="D1562" s="1" t="s">
        <v>2160</v>
      </c>
      <c r="E1562" s="1" t="str">
        <f t="shared" si="24"/>
        <v>W06</v>
      </c>
      <c r="F1562" s="1">
        <v>0.78</v>
      </c>
      <c r="G1562" s="1">
        <v>0.78</v>
      </c>
      <c r="H1562" s="1">
        <v>0.78</v>
      </c>
    </row>
    <row r="1563" spans="1:8">
      <c r="A1563" s="1" t="s">
        <v>772</v>
      </c>
      <c r="B1563" s="1" t="s">
        <v>773</v>
      </c>
      <c r="C1563" s="1" t="s">
        <v>989</v>
      </c>
      <c r="D1563" s="1" t="s">
        <v>2161</v>
      </c>
      <c r="E1563" s="1" t="str">
        <f t="shared" si="24"/>
        <v>W05</v>
      </c>
      <c r="F1563" s="1">
        <v>0</v>
      </c>
      <c r="G1563" s="1">
        <v>0</v>
      </c>
      <c r="H1563" s="1">
        <v>0</v>
      </c>
    </row>
    <row r="1564" spans="1:8">
      <c r="A1564" s="1" t="s">
        <v>772</v>
      </c>
      <c r="B1564" s="1" t="s">
        <v>773</v>
      </c>
      <c r="C1564" s="1" t="s">
        <v>989</v>
      </c>
      <c r="D1564" s="1" t="s">
        <v>2162</v>
      </c>
      <c r="E1564" s="1" t="str">
        <f t="shared" si="24"/>
        <v>W05</v>
      </c>
      <c r="F1564" s="1">
        <v>0</v>
      </c>
      <c r="G1564" s="1">
        <v>0</v>
      </c>
      <c r="H1564" s="1">
        <v>0</v>
      </c>
    </row>
    <row r="1565" spans="1:8">
      <c r="A1565" s="1" t="s">
        <v>772</v>
      </c>
      <c r="B1565" s="1" t="s">
        <v>773</v>
      </c>
      <c r="C1565" s="1" t="s">
        <v>1002</v>
      </c>
      <c r="D1565" s="1" t="s">
        <v>2163</v>
      </c>
      <c r="E1565" s="1" t="str">
        <f t="shared" si="24"/>
        <v>W06</v>
      </c>
      <c r="F1565" s="1">
        <v>0</v>
      </c>
      <c r="G1565" s="1">
        <v>0</v>
      </c>
      <c r="H1565" s="1">
        <v>0</v>
      </c>
    </row>
    <row r="1566" spans="1:8">
      <c r="A1566" s="1" t="s">
        <v>772</v>
      </c>
      <c r="B1566" s="1" t="s">
        <v>773</v>
      </c>
      <c r="C1566" s="1" t="s">
        <v>1002</v>
      </c>
      <c r="D1566" s="1" t="s">
        <v>2164</v>
      </c>
      <c r="E1566" s="1" t="str">
        <f t="shared" si="24"/>
        <v>W06</v>
      </c>
      <c r="F1566" s="1">
        <v>0</v>
      </c>
      <c r="G1566" s="1">
        <v>0</v>
      </c>
      <c r="H1566" s="1">
        <v>0</v>
      </c>
    </row>
    <row r="1567" spans="1:8">
      <c r="A1567" s="1" t="s">
        <v>772</v>
      </c>
      <c r="B1567" s="1" t="s">
        <v>773</v>
      </c>
      <c r="C1567" s="1" t="s">
        <v>848</v>
      </c>
      <c r="D1567" s="1" t="s">
        <v>2165</v>
      </c>
      <c r="E1567" s="1" t="str">
        <f t="shared" si="24"/>
        <v>W02</v>
      </c>
      <c r="F1567" s="1">
        <v>0</v>
      </c>
      <c r="G1567" s="1">
        <v>0</v>
      </c>
      <c r="H1567" s="1">
        <v>0</v>
      </c>
    </row>
    <row r="1568" spans="1:8">
      <c r="A1568" s="1" t="s">
        <v>772</v>
      </c>
      <c r="B1568" s="1" t="s">
        <v>773</v>
      </c>
      <c r="C1568" s="1" t="s">
        <v>848</v>
      </c>
      <c r="D1568" s="1" t="s">
        <v>2166</v>
      </c>
      <c r="E1568" s="1" t="str">
        <f t="shared" si="24"/>
        <v>W02</v>
      </c>
      <c r="F1568" s="1">
        <v>0</v>
      </c>
      <c r="G1568" s="1">
        <v>0</v>
      </c>
      <c r="H1568" s="1">
        <v>0</v>
      </c>
    </row>
    <row r="1569" spans="1:8">
      <c r="A1569" s="1" t="s">
        <v>772</v>
      </c>
      <c r="B1569" s="1" t="s">
        <v>773</v>
      </c>
      <c r="C1569" s="1" t="s">
        <v>848</v>
      </c>
      <c r="D1569" s="1" t="s">
        <v>2167</v>
      </c>
      <c r="E1569" s="1" t="str">
        <f t="shared" si="24"/>
        <v>W02</v>
      </c>
      <c r="F1569" s="1">
        <v>0</v>
      </c>
      <c r="G1569" s="1">
        <v>0</v>
      </c>
      <c r="H1569" s="1">
        <v>0</v>
      </c>
    </row>
    <row r="1570" spans="1:8">
      <c r="A1570" s="1" t="s">
        <v>772</v>
      </c>
      <c r="B1570" s="1" t="s">
        <v>773</v>
      </c>
      <c r="C1570" s="1" t="s">
        <v>848</v>
      </c>
      <c r="D1570" s="1" t="s">
        <v>2168</v>
      </c>
      <c r="E1570" s="1" t="str">
        <f t="shared" si="24"/>
        <v>W02</v>
      </c>
      <c r="F1570" s="1">
        <v>0</v>
      </c>
      <c r="G1570" s="1">
        <v>0</v>
      </c>
      <c r="H1570" s="1">
        <v>0</v>
      </c>
    </row>
    <row r="1571" spans="1:8">
      <c r="A1571" s="1" t="s">
        <v>772</v>
      </c>
      <c r="B1571" s="1" t="s">
        <v>773</v>
      </c>
      <c r="C1571" s="1" t="s">
        <v>774</v>
      </c>
      <c r="D1571" s="1" t="s">
        <v>2169</v>
      </c>
      <c r="E1571" s="1" t="str">
        <f t="shared" si="24"/>
        <v>W01</v>
      </c>
      <c r="F1571" s="1">
        <v>0.77</v>
      </c>
      <c r="G1571" s="1">
        <v>0.77</v>
      </c>
      <c r="H1571" s="1">
        <v>0.77</v>
      </c>
    </row>
    <row r="1572" spans="1:8">
      <c r="A1572" s="1" t="s">
        <v>772</v>
      </c>
      <c r="B1572" s="1" t="s">
        <v>773</v>
      </c>
      <c r="C1572" s="1" t="s">
        <v>989</v>
      </c>
      <c r="D1572" s="1" t="s">
        <v>2170</v>
      </c>
      <c r="E1572" s="1" t="str">
        <f t="shared" si="24"/>
        <v>W05</v>
      </c>
      <c r="F1572" s="1">
        <v>0</v>
      </c>
      <c r="G1572" s="1">
        <v>0</v>
      </c>
      <c r="H1572" s="1">
        <v>0</v>
      </c>
    </row>
    <row r="1573" spans="1:8">
      <c r="A1573" s="1" t="s">
        <v>772</v>
      </c>
      <c r="B1573" s="1" t="s">
        <v>773</v>
      </c>
      <c r="C1573" s="1" t="s">
        <v>989</v>
      </c>
      <c r="D1573" s="1" t="s">
        <v>2171</v>
      </c>
      <c r="E1573" s="1" t="str">
        <f t="shared" si="24"/>
        <v>W05</v>
      </c>
      <c r="F1573" s="1">
        <v>0</v>
      </c>
      <c r="G1573" s="1">
        <v>0</v>
      </c>
      <c r="H1573" s="1">
        <v>0</v>
      </c>
    </row>
    <row r="1574" spans="1:8">
      <c r="A1574" s="1" t="s">
        <v>772</v>
      </c>
      <c r="B1574" s="1" t="s">
        <v>773</v>
      </c>
      <c r="C1574" s="1" t="s">
        <v>989</v>
      </c>
      <c r="D1574" s="1" t="s">
        <v>2172</v>
      </c>
      <c r="E1574" s="1" t="str">
        <f t="shared" si="24"/>
        <v>W05</v>
      </c>
      <c r="F1574" s="1">
        <v>0</v>
      </c>
      <c r="G1574" s="1">
        <v>0</v>
      </c>
      <c r="H1574" s="1">
        <v>0</v>
      </c>
    </row>
    <row r="1575" spans="1:8">
      <c r="A1575" s="1" t="s">
        <v>772</v>
      </c>
      <c r="B1575" s="1" t="s">
        <v>773</v>
      </c>
      <c r="C1575" s="1" t="s">
        <v>989</v>
      </c>
      <c r="D1575" s="1" t="s">
        <v>2173</v>
      </c>
      <c r="E1575" s="1" t="str">
        <f t="shared" si="24"/>
        <v>W05</v>
      </c>
      <c r="F1575" s="1">
        <v>0</v>
      </c>
      <c r="G1575" s="1">
        <v>0</v>
      </c>
      <c r="H1575" s="1">
        <v>0</v>
      </c>
    </row>
    <row r="1576" spans="1:8">
      <c r="A1576" s="1" t="s">
        <v>772</v>
      </c>
      <c r="B1576" s="1" t="s">
        <v>773</v>
      </c>
      <c r="C1576" s="1" t="s">
        <v>989</v>
      </c>
      <c r="D1576" s="1" t="s">
        <v>2174</v>
      </c>
      <c r="E1576" s="1" t="str">
        <f t="shared" si="24"/>
        <v>W05</v>
      </c>
      <c r="F1576" s="1">
        <v>0</v>
      </c>
      <c r="G1576" s="1">
        <v>0</v>
      </c>
      <c r="H1576" s="1">
        <v>0</v>
      </c>
    </row>
    <row r="1577" spans="1:8">
      <c r="A1577" s="1" t="s">
        <v>772</v>
      </c>
      <c r="B1577" s="1" t="s">
        <v>773</v>
      </c>
      <c r="C1577" s="1" t="s">
        <v>989</v>
      </c>
      <c r="D1577" s="1" t="s">
        <v>2175</v>
      </c>
      <c r="E1577" s="1" t="str">
        <f t="shared" si="24"/>
        <v>W05</v>
      </c>
      <c r="F1577" s="1">
        <v>0</v>
      </c>
      <c r="G1577" s="1">
        <v>0</v>
      </c>
      <c r="H1577" s="1">
        <v>0</v>
      </c>
    </row>
    <row r="1578" spans="1:8">
      <c r="A1578" s="1" t="s">
        <v>772</v>
      </c>
      <c r="B1578" s="1" t="s">
        <v>773</v>
      </c>
      <c r="C1578" s="1" t="s">
        <v>989</v>
      </c>
      <c r="D1578" s="1" t="s">
        <v>2176</v>
      </c>
      <c r="E1578" s="1" t="str">
        <f t="shared" si="24"/>
        <v>W05</v>
      </c>
      <c r="F1578" s="1">
        <v>1</v>
      </c>
      <c r="G1578" s="1">
        <v>1</v>
      </c>
      <c r="H1578" s="1">
        <v>1</v>
      </c>
    </row>
    <row r="1579" spans="1:8">
      <c r="A1579" s="1" t="s">
        <v>772</v>
      </c>
      <c r="B1579" s="1" t="s">
        <v>773</v>
      </c>
      <c r="C1579" s="1" t="s">
        <v>989</v>
      </c>
      <c r="D1579" s="1" t="s">
        <v>2177</v>
      </c>
      <c r="E1579" s="1" t="str">
        <f t="shared" si="24"/>
        <v>W05</v>
      </c>
      <c r="F1579" s="1">
        <v>0</v>
      </c>
      <c r="G1579" s="1">
        <v>0</v>
      </c>
      <c r="H1579" s="1">
        <v>0</v>
      </c>
    </row>
    <row r="1580" spans="1:8">
      <c r="A1580" s="1" t="s">
        <v>772</v>
      </c>
      <c r="B1580" s="1" t="s">
        <v>773</v>
      </c>
      <c r="C1580" s="1" t="s">
        <v>989</v>
      </c>
      <c r="D1580" s="1" t="s">
        <v>2178</v>
      </c>
      <c r="E1580" s="1" t="str">
        <f t="shared" si="24"/>
        <v>W05</v>
      </c>
      <c r="F1580" s="1">
        <v>0</v>
      </c>
      <c r="G1580" s="1">
        <v>0</v>
      </c>
      <c r="H1580" s="1">
        <v>0</v>
      </c>
    </row>
    <row r="1581" spans="1:8">
      <c r="A1581" s="1" t="s">
        <v>772</v>
      </c>
      <c r="B1581" s="1" t="s">
        <v>773</v>
      </c>
      <c r="C1581" s="1" t="s">
        <v>989</v>
      </c>
      <c r="D1581" s="1" t="s">
        <v>2179</v>
      </c>
      <c r="E1581" s="1" t="str">
        <f t="shared" si="24"/>
        <v>W05</v>
      </c>
      <c r="F1581" s="1">
        <v>0</v>
      </c>
      <c r="G1581" s="1">
        <v>0</v>
      </c>
      <c r="H1581" s="1">
        <v>0</v>
      </c>
    </row>
    <row r="1582" spans="1:8">
      <c r="A1582" s="1" t="s">
        <v>772</v>
      </c>
      <c r="B1582" s="1" t="s">
        <v>773</v>
      </c>
      <c r="C1582" s="1" t="s">
        <v>989</v>
      </c>
      <c r="D1582" s="1" t="s">
        <v>2180</v>
      </c>
      <c r="E1582" s="1" t="str">
        <f t="shared" si="24"/>
        <v>W05</v>
      </c>
      <c r="F1582" s="1">
        <v>0</v>
      </c>
      <c r="G1582" s="1">
        <v>0</v>
      </c>
      <c r="H1582" s="1">
        <v>0</v>
      </c>
    </row>
    <row r="1583" spans="1:8">
      <c r="A1583" s="1" t="s">
        <v>772</v>
      </c>
      <c r="B1583" s="1" t="s">
        <v>773</v>
      </c>
      <c r="C1583" s="1" t="s">
        <v>989</v>
      </c>
      <c r="D1583" s="1" t="s">
        <v>2181</v>
      </c>
      <c r="E1583" s="1" t="str">
        <f t="shared" si="24"/>
        <v>W05</v>
      </c>
      <c r="F1583" s="1">
        <v>0</v>
      </c>
      <c r="G1583" s="1">
        <v>0</v>
      </c>
      <c r="H1583" s="1">
        <v>0</v>
      </c>
    </row>
    <row r="1584" spans="1:8">
      <c r="A1584" s="1" t="s">
        <v>772</v>
      </c>
      <c r="B1584" s="1" t="s">
        <v>773</v>
      </c>
      <c r="C1584" s="1" t="s">
        <v>989</v>
      </c>
      <c r="D1584" s="1" t="s">
        <v>2182</v>
      </c>
      <c r="E1584" s="1" t="str">
        <f t="shared" si="24"/>
        <v>W05</v>
      </c>
      <c r="F1584" s="1">
        <v>0</v>
      </c>
      <c r="G1584" s="1">
        <v>0</v>
      </c>
      <c r="H1584" s="1">
        <v>0</v>
      </c>
    </row>
    <row r="1585" spans="1:8">
      <c r="A1585" s="1" t="s">
        <v>772</v>
      </c>
      <c r="B1585" s="1" t="s">
        <v>773</v>
      </c>
      <c r="C1585" s="1" t="s">
        <v>989</v>
      </c>
      <c r="D1585" s="1" t="s">
        <v>2183</v>
      </c>
      <c r="E1585" s="1" t="str">
        <f t="shared" si="24"/>
        <v>W05</v>
      </c>
      <c r="F1585" s="1">
        <v>0</v>
      </c>
      <c r="G1585" s="1">
        <v>0</v>
      </c>
      <c r="H1585" s="1">
        <v>0</v>
      </c>
    </row>
    <row r="1586" spans="1:8">
      <c r="A1586" s="1" t="s">
        <v>772</v>
      </c>
      <c r="B1586" s="1" t="s">
        <v>773</v>
      </c>
      <c r="C1586" s="1" t="s">
        <v>989</v>
      </c>
      <c r="D1586" s="1" t="s">
        <v>2184</v>
      </c>
      <c r="E1586" s="1" t="str">
        <f t="shared" si="24"/>
        <v>W05</v>
      </c>
      <c r="F1586" s="1">
        <v>0</v>
      </c>
      <c r="G1586" s="1">
        <v>0</v>
      </c>
      <c r="H1586" s="1">
        <v>0</v>
      </c>
    </row>
    <row r="1587" spans="1:8">
      <c r="A1587" s="1" t="s">
        <v>772</v>
      </c>
      <c r="B1587" s="1" t="s">
        <v>773</v>
      </c>
      <c r="C1587" s="1" t="s">
        <v>989</v>
      </c>
      <c r="D1587" s="1" t="s">
        <v>2185</v>
      </c>
      <c r="E1587" s="1" t="str">
        <f t="shared" si="24"/>
        <v>W05</v>
      </c>
      <c r="F1587" s="1">
        <v>0</v>
      </c>
      <c r="G1587" s="1">
        <v>0</v>
      </c>
      <c r="H1587" s="1">
        <v>0</v>
      </c>
    </row>
    <row r="1588" spans="1:8">
      <c r="A1588" s="1" t="s">
        <v>772</v>
      </c>
      <c r="B1588" s="1" t="s">
        <v>773</v>
      </c>
      <c r="C1588" s="1" t="s">
        <v>989</v>
      </c>
      <c r="D1588" s="1" t="s">
        <v>2186</v>
      </c>
      <c r="E1588" s="1" t="str">
        <f t="shared" si="24"/>
        <v>W05</v>
      </c>
      <c r="F1588" s="1">
        <v>0</v>
      </c>
      <c r="G1588" s="1">
        <v>0</v>
      </c>
      <c r="H1588" s="1">
        <v>0</v>
      </c>
    </row>
    <row r="1589" spans="1:8">
      <c r="A1589" s="1" t="s">
        <v>772</v>
      </c>
      <c r="B1589" s="1" t="s">
        <v>773</v>
      </c>
      <c r="C1589" s="1" t="s">
        <v>989</v>
      </c>
      <c r="D1589" s="1" t="s">
        <v>2187</v>
      </c>
      <c r="E1589" s="1" t="str">
        <f t="shared" si="24"/>
        <v>W05</v>
      </c>
      <c r="F1589" s="1">
        <v>0</v>
      </c>
      <c r="G1589" s="1">
        <v>0</v>
      </c>
      <c r="H1589" s="1">
        <v>0</v>
      </c>
    </row>
    <row r="1590" spans="1:8">
      <c r="A1590" s="1" t="s">
        <v>772</v>
      </c>
      <c r="B1590" s="1" t="s">
        <v>773</v>
      </c>
      <c r="C1590" s="1" t="s">
        <v>989</v>
      </c>
      <c r="D1590" s="1" t="s">
        <v>2188</v>
      </c>
      <c r="E1590" s="1" t="str">
        <f t="shared" si="24"/>
        <v>W05</v>
      </c>
      <c r="F1590" s="1">
        <v>0</v>
      </c>
      <c r="G1590" s="1">
        <v>0</v>
      </c>
      <c r="H1590" s="1">
        <v>0</v>
      </c>
    </row>
    <row r="1591" spans="1:8">
      <c r="A1591" s="1" t="s">
        <v>772</v>
      </c>
      <c r="B1591" s="1" t="s">
        <v>773</v>
      </c>
      <c r="C1591" s="1" t="s">
        <v>989</v>
      </c>
      <c r="D1591" s="1" t="s">
        <v>2189</v>
      </c>
      <c r="E1591" s="1" t="str">
        <f t="shared" si="24"/>
        <v>W05</v>
      </c>
      <c r="F1591" s="1">
        <v>0</v>
      </c>
      <c r="G1591" s="1">
        <v>0</v>
      </c>
      <c r="H1591" s="1">
        <v>0</v>
      </c>
    </row>
    <row r="1592" spans="1:8">
      <c r="A1592" s="1" t="s">
        <v>772</v>
      </c>
      <c r="B1592" s="1" t="s">
        <v>773</v>
      </c>
      <c r="C1592" s="1" t="s">
        <v>1010</v>
      </c>
      <c r="D1592" s="1" t="s">
        <v>2190</v>
      </c>
      <c r="E1592" s="1" t="str">
        <f t="shared" si="24"/>
        <v>W07</v>
      </c>
      <c r="F1592" s="1">
        <v>0</v>
      </c>
      <c r="G1592" s="1">
        <v>0</v>
      </c>
      <c r="H1592" s="1">
        <v>0</v>
      </c>
    </row>
    <row r="1593" spans="1:8">
      <c r="A1593" s="1" t="s">
        <v>772</v>
      </c>
      <c r="B1593" s="1" t="s">
        <v>773</v>
      </c>
      <c r="C1593" s="1" t="s">
        <v>1010</v>
      </c>
      <c r="D1593" s="1" t="s">
        <v>2191</v>
      </c>
      <c r="E1593" s="1" t="str">
        <f t="shared" si="24"/>
        <v>W07</v>
      </c>
      <c r="F1593" s="1">
        <v>0</v>
      </c>
      <c r="G1593" s="1">
        <v>0</v>
      </c>
      <c r="H1593" s="1">
        <v>0</v>
      </c>
    </row>
    <row r="1594" spans="1:8">
      <c r="A1594" s="1" t="s">
        <v>772</v>
      </c>
      <c r="B1594" s="1" t="s">
        <v>773</v>
      </c>
      <c r="C1594" s="1" t="s">
        <v>1010</v>
      </c>
      <c r="D1594" s="1" t="s">
        <v>2192</v>
      </c>
      <c r="E1594" s="1" t="str">
        <f t="shared" si="24"/>
        <v>W07</v>
      </c>
      <c r="F1594" s="1">
        <v>0</v>
      </c>
      <c r="G1594" s="1">
        <v>0</v>
      </c>
      <c r="H1594" s="1">
        <v>0</v>
      </c>
    </row>
    <row r="1595" spans="1:8">
      <c r="A1595" s="1" t="s">
        <v>772</v>
      </c>
      <c r="B1595" s="1" t="s">
        <v>773</v>
      </c>
      <c r="C1595" s="1" t="s">
        <v>1010</v>
      </c>
      <c r="D1595" s="1" t="s">
        <v>2193</v>
      </c>
      <c r="E1595" s="1" t="str">
        <f t="shared" si="24"/>
        <v>W07</v>
      </c>
      <c r="F1595" s="1">
        <v>0</v>
      </c>
      <c r="G1595" s="1">
        <v>0</v>
      </c>
      <c r="H1595" s="1">
        <v>0</v>
      </c>
    </row>
    <row r="1596" spans="1:8">
      <c r="A1596" s="1" t="s">
        <v>772</v>
      </c>
      <c r="B1596" s="1" t="s">
        <v>773</v>
      </c>
      <c r="C1596" s="1" t="s">
        <v>1010</v>
      </c>
      <c r="D1596" s="1" t="s">
        <v>2194</v>
      </c>
      <c r="E1596" s="1" t="str">
        <f t="shared" si="24"/>
        <v>W07</v>
      </c>
      <c r="F1596" s="1">
        <v>0</v>
      </c>
      <c r="G1596" s="1">
        <v>0</v>
      </c>
      <c r="H1596" s="1">
        <v>0</v>
      </c>
    </row>
    <row r="1597" spans="1:8">
      <c r="A1597" s="1" t="s">
        <v>772</v>
      </c>
      <c r="B1597" s="1" t="s">
        <v>773</v>
      </c>
      <c r="C1597" s="1" t="s">
        <v>989</v>
      </c>
      <c r="D1597" s="1" t="s">
        <v>2195</v>
      </c>
      <c r="E1597" s="1" t="str">
        <f t="shared" si="24"/>
        <v>W05</v>
      </c>
      <c r="F1597" s="1">
        <v>0</v>
      </c>
      <c r="G1597" s="1">
        <v>0</v>
      </c>
      <c r="H1597" s="1">
        <v>0</v>
      </c>
    </row>
    <row r="1598" spans="1:8">
      <c r="A1598" s="1" t="s">
        <v>772</v>
      </c>
      <c r="B1598" s="1" t="s">
        <v>773</v>
      </c>
      <c r="C1598" s="1" t="s">
        <v>989</v>
      </c>
      <c r="D1598" s="1" t="s">
        <v>2196</v>
      </c>
      <c r="E1598" s="1" t="str">
        <f t="shared" si="24"/>
        <v>W05</v>
      </c>
      <c r="F1598" s="1">
        <v>0</v>
      </c>
      <c r="G1598" s="1">
        <v>0</v>
      </c>
      <c r="H1598" s="1">
        <v>0</v>
      </c>
    </row>
    <row r="1599" spans="1:8">
      <c r="A1599" s="1" t="s">
        <v>772</v>
      </c>
      <c r="B1599" s="1" t="s">
        <v>773</v>
      </c>
      <c r="C1599" s="1" t="s">
        <v>989</v>
      </c>
      <c r="D1599" s="1" t="s">
        <v>2197</v>
      </c>
      <c r="E1599" s="1" t="str">
        <f t="shared" si="24"/>
        <v>W05</v>
      </c>
      <c r="F1599" s="1">
        <v>0</v>
      </c>
      <c r="G1599" s="1">
        <v>0</v>
      </c>
      <c r="H1599" s="1">
        <v>0</v>
      </c>
    </row>
    <row r="1600" spans="1:8">
      <c r="A1600" s="1" t="s">
        <v>772</v>
      </c>
      <c r="B1600" s="1" t="s">
        <v>773</v>
      </c>
      <c r="C1600" s="1" t="s">
        <v>989</v>
      </c>
      <c r="D1600" s="1" t="s">
        <v>2198</v>
      </c>
      <c r="E1600" s="1" t="str">
        <f t="shared" si="24"/>
        <v>W05</v>
      </c>
      <c r="F1600" s="1">
        <v>0</v>
      </c>
      <c r="G1600" s="1">
        <v>0</v>
      </c>
      <c r="H1600" s="1">
        <v>0</v>
      </c>
    </row>
    <row r="1601" spans="1:8">
      <c r="A1601" s="1" t="s">
        <v>772</v>
      </c>
      <c r="B1601" s="1" t="s">
        <v>773</v>
      </c>
      <c r="C1601" s="1" t="s">
        <v>989</v>
      </c>
      <c r="D1601" s="1" t="s">
        <v>2199</v>
      </c>
      <c r="E1601" s="1" t="str">
        <f t="shared" si="24"/>
        <v>W05</v>
      </c>
      <c r="F1601" s="1">
        <v>0</v>
      </c>
      <c r="G1601" s="1">
        <v>0</v>
      </c>
      <c r="H1601" s="1">
        <v>0</v>
      </c>
    </row>
    <row r="1602" spans="1:8">
      <c r="A1602" s="1" t="s">
        <v>772</v>
      </c>
      <c r="B1602" s="1" t="s">
        <v>773</v>
      </c>
      <c r="C1602" s="1" t="s">
        <v>989</v>
      </c>
      <c r="D1602" s="1" t="s">
        <v>2200</v>
      </c>
      <c r="E1602" s="1" t="str">
        <f t="shared" si="24"/>
        <v>W05</v>
      </c>
      <c r="F1602" s="1">
        <v>0</v>
      </c>
      <c r="G1602" s="1">
        <v>0</v>
      </c>
      <c r="H1602" s="1">
        <v>0</v>
      </c>
    </row>
    <row r="1603" spans="1:8">
      <c r="A1603" s="1" t="s">
        <v>772</v>
      </c>
      <c r="B1603" s="1" t="s">
        <v>773</v>
      </c>
      <c r="C1603" s="1" t="s">
        <v>989</v>
      </c>
      <c r="D1603" s="1" t="s">
        <v>2201</v>
      </c>
      <c r="E1603" s="1" t="str">
        <f t="shared" si="24"/>
        <v>W05</v>
      </c>
      <c r="F1603" s="1">
        <v>0</v>
      </c>
      <c r="G1603" s="1">
        <v>0</v>
      </c>
      <c r="H1603" s="1">
        <v>0</v>
      </c>
    </row>
    <row r="1604" spans="1:8">
      <c r="A1604" s="1" t="s">
        <v>772</v>
      </c>
      <c r="B1604" s="1" t="s">
        <v>773</v>
      </c>
      <c r="C1604" s="1" t="s">
        <v>989</v>
      </c>
      <c r="D1604" s="1" t="s">
        <v>2202</v>
      </c>
      <c r="E1604" s="1" t="str">
        <f t="shared" si="24"/>
        <v>W05</v>
      </c>
      <c r="F1604" s="1">
        <v>0</v>
      </c>
      <c r="G1604" s="1">
        <v>0</v>
      </c>
      <c r="H1604" s="1">
        <v>0</v>
      </c>
    </row>
    <row r="1605" spans="1:8">
      <c r="A1605" s="1" t="s">
        <v>772</v>
      </c>
      <c r="B1605" s="1" t="s">
        <v>773</v>
      </c>
      <c r="C1605" s="1" t="s">
        <v>774</v>
      </c>
      <c r="D1605" s="1" t="s">
        <v>2203</v>
      </c>
      <c r="E1605" s="1" t="str">
        <f t="shared" ref="E1605:E1668" si="25">RIGHT(C1605,3)</f>
        <v>W01</v>
      </c>
      <c r="F1605" s="1">
        <v>5.96</v>
      </c>
      <c r="G1605" s="1">
        <v>4.84</v>
      </c>
      <c r="H1605" s="1">
        <v>4.84</v>
      </c>
    </row>
    <row r="1606" spans="1:8">
      <c r="A1606" s="1" t="s">
        <v>772</v>
      </c>
      <c r="B1606" s="1" t="s">
        <v>773</v>
      </c>
      <c r="C1606" s="1" t="s">
        <v>774</v>
      </c>
      <c r="D1606" s="1" t="s">
        <v>2204</v>
      </c>
      <c r="E1606" s="1" t="str">
        <f t="shared" si="25"/>
        <v>W01</v>
      </c>
      <c r="F1606" s="1">
        <v>8.92</v>
      </c>
      <c r="G1606" s="1">
        <v>6.95</v>
      </c>
      <c r="H1606" s="1">
        <v>6.95</v>
      </c>
    </row>
    <row r="1607" spans="1:8">
      <c r="A1607" s="1" t="s">
        <v>772</v>
      </c>
      <c r="B1607" s="1" t="s">
        <v>773</v>
      </c>
      <c r="C1607" s="1" t="s">
        <v>774</v>
      </c>
      <c r="D1607" s="1" t="s">
        <v>2205</v>
      </c>
      <c r="E1607" s="1" t="str">
        <f t="shared" si="25"/>
        <v>W01</v>
      </c>
      <c r="F1607" s="1">
        <v>3.4</v>
      </c>
      <c r="G1607" s="1">
        <v>2.72</v>
      </c>
      <c r="H1607" s="1">
        <v>2.72</v>
      </c>
    </row>
    <row r="1608" spans="1:8">
      <c r="A1608" s="1" t="s">
        <v>772</v>
      </c>
      <c r="B1608" s="1" t="s">
        <v>773</v>
      </c>
      <c r="C1608" s="1" t="s">
        <v>774</v>
      </c>
      <c r="D1608" s="1" t="s">
        <v>2206</v>
      </c>
      <c r="E1608" s="1" t="str">
        <f t="shared" si="25"/>
        <v>W01</v>
      </c>
      <c r="F1608" s="1">
        <v>6.08</v>
      </c>
      <c r="G1608" s="1">
        <v>5.39</v>
      </c>
      <c r="H1608" s="1">
        <v>5.39</v>
      </c>
    </row>
    <row r="1609" spans="1:8">
      <c r="A1609" s="1" t="s">
        <v>772</v>
      </c>
      <c r="B1609" s="1" t="s">
        <v>773</v>
      </c>
      <c r="C1609" s="1" t="s">
        <v>989</v>
      </c>
      <c r="D1609" s="1" t="s">
        <v>2207</v>
      </c>
      <c r="E1609" s="1" t="str">
        <f t="shared" si="25"/>
        <v>W05</v>
      </c>
      <c r="F1609" s="1">
        <v>0</v>
      </c>
      <c r="G1609" s="1">
        <v>0</v>
      </c>
      <c r="H1609" s="1">
        <v>0</v>
      </c>
    </row>
    <row r="1610" spans="1:8">
      <c r="A1610" s="1" t="s">
        <v>772</v>
      </c>
      <c r="B1610" s="1" t="s">
        <v>773</v>
      </c>
      <c r="C1610" s="1" t="s">
        <v>989</v>
      </c>
      <c r="D1610" s="1" t="s">
        <v>2208</v>
      </c>
      <c r="E1610" s="1" t="str">
        <f t="shared" si="25"/>
        <v>W05</v>
      </c>
      <c r="F1610" s="1">
        <v>0</v>
      </c>
      <c r="G1610" s="1">
        <v>0</v>
      </c>
      <c r="H1610" s="1">
        <v>0</v>
      </c>
    </row>
    <row r="1611" spans="1:8">
      <c r="A1611" s="1" t="s">
        <v>772</v>
      </c>
      <c r="B1611" s="1" t="s">
        <v>773</v>
      </c>
      <c r="C1611" s="1" t="s">
        <v>989</v>
      </c>
      <c r="D1611" s="1" t="s">
        <v>2209</v>
      </c>
      <c r="E1611" s="1" t="str">
        <f t="shared" si="25"/>
        <v>W05</v>
      </c>
      <c r="F1611" s="1">
        <v>0</v>
      </c>
      <c r="G1611" s="1">
        <v>0</v>
      </c>
      <c r="H1611" s="1">
        <v>0</v>
      </c>
    </row>
    <row r="1612" spans="1:8">
      <c r="A1612" s="1" t="s">
        <v>772</v>
      </c>
      <c r="B1612" s="1" t="s">
        <v>773</v>
      </c>
      <c r="C1612" s="1" t="s">
        <v>989</v>
      </c>
      <c r="D1612" s="1" t="s">
        <v>2210</v>
      </c>
      <c r="E1612" s="1" t="str">
        <f t="shared" si="25"/>
        <v>W05</v>
      </c>
      <c r="F1612" s="1">
        <v>0</v>
      </c>
      <c r="G1612" s="1">
        <v>0</v>
      </c>
      <c r="H1612" s="1">
        <v>0</v>
      </c>
    </row>
    <row r="1613" spans="1:8">
      <c r="A1613" s="1" t="s">
        <v>772</v>
      </c>
      <c r="B1613" s="1" t="s">
        <v>773</v>
      </c>
      <c r="C1613" s="1" t="s">
        <v>989</v>
      </c>
      <c r="D1613" s="1" t="s">
        <v>2211</v>
      </c>
      <c r="E1613" s="1" t="str">
        <f t="shared" si="25"/>
        <v>W05</v>
      </c>
      <c r="F1613" s="1">
        <v>0</v>
      </c>
      <c r="G1613" s="1">
        <v>0</v>
      </c>
      <c r="H1613" s="1">
        <v>0</v>
      </c>
    </row>
    <row r="1614" spans="1:8">
      <c r="A1614" s="1" t="s">
        <v>772</v>
      </c>
      <c r="B1614" s="1" t="s">
        <v>773</v>
      </c>
      <c r="C1614" s="1" t="s">
        <v>989</v>
      </c>
      <c r="D1614" s="1" t="s">
        <v>2212</v>
      </c>
      <c r="E1614" s="1" t="str">
        <f t="shared" si="25"/>
        <v>W05</v>
      </c>
      <c r="F1614" s="1">
        <v>0</v>
      </c>
      <c r="G1614" s="1">
        <v>0</v>
      </c>
      <c r="H1614" s="1">
        <v>0</v>
      </c>
    </row>
    <row r="1615" spans="1:8">
      <c r="A1615" s="1" t="s">
        <v>772</v>
      </c>
      <c r="B1615" s="1" t="s">
        <v>773</v>
      </c>
      <c r="C1615" s="1" t="s">
        <v>989</v>
      </c>
      <c r="D1615" s="1" t="s">
        <v>2213</v>
      </c>
      <c r="E1615" s="1" t="str">
        <f t="shared" si="25"/>
        <v>W05</v>
      </c>
      <c r="F1615" s="1">
        <v>0</v>
      </c>
      <c r="G1615" s="1">
        <v>0</v>
      </c>
      <c r="H1615" s="1">
        <v>0</v>
      </c>
    </row>
    <row r="1616" spans="1:8">
      <c r="A1616" s="1" t="s">
        <v>772</v>
      </c>
      <c r="B1616" s="1" t="s">
        <v>773</v>
      </c>
      <c r="C1616" s="1" t="s">
        <v>989</v>
      </c>
      <c r="D1616" s="1" t="s">
        <v>2214</v>
      </c>
      <c r="E1616" s="1" t="str">
        <f t="shared" si="25"/>
        <v>W05</v>
      </c>
      <c r="F1616" s="1">
        <v>0</v>
      </c>
      <c r="G1616" s="1">
        <v>0</v>
      </c>
      <c r="H1616" s="1">
        <v>0</v>
      </c>
    </row>
    <row r="1617" spans="1:8">
      <c r="A1617" s="1" t="s">
        <v>772</v>
      </c>
      <c r="B1617" s="1" t="s">
        <v>773</v>
      </c>
      <c r="C1617" s="1" t="s">
        <v>989</v>
      </c>
      <c r="D1617" s="1" t="s">
        <v>2215</v>
      </c>
      <c r="E1617" s="1" t="str">
        <f t="shared" si="25"/>
        <v>W05</v>
      </c>
      <c r="F1617" s="1">
        <v>0</v>
      </c>
      <c r="G1617" s="1">
        <v>0</v>
      </c>
      <c r="H1617" s="1">
        <v>0</v>
      </c>
    </row>
    <row r="1618" spans="1:8">
      <c r="A1618" s="1" t="s">
        <v>772</v>
      </c>
      <c r="B1618" s="1" t="s">
        <v>773</v>
      </c>
      <c r="C1618" s="1" t="s">
        <v>989</v>
      </c>
      <c r="D1618" s="1" t="s">
        <v>2216</v>
      </c>
      <c r="E1618" s="1" t="str">
        <f t="shared" si="25"/>
        <v>W05</v>
      </c>
      <c r="F1618" s="1">
        <v>0</v>
      </c>
      <c r="G1618" s="1">
        <v>0</v>
      </c>
      <c r="H1618" s="1">
        <v>0</v>
      </c>
    </row>
    <row r="1619" spans="1:8">
      <c r="A1619" s="1" t="s">
        <v>772</v>
      </c>
      <c r="B1619" s="1" t="s">
        <v>773</v>
      </c>
      <c r="C1619" s="1" t="s">
        <v>774</v>
      </c>
      <c r="D1619" s="1" t="s">
        <v>2217</v>
      </c>
      <c r="E1619" s="1" t="str">
        <f t="shared" si="25"/>
        <v>W01</v>
      </c>
      <c r="F1619" s="1">
        <v>0</v>
      </c>
      <c r="G1619" s="1">
        <v>0</v>
      </c>
      <c r="H1619" s="1">
        <v>0</v>
      </c>
    </row>
    <row r="1620" spans="1:8">
      <c r="A1620" s="1" t="s">
        <v>772</v>
      </c>
      <c r="B1620" s="1" t="s">
        <v>773</v>
      </c>
      <c r="C1620" s="1" t="s">
        <v>989</v>
      </c>
      <c r="D1620" s="1" t="s">
        <v>2218</v>
      </c>
      <c r="E1620" s="1" t="str">
        <f t="shared" si="25"/>
        <v>W05</v>
      </c>
      <c r="F1620" s="1">
        <v>0</v>
      </c>
      <c r="G1620" s="1">
        <v>0</v>
      </c>
      <c r="H1620" s="1">
        <v>0</v>
      </c>
    </row>
    <row r="1621" spans="1:8">
      <c r="A1621" s="1" t="s">
        <v>772</v>
      </c>
      <c r="B1621" s="1" t="s">
        <v>773</v>
      </c>
      <c r="C1621" s="1" t="s">
        <v>989</v>
      </c>
      <c r="D1621" s="1" t="s">
        <v>2219</v>
      </c>
      <c r="E1621" s="1" t="str">
        <f t="shared" si="25"/>
        <v>W05</v>
      </c>
      <c r="F1621" s="1">
        <v>0</v>
      </c>
      <c r="G1621" s="1">
        <v>0</v>
      </c>
      <c r="H1621" s="1">
        <v>0</v>
      </c>
    </row>
    <row r="1622" spans="1:8">
      <c r="A1622" s="1" t="s">
        <v>772</v>
      </c>
      <c r="B1622" s="1" t="s">
        <v>773</v>
      </c>
      <c r="C1622" s="1" t="s">
        <v>989</v>
      </c>
      <c r="D1622" s="1" t="s">
        <v>2220</v>
      </c>
      <c r="E1622" s="1" t="str">
        <f t="shared" si="25"/>
        <v>W05</v>
      </c>
      <c r="F1622" s="1">
        <v>0</v>
      </c>
      <c r="G1622" s="1">
        <v>0</v>
      </c>
      <c r="H1622" s="1">
        <v>0</v>
      </c>
    </row>
    <row r="1623" spans="1:8">
      <c r="A1623" s="1" t="s">
        <v>772</v>
      </c>
      <c r="B1623" s="1" t="s">
        <v>773</v>
      </c>
      <c r="C1623" s="1" t="s">
        <v>904</v>
      </c>
      <c r="D1623" s="1" t="s">
        <v>2221</v>
      </c>
      <c r="E1623" s="1" t="str">
        <f t="shared" si="25"/>
        <v>W03</v>
      </c>
      <c r="F1623" s="1">
        <v>0</v>
      </c>
      <c r="G1623" s="1">
        <v>0</v>
      </c>
      <c r="H1623" s="1">
        <v>0</v>
      </c>
    </row>
    <row r="1624" spans="1:8">
      <c r="A1624" s="1" t="s">
        <v>772</v>
      </c>
      <c r="B1624" s="1" t="s">
        <v>773</v>
      </c>
      <c r="C1624" s="1" t="s">
        <v>904</v>
      </c>
      <c r="D1624" s="1" t="s">
        <v>2222</v>
      </c>
      <c r="E1624" s="1" t="str">
        <f t="shared" si="25"/>
        <v>W03</v>
      </c>
      <c r="F1624" s="1">
        <v>0</v>
      </c>
      <c r="G1624" s="1">
        <v>0</v>
      </c>
      <c r="H1624" s="1">
        <v>0</v>
      </c>
    </row>
    <row r="1625" spans="1:8">
      <c r="A1625" s="1" t="s">
        <v>772</v>
      </c>
      <c r="B1625" s="1" t="s">
        <v>773</v>
      </c>
      <c r="C1625" s="1" t="s">
        <v>1002</v>
      </c>
      <c r="D1625" s="1" t="s">
        <v>2223</v>
      </c>
      <c r="E1625" s="1" t="str">
        <f t="shared" si="25"/>
        <v>W06</v>
      </c>
      <c r="F1625" s="1">
        <v>0</v>
      </c>
      <c r="G1625" s="1">
        <v>0</v>
      </c>
      <c r="H1625" s="1">
        <v>0</v>
      </c>
    </row>
    <row r="1626" spans="1:8">
      <c r="A1626" s="1" t="s">
        <v>772</v>
      </c>
      <c r="B1626" s="1" t="s">
        <v>773</v>
      </c>
      <c r="C1626" s="1" t="s">
        <v>1002</v>
      </c>
      <c r="D1626" s="1" t="s">
        <v>2224</v>
      </c>
      <c r="E1626" s="1" t="str">
        <f t="shared" si="25"/>
        <v>W06</v>
      </c>
      <c r="F1626" s="1">
        <v>0</v>
      </c>
      <c r="G1626" s="1">
        <v>0</v>
      </c>
      <c r="H1626" s="1">
        <v>0</v>
      </c>
    </row>
    <row r="1627" spans="1:8">
      <c r="A1627" s="1" t="s">
        <v>772</v>
      </c>
      <c r="B1627" s="1" t="s">
        <v>773</v>
      </c>
      <c r="C1627" s="1" t="s">
        <v>1002</v>
      </c>
      <c r="D1627" s="1" t="s">
        <v>2225</v>
      </c>
      <c r="E1627" s="1" t="str">
        <f t="shared" si="25"/>
        <v>W06</v>
      </c>
      <c r="F1627" s="1">
        <v>0</v>
      </c>
      <c r="G1627" s="1">
        <v>0</v>
      </c>
      <c r="H1627" s="1">
        <v>0</v>
      </c>
    </row>
    <row r="1628" spans="1:8">
      <c r="A1628" s="1" t="s">
        <v>772</v>
      </c>
      <c r="B1628" s="1" t="s">
        <v>773</v>
      </c>
      <c r="C1628" s="1" t="s">
        <v>989</v>
      </c>
      <c r="D1628" s="1" t="s">
        <v>2226</v>
      </c>
      <c r="E1628" s="1" t="str">
        <f t="shared" si="25"/>
        <v>W05</v>
      </c>
      <c r="F1628" s="1">
        <v>0</v>
      </c>
      <c r="G1628" s="1">
        <v>0</v>
      </c>
      <c r="H1628" s="1">
        <v>0</v>
      </c>
    </row>
    <row r="1629" spans="1:8">
      <c r="A1629" s="1" t="s">
        <v>772</v>
      </c>
      <c r="B1629" s="1" t="s">
        <v>773</v>
      </c>
      <c r="C1629" s="1" t="s">
        <v>989</v>
      </c>
      <c r="D1629" s="1" t="s">
        <v>2227</v>
      </c>
      <c r="E1629" s="1" t="str">
        <f t="shared" si="25"/>
        <v>W05</v>
      </c>
      <c r="F1629" s="1">
        <v>0</v>
      </c>
      <c r="G1629" s="1">
        <v>0</v>
      </c>
      <c r="H1629" s="1">
        <v>0</v>
      </c>
    </row>
    <row r="1630" spans="1:8">
      <c r="A1630" s="1" t="s">
        <v>772</v>
      </c>
      <c r="B1630" s="1" t="s">
        <v>773</v>
      </c>
      <c r="C1630" s="1" t="s">
        <v>904</v>
      </c>
      <c r="D1630" s="1" t="s">
        <v>2228</v>
      </c>
      <c r="E1630" s="1" t="str">
        <f t="shared" si="25"/>
        <v>W03</v>
      </c>
      <c r="F1630" s="1">
        <v>0</v>
      </c>
      <c r="G1630" s="1">
        <v>0</v>
      </c>
      <c r="H1630" s="1">
        <v>0</v>
      </c>
    </row>
    <row r="1631" spans="1:8">
      <c r="A1631" s="1" t="s">
        <v>772</v>
      </c>
      <c r="B1631" s="1" t="s">
        <v>773</v>
      </c>
      <c r="C1631" s="1" t="s">
        <v>904</v>
      </c>
      <c r="D1631" s="1" t="s">
        <v>2229</v>
      </c>
      <c r="E1631" s="1" t="str">
        <f t="shared" si="25"/>
        <v>W03</v>
      </c>
      <c r="F1631" s="1">
        <v>0</v>
      </c>
      <c r="G1631" s="1">
        <v>0</v>
      </c>
      <c r="H1631" s="1">
        <v>0</v>
      </c>
    </row>
    <row r="1632" spans="1:8">
      <c r="A1632" s="1" t="s">
        <v>772</v>
      </c>
      <c r="B1632" s="1" t="s">
        <v>773</v>
      </c>
      <c r="C1632" s="1" t="s">
        <v>904</v>
      </c>
      <c r="D1632" s="1" t="s">
        <v>2230</v>
      </c>
      <c r="E1632" s="1" t="str">
        <f t="shared" si="25"/>
        <v>W03</v>
      </c>
      <c r="F1632" s="1">
        <v>0</v>
      </c>
      <c r="G1632" s="1">
        <v>0</v>
      </c>
      <c r="H1632" s="1">
        <v>0</v>
      </c>
    </row>
    <row r="1633" spans="1:8">
      <c r="A1633" s="1" t="s">
        <v>772</v>
      </c>
      <c r="B1633" s="1" t="s">
        <v>773</v>
      </c>
      <c r="C1633" s="1" t="s">
        <v>989</v>
      </c>
      <c r="D1633" s="1" t="s">
        <v>2231</v>
      </c>
      <c r="E1633" s="1" t="str">
        <f t="shared" si="25"/>
        <v>W05</v>
      </c>
      <c r="F1633" s="1">
        <v>0</v>
      </c>
      <c r="G1633" s="1">
        <v>0</v>
      </c>
      <c r="H1633" s="1">
        <v>0</v>
      </c>
    </row>
    <row r="1634" spans="1:8">
      <c r="A1634" s="1" t="s">
        <v>772</v>
      </c>
      <c r="B1634" s="1" t="s">
        <v>773</v>
      </c>
      <c r="C1634" s="1" t="s">
        <v>989</v>
      </c>
      <c r="D1634" s="1" t="s">
        <v>2232</v>
      </c>
      <c r="E1634" s="1" t="str">
        <f t="shared" si="25"/>
        <v>W05</v>
      </c>
      <c r="F1634" s="1">
        <v>0</v>
      </c>
      <c r="G1634" s="1">
        <v>0</v>
      </c>
      <c r="H1634" s="1">
        <v>0</v>
      </c>
    </row>
    <row r="1635" spans="1:8">
      <c r="A1635" s="1" t="s">
        <v>772</v>
      </c>
      <c r="B1635" s="1" t="s">
        <v>773</v>
      </c>
      <c r="C1635" s="1" t="s">
        <v>989</v>
      </c>
      <c r="D1635" s="1" t="s">
        <v>2233</v>
      </c>
      <c r="E1635" s="1" t="str">
        <f t="shared" si="25"/>
        <v>W05</v>
      </c>
      <c r="F1635" s="1">
        <v>0</v>
      </c>
      <c r="G1635" s="1">
        <v>0</v>
      </c>
      <c r="H1635" s="1">
        <v>0</v>
      </c>
    </row>
    <row r="1636" spans="1:8">
      <c r="A1636" s="1" t="s">
        <v>772</v>
      </c>
      <c r="B1636" s="1" t="s">
        <v>773</v>
      </c>
      <c r="C1636" s="1" t="s">
        <v>989</v>
      </c>
      <c r="D1636" s="1" t="s">
        <v>2234</v>
      </c>
      <c r="E1636" s="1" t="str">
        <f t="shared" si="25"/>
        <v>W05</v>
      </c>
      <c r="F1636" s="1">
        <v>0</v>
      </c>
      <c r="G1636" s="1">
        <v>0</v>
      </c>
      <c r="H1636" s="1">
        <v>0</v>
      </c>
    </row>
    <row r="1637" spans="1:8">
      <c r="A1637" s="1" t="s">
        <v>772</v>
      </c>
      <c r="B1637" s="1" t="s">
        <v>773</v>
      </c>
      <c r="C1637" s="1" t="s">
        <v>989</v>
      </c>
      <c r="D1637" s="1" t="s">
        <v>2235</v>
      </c>
      <c r="E1637" s="1" t="str">
        <f t="shared" si="25"/>
        <v>W05</v>
      </c>
      <c r="F1637" s="1">
        <v>0</v>
      </c>
      <c r="G1637" s="1">
        <v>0</v>
      </c>
      <c r="H1637" s="1">
        <v>0</v>
      </c>
    </row>
    <row r="1638" spans="1:8">
      <c r="A1638" s="1" t="s">
        <v>772</v>
      </c>
      <c r="B1638" s="1" t="s">
        <v>773</v>
      </c>
      <c r="C1638" s="1" t="s">
        <v>989</v>
      </c>
      <c r="D1638" s="1" t="s">
        <v>2236</v>
      </c>
      <c r="E1638" s="1" t="str">
        <f t="shared" si="25"/>
        <v>W05</v>
      </c>
      <c r="F1638" s="1">
        <v>0</v>
      </c>
      <c r="G1638" s="1">
        <v>0</v>
      </c>
      <c r="H1638" s="1">
        <v>0</v>
      </c>
    </row>
    <row r="1639" spans="1:8">
      <c r="A1639" s="1" t="s">
        <v>772</v>
      </c>
      <c r="B1639" s="1" t="s">
        <v>773</v>
      </c>
      <c r="C1639" s="1" t="s">
        <v>989</v>
      </c>
      <c r="D1639" s="1" t="s">
        <v>2237</v>
      </c>
      <c r="E1639" s="1" t="str">
        <f t="shared" si="25"/>
        <v>W05</v>
      </c>
      <c r="F1639" s="1">
        <v>0</v>
      </c>
      <c r="G1639" s="1">
        <v>0</v>
      </c>
      <c r="H1639" s="1">
        <v>0</v>
      </c>
    </row>
    <row r="1640" spans="1:8">
      <c r="A1640" s="1" t="s">
        <v>772</v>
      </c>
      <c r="B1640" s="1" t="s">
        <v>773</v>
      </c>
      <c r="C1640" s="1" t="s">
        <v>989</v>
      </c>
      <c r="D1640" s="1" t="s">
        <v>2238</v>
      </c>
      <c r="E1640" s="1" t="str">
        <f t="shared" si="25"/>
        <v>W05</v>
      </c>
      <c r="F1640" s="1">
        <v>0</v>
      </c>
      <c r="G1640" s="1">
        <v>0</v>
      </c>
      <c r="H1640" s="1">
        <v>0</v>
      </c>
    </row>
    <row r="1641" spans="1:8">
      <c r="A1641" s="1" t="s">
        <v>772</v>
      </c>
      <c r="B1641" s="1" t="s">
        <v>773</v>
      </c>
      <c r="C1641" s="1" t="s">
        <v>989</v>
      </c>
      <c r="D1641" s="1" t="s">
        <v>2239</v>
      </c>
      <c r="E1641" s="1" t="str">
        <f t="shared" si="25"/>
        <v>W05</v>
      </c>
      <c r="F1641" s="1">
        <v>0</v>
      </c>
      <c r="G1641" s="1">
        <v>0</v>
      </c>
      <c r="H1641" s="1">
        <v>0</v>
      </c>
    </row>
    <row r="1642" spans="1:8">
      <c r="A1642" s="1" t="s">
        <v>772</v>
      </c>
      <c r="B1642" s="1" t="s">
        <v>773</v>
      </c>
      <c r="C1642" s="1" t="s">
        <v>989</v>
      </c>
      <c r="D1642" s="1" t="s">
        <v>2240</v>
      </c>
      <c r="E1642" s="1" t="str">
        <f t="shared" si="25"/>
        <v>W05</v>
      </c>
      <c r="F1642" s="1">
        <v>0</v>
      </c>
      <c r="G1642" s="1">
        <v>0</v>
      </c>
      <c r="H1642" s="1">
        <v>0</v>
      </c>
    </row>
    <row r="1643" spans="1:8">
      <c r="A1643" s="1" t="s">
        <v>772</v>
      </c>
      <c r="B1643" s="1" t="s">
        <v>773</v>
      </c>
      <c r="C1643" s="1" t="s">
        <v>989</v>
      </c>
      <c r="D1643" s="1" t="s">
        <v>2241</v>
      </c>
      <c r="E1643" s="1" t="str">
        <f t="shared" si="25"/>
        <v>W05</v>
      </c>
      <c r="F1643" s="1">
        <v>0</v>
      </c>
      <c r="G1643" s="1">
        <v>0</v>
      </c>
      <c r="H1643" s="1">
        <v>0</v>
      </c>
    </row>
    <row r="1644" spans="1:8">
      <c r="A1644" s="1" t="s">
        <v>772</v>
      </c>
      <c r="B1644" s="1" t="s">
        <v>773</v>
      </c>
      <c r="C1644" s="1" t="s">
        <v>989</v>
      </c>
      <c r="D1644" s="1" t="s">
        <v>2242</v>
      </c>
      <c r="E1644" s="1" t="str">
        <f t="shared" si="25"/>
        <v>W05</v>
      </c>
      <c r="F1644" s="1">
        <v>0</v>
      </c>
      <c r="G1644" s="1">
        <v>0</v>
      </c>
      <c r="H1644" s="1">
        <v>0</v>
      </c>
    </row>
    <row r="1645" spans="1:8">
      <c r="A1645" s="1" t="s">
        <v>772</v>
      </c>
      <c r="B1645" s="1" t="s">
        <v>773</v>
      </c>
      <c r="C1645" s="1" t="s">
        <v>989</v>
      </c>
      <c r="D1645" s="1" t="s">
        <v>2243</v>
      </c>
      <c r="E1645" s="1" t="str">
        <f t="shared" si="25"/>
        <v>W05</v>
      </c>
      <c r="F1645" s="1">
        <v>0</v>
      </c>
      <c r="G1645" s="1">
        <v>0</v>
      </c>
      <c r="H1645" s="1">
        <v>0</v>
      </c>
    </row>
    <row r="1646" spans="1:8">
      <c r="A1646" s="1" t="s">
        <v>772</v>
      </c>
      <c r="B1646" s="1" t="s">
        <v>773</v>
      </c>
      <c r="C1646" s="1" t="s">
        <v>989</v>
      </c>
      <c r="D1646" s="1" t="s">
        <v>2244</v>
      </c>
      <c r="E1646" s="1" t="str">
        <f t="shared" si="25"/>
        <v>W05</v>
      </c>
      <c r="F1646" s="1">
        <v>0</v>
      </c>
      <c r="G1646" s="1">
        <v>0</v>
      </c>
      <c r="H1646" s="1">
        <v>0</v>
      </c>
    </row>
    <row r="1647" spans="1:8">
      <c r="A1647" s="1" t="s">
        <v>772</v>
      </c>
      <c r="B1647" s="1" t="s">
        <v>773</v>
      </c>
      <c r="C1647" s="1" t="s">
        <v>989</v>
      </c>
      <c r="D1647" s="1" t="s">
        <v>2245</v>
      </c>
      <c r="E1647" s="1" t="str">
        <f t="shared" si="25"/>
        <v>W05</v>
      </c>
      <c r="F1647" s="1">
        <v>0</v>
      </c>
      <c r="G1647" s="1">
        <v>0</v>
      </c>
      <c r="H1647" s="1">
        <v>0</v>
      </c>
    </row>
    <row r="1648" spans="1:8">
      <c r="A1648" s="1" t="s">
        <v>772</v>
      </c>
      <c r="B1648" s="1" t="s">
        <v>773</v>
      </c>
      <c r="C1648" s="1" t="s">
        <v>989</v>
      </c>
      <c r="D1648" s="1" t="s">
        <v>2246</v>
      </c>
      <c r="E1648" s="1" t="str">
        <f t="shared" si="25"/>
        <v>W05</v>
      </c>
      <c r="F1648" s="1">
        <v>0</v>
      </c>
      <c r="G1648" s="1">
        <v>0</v>
      </c>
      <c r="H1648" s="1">
        <v>0</v>
      </c>
    </row>
    <row r="1649" spans="1:8">
      <c r="A1649" s="1" t="s">
        <v>772</v>
      </c>
      <c r="B1649" s="1" t="s">
        <v>773</v>
      </c>
      <c r="C1649" s="1" t="s">
        <v>989</v>
      </c>
      <c r="D1649" s="1" t="s">
        <v>2247</v>
      </c>
      <c r="E1649" s="1" t="str">
        <f t="shared" si="25"/>
        <v>W05</v>
      </c>
      <c r="F1649" s="1">
        <v>0</v>
      </c>
      <c r="G1649" s="1">
        <v>0</v>
      </c>
      <c r="H1649" s="1">
        <v>0</v>
      </c>
    </row>
    <row r="1650" spans="1:8">
      <c r="A1650" s="1" t="s">
        <v>772</v>
      </c>
      <c r="B1650" s="1" t="s">
        <v>773</v>
      </c>
      <c r="C1650" s="1" t="s">
        <v>1002</v>
      </c>
      <c r="D1650" s="1" t="s">
        <v>2248</v>
      </c>
      <c r="E1650" s="1" t="str">
        <f t="shared" si="25"/>
        <v>W06</v>
      </c>
      <c r="F1650" s="1">
        <v>0</v>
      </c>
      <c r="G1650" s="1">
        <v>0</v>
      </c>
      <c r="H1650" s="1">
        <v>0</v>
      </c>
    </row>
    <row r="1651" spans="1:8">
      <c r="A1651" s="1" t="s">
        <v>772</v>
      </c>
      <c r="B1651" s="1" t="s">
        <v>773</v>
      </c>
      <c r="C1651" s="1" t="s">
        <v>989</v>
      </c>
      <c r="D1651" s="1" t="s">
        <v>2249</v>
      </c>
      <c r="E1651" s="1" t="str">
        <f t="shared" si="25"/>
        <v>W05</v>
      </c>
      <c r="F1651" s="1">
        <v>0</v>
      </c>
      <c r="G1651" s="1">
        <v>0</v>
      </c>
      <c r="H1651" s="1">
        <v>0</v>
      </c>
    </row>
    <row r="1652" spans="1:8">
      <c r="A1652" s="1" t="s">
        <v>772</v>
      </c>
      <c r="B1652" s="1" t="s">
        <v>773</v>
      </c>
      <c r="C1652" s="1" t="s">
        <v>904</v>
      </c>
      <c r="D1652" s="1" t="s">
        <v>2250</v>
      </c>
      <c r="E1652" s="1" t="str">
        <f t="shared" si="25"/>
        <v>W03</v>
      </c>
      <c r="F1652" s="1">
        <v>0</v>
      </c>
      <c r="G1652" s="1">
        <v>0</v>
      </c>
      <c r="H1652" s="1">
        <v>0</v>
      </c>
    </row>
    <row r="1653" spans="1:8">
      <c r="A1653" s="1" t="s">
        <v>772</v>
      </c>
      <c r="B1653" s="1" t="s">
        <v>773</v>
      </c>
      <c r="C1653" s="1" t="s">
        <v>848</v>
      </c>
      <c r="D1653" s="1" t="s">
        <v>2251</v>
      </c>
      <c r="E1653" s="1" t="str">
        <f t="shared" si="25"/>
        <v>W02</v>
      </c>
      <c r="F1653" s="1">
        <v>0</v>
      </c>
      <c r="G1653" s="1">
        <v>0</v>
      </c>
      <c r="H1653" s="1">
        <v>0</v>
      </c>
    </row>
    <row r="1654" spans="1:8">
      <c r="A1654" s="1" t="s">
        <v>772</v>
      </c>
      <c r="B1654" s="1" t="s">
        <v>773</v>
      </c>
      <c r="C1654" s="1" t="s">
        <v>848</v>
      </c>
      <c r="D1654" s="1" t="s">
        <v>2252</v>
      </c>
      <c r="E1654" s="1" t="str">
        <f t="shared" si="25"/>
        <v>W02</v>
      </c>
      <c r="F1654" s="1">
        <v>0</v>
      </c>
      <c r="G1654" s="1">
        <v>0</v>
      </c>
      <c r="H1654" s="1">
        <v>0</v>
      </c>
    </row>
    <row r="1655" spans="1:8">
      <c r="A1655" s="1" t="s">
        <v>772</v>
      </c>
      <c r="B1655" s="1" t="s">
        <v>773</v>
      </c>
      <c r="C1655" s="1" t="s">
        <v>774</v>
      </c>
      <c r="D1655" s="1" t="s">
        <v>2253</v>
      </c>
      <c r="E1655" s="1" t="str">
        <f t="shared" si="25"/>
        <v>W01</v>
      </c>
      <c r="F1655" s="1">
        <v>0</v>
      </c>
      <c r="G1655" s="1">
        <v>0</v>
      </c>
      <c r="H1655" s="1">
        <v>0</v>
      </c>
    </row>
    <row r="1656" spans="1:8">
      <c r="A1656" s="1" t="s">
        <v>772</v>
      </c>
      <c r="B1656" s="1" t="s">
        <v>773</v>
      </c>
      <c r="C1656" s="1" t="s">
        <v>774</v>
      </c>
      <c r="D1656" s="1" t="s">
        <v>2254</v>
      </c>
      <c r="E1656" s="1" t="str">
        <f t="shared" si="25"/>
        <v>W01</v>
      </c>
      <c r="F1656" s="1">
        <v>0</v>
      </c>
      <c r="G1656" s="1">
        <v>0</v>
      </c>
      <c r="H1656" s="1">
        <v>0</v>
      </c>
    </row>
    <row r="1657" spans="1:8">
      <c r="A1657" s="1" t="s">
        <v>772</v>
      </c>
      <c r="B1657" s="1" t="s">
        <v>773</v>
      </c>
      <c r="C1657" s="1" t="s">
        <v>774</v>
      </c>
      <c r="D1657" s="1" t="s">
        <v>2255</v>
      </c>
      <c r="E1657" s="1" t="str">
        <f t="shared" si="25"/>
        <v>W01</v>
      </c>
      <c r="F1657" s="1">
        <v>0</v>
      </c>
      <c r="G1657" s="1">
        <v>0</v>
      </c>
      <c r="H1657" s="1">
        <v>0</v>
      </c>
    </row>
    <row r="1658" spans="1:8">
      <c r="A1658" s="1" t="s">
        <v>772</v>
      </c>
      <c r="B1658" s="1" t="s">
        <v>773</v>
      </c>
      <c r="C1658" s="1" t="s">
        <v>848</v>
      </c>
      <c r="D1658" s="1" t="s">
        <v>2256</v>
      </c>
      <c r="E1658" s="1" t="str">
        <f t="shared" si="25"/>
        <v>W02</v>
      </c>
      <c r="F1658" s="1">
        <v>0</v>
      </c>
      <c r="G1658" s="1">
        <v>0</v>
      </c>
      <c r="H1658" s="1">
        <v>0</v>
      </c>
    </row>
    <row r="1659" spans="1:8">
      <c r="A1659" s="1" t="s">
        <v>772</v>
      </c>
      <c r="B1659" s="1" t="s">
        <v>773</v>
      </c>
      <c r="C1659" s="1" t="s">
        <v>989</v>
      </c>
      <c r="D1659" s="1" t="s">
        <v>2257</v>
      </c>
      <c r="E1659" s="1" t="str">
        <f t="shared" si="25"/>
        <v>W05</v>
      </c>
      <c r="F1659" s="1">
        <v>0</v>
      </c>
      <c r="G1659" s="1">
        <v>0</v>
      </c>
      <c r="H1659" s="1">
        <v>0</v>
      </c>
    </row>
    <row r="1660" spans="1:8">
      <c r="A1660" s="1" t="s">
        <v>772</v>
      </c>
      <c r="B1660" s="1" t="s">
        <v>773</v>
      </c>
      <c r="C1660" s="1" t="s">
        <v>989</v>
      </c>
      <c r="D1660" s="1" t="s">
        <v>2258</v>
      </c>
      <c r="E1660" s="1" t="str">
        <f t="shared" si="25"/>
        <v>W05</v>
      </c>
      <c r="F1660" s="1">
        <v>0</v>
      </c>
      <c r="G1660" s="1">
        <v>0</v>
      </c>
      <c r="H1660" s="1">
        <v>0</v>
      </c>
    </row>
    <row r="1661" spans="1:8">
      <c r="A1661" s="1" t="s">
        <v>772</v>
      </c>
      <c r="B1661" s="1" t="s">
        <v>773</v>
      </c>
      <c r="C1661" s="1" t="s">
        <v>989</v>
      </c>
      <c r="D1661" s="1" t="s">
        <v>2259</v>
      </c>
      <c r="E1661" s="1" t="str">
        <f t="shared" si="25"/>
        <v>W05</v>
      </c>
      <c r="F1661" s="1">
        <v>0</v>
      </c>
      <c r="G1661" s="1">
        <v>0</v>
      </c>
      <c r="H1661" s="1">
        <v>0</v>
      </c>
    </row>
    <row r="1662" spans="1:8">
      <c r="A1662" s="1" t="s">
        <v>772</v>
      </c>
      <c r="B1662" s="1" t="s">
        <v>773</v>
      </c>
      <c r="C1662" s="1" t="s">
        <v>989</v>
      </c>
      <c r="D1662" s="1" t="s">
        <v>2260</v>
      </c>
      <c r="E1662" s="1" t="str">
        <f t="shared" si="25"/>
        <v>W05</v>
      </c>
      <c r="F1662" s="1">
        <v>0</v>
      </c>
      <c r="G1662" s="1">
        <v>0</v>
      </c>
      <c r="H1662" s="1">
        <v>0</v>
      </c>
    </row>
    <row r="1663" spans="1:8">
      <c r="A1663" s="1" t="s">
        <v>772</v>
      </c>
      <c r="B1663" s="1" t="s">
        <v>773</v>
      </c>
      <c r="C1663" s="1" t="s">
        <v>989</v>
      </c>
      <c r="D1663" s="1" t="s">
        <v>2261</v>
      </c>
      <c r="E1663" s="1" t="str">
        <f t="shared" si="25"/>
        <v>W05</v>
      </c>
      <c r="F1663" s="1">
        <v>0</v>
      </c>
      <c r="G1663" s="1">
        <v>0</v>
      </c>
      <c r="H1663" s="1">
        <v>0</v>
      </c>
    </row>
    <row r="1664" spans="1:8">
      <c r="A1664" s="1" t="s">
        <v>772</v>
      </c>
      <c r="B1664" s="1" t="s">
        <v>773</v>
      </c>
      <c r="C1664" s="1" t="s">
        <v>989</v>
      </c>
      <c r="D1664" s="1" t="s">
        <v>2262</v>
      </c>
      <c r="E1664" s="1" t="str">
        <f t="shared" si="25"/>
        <v>W05</v>
      </c>
      <c r="F1664" s="1">
        <v>0</v>
      </c>
      <c r="G1664" s="1">
        <v>0</v>
      </c>
      <c r="H1664" s="1">
        <v>0</v>
      </c>
    </row>
    <row r="1665" spans="1:8">
      <c r="A1665" s="1" t="s">
        <v>772</v>
      </c>
      <c r="B1665" s="1" t="s">
        <v>773</v>
      </c>
      <c r="C1665" s="1" t="s">
        <v>989</v>
      </c>
      <c r="D1665" s="1" t="s">
        <v>2263</v>
      </c>
      <c r="E1665" s="1" t="str">
        <f t="shared" si="25"/>
        <v>W05</v>
      </c>
      <c r="F1665" s="1">
        <v>0</v>
      </c>
      <c r="G1665" s="1">
        <v>0</v>
      </c>
      <c r="H1665" s="1">
        <v>0</v>
      </c>
    </row>
    <row r="1666" spans="1:8">
      <c r="A1666" s="1" t="s">
        <v>772</v>
      </c>
      <c r="B1666" s="1" t="s">
        <v>773</v>
      </c>
      <c r="C1666" s="1" t="s">
        <v>989</v>
      </c>
      <c r="D1666" s="1" t="s">
        <v>2264</v>
      </c>
      <c r="E1666" s="1" t="str">
        <f t="shared" si="25"/>
        <v>W05</v>
      </c>
      <c r="F1666" s="1">
        <v>0</v>
      </c>
      <c r="G1666" s="1">
        <v>0</v>
      </c>
      <c r="H1666" s="1">
        <v>0</v>
      </c>
    </row>
    <row r="1667" spans="1:8">
      <c r="A1667" s="1" t="s">
        <v>772</v>
      </c>
      <c r="B1667" s="1" t="s">
        <v>773</v>
      </c>
      <c r="C1667" s="1" t="s">
        <v>989</v>
      </c>
      <c r="D1667" s="1" t="s">
        <v>2265</v>
      </c>
      <c r="E1667" s="1" t="str">
        <f t="shared" si="25"/>
        <v>W05</v>
      </c>
      <c r="F1667" s="1">
        <v>0</v>
      </c>
      <c r="G1667" s="1">
        <v>0</v>
      </c>
      <c r="H1667" s="1">
        <v>0</v>
      </c>
    </row>
    <row r="1668" spans="1:8">
      <c r="A1668" s="1" t="s">
        <v>772</v>
      </c>
      <c r="B1668" s="1" t="s">
        <v>773</v>
      </c>
      <c r="C1668" s="1" t="s">
        <v>989</v>
      </c>
      <c r="D1668" s="1" t="s">
        <v>2266</v>
      </c>
      <c r="E1668" s="1" t="str">
        <f t="shared" si="25"/>
        <v>W05</v>
      </c>
      <c r="F1668" s="1">
        <v>0</v>
      </c>
      <c r="G1668" s="1">
        <v>0</v>
      </c>
      <c r="H1668" s="1">
        <v>0</v>
      </c>
    </row>
    <row r="1669" spans="1:8">
      <c r="A1669" s="1" t="s">
        <v>772</v>
      </c>
      <c r="B1669" s="1" t="s">
        <v>773</v>
      </c>
      <c r="C1669" s="1" t="s">
        <v>989</v>
      </c>
      <c r="D1669" s="1" t="s">
        <v>2267</v>
      </c>
      <c r="E1669" s="1" t="str">
        <f t="shared" ref="E1669:E1732" si="26">RIGHT(C1669,3)</f>
        <v>W05</v>
      </c>
      <c r="F1669" s="1">
        <v>0</v>
      </c>
      <c r="G1669" s="1">
        <v>0</v>
      </c>
      <c r="H1669" s="1">
        <v>0</v>
      </c>
    </row>
    <row r="1670" spans="1:8">
      <c r="A1670" s="1" t="s">
        <v>772</v>
      </c>
      <c r="B1670" s="1" t="s">
        <v>773</v>
      </c>
      <c r="C1670" s="1" t="s">
        <v>989</v>
      </c>
      <c r="D1670" s="1" t="s">
        <v>2268</v>
      </c>
      <c r="E1670" s="1" t="str">
        <f t="shared" si="26"/>
        <v>W05</v>
      </c>
      <c r="F1670" s="1">
        <v>0</v>
      </c>
      <c r="G1670" s="1">
        <v>0</v>
      </c>
      <c r="H1670" s="1">
        <v>0</v>
      </c>
    </row>
    <row r="1671" spans="1:8">
      <c r="A1671" s="1" t="s">
        <v>772</v>
      </c>
      <c r="B1671" s="1" t="s">
        <v>773</v>
      </c>
      <c r="C1671" s="1" t="s">
        <v>989</v>
      </c>
      <c r="D1671" s="1" t="s">
        <v>2269</v>
      </c>
      <c r="E1671" s="1" t="str">
        <f t="shared" si="26"/>
        <v>W05</v>
      </c>
      <c r="F1671" s="1">
        <v>0</v>
      </c>
      <c r="G1671" s="1">
        <v>0</v>
      </c>
      <c r="H1671" s="1">
        <v>0</v>
      </c>
    </row>
    <row r="1672" spans="1:8">
      <c r="A1672" s="1" t="s">
        <v>772</v>
      </c>
      <c r="B1672" s="1" t="s">
        <v>773</v>
      </c>
      <c r="C1672" s="1" t="s">
        <v>904</v>
      </c>
      <c r="D1672" s="1" t="s">
        <v>692</v>
      </c>
      <c r="E1672" s="1" t="str">
        <f t="shared" si="26"/>
        <v>W03</v>
      </c>
      <c r="F1672" s="1">
        <v>4.6500000000000004</v>
      </c>
      <c r="G1672" s="1">
        <v>3.8</v>
      </c>
      <c r="H1672" s="1">
        <v>3.8</v>
      </c>
    </row>
    <row r="1673" spans="1:8">
      <c r="A1673" s="1" t="s">
        <v>772</v>
      </c>
      <c r="B1673" s="1" t="s">
        <v>773</v>
      </c>
      <c r="C1673" s="1" t="s">
        <v>858</v>
      </c>
      <c r="D1673" s="1" t="s">
        <v>45</v>
      </c>
      <c r="E1673" s="1" t="str">
        <f t="shared" si="26"/>
        <v>W04</v>
      </c>
      <c r="F1673" s="1">
        <v>10.66</v>
      </c>
      <c r="G1673" s="1">
        <v>8.17</v>
      </c>
      <c r="H1673" s="1">
        <v>8.17</v>
      </c>
    </row>
    <row r="1674" spans="1:8">
      <c r="A1674" s="1" t="s">
        <v>772</v>
      </c>
      <c r="B1674" s="1" t="s">
        <v>773</v>
      </c>
      <c r="C1674" s="1" t="s">
        <v>989</v>
      </c>
      <c r="D1674" s="1" t="s">
        <v>2270</v>
      </c>
      <c r="E1674" s="1" t="str">
        <f t="shared" si="26"/>
        <v>W05</v>
      </c>
      <c r="F1674" s="1">
        <v>0</v>
      </c>
      <c r="G1674" s="1">
        <v>0</v>
      </c>
      <c r="H1674" s="1">
        <v>0</v>
      </c>
    </row>
    <row r="1675" spans="1:8">
      <c r="A1675" s="1" t="s">
        <v>772</v>
      </c>
      <c r="B1675" s="1" t="s">
        <v>773</v>
      </c>
      <c r="C1675" s="1" t="s">
        <v>989</v>
      </c>
      <c r="D1675" s="1" t="s">
        <v>2271</v>
      </c>
      <c r="E1675" s="1" t="str">
        <f t="shared" si="26"/>
        <v>W05</v>
      </c>
      <c r="F1675" s="1">
        <v>0</v>
      </c>
      <c r="G1675" s="1">
        <v>0</v>
      </c>
      <c r="H1675" s="1">
        <v>0</v>
      </c>
    </row>
    <row r="1676" spans="1:8">
      <c r="A1676" s="1" t="s">
        <v>772</v>
      </c>
      <c r="B1676" s="1" t="s">
        <v>773</v>
      </c>
      <c r="C1676" s="1" t="s">
        <v>989</v>
      </c>
      <c r="D1676" s="1" t="s">
        <v>2272</v>
      </c>
      <c r="E1676" s="1" t="str">
        <f t="shared" si="26"/>
        <v>W05</v>
      </c>
      <c r="F1676" s="1">
        <v>0</v>
      </c>
      <c r="G1676" s="1">
        <v>0</v>
      </c>
      <c r="H1676" s="1">
        <v>0</v>
      </c>
    </row>
    <row r="1677" spans="1:8">
      <c r="A1677" s="1" t="s">
        <v>772</v>
      </c>
      <c r="B1677" s="1" t="s">
        <v>773</v>
      </c>
      <c r="C1677" s="1" t="s">
        <v>989</v>
      </c>
      <c r="D1677" s="1" t="s">
        <v>2273</v>
      </c>
      <c r="E1677" s="1" t="str">
        <f t="shared" si="26"/>
        <v>W05</v>
      </c>
      <c r="F1677" s="1">
        <v>0</v>
      </c>
      <c r="G1677" s="1">
        <v>0</v>
      </c>
      <c r="H1677" s="1">
        <v>0</v>
      </c>
    </row>
    <row r="1678" spans="1:8">
      <c r="A1678" s="1" t="s">
        <v>772</v>
      </c>
      <c r="B1678" s="1" t="s">
        <v>773</v>
      </c>
      <c r="C1678" s="1" t="s">
        <v>989</v>
      </c>
      <c r="D1678" s="1" t="s">
        <v>2274</v>
      </c>
      <c r="E1678" s="1" t="str">
        <f t="shared" si="26"/>
        <v>W05</v>
      </c>
      <c r="F1678" s="1">
        <v>0</v>
      </c>
      <c r="G1678" s="1">
        <v>0</v>
      </c>
      <c r="H1678" s="1">
        <v>0</v>
      </c>
    </row>
    <row r="1679" spans="1:8">
      <c r="A1679" s="1" t="s">
        <v>772</v>
      </c>
      <c r="B1679" s="1" t="s">
        <v>773</v>
      </c>
      <c r="C1679" s="1" t="s">
        <v>989</v>
      </c>
      <c r="D1679" s="1" t="s">
        <v>2275</v>
      </c>
      <c r="E1679" s="1" t="str">
        <f t="shared" si="26"/>
        <v>W05</v>
      </c>
      <c r="F1679" s="1">
        <v>0</v>
      </c>
      <c r="G1679" s="1">
        <v>0</v>
      </c>
      <c r="H1679" s="1">
        <v>0</v>
      </c>
    </row>
    <row r="1680" spans="1:8">
      <c r="A1680" s="1" t="s">
        <v>772</v>
      </c>
      <c r="B1680" s="1" t="s">
        <v>773</v>
      </c>
      <c r="C1680" s="1" t="s">
        <v>989</v>
      </c>
      <c r="D1680" s="1" t="s">
        <v>2276</v>
      </c>
      <c r="E1680" s="1" t="str">
        <f t="shared" si="26"/>
        <v>W05</v>
      </c>
      <c r="F1680" s="1">
        <v>0</v>
      </c>
      <c r="G1680" s="1">
        <v>0</v>
      </c>
      <c r="H1680" s="1">
        <v>0</v>
      </c>
    </row>
    <row r="1681" spans="1:8">
      <c r="A1681" s="1" t="s">
        <v>772</v>
      </c>
      <c r="B1681" s="1" t="s">
        <v>773</v>
      </c>
      <c r="C1681" s="1" t="s">
        <v>989</v>
      </c>
      <c r="D1681" s="1" t="s">
        <v>2277</v>
      </c>
      <c r="E1681" s="1" t="str">
        <f t="shared" si="26"/>
        <v>W05</v>
      </c>
      <c r="F1681" s="1">
        <v>0</v>
      </c>
      <c r="G1681" s="1">
        <v>0</v>
      </c>
      <c r="H1681" s="1">
        <v>0</v>
      </c>
    </row>
    <row r="1682" spans="1:8">
      <c r="A1682" s="1" t="s">
        <v>772</v>
      </c>
      <c r="B1682" s="1" t="s">
        <v>773</v>
      </c>
      <c r="C1682" s="1" t="s">
        <v>904</v>
      </c>
      <c r="D1682" s="1" t="s">
        <v>2278</v>
      </c>
      <c r="E1682" s="1" t="str">
        <f t="shared" si="26"/>
        <v>W03</v>
      </c>
      <c r="F1682" s="1">
        <v>3.6</v>
      </c>
      <c r="G1682" s="1">
        <v>3.13</v>
      </c>
      <c r="H1682" s="1">
        <v>3.13</v>
      </c>
    </row>
    <row r="1683" spans="1:8">
      <c r="A1683" s="1" t="s">
        <v>772</v>
      </c>
      <c r="B1683" s="1" t="s">
        <v>773</v>
      </c>
      <c r="C1683" s="1" t="s">
        <v>904</v>
      </c>
      <c r="D1683" s="1" t="s">
        <v>2279</v>
      </c>
      <c r="E1683" s="1" t="str">
        <f t="shared" si="26"/>
        <v>W03</v>
      </c>
      <c r="F1683" s="1">
        <v>2.1</v>
      </c>
      <c r="G1683" s="1">
        <v>1.71</v>
      </c>
      <c r="H1683" s="1">
        <v>1.71</v>
      </c>
    </row>
    <row r="1684" spans="1:8">
      <c r="A1684" s="1" t="s">
        <v>772</v>
      </c>
      <c r="B1684" s="1" t="s">
        <v>917</v>
      </c>
      <c r="C1684" s="1" t="s">
        <v>904</v>
      </c>
      <c r="D1684" s="1" t="s">
        <v>2280</v>
      </c>
      <c r="E1684" s="1" t="str">
        <f t="shared" si="26"/>
        <v>W03</v>
      </c>
      <c r="F1684" s="1">
        <v>20.2</v>
      </c>
      <c r="G1684" s="1">
        <v>16.829999999999998</v>
      </c>
      <c r="H1684" s="1">
        <v>16.829999999999998</v>
      </c>
    </row>
    <row r="1685" spans="1:8">
      <c r="A1685" s="1" t="s">
        <v>772</v>
      </c>
      <c r="B1685" s="1" t="s">
        <v>773</v>
      </c>
      <c r="C1685" s="1" t="s">
        <v>989</v>
      </c>
      <c r="D1685" s="1" t="s">
        <v>2281</v>
      </c>
      <c r="E1685" s="1" t="str">
        <f t="shared" si="26"/>
        <v>W05</v>
      </c>
      <c r="F1685" s="1">
        <v>0</v>
      </c>
      <c r="G1685" s="1">
        <v>0</v>
      </c>
      <c r="H1685" s="1">
        <v>0</v>
      </c>
    </row>
    <row r="1686" spans="1:8">
      <c r="A1686" s="1" t="s">
        <v>772</v>
      </c>
      <c r="B1686" s="1" t="s">
        <v>773</v>
      </c>
      <c r="C1686" s="1" t="s">
        <v>989</v>
      </c>
      <c r="D1686" s="1" t="s">
        <v>2282</v>
      </c>
      <c r="E1686" s="1" t="str">
        <f t="shared" si="26"/>
        <v>W05</v>
      </c>
      <c r="F1686" s="1">
        <v>0</v>
      </c>
      <c r="G1686" s="1">
        <v>0</v>
      </c>
      <c r="H1686" s="1">
        <v>0</v>
      </c>
    </row>
    <row r="1687" spans="1:8">
      <c r="A1687" s="1" t="s">
        <v>772</v>
      </c>
      <c r="B1687" s="1" t="s">
        <v>773</v>
      </c>
      <c r="C1687" s="1" t="s">
        <v>989</v>
      </c>
      <c r="D1687" s="1" t="s">
        <v>2283</v>
      </c>
      <c r="E1687" s="1" t="str">
        <f t="shared" si="26"/>
        <v>W05</v>
      </c>
      <c r="F1687" s="1">
        <v>0</v>
      </c>
      <c r="G1687" s="1">
        <v>0</v>
      </c>
      <c r="H1687" s="1">
        <v>0</v>
      </c>
    </row>
    <row r="1688" spans="1:8">
      <c r="A1688" s="1" t="s">
        <v>772</v>
      </c>
      <c r="B1688" s="1" t="s">
        <v>773</v>
      </c>
      <c r="C1688" s="1" t="s">
        <v>989</v>
      </c>
      <c r="D1688" s="1" t="s">
        <v>2284</v>
      </c>
      <c r="E1688" s="1" t="str">
        <f t="shared" si="26"/>
        <v>W05</v>
      </c>
      <c r="F1688" s="1">
        <v>0</v>
      </c>
      <c r="G1688" s="1">
        <v>0</v>
      </c>
      <c r="H1688" s="1">
        <v>0</v>
      </c>
    </row>
    <row r="1689" spans="1:8">
      <c r="A1689" s="1" t="s">
        <v>772</v>
      </c>
      <c r="B1689" s="1" t="s">
        <v>917</v>
      </c>
      <c r="C1689" s="1" t="s">
        <v>904</v>
      </c>
      <c r="D1689" s="1" t="s">
        <v>2285</v>
      </c>
      <c r="E1689" s="1" t="str">
        <f t="shared" si="26"/>
        <v>W03</v>
      </c>
      <c r="F1689" s="1">
        <v>3.65</v>
      </c>
      <c r="G1689" s="1">
        <v>2.95</v>
      </c>
      <c r="H1689" s="1">
        <v>2.95</v>
      </c>
    </row>
    <row r="1690" spans="1:8">
      <c r="A1690" s="1" t="s">
        <v>772</v>
      </c>
      <c r="B1690" s="1" t="s">
        <v>773</v>
      </c>
      <c r="C1690" s="1" t="s">
        <v>989</v>
      </c>
      <c r="D1690" s="1" t="s">
        <v>2286</v>
      </c>
      <c r="E1690" s="1" t="str">
        <f t="shared" si="26"/>
        <v>W05</v>
      </c>
      <c r="F1690" s="1">
        <v>0</v>
      </c>
      <c r="G1690" s="1">
        <v>0</v>
      </c>
      <c r="H1690" s="1">
        <v>0</v>
      </c>
    </row>
    <row r="1691" spans="1:8">
      <c r="A1691" s="1" t="s">
        <v>772</v>
      </c>
      <c r="B1691" s="1" t="s">
        <v>773</v>
      </c>
      <c r="C1691" s="1" t="s">
        <v>989</v>
      </c>
      <c r="D1691" s="1" t="s">
        <v>2287</v>
      </c>
      <c r="E1691" s="1" t="str">
        <f t="shared" si="26"/>
        <v>W05</v>
      </c>
      <c r="F1691" s="1">
        <v>0</v>
      </c>
      <c r="G1691" s="1">
        <v>0</v>
      </c>
      <c r="H1691" s="1">
        <v>0</v>
      </c>
    </row>
    <row r="1692" spans="1:8">
      <c r="A1692" s="1" t="s">
        <v>772</v>
      </c>
      <c r="B1692" s="1" t="s">
        <v>773</v>
      </c>
      <c r="C1692" s="1" t="s">
        <v>989</v>
      </c>
      <c r="D1692" s="1" t="s">
        <v>2288</v>
      </c>
      <c r="E1692" s="1" t="str">
        <f t="shared" si="26"/>
        <v>W05</v>
      </c>
      <c r="F1692" s="1">
        <v>0</v>
      </c>
      <c r="G1692" s="1">
        <v>0</v>
      </c>
      <c r="H1692" s="1">
        <v>0</v>
      </c>
    </row>
    <row r="1693" spans="1:8">
      <c r="A1693" s="1" t="s">
        <v>772</v>
      </c>
      <c r="B1693" s="1" t="s">
        <v>773</v>
      </c>
      <c r="C1693" s="1" t="s">
        <v>989</v>
      </c>
      <c r="D1693" s="1" t="s">
        <v>2289</v>
      </c>
      <c r="E1693" s="1" t="str">
        <f t="shared" si="26"/>
        <v>W05</v>
      </c>
      <c r="F1693" s="1">
        <v>0</v>
      </c>
      <c r="G1693" s="1">
        <v>0</v>
      </c>
      <c r="H1693" s="1">
        <v>0</v>
      </c>
    </row>
    <row r="1694" spans="1:8">
      <c r="A1694" s="1" t="s">
        <v>772</v>
      </c>
      <c r="B1694" s="1" t="s">
        <v>773</v>
      </c>
      <c r="C1694" s="1" t="s">
        <v>989</v>
      </c>
      <c r="D1694" s="1" t="s">
        <v>2290</v>
      </c>
      <c r="E1694" s="1" t="str">
        <f t="shared" si="26"/>
        <v>W05</v>
      </c>
      <c r="F1694" s="1">
        <v>0</v>
      </c>
      <c r="G1694" s="1">
        <v>0</v>
      </c>
      <c r="H1694" s="1">
        <v>0</v>
      </c>
    </row>
    <row r="1695" spans="1:8">
      <c r="A1695" s="1" t="s">
        <v>772</v>
      </c>
      <c r="B1695" s="1" t="s">
        <v>773</v>
      </c>
      <c r="C1695" s="1" t="s">
        <v>989</v>
      </c>
      <c r="D1695" s="1" t="s">
        <v>2291</v>
      </c>
      <c r="E1695" s="1" t="str">
        <f t="shared" si="26"/>
        <v>W05</v>
      </c>
      <c r="F1695" s="1">
        <v>0</v>
      </c>
      <c r="G1695" s="1">
        <v>0</v>
      </c>
      <c r="H1695" s="1">
        <v>0</v>
      </c>
    </row>
    <row r="1696" spans="1:8">
      <c r="A1696" s="1" t="s">
        <v>772</v>
      </c>
      <c r="B1696" s="1" t="s">
        <v>773</v>
      </c>
      <c r="C1696" s="1" t="s">
        <v>989</v>
      </c>
      <c r="D1696" s="1" t="s">
        <v>2292</v>
      </c>
      <c r="E1696" s="1" t="str">
        <f t="shared" si="26"/>
        <v>W05</v>
      </c>
      <c r="F1696" s="1">
        <v>0</v>
      </c>
      <c r="G1696" s="1">
        <v>0</v>
      </c>
      <c r="H1696" s="1">
        <v>0</v>
      </c>
    </row>
    <row r="1697" spans="1:8">
      <c r="A1697" s="1" t="s">
        <v>772</v>
      </c>
      <c r="B1697" s="1" t="s">
        <v>773</v>
      </c>
      <c r="C1697" s="1" t="s">
        <v>989</v>
      </c>
      <c r="D1697" s="1" t="s">
        <v>2293</v>
      </c>
      <c r="E1697" s="1" t="str">
        <f t="shared" si="26"/>
        <v>W05</v>
      </c>
      <c r="F1697" s="1">
        <v>0</v>
      </c>
      <c r="G1697" s="1">
        <v>0</v>
      </c>
      <c r="H1697" s="1">
        <v>0</v>
      </c>
    </row>
    <row r="1698" spans="1:8">
      <c r="A1698" s="1" t="s">
        <v>772</v>
      </c>
      <c r="B1698" s="1" t="s">
        <v>773</v>
      </c>
      <c r="C1698" s="1" t="s">
        <v>989</v>
      </c>
      <c r="D1698" s="1" t="s">
        <v>2294</v>
      </c>
      <c r="E1698" s="1" t="str">
        <f t="shared" si="26"/>
        <v>W05</v>
      </c>
      <c r="F1698" s="1">
        <v>0</v>
      </c>
      <c r="G1698" s="1">
        <v>0</v>
      </c>
      <c r="H1698" s="1">
        <v>0</v>
      </c>
    </row>
    <row r="1699" spans="1:8">
      <c r="A1699" s="1" t="s">
        <v>772</v>
      </c>
      <c r="B1699" s="1" t="s">
        <v>773</v>
      </c>
      <c r="C1699" s="1" t="s">
        <v>989</v>
      </c>
      <c r="D1699" s="1" t="s">
        <v>2295</v>
      </c>
      <c r="E1699" s="1" t="str">
        <f t="shared" si="26"/>
        <v>W05</v>
      </c>
      <c r="F1699" s="1">
        <v>0</v>
      </c>
      <c r="G1699" s="1">
        <v>0</v>
      </c>
      <c r="H1699" s="1">
        <v>0</v>
      </c>
    </row>
    <row r="1700" spans="1:8">
      <c r="A1700" s="1" t="s">
        <v>772</v>
      </c>
      <c r="B1700" s="1" t="s">
        <v>773</v>
      </c>
      <c r="C1700" s="1" t="s">
        <v>989</v>
      </c>
      <c r="D1700" s="1" t="s">
        <v>2296</v>
      </c>
      <c r="E1700" s="1" t="str">
        <f t="shared" si="26"/>
        <v>W05</v>
      </c>
      <c r="F1700" s="1">
        <v>0</v>
      </c>
      <c r="G1700" s="1">
        <v>0</v>
      </c>
      <c r="H1700" s="1">
        <v>0</v>
      </c>
    </row>
    <row r="1701" spans="1:8">
      <c r="A1701" s="1" t="s">
        <v>772</v>
      </c>
      <c r="B1701" s="1" t="s">
        <v>773</v>
      </c>
      <c r="C1701" s="1" t="s">
        <v>989</v>
      </c>
      <c r="D1701" s="1" t="s">
        <v>2297</v>
      </c>
      <c r="E1701" s="1" t="str">
        <f t="shared" si="26"/>
        <v>W05</v>
      </c>
      <c r="F1701" s="1">
        <v>0</v>
      </c>
      <c r="G1701" s="1">
        <v>0</v>
      </c>
      <c r="H1701" s="1">
        <v>0</v>
      </c>
    </row>
    <row r="1702" spans="1:8">
      <c r="A1702" s="1" t="s">
        <v>772</v>
      </c>
      <c r="B1702" s="1" t="s">
        <v>773</v>
      </c>
      <c r="C1702" s="1" t="s">
        <v>989</v>
      </c>
      <c r="D1702" s="1" t="s">
        <v>2298</v>
      </c>
      <c r="E1702" s="1" t="str">
        <f t="shared" si="26"/>
        <v>W05</v>
      </c>
      <c r="F1702" s="1">
        <v>0</v>
      </c>
      <c r="G1702" s="1">
        <v>0</v>
      </c>
      <c r="H1702" s="1">
        <v>0</v>
      </c>
    </row>
    <row r="1703" spans="1:8">
      <c r="A1703" s="1" t="s">
        <v>772</v>
      </c>
      <c r="B1703" s="1" t="s">
        <v>773</v>
      </c>
      <c r="C1703" s="1" t="s">
        <v>989</v>
      </c>
      <c r="D1703" s="1" t="s">
        <v>2299</v>
      </c>
      <c r="E1703" s="1" t="str">
        <f t="shared" si="26"/>
        <v>W05</v>
      </c>
      <c r="F1703" s="1">
        <v>0</v>
      </c>
      <c r="G1703" s="1">
        <v>0</v>
      </c>
      <c r="H1703" s="1">
        <v>0</v>
      </c>
    </row>
    <row r="1704" spans="1:8">
      <c r="A1704" s="1" t="s">
        <v>772</v>
      </c>
      <c r="B1704" s="1" t="s">
        <v>773</v>
      </c>
      <c r="C1704" s="1" t="s">
        <v>989</v>
      </c>
      <c r="D1704" s="1" t="s">
        <v>2300</v>
      </c>
      <c r="E1704" s="1" t="str">
        <f t="shared" si="26"/>
        <v>W05</v>
      </c>
      <c r="F1704" s="1">
        <v>0</v>
      </c>
      <c r="G1704" s="1">
        <v>0</v>
      </c>
      <c r="H1704" s="1">
        <v>0</v>
      </c>
    </row>
    <row r="1705" spans="1:8">
      <c r="A1705" s="1" t="s">
        <v>772</v>
      </c>
      <c r="B1705" s="1" t="s">
        <v>773</v>
      </c>
      <c r="C1705" s="1" t="s">
        <v>989</v>
      </c>
      <c r="D1705" s="1" t="s">
        <v>2301</v>
      </c>
      <c r="E1705" s="1" t="str">
        <f t="shared" si="26"/>
        <v>W05</v>
      </c>
      <c r="F1705" s="1">
        <v>0</v>
      </c>
      <c r="G1705" s="1">
        <v>0</v>
      </c>
      <c r="H1705" s="1">
        <v>0</v>
      </c>
    </row>
    <row r="1706" spans="1:8">
      <c r="A1706" s="1" t="s">
        <v>772</v>
      </c>
      <c r="B1706" s="1" t="s">
        <v>773</v>
      </c>
      <c r="C1706" s="1" t="s">
        <v>989</v>
      </c>
      <c r="D1706" s="1" t="s">
        <v>2302</v>
      </c>
      <c r="E1706" s="1" t="str">
        <f t="shared" si="26"/>
        <v>W05</v>
      </c>
      <c r="F1706" s="1">
        <v>0</v>
      </c>
      <c r="G1706" s="1">
        <v>0</v>
      </c>
      <c r="H1706" s="1">
        <v>0</v>
      </c>
    </row>
    <row r="1707" spans="1:8">
      <c r="A1707" s="1" t="s">
        <v>772</v>
      </c>
      <c r="B1707" s="1" t="s">
        <v>773</v>
      </c>
      <c r="C1707" s="1" t="s">
        <v>989</v>
      </c>
      <c r="D1707" s="1" t="s">
        <v>2303</v>
      </c>
      <c r="E1707" s="1" t="str">
        <f t="shared" si="26"/>
        <v>W05</v>
      </c>
      <c r="F1707" s="1">
        <v>0</v>
      </c>
      <c r="G1707" s="1">
        <v>0</v>
      </c>
      <c r="H1707" s="1">
        <v>0</v>
      </c>
    </row>
    <row r="1708" spans="1:8">
      <c r="A1708" s="1" t="s">
        <v>772</v>
      </c>
      <c r="B1708" s="1" t="s">
        <v>773</v>
      </c>
      <c r="C1708" s="1" t="s">
        <v>989</v>
      </c>
      <c r="D1708" s="1" t="s">
        <v>2304</v>
      </c>
      <c r="E1708" s="1" t="str">
        <f t="shared" si="26"/>
        <v>W05</v>
      </c>
      <c r="F1708" s="1">
        <v>0</v>
      </c>
      <c r="G1708" s="1">
        <v>0</v>
      </c>
      <c r="H1708" s="1">
        <v>0</v>
      </c>
    </row>
    <row r="1709" spans="1:8">
      <c r="A1709" s="1" t="s">
        <v>772</v>
      </c>
      <c r="B1709" s="1" t="s">
        <v>773</v>
      </c>
      <c r="C1709" s="1" t="s">
        <v>989</v>
      </c>
      <c r="D1709" s="1" t="s">
        <v>2305</v>
      </c>
      <c r="E1709" s="1" t="str">
        <f t="shared" si="26"/>
        <v>W05</v>
      </c>
      <c r="F1709" s="1">
        <v>0</v>
      </c>
      <c r="G1709" s="1">
        <v>0</v>
      </c>
      <c r="H1709" s="1">
        <v>0</v>
      </c>
    </row>
    <row r="1710" spans="1:8">
      <c r="A1710" s="1" t="s">
        <v>772</v>
      </c>
      <c r="B1710" s="1" t="s">
        <v>773</v>
      </c>
      <c r="C1710" s="1" t="s">
        <v>1002</v>
      </c>
      <c r="D1710" s="1" t="s">
        <v>28</v>
      </c>
      <c r="E1710" s="1" t="str">
        <f t="shared" si="26"/>
        <v>W06</v>
      </c>
      <c r="F1710" s="1">
        <v>8.1199999999999992</v>
      </c>
      <c r="G1710" s="1">
        <v>6.34</v>
      </c>
      <c r="H1710" s="1">
        <v>6.34</v>
      </c>
    </row>
    <row r="1711" spans="1:8">
      <c r="A1711" s="1" t="s">
        <v>772</v>
      </c>
      <c r="B1711" s="1" t="s">
        <v>773</v>
      </c>
      <c r="C1711" s="1" t="s">
        <v>1002</v>
      </c>
      <c r="D1711" s="1" t="s">
        <v>69</v>
      </c>
      <c r="E1711" s="1" t="str">
        <f t="shared" si="26"/>
        <v>W06</v>
      </c>
      <c r="F1711" s="1">
        <v>6.85</v>
      </c>
      <c r="G1711" s="1">
        <v>5.48</v>
      </c>
      <c r="H1711" s="1">
        <v>5.48</v>
      </c>
    </row>
    <row r="1712" spans="1:8">
      <c r="A1712" s="1" t="s">
        <v>772</v>
      </c>
      <c r="B1712" s="1" t="s">
        <v>773</v>
      </c>
      <c r="C1712" s="1" t="s">
        <v>774</v>
      </c>
      <c r="D1712" s="1" t="s">
        <v>2306</v>
      </c>
      <c r="E1712" s="1" t="str">
        <f t="shared" si="26"/>
        <v>W01</v>
      </c>
      <c r="F1712" s="1">
        <v>7.08</v>
      </c>
      <c r="G1712" s="1">
        <v>5.69</v>
      </c>
      <c r="H1712" s="1">
        <v>5.69</v>
      </c>
    </row>
    <row r="1713" spans="1:8">
      <c r="A1713" s="1" t="s">
        <v>772</v>
      </c>
      <c r="B1713" s="1" t="s">
        <v>773</v>
      </c>
      <c r="C1713" s="1" t="s">
        <v>989</v>
      </c>
      <c r="D1713" s="1" t="s">
        <v>2307</v>
      </c>
      <c r="E1713" s="1" t="str">
        <f t="shared" si="26"/>
        <v>W05</v>
      </c>
      <c r="F1713" s="1">
        <v>0</v>
      </c>
      <c r="G1713" s="1">
        <v>0</v>
      </c>
      <c r="H1713" s="1">
        <v>0</v>
      </c>
    </row>
    <row r="1714" spans="1:8">
      <c r="A1714" s="1" t="s">
        <v>772</v>
      </c>
      <c r="B1714" s="1" t="s">
        <v>773</v>
      </c>
      <c r="C1714" s="1" t="s">
        <v>989</v>
      </c>
      <c r="D1714" s="1" t="s">
        <v>2308</v>
      </c>
      <c r="E1714" s="1" t="str">
        <f t="shared" si="26"/>
        <v>W05</v>
      </c>
      <c r="F1714" s="1">
        <v>0</v>
      </c>
      <c r="G1714" s="1">
        <v>0</v>
      </c>
      <c r="H1714" s="1">
        <v>0</v>
      </c>
    </row>
    <row r="1715" spans="1:8">
      <c r="A1715" s="1" t="s">
        <v>772</v>
      </c>
      <c r="B1715" s="1" t="s">
        <v>773</v>
      </c>
      <c r="C1715" s="1" t="s">
        <v>989</v>
      </c>
      <c r="D1715" s="1" t="s">
        <v>2309</v>
      </c>
      <c r="E1715" s="1" t="str">
        <f t="shared" si="26"/>
        <v>W05</v>
      </c>
      <c r="F1715" s="1">
        <v>0</v>
      </c>
      <c r="G1715" s="1">
        <v>0</v>
      </c>
      <c r="H1715" s="1">
        <v>0</v>
      </c>
    </row>
    <row r="1716" spans="1:8">
      <c r="A1716" s="1" t="s">
        <v>772</v>
      </c>
      <c r="B1716" s="1" t="s">
        <v>773</v>
      </c>
      <c r="C1716" s="1" t="s">
        <v>989</v>
      </c>
      <c r="D1716" s="1" t="s">
        <v>2310</v>
      </c>
      <c r="E1716" s="1" t="str">
        <f t="shared" si="26"/>
        <v>W05</v>
      </c>
      <c r="F1716" s="1">
        <v>0</v>
      </c>
      <c r="G1716" s="1">
        <v>0</v>
      </c>
      <c r="H1716" s="1">
        <v>0</v>
      </c>
    </row>
    <row r="1717" spans="1:8">
      <c r="A1717" s="1" t="s">
        <v>772</v>
      </c>
      <c r="B1717" s="1" t="s">
        <v>773</v>
      </c>
      <c r="C1717" s="1" t="s">
        <v>989</v>
      </c>
      <c r="D1717" s="1" t="s">
        <v>2311</v>
      </c>
      <c r="E1717" s="1" t="str">
        <f t="shared" si="26"/>
        <v>W05</v>
      </c>
      <c r="F1717" s="1">
        <v>0</v>
      </c>
      <c r="G1717" s="1">
        <v>0</v>
      </c>
      <c r="H1717" s="1">
        <v>0</v>
      </c>
    </row>
    <row r="1718" spans="1:8">
      <c r="A1718" s="1" t="s">
        <v>772</v>
      </c>
      <c r="B1718" s="1" t="s">
        <v>773</v>
      </c>
      <c r="C1718" s="1" t="s">
        <v>989</v>
      </c>
      <c r="D1718" s="1" t="s">
        <v>2312</v>
      </c>
      <c r="E1718" s="1" t="str">
        <f t="shared" si="26"/>
        <v>W05</v>
      </c>
      <c r="F1718" s="1">
        <v>0</v>
      </c>
      <c r="G1718" s="1">
        <v>0</v>
      </c>
      <c r="H1718" s="1">
        <v>0</v>
      </c>
    </row>
    <row r="1719" spans="1:8">
      <c r="A1719" s="1" t="s">
        <v>772</v>
      </c>
      <c r="B1719" s="1" t="s">
        <v>773</v>
      </c>
      <c r="C1719" s="1" t="s">
        <v>989</v>
      </c>
      <c r="D1719" s="1" t="s">
        <v>2313</v>
      </c>
      <c r="E1719" s="1" t="str">
        <f t="shared" si="26"/>
        <v>W05</v>
      </c>
      <c r="F1719" s="1">
        <v>0</v>
      </c>
      <c r="G1719" s="1">
        <v>0</v>
      </c>
      <c r="H1719" s="1">
        <v>0</v>
      </c>
    </row>
    <row r="1720" spans="1:8">
      <c r="A1720" s="1" t="s">
        <v>772</v>
      </c>
      <c r="B1720" s="1" t="s">
        <v>773</v>
      </c>
      <c r="C1720" s="1" t="s">
        <v>989</v>
      </c>
      <c r="D1720" s="1" t="s">
        <v>2314</v>
      </c>
      <c r="E1720" s="1" t="str">
        <f t="shared" si="26"/>
        <v>W05</v>
      </c>
      <c r="F1720" s="1">
        <v>0</v>
      </c>
      <c r="G1720" s="1">
        <v>0</v>
      </c>
      <c r="H1720" s="1">
        <v>0</v>
      </c>
    </row>
    <row r="1721" spans="1:8">
      <c r="A1721" s="1" t="s">
        <v>772</v>
      </c>
      <c r="B1721" s="1" t="s">
        <v>773</v>
      </c>
      <c r="C1721" s="1" t="s">
        <v>989</v>
      </c>
      <c r="D1721" s="1" t="s">
        <v>2315</v>
      </c>
      <c r="E1721" s="1" t="str">
        <f t="shared" si="26"/>
        <v>W05</v>
      </c>
      <c r="F1721" s="1">
        <v>0</v>
      </c>
      <c r="G1721" s="1">
        <v>0</v>
      </c>
      <c r="H1721" s="1">
        <v>0</v>
      </c>
    </row>
    <row r="1722" spans="1:8">
      <c r="A1722" s="1" t="s">
        <v>772</v>
      </c>
      <c r="B1722" s="1" t="s">
        <v>773</v>
      </c>
      <c r="C1722" s="1" t="s">
        <v>989</v>
      </c>
      <c r="D1722" s="1" t="s">
        <v>2316</v>
      </c>
      <c r="E1722" s="1" t="str">
        <f t="shared" si="26"/>
        <v>W05</v>
      </c>
      <c r="F1722" s="1">
        <v>0</v>
      </c>
      <c r="G1722" s="1">
        <v>0</v>
      </c>
      <c r="H1722" s="1">
        <v>0</v>
      </c>
    </row>
    <row r="1723" spans="1:8">
      <c r="A1723" s="1" t="s">
        <v>772</v>
      </c>
      <c r="B1723" s="1" t="s">
        <v>773</v>
      </c>
      <c r="C1723" s="1" t="s">
        <v>989</v>
      </c>
      <c r="D1723" s="1" t="s">
        <v>2317</v>
      </c>
      <c r="E1723" s="1" t="str">
        <f t="shared" si="26"/>
        <v>W05</v>
      </c>
      <c r="F1723" s="1">
        <v>0</v>
      </c>
      <c r="G1723" s="1">
        <v>0</v>
      </c>
      <c r="H1723" s="1">
        <v>0</v>
      </c>
    </row>
    <row r="1724" spans="1:8">
      <c r="A1724" s="1" t="s">
        <v>772</v>
      </c>
      <c r="B1724" s="1" t="s">
        <v>773</v>
      </c>
      <c r="C1724" s="1" t="s">
        <v>989</v>
      </c>
      <c r="D1724" s="1" t="s">
        <v>2318</v>
      </c>
      <c r="E1724" s="1" t="str">
        <f t="shared" si="26"/>
        <v>W05</v>
      </c>
      <c r="F1724" s="1">
        <v>0</v>
      </c>
      <c r="G1724" s="1">
        <v>0</v>
      </c>
      <c r="H1724" s="1">
        <v>0</v>
      </c>
    </row>
    <row r="1725" spans="1:8">
      <c r="A1725" s="1" t="s">
        <v>772</v>
      </c>
      <c r="B1725" s="1" t="s">
        <v>773</v>
      </c>
      <c r="C1725" s="1" t="s">
        <v>989</v>
      </c>
      <c r="D1725" s="1" t="s">
        <v>2319</v>
      </c>
      <c r="E1725" s="1" t="str">
        <f t="shared" si="26"/>
        <v>W05</v>
      </c>
      <c r="F1725" s="1">
        <v>0</v>
      </c>
      <c r="G1725" s="1">
        <v>0</v>
      </c>
      <c r="H1725" s="1">
        <v>0</v>
      </c>
    </row>
    <row r="1726" spans="1:8">
      <c r="A1726" s="1" t="s">
        <v>772</v>
      </c>
      <c r="B1726" s="1" t="s">
        <v>773</v>
      </c>
      <c r="C1726" s="1" t="s">
        <v>989</v>
      </c>
      <c r="D1726" s="1" t="s">
        <v>2320</v>
      </c>
      <c r="E1726" s="1" t="str">
        <f t="shared" si="26"/>
        <v>W05</v>
      </c>
      <c r="F1726" s="1">
        <v>0</v>
      </c>
      <c r="G1726" s="1">
        <v>0</v>
      </c>
      <c r="H1726" s="1">
        <v>0</v>
      </c>
    </row>
    <row r="1727" spans="1:8">
      <c r="A1727" s="1" t="s">
        <v>772</v>
      </c>
      <c r="B1727" s="1" t="s">
        <v>773</v>
      </c>
      <c r="C1727" s="1" t="s">
        <v>989</v>
      </c>
      <c r="D1727" s="1" t="s">
        <v>2321</v>
      </c>
      <c r="E1727" s="1" t="str">
        <f t="shared" si="26"/>
        <v>W05</v>
      </c>
      <c r="F1727" s="1">
        <v>0</v>
      </c>
      <c r="G1727" s="1">
        <v>0</v>
      </c>
      <c r="H1727" s="1">
        <v>0</v>
      </c>
    </row>
    <row r="1728" spans="1:8">
      <c r="A1728" s="1" t="s">
        <v>772</v>
      </c>
      <c r="B1728" s="1" t="s">
        <v>773</v>
      </c>
      <c r="C1728" s="1" t="s">
        <v>989</v>
      </c>
      <c r="D1728" s="1" t="s">
        <v>2322</v>
      </c>
      <c r="E1728" s="1" t="str">
        <f t="shared" si="26"/>
        <v>W05</v>
      </c>
      <c r="F1728" s="1">
        <v>0</v>
      </c>
      <c r="G1728" s="1">
        <v>0</v>
      </c>
      <c r="H1728" s="1">
        <v>0</v>
      </c>
    </row>
    <row r="1729" spans="1:8">
      <c r="A1729" s="1" t="s">
        <v>772</v>
      </c>
      <c r="B1729" s="1" t="s">
        <v>773</v>
      </c>
      <c r="C1729" s="1" t="s">
        <v>989</v>
      </c>
      <c r="D1729" s="1" t="s">
        <v>2323</v>
      </c>
      <c r="E1729" s="1" t="str">
        <f t="shared" si="26"/>
        <v>W05</v>
      </c>
      <c r="F1729" s="1">
        <v>0</v>
      </c>
      <c r="G1729" s="1">
        <v>0</v>
      </c>
      <c r="H1729" s="1">
        <v>0</v>
      </c>
    </row>
    <row r="1730" spans="1:8">
      <c r="A1730" s="1" t="s">
        <v>772</v>
      </c>
      <c r="B1730" s="1" t="s">
        <v>773</v>
      </c>
      <c r="C1730" s="1" t="s">
        <v>989</v>
      </c>
      <c r="D1730" s="1" t="s">
        <v>2324</v>
      </c>
      <c r="E1730" s="1" t="str">
        <f t="shared" si="26"/>
        <v>W05</v>
      </c>
      <c r="F1730" s="1">
        <v>0</v>
      </c>
      <c r="G1730" s="1">
        <v>0</v>
      </c>
      <c r="H1730" s="1">
        <v>0</v>
      </c>
    </row>
    <row r="1731" spans="1:8">
      <c r="A1731" s="1" t="s">
        <v>772</v>
      </c>
      <c r="B1731" s="1" t="s">
        <v>773</v>
      </c>
      <c r="C1731" s="1" t="s">
        <v>989</v>
      </c>
      <c r="D1731" s="1" t="s">
        <v>2325</v>
      </c>
      <c r="E1731" s="1" t="str">
        <f t="shared" si="26"/>
        <v>W05</v>
      </c>
      <c r="F1731" s="1">
        <v>0</v>
      </c>
      <c r="G1731" s="1">
        <v>0</v>
      </c>
      <c r="H1731" s="1">
        <v>0</v>
      </c>
    </row>
    <row r="1732" spans="1:8">
      <c r="A1732" s="1" t="s">
        <v>772</v>
      </c>
      <c r="B1732" s="1" t="s">
        <v>773</v>
      </c>
      <c r="C1732" s="1" t="s">
        <v>989</v>
      </c>
      <c r="D1732" s="1" t="s">
        <v>2326</v>
      </c>
      <c r="E1732" s="1" t="str">
        <f t="shared" si="26"/>
        <v>W05</v>
      </c>
      <c r="F1732" s="1">
        <v>0</v>
      </c>
      <c r="G1732" s="1">
        <v>0</v>
      </c>
      <c r="H1732" s="1">
        <v>0</v>
      </c>
    </row>
    <row r="1733" spans="1:8">
      <c r="A1733" s="1" t="s">
        <v>772</v>
      </c>
      <c r="B1733" s="1" t="s">
        <v>773</v>
      </c>
      <c r="C1733" s="1" t="s">
        <v>989</v>
      </c>
      <c r="D1733" s="1" t="s">
        <v>2327</v>
      </c>
      <c r="E1733" s="1" t="str">
        <f t="shared" ref="E1733:E1796" si="27">RIGHT(C1733,3)</f>
        <v>W05</v>
      </c>
      <c r="F1733" s="1">
        <v>0</v>
      </c>
      <c r="G1733" s="1">
        <v>0</v>
      </c>
      <c r="H1733" s="1">
        <v>0</v>
      </c>
    </row>
    <row r="1734" spans="1:8">
      <c r="A1734" s="1" t="s">
        <v>772</v>
      </c>
      <c r="B1734" s="1" t="s">
        <v>773</v>
      </c>
      <c r="C1734" s="1" t="s">
        <v>989</v>
      </c>
      <c r="D1734" s="1" t="s">
        <v>2328</v>
      </c>
      <c r="E1734" s="1" t="str">
        <f t="shared" si="27"/>
        <v>W05</v>
      </c>
      <c r="F1734" s="1">
        <v>0</v>
      </c>
      <c r="G1734" s="1">
        <v>0</v>
      </c>
      <c r="H1734" s="1">
        <v>0</v>
      </c>
    </row>
    <row r="1735" spans="1:8">
      <c r="A1735" s="1" t="s">
        <v>772</v>
      </c>
      <c r="B1735" s="1" t="s">
        <v>773</v>
      </c>
      <c r="C1735" s="1" t="s">
        <v>989</v>
      </c>
      <c r="D1735" s="1" t="s">
        <v>2329</v>
      </c>
      <c r="E1735" s="1" t="str">
        <f t="shared" si="27"/>
        <v>W05</v>
      </c>
      <c r="F1735" s="1">
        <v>0</v>
      </c>
      <c r="G1735" s="1">
        <v>0</v>
      </c>
      <c r="H1735" s="1">
        <v>0</v>
      </c>
    </row>
    <row r="1736" spans="1:8">
      <c r="A1736" s="1" t="s">
        <v>772</v>
      </c>
      <c r="B1736" s="1" t="s">
        <v>773</v>
      </c>
      <c r="C1736" s="1" t="s">
        <v>989</v>
      </c>
      <c r="D1736" s="1" t="s">
        <v>2330</v>
      </c>
      <c r="E1736" s="1" t="str">
        <f t="shared" si="27"/>
        <v>W05</v>
      </c>
      <c r="F1736" s="1">
        <v>0</v>
      </c>
      <c r="G1736" s="1">
        <v>0</v>
      </c>
      <c r="H1736" s="1">
        <v>0</v>
      </c>
    </row>
    <row r="1737" spans="1:8">
      <c r="A1737" s="1" t="s">
        <v>772</v>
      </c>
      <c r="B1737" s="1" t="s">
        <v>773</v>
      </c>
      <c r="C1737" s="1" t="s">
        <v>848</v>
      </c>
      <c r="D1737" s="1" t="s">
        <v>2331</v>
      </c>
      <c r="E1737" s="1" t="str">
        <f t="shared" si="27"/>
        <v>W02</v>
      </c>
      <c r="F1737" s="1">
        <v>7.22</v>
      </c>
      <c r="G1737" s="1">
        <v>5.66</v>
      </c>
      <c r="H1737" s="1">
        <v>5.66</v>
      </c>
    </row>
    <row r="1738" spans="1:8">
      <c r="A1738" s="1" t="s">
        <v>772</v>
      </c>
      <c r="B1738" s="1" t="s">
        <v>773</v>
      </c>
      <c r="C1738" s="1" t="s">
        <v>848</v>
      </c>
      <c r="D1738" s="1" t="s">
        <v>2332</v>
      </c>
      <c r="E1738" s="1" t="str">
        <f t="shared" si="27"/>
        <v>W02</v>
      </c>
      <c r="F1738" s="1">
        <v>9.68</v>
      </c>
      <c r="G1738" s="1">
        <v>7.67</v>
      </c>
      <c r="H1738" s="1">
        <v>7.67</v>
      </c>
    </row>
    <row r="1739" spans="1:8">
      <c r="A1739" s="1" t="s">
        <v>772</v>
      </c>
      <c r="B1739" s="1" t="s">
        <v>773</v>
      </c>
      <c r="C1739" s="1" t="s">
        <v>989</v>
      </c>
      <c r="D1739" s="1" t="s">
        <v>2333</v>
      </c>
      <c r="E1739" s="1" t="str">
        <f t="shared" si="27"/>
        <v>W05</v>
      </c>
      <c r="F1739" s="1">
        <v>0</v>
      </c>
      <c r="G1739" s="1">
        <v>0</v>
      </c>
      <c r="H1739" s="1">
        <v>0</v>
      </c>
    </row>
    <row r="1740" spans="1:8">
      <c r="A1740" s="1" t="s">
        <v>772</v>
      </c>
      <c r="B1740" s="1" t="s">
        <v>773</v>
      </c>
      <c r="C1740" s="1" t="s">
        <v>989</v>
      </c>
      <c r="D1740" s="1" t="s">
        <v>2334</v>
      </c>
      <c r="E1740" s="1" t="str">
        <f t="shared" si="27"/>
        <v>W05</v>
      </c>
      <c r="F1740" s="1">
        <v>0</v>
      </c>
      <c r="G1740" s="1">
        <v>0</v>
      </c>
      <c r="H1740" s="1">
        <v>0</v>
      </c>
    </row>
    <row r="1741" spans="1:8">
      <c r="A1741" s="1" t="s">
        <v>772</v>
      </c>
      <c r="B1741" s="1" t="s">
        <v>773</v>
      </c>
      <c r="C1741" s="1" t="s">
        <v>989</v>
      </c>
      <c r="D1741" s="1" t="s">
        <v>2335</v>
      </c>
      <c r="E1741" s="1" t="str">
        <f t="shared" si="27"/>
        <v>W05</v>
      </c>
      <c r="F1741" s="1">
        <v>0</v>
      </c>
      <c r="G1741" s="1">
        <v>0</v>
      </c>
      <c r="H1741" s="1">
        <v>0</v>
      </c>
    </row>
    <row r="1742" spans="1:8">
      <c r="A1742" s="1" t="s">
        <v>772</v>
      </c>
      <c r="B1742" s="1" t="s">
        <v>773</v>
      </c>
      <c r="C1742" s="1" t="s">
        <v>989</v>
      </c>
      <c r="D1742" s="1" t="s">
        <v>2336</v>
      </c>
      <c r="E1742" s="1" t="str">
        <f t="shared" si="27"/>
        <v>W05</v>
      </c>
      <c r="F1742" s="1">
        <v>0</v>
      </c>
      <c r="G1742" s="1">
        <v>0</v>
      </c>
      <c r="H1742" s="1">
        <v>0</v>
      </c>
    </row>
    <row r="1743" spans="1:8">
      <c r="A1743" s="1" t="s">
        <v>772</v>
      </c>
      <c r="B1743" s="1" t="s">
        <v>773</v>
      </c>
      <c r="C1743" s="1" t="s">
        <v>774</v>
      </c>
      <c r="D1743" s="1" t="s">
        <v>2337</v>
      </c>
      <c r="E1743" s="1" t="str">
        <f t="shared" si="27"/>
        <v>W01</v>
      </c>
      <c r="F1743" s="1">
        <v>99</v>
      </c>
      <c r="G1743" s="1">
        <v>99</v>
      </c>
      <c r="H1743" s="1">
        <v>99</v>
      </c>
    </row>
    <row r="1744" spans="1:8">
      <c r="A1744" s="1" t="s">
        <v>772</v>
      </c>
      <c r="B1744" s="1" t="s">
        <v>903</v>
      </c>
      <c r="D1744" s="1" t="s">
        <v>2338</v>
      </c>
      <c r="E1744" s="1" t="str">
        <f t="shared" si="27"/>
        <v/>
      </c>
      <c r="F1744" s="1">
        <v>99</v>
      </c>
      <c r="G1744" s="1">
        <v>99</v>
      </c>
      <c r="H1744" s="1">
        <v>99</v>
      </c>
    </row>
    <row r="1745" spans="1:8">
      <c r="A1745" s="1" t="s">
        <v>772</v>
      </c>
      <c r="B1745" s="1" t="s">
        <v>773</v>
      </c>
      <c r="C1745" s="1" t="s">
        <v>989</v>
      </c>
      <c r="D1745" s="1" t="s">
        <v>2339</v>
      </c>
      <c r="E1745" s="1" t="str">
        <f t="shared" si="27"/>
        <v>W05</v>
      </c>
      <c r="F1745" s="1">
        <v>0</v>
      </c>
      <c r="G1745" s="1">
        <v>0</v>
      </c>
      <c r="H1745" s="1">
        <v>0</v>
      </c>
    </row>
    <row r="1746" spans="1:8">
      <c r="A1746" s="1" t="s">
        <v>772</v>
      </c>
      <c r="B1746" s="1" t="s">
        <v>773</v>
      </c>
      <c r="C1746" s="1" t="s">
        <v>989</v>
      </c>
      <c r="D1746" s="1" t="s">
        <v>2340</v>
      </c>
      <c r="E1746" s="1" t="str">
        <f t="shared" si="27"/>
        <v>W05</v>
      </c>
      <c r="F1746" s="1">
        <v>0</v>
      </c>
      <c r="G1746" s="1">
        <v>0</v>
      </c>
      <c r="H1746" s="1">
        <v>0</v>
      </c>
    </row>
    <row r="1747" spans="1:8">
      <c r="A1747" s="1" t="s">
        <v>772</v>
      </c>
      <c r="B1747" s="1" t="s">
        <v>773</v>
      </c>
      <c r="C1747" s="1" t="s">
        <v>989</v>
      </c>
      <c r="D1747" s="1" t="s">
        <v>2341</v>
      </c>
      <c r="E1747" s="1" t="str">
        <f t="shared" si="27"/>
        <v>W05</v>
      </c>
      <c r="F1747" s="1">
        <v>0</v>
      </c>
      <c r="G1747" s="1">
        <v>0</v>
      </c>
      <c r="H1747" s="1">
        <v>0</v>
      </c>
    </row>
    <row r="1748" spans="1:8">
      <c r="A1748" s="1" t="s">
        <v>772</v>
      </c>
      <c r="B1748" s="1" t="s">
        <v>773</v>
      </c>
      <c r="C1748" s="1" t="s">
        <v>989</v>
      </c>
      <c r="D1748" s="1" t="s">
        <v>2342</v>
      </c>
      <c r="E1748" s="1" t="str">
        <f t="shared" si="27"/>
        <v>W05</v>
      </c>
      <c r="F1748" s="1">
        <v>0</v>
      </c>
      <c r="G1748" s="1">
        <v>0</v>
      </c>
      <c r="H1748" s="1">
        <v>0</v>
      </c>
    </row>
    <row r="1749" spans="1:8">
      <c r="A1749" s="1" t="s">
        <v>772</v>
      </c>
      <c r="B1749" s="1" t="s">
        <v>773</v>
      </c>
      <c r="C1749" s="1" t="s">
        <v>989</v>
      </c>
      <c r="D1749" s="1" t="s">
        <v>2343</v>
      </c>
      <c r="E1749" s="1" t="str">
        <f t="shared" si="27"/>
        <v>W05</v>
      </c>
      <c r="F1749" s="1">
        <v>0</v>
      </c>
      <c r="G1749" s="1">
        <v>0</v>
      </c>
      <c r="H1749" s="1">
        <v>0</v>
      </c>
    </row>
    <row r="1750" spans="1:8">
      <c r="A1750" s="1" t="s">
        <v>772</v>
      </c>
      <c r="B1750" s="1" t="s">
        <v>773</v>
      </c>
      <c r="C1750" s="1" t="s">
        <v>989</v>
      </c>
      <c r="D1750" s="1" t="s">
        <v>2344</v>
      </c>
      <c r="E1750" s="1" t="str">
        <f t="shared" si="27"/>
        <v>W05</v>
      </c>
      <c r="F1750" s="1">
        <v>0</v>
      </c>
      <c r="G1750" s="1">
        <v>0</v>
      </c>
      <c r="H1750" s="1">
        <v>0</v>
      </c>
    </row>
    <row r="1751" spans="1:8">
      <c r="A1751" s="1" t="s">
        <v>772</v>
      </c>
      <c r="B1751" s="1" t="s">
        <v>773</v>
      </c>
      <c r="C1751" s="1" t="s">
        <v>989</v>
      </c>
      <c r="D1751" s="1" t="s">
        <v>2345</v>
      </c>
      <c r="E1751" s="1" t="str">
        <f t="shared" si="27"/>
        <v>W05</v>
      </c>
      <c r="F1751" s="1">
        <v>0</v>
      </c>
      <c r="G1751" s="1">
        <v>0</v>
      </c>
      <c r="H1751" s="1">
        <v>0</v>
      </c>
    </row>
    <row r="1752" spans="1:8">
      <c r="A1752" s="1" t="s">
        <v>772</v>
      </c>
      <c r="B1752" s="1" t="s">
        <v>773</v>
      </c>
      <c r="C1752" s="1" t="s">
        <v>989</v>
      </c>
      <c r="D1752" s="1" t="s">
        <v>2346</v>
      </c>
      <c r="E1752" s="1" t="str">
        <f t="shared" si="27"/>
        <v>W05</v>
      </c>
      <c r="F1752" s="1">
        <v>0</v>
      </c>
      <c r="G1752" s="1">
        <v>0</v>
      </c>
      <c r="H1752" s="1">
        <v>0</v>
      </c>
    </row>
    <row r="1753" spans="1:8">
      <c r="A1753" s="1" t="s">
        <v>772</v>
      </c>
      <c r="B1753" s="1" t="s">
        <v>773</v>
      </c>
      <c r="C1753" s="1" t="s">
        <v>1010</v>
      </c>
      <c r="D1753" s="1" t="s">
        <v>2347</v>
      </c>
      <c r="E1753" s="1" t="str">
        <f t="shared" si="27"/>
        <v>W07</v>
      </c>
      <c r="F1753" s="1">
        <v>0</v>
      </c>
      <c r="G1753" s="1">
        <v>0</v>
      </c>
      <c r="H1753" s="1">
        <v>0</v>
      </c>
    </row>
    <row r="1754" spans="1:8">
      <c r="A1754" s="1" t="s">
        <v>772</v>
      </c>
      <c r="B1754" s="1" t="s">
        <v>773</v>
      </c>
      <c r="C1754" s="1" t="s">
        <v>1010</v>
      </c>
      <c r="D1754" s="1" t="s">
        <v>2348</v>
      </c>
      <c r="E1754" s="1" t="str">
        <f t="shared" si="27"/>
        <v>W07</v>
      </c>
      <c r="F1754" s="1">
        <v>0</v>
      </c>
      <c r="G1754" s="1">
        <v>0</v>
      </c>
      <c r="H1754" s="1">
        <v>0</v>
      </c>
    </row>
    <row r="1755" spans="1:8">
      <c r="A1755" s="1" t="s">
        <v>772</v>
      </c>
      <c r="B1755" s="1" t="s">
        <v>773</v>
      </c>
      <c r="C1755" s="1" t="s">
        <v>989</v>
      </c>
      <c r="D1755" s="1" t="s">
        <v>2349</v>
      </c>
      <c r="E1755" s="1" t="str">
        <f t="shared" si="27"/>
        <v>W05</v>
      </c>
      <c r="F1755" s="1">
        <v>0</v>
      </c>
      <c r="G1755" s="1">
        <v>0</v>
      </c>
      <c r="H1755" s="1">
        <v>0</v>
      </c>
    </row>
    <row r="1756" spans="1:8">
      <c r="A1756" s="1" t="s">
        <v>772</v>
      </c>
      <c r="B1756" s="1" t="s">
        <v>773</v>
      </c>
      <c r="C1756" s="1" t="s">
        <v>989</v>
      </c>
      <c r="D1756" s="1" t="s">
        <v>2350</v>
      </c>
      <c r="E1756" s="1" t="str">
        <f t="shared" si="27"/>
        <v>W05</v>
      </c>
      <c r="F1756" s="1">
        <v>0</v>
      </c>
      <c r="G1756" s="1">
        <v>0</v>
      </c>
      <c r="H1756" s="1">
        <v>0</v>
      </c>
    </row>
    <row r="1757" spans="1:8">
      <c r="A1757" s="1" t="s">
        <v>772</v>
      </c>
      <c r="B1757" s="1" t="s">
        <v>773</v>
      </c>
      <c r="C1757" s="1" t="s">
        <v>989</v>
      </c>
      <c r="D1757" s="1" t="s">
        <v>2351</v>
      </c>
      <c r="E1757" s="1" t="str">
        <f t="shared" si="27"/>
        <v>W05</v>
      </c>
      <c r="F1757" s="1">
        <v>0</v>
      </c>
      <c r="G1757" s="1">
        <v>0</v>
      </c>
      <c r="H1757" s="1">
        <v>0</v>
      </c>
    </row>
    <row r="1758" spans="1:8">
      <c r="A1758" s="1" t="s">
        <v>772</v>
      </c>
      <c r="B1758" s="1" t="s">
        <v>773</v>
      </c>
      <c r="C1758" s="1" t="s">
        <v>989</v>
      </c>
      <c r="D1758" s="1" t="s">
        <v>2352</v>
      </c>
      <c r="E1758" s="1" t="str">
        <f t="shared" si="27"/>
        <v>W05</v>
      </c>
      <c r="F1758" s="1">
        <v>0</v>
      </c>
      <c r="G1758" s="1">
        <v>0</v>
      </c>
      <c r="H1758" s="1">
        <v>0</v>
      </c>
    </row>
    <row r="1759" spans="1:8">
      <c r="A1759" s="1" t="s">
        <v>772</v>
      </c>
      <c r="B1759" s="1" t="s">
        <v>773</v>
      </c>
      <c r="C1759" s="1" t="s">
        <v>989</v>
      </c>
      <c r="D1759" s="1" t="s">
        <v>2353</v>
      </c>
      <c r="E1759" s="1" t="str">
        <f t="shared" si="27"/>
        <v>W05</v>
      </c>
      <c r="F1759" s="1">
        <v>0</v>
      </c>
      <c r="G1759" s="1">
        <v>0</v>
      </c>
      <c r="H1759" s="1">
        <v>0</v>
      </c>
    </row>
    <row r="1760" spans="1:8">
      <c r="A1760" s="1" t="s">
        <v>772</v>
      </c>
      <c r="B1760" s="1" t="s">
        <v>773</v>
      </c>
      <c r="C1760" s="1" t="s">
        <v>989</v>
      </c>
      <c r="D1760" s="1" t="s">
        <v>2354</v>
      </c>
      <c r="E1760" s="1" t="str">
        <f t="shared" si="27"/>
        <v>W05</v>
      </c>
      <c r="F1760" s="1">
        <v>0</v>
      </c>
      <c r="G1760" s="1">
        <v>0</v>
      </c>
      <c r="H1760" s="1">
        <v>0</v>
      </c>
    </row>
    <row r="1761" spans="1:8">
      <c r="A1761" s="1" t="s">
        <v>772</v>
      </c>
      <c r="B1761" s="1" t="s">
        <v>773</v>
      </c>
      <c r="C1761" s="1" t="s">
        <v>989</v>
      </c>
      <c r="D1761" s="1" t="s">
        <v>2355</v>
      </c>
      <c r="E1761" s="1" t="str">
        <f t="shared" si="27"/>
        <v>W05</v>
      </c>
      <c r="F1761" s="1">
        <v>0</v>
      </c>
      <c r="G1761" s="1">
        <v>0</v>
      </c>
      <c r="H1761" s="1">
        <v>0</v>
      </c>
    </row>
    <row r="1762" spans="1:8">
      <c r="A1762" s="1" t="s">
        <v>772</v>
      </c>
      <c r="B1762" s="1" t="s">
        <v>773</v>
      </c>
      <c r="C1762" s="1" t="s">
        <v>989</v>
      </c>
      <c r="D1762" s="1" t="s">
        <v>2356</v>
      </c>
      <c r="E1762" s="1" t="str">
        <f t="shared" si="27"/>
        <v>W05</v>
      </c>
      <c r="F1762" s="1">
        <v>0</v>
      </c>
      <c r="G1762" s="1">
        <v>0</v>
      </c>
      <c r="H1762" s="1">
        <v>0</v>
      </c>
    </row>
    <row r="1763" spans="1:8">
      <c r="A1763" s="1" t="s">
        <v>772</v>
      </c>
      <c r="B1763" s="1" t="s">
        <v>773</v>
      </c>
      <c r="C1763" s="1" t="s">
        <v>989</v>
      </c>
      <c r="D1763" s="1" t="s">
        <v>2357</v>
      </c>
      <c r="E1763" s="1" t="str">
        <f t="shared" si="27"/>
        <v>W05</v>
      </c>
      <c r="F1763" s="1">
        <v>0</v>
      </c>
      <c r="G1763" s="1">
        <v>0</v>
      </c>
      <c r="H1763" s="1">
        <v>0</v>
      </c>
    </row>
    <row r="1764" spans="1:8">
      <c r="A1764" s="1" t="s">
        <v>772</v>
      </c>
      <c r="B1764" s="1" t="s">
        <v>773</v>
      </c>
      <c r="C1764" s="1" t="s">
        <v>989</v>
      </c>
      <c r="D1764" s="1" t="s">
        <v>2358</v>
      </c>
      <c r="E1764" s="1" t="str">
        <f t="shared" si="27"/>
        <v>W05</v>
      </c>
      <c r="F1764" s="1">
        <v>0</v>
      </c>
      <c r="G1764" s="1">
        <v>0</v>
      </c>
      <c r="H1764" s="1">
        <v>0</v>
      </c>
    </row>
    <row r="1765" spans="1:8">
      <c r="A1765" s="1" t="s">
        <v>772</v>
      </c>
      <c r="B1765" s="1" t="s">
        <v>773</v>
      </c>
      <c r="C1765" s="1" t="s">
        <v>848</v>
      </c>
      <c r="D1765" s="1" t="s">
        <v>614</v>
      </c>
      <c r="E1765" s="1" t="str">
        <f t="shared" si="27"/>
        <v>W02</v>
      </c>
      <c r="F1765" s="1">
        <v>6.53</v>
      </c>
      <c r="G1765" s="1">
        <v>5.12</v>
      </c>
      <c r="H1765" s="1">
        <v>5.12</v>
      </c>
    </row>
    <row r="1766" spans="1:8">
      <c r="A1766" s="1" t="s">
        <v>772</v>
      </c>
      <c r="B1766" s="1" t="s">
        <v>773</v>
      </c>
      <c r="C1766" s="1" t="s">
        <v>848</v>
      </c>
      <c r="D1766" s="1" t="s">
        <v>610</v>
      </c>
      <c r="E1766" s="1" t="str">
        <f t="shared" si="27"/>
        <v>W02</v>
      </c>
      <c r="F1766" s="1">
        <v>13.51</v>
      </c>
      <c r="G1766" s="1">
        <v>10.73</v>
      </c>
      <c r="H1766" s="1">
        <v>10.73</v>
      </c>
    </row>
    <row r="1767" spans="1:8">
      <c r="A1767" s="1" t="s">
        <v>772</v>
      </c>
      <c r="B1767" s="1" t="s">
        <v>773</v>
      </c>
      <c r="C1767" s="1" t="s">
        <v>989</v>
      </c>
      <c r="D1767" s="1" t="s">
        <v>2359</v>
      </c>
      <c r="E1767" s="1" t="str">
        <f t="shared" si="27"/>
        <v>W05</v>
      </c>
      <c r="F1767" s="1">
        <v>0</v>
      </c>
      <c r="G1767" s="1">
        <v>0</v>
      </c>
      <c r="H1767" s="1">
        <v>0</v>
      </c>
    </row>
    <row r="1768" spans="1:8">
      <c r="A1768" s="1" t="s">
        <v>772</v>
      </c>
      <c r="B1768" s="1" t="s">
        <v>773</v>
      </c>
      <c r="C1768" s="1" t="s">
        <v>989</v>
      </c>
      <c r="D1768" s="1" t="s">
        <v>2360</v>
      </c>
      <c r="E1768" s="1" t="str">
        <f t="shared" si="27"/>
        <v>W05</v>
      </c>
      <c r="F1768" s="1">
        <v>0</v>
      </c>
      <c r="G1768" s="1">
        <v>0</v>
      </c>
      <c r="H1768" s="1">
        <v>0</v>
      </c>
    </row>
    <row r="1769" spans="1:8">
      <c r="A1769" s="1" t="s">
        <v>772</v>
      </c>
      <c r="B1769" s="1" t="s">
        <v>773</v>
      </c>
      <c r="C1769" s="1" t="s">
        <v>989</v>
      </c>
      <c r="D1769" s="1" t="s">
        <v>2361</v>
      </c>
      <c r="E1769" s="1" t="str">
        <f t="shared" si="27"/>
        <v>W05</v>
      </c>
      <c r="F1769" s="1">
        <v>0</v>
      </c>
      <c r="G1769" s="1">
        <v>0</v>
      </c>
      <c r="H1769" s="1">
        <v>0</v>
      </c>
    </row>
    <row r="1770" spans="1:8">
      <c r="A1770" s="1" t="s">
        <v>772</v>
      </c>
      <c r="B1770" s="1" t="s">
        <v>773</v>
      </c>
      <c r="C1770" s="1" t="s">
        <v>989</v>
      </c>
      <c r="D1770" s="1" t="s">
        <v>2362</v>
      </c>
      <c r="E1770" s="1" t="str">
        <f t="shared" si="27"/>
        <v>W05</v>
      </c>
      <c r="F1770" s="1">
        <v>0</v>
      </c>
      <c r="G1770" s="1">
        <v>0</v>
      </c>
      <c r="H1770" s="1">
        <v>0</v>
      </c>
    </row>
    <row r="1771" spans="1:8">
      <c r="A1771" s="1" t="s">
        <v>772</v>
      </c>
      <c r="B1771" s="1" t="s">
        <v>773</v>
      </c>
      <c r="C1771" s="1" t="s">
        <v>904</v>
      </c>
      <c r="D1771" s="1" t="s">
        <v>617</v>
      </c>
      <c r="E1771" s="1" t="str">
        <f t="shared" si="27"/>
        <v>W03</v>
      </c>
      <c r="F1771" s="1">
        <v>9.4</v>
      </c>
      <c r="G1771" s="1">
        <v>7.46</v>
      </c>
      <c r="H1771" s="1">
        <v>7.46</v>
      </c>
    </row>
    <row r="1772" spans="1:8">
      <c r="A1772" s="1" t="s">
        <v>772</v>
      </c>
      <c r="B1772" s="1" t="s">
        <v>773</v>
      </c>
      <c r="C1772" s="1" t="s">
        <v>904</v>
      </c>
      <c r="D1772" s="1" t="s">
        <v>618</v>
      </c>
      <c r="E1772" s="1" t="str">
        <f t="shared" si="27"/>
        <v>W03</v>
      </c>
      <c r="F1772" s="1">
        <v>10.08</v>
      </c>
      <c r="G1772" s="1">
        <v>8</v>
      </c>
      <c r="H1772" s="1">
        <v>8</v>
      </c>
    </row>
    <row r="1773" spans="1:8">
      <c r="A1773" s="1" t="s">
        <v>772</v>
      </c>
      <c r="B1773" s="1" t="s">
        <v>773</v>
      </c>
      <c r="C1773" s="1" t="s">
        <v>989</v>
      </c>
      <c r="D1773" s="1" t="s">
        <v>2363</v>
      </c>
      <c r="E1773" s="1" t="str">
        <f t="shared" si="27"/>
        <v>W05</v>
      </c>
      <c r="F1773" s="1">
        <v>0</v>
      </c>
      <c r="G1773" s="1">
        <v>0</v>
      </c>
      <c r="H1773" s="1">
        <v>0</v>
      </c>
    </row>
    <row r="1774" spans="1:8">
      <c r="A1774" s="1" t="s">
        <v>772</v>
      </c>
      <c r="B1774" s="1" t="s">
        <v>773</v>
      </c>
      <c r="C1774" s="1" t="s">
        <v>989</v>
      </c>
      <c r="D1774" s="1" t="s">
        <v>2364</v>
      </c>
      <c r="E1774" s="1" t="str">
        <f t="shared" si="27"/>
        <v>W05</v>
      </c>
      <c r="F1774" s="1">
        <v>0</v>
      </c>
      <c r="G1774" s="1">
        <v>0</v>
      </c>
      <c r="H1774" s="1">
        <v>0</v>
      </c>
    </row>
    <row r="1775" spans="1:8">
      <c r="A1775" s="1" t="s">
        <v>772</v>
      </c>
      <c r="B1775" s="1" t="s">
        <v>773</v>
      </c>
      <c r="C1775" s="1" t="s">
        <v>989</v>
      </c>
      <c r="D1775" s="1" t="s">
        <v>2365</v>
      </c>
      <c r="E1775" s="1" t="str">
        <f t="shared" si="27"/>
        <v>W05</v>
      </c>
      <c r="F1775" s="1">
        <v>0</v>
      </c>
      <c r="G1775" s="1">
        <v>0</v>
      </c>
      <c r="H1775" s="1">
        <v>0</v>
      </c>
    </row>
    <row r="1776" spans="1:8">
      <c r="A1776" s="1" t="s">
        <v>772</v>
      </c>
      <c r="B1776" s="1" t="s">
        <v>773</v>
      </c>
      <c r="C1776" s="1" t="s">
        <v>989</v>
      </c>
      <c r="D1776" s="1" t="s">
        <v>2366</v>
      </c>
      <c r="E1776" s="1" t="str">
        <f t="shared" si="27"/>
        <v>W05</v>
      </c>
      <c r="F1776" s="1">
        <v>0</v>
      </c>
      <c r="G1776" s="1">
        <v>0</v>
      </c>
      <c r="H1776" s="1">
        <v>0</v>
      </c>
    </row>
    <row r="1777" spans="1:8">
      <c r="A1777" s="1" t="s">
        <v>772</v>
      </c>
      <c r="B1777" s="1" t="s">
        <v>773</v>
      </c>
      <c r="C1777" s="1" t="s">
        <v>989</v>
      </c>
      <c r="D1777" s="1" t="s">
        <v>2367</v>
      </c>
      <c r="E1777" s="1" t="str">
        <f t="shared" si="27"/>
        <v>W05</v>
      </c>
      <c r="F1777" s="1">
        <v>0</v>
      </c>
      <c r="G1777" s="1">
        <v>0</v>
      </c>
      <c r="H1777" s="1">
        <v>0</v>
      </c>
    </row>
    <row r="1778" spans="1:8">
      <c r="A1778" s="1" t="s">
        <v>772</v>
      </c>
      <c r="B1778" s="1" t="s">
        <v>773</v>
      </c>
      <c r="C1778" s="1" t="s">
        <v>989</v>
      </c>
      <c r="D1778" s="1" t="s">
        <v>2368</v>
      </c>
      <c r="E1778" s="1" t="str">
        <f t="shared" si="27"/>
        <v>W05</v>
      </c>
      <c r="F1778" s="1">
        <v>0</v>
      </c>
      <c r="G1778" s="1">
        <v>0</v>
      </c>
      <c r="H1778" s="1">
        <v>0</v>
      </c>
    </row>
    <row r="1779" spans="1:8">
      <c r="A1779" s="1" t="s">
        <v>772</v>
      </c>
      <c r="B1779" s="1" t="s">
        <v>773</v>
      </c>
      <c r="C1779" s="1" t="s">
        <v>989</v>
      </c>
      <c r="D1779" s="1" t="s">
        <v>2369</v>
      </c>
      <c r="E1779" s="1" t="str">
        <f t="shared" si="27"/>
        <v>W05</v>
      </c>
      <c r="F1779" s="1">
        <v>0</v>
      </c>
      <c r="G1779" s="1">
        <v>0</v>
      </c>
      <c r="H1779" s="1">
        <v>0</v>
      </c>
    </row>
    <row r="1780" spans="1:8">
      <c r="A1780" s="1" t="s">
        <v>772</v>
      </c>
      <c r="B1780" s="1" t="s">
        <v>773</v>
      </c>
      <c r="C1780" s="1" t="s">
        <v>989</v>
      </c>
      <c r="D1780" s="1" t="s">
        <v>2370</v>
      </c>
      <c r="E1780" s="1" t="str">
        <f t="shared" si="27"/>
        <v>W05</v>
      </c>
      <c r="F1780" s="1">
        <v>0</v>
      </c>
      <c r="G1780" s="1">
        <v>0</v>
      </c>
      <c r="H1780" s="1">
        <v>0</v>
      </c>
    </row>
    <row r="1781" spans="1:8">
      <c r="A1781" s="1" t="s">
        <v>772</v>
      </c>
      <c r="B1781" s="1" t="s">
        <v>773</v>
      </c>
      <c r="C1781" s="1" t="s">
        <v>1002</v>
      </c>
      <c r="D1781" s="1" t="s">
        <v>634</v>
      </c>
      <c r="E1781" s="1" t="str">
        <f t="shared" si="27"/>
        <v>W06</v>
      </c>
      <c r="F1781" s="1">
        <v>10.35</v>
      </c>
      <c r="G1781" s="1">
        <v>8.1300000000000008</v>
      </c>
      <c r="H1781" s="1">
        <v>8.1300000000000008</v>
      </c>
    </row>
    <row r="1782" spans="1:8">
      <c r="A1782" s="1" t="s">
        <v>772</v>
      </c>
      <c r="B1782" s="1" t="s">
        <v>773</v>
      </c>
      <c r="C1782" s="1" t="s">
        <v>1002</v>
      </c>
      <c r="D1782" s="1" t="s">
        <v>632</v>
      </c>
      <c r="E1782" s="1" t="str">
        <f t="shared" si="27"/>
        <v>W06</v>
      </c>
      <c r="F1782" s="1">
        <v>9.2799999999999994</v>
      </c>
      <c r="G1782" s="1">
        <v>7.26</v>
      </c>
      <c r="H1782" s="1">
        <v>7.26</v>
      </c>
    </row>
    <row r="1783" spans="1:8">
      <c r="A1783" s="1" t="s">
        <v>772</v>
      </c>
      <c r="B1783" s="1" t="s">
        <v>773</v>
      </c>
      <c r="C1783" s="1" t="s">
        <v>989</v>
      </c>
      <c r="D1783" s="1" t="s">
        <v>2371</v>
      </c>
      <c r="E1783" s="1" t="str">
        <f t="shared" si="27"/>
        <v>W05</v>
      </c>
      <c r="F1783" s="1">
        <v>0</v>
      </c>
      <c r="G1783" s="1">
        <v>0</v>
      </c>
      <c r="H1783" s="1">
        <v>0</v>
      </c>
    </row>
    <row r="1784" spans="1:8">
      <c r="A1784" s="1" t="s">
        <v>772</v>
      </c>
      <c r="B1784" s="1" t="s">
        <v>773</v>
      </c>
      <c r="D1784" s="1" t="s">
        <v>2372</v>
      </c>
      <c r="E1784" s="1" t="str">
        <f t="shared" si="27"/>
        <v/>
      </c>
      <c r="F1784" s="1">
        <v>0</v>
      </c>
      <c r="G1784" s="1">
        <v>0</v>
      </c>
      <c r="H1784" s="1">
        <v>0</v>
      </c>
    </row>
    <row r="1785" spans="1:8">
      <c r="A1785" s="1" t="s">
        <v>772</v>
      </c>
      <c r="B1785" s="1" t="s">
        <v>773</v>
      </c>
      <c r="C1785" s="1" t="s">
        <v>989</v>
      </c>
      <c r="D1785" s="1" t="s">
        <v>2373</v>
      </c>
      <c r="E1785" s="1" t="str">
        <f t="shared" si="27"/>
        <v>W05</v>
      </c>
      <c r="F1785" s="1">
        <v>0</v>
      </c>
      <c r="G1785" s="1">
        <v>0</v>
      </c>
      <c r="H1785" s="1">
        <v>0</v>
      </c>
    </row>
    <row r="1786" spans="1:8">
      <c r="A1786" s="1" t="s">
        <v>772</v>
      </c>
      <c r="B1786" s="1" t="s">
        <v>773</v>
      </c>
      <c r="C1786" s="1" t="s">
        <v>989</v>
      </c>
      <c r="D1786" s="1" t="s">
        <v>2374</v>
      </c>
      <c r="E1786" s="1" t="str">
        <f t="shared" si="27"/>
        <v>W05</v>
      </c>
      <c r="F1786" s="1">
        <v>0</v>
      </c>
      <c r="G1786" s="1">
        <v>0</v>
      </c>
      <c r="H1786" s="1">
        <v>0</v>
      </c>
    </row>
    <row r="1787" spans="1:8">
      <c r="A1787" s="1" t="s">
        <v>772</v>
      </c>
      <c r="B1787" s="1" t="s">
        <v>773</v>
      </c>
      <c r="C1787" s="1" t="s">
        <v>989</v>
      </c>
      <c r="D1787" s="1" t="s">
        <v>2375</v>
      </c>
      <c r="E1787" s="1" t="str">
        <f t="shared" si="27"/>
        <v>W05</v>
      </c>
      <c r="F1787" s="1">
        <v>0</v>
      </c>
      <c r="G1787" s="1">
        <v>0</v>
      </c>
      <c r="H1787" s="1">
        <v>0</v>
      </c>
    </row>
    <row r="1788" spans="1:8">
      <c r="A1788" s="1" t="s">
        <v>772</v>
      </c>
      <c r="B1788" s="1" t="s">
        <v>773</v>
      </c>
      <c r="C1788" s="1" t="s">
        <v>989</v>
      </c>
      <c r="D1788" s="1" t="s">
        <v>2376</v>
      </c>
      <c r="E1788" s="1" t="str">
        <f t="shared" si="27"/>
        <v>W05</v>
      </c>
      <c r="F1788" s="1">
        <v>0</v>
      </c>
      <c r="G1788" s="1">
        <v>0</v>
      </c>
      <c r="H1788" s="1">
        <v>0</v>
      </c>
    </row>
    <row r="1789" spans="1:8">
      <c r="A1789" s="1" t="s">
        <v>772</v>
      </c>
      <c r="B1789" s="1" t="s">
        <v>773</v>
      </c>
      <c r="C1789" s="1" t="s">
        <v>989</v>
      </c>
      <c r="D1789" s="1" t="s">
        <v>2377</v>
      </c>
      <c r="E1789" s="1" t="str">
        <f t="shared" si="27"/>
        <v>W05</v>
      </c>
      <c r="F1789" s="1">
        <v>0</v>
      </c>
      <c r="G1789" s="1">
        <v>0</v>
      </c>
      <c r="H1789" s="1">
        <v>0</v>
      </c>
    </row>
    <row r="1790" spans="1:8">
      <c r="A1790" s="1" t="s">
        <v>772</v>
      </c>
      <c r="B1790" s="1" t="s">
        <v>773</v>
      </c>
      <c r="C1790" s="1" t="s">
        <v>904</v>
      </c>
      <c r="D1790" s="1" t="s">
        <v>2378</v>
      </c>
      <c r="E1790" s="1" t="str">
        <f t="shared" si="27"/>
        <v>W03</v>
      </c>
      <c r="F1790" s="1">
        <v>8</v>
      </c>
      <c r="G1790" s="1">
        <v>6.66</v>
      </c>
      <c r="H1790" s="1">
        <v>6.66</v>
      </c>
    </row>
    <row r="1791" spans="1:8">
      <c r="A1791" s="1" t="s">
        <v>772</v>
      </c>
      <c r="B1791" s="1" t="s">
        <v>773</v>
      </c>
      <c r="C1791" s="1" t="s">
        <v>904</v>
      </c>
      <c r="D1791" s="1" t="s">
        <v>2379</v>
      </c>
      <c r="E1791" s="1" t="str">
        <f t="shared" si="27"/>
        <v>W03</v>
      </c>
      <c r="F1791" s="1">
        <v>2.33</v>
      </c>
      <c r="G1791" s="1">
        <v>1.93</v>
      </c>
      <c r="H1791" s="1">
        <v>1.93</v>
      </c>
    </row>
    <row r="1792" spans="1:8">
      <c r="A1792" s="1" t="s">
        <v>772</v>
      </c>
      <c r="B1792" s="1" t="s">
        <v>773</v>
      </c>
      <c r="C1792" s="1" t="s">
        <v>848</v>
      </c>
      <c r="D1792" s="1" t="s">
        <v>2380</v>
      </c>
      <c r="E1792" s="1" t="str">
        <f t="shared" si="27"/>
        <v>W02</v>
      </c>
      <c r="F1792" s="1">
        <v>0</v>
      </c>
      <c r="G1792" s="1">
        <v>0</v>
      </c>
      <c r="H1792" s="1">
        <v>0</v>
      </c>
    </row>
    <row r="1793" spans="1:8">
      <c r="A1793" s="1" t="s">
        <v>772</v>
      </c>
      <c r="B1793" s="1" t="s">
        <v>773</v>
      </c>
      <c r="C1793" s="1" t="s">
        <v>989</v>
      </c>
      <c r="D1793" s="1" t="s">
        <v>2381</v>
      </c>
      <c r="E1793" s="1" t="str">
        <f t="shared" si="27"/>
        <v>W05</v>
      </c>
      <c r="F1793" s="1">
        <v>0</v>
      </c>
      <c r="G1793" s="1">
        <v>0</v>
      </c>
      <c r="H1793" s="1">
        <v>0</v>
      </c>
    </row>
    <row r="1794" spans="1:8">
      <c r="A1794" s="1" t="s">
        <v>772</v>
      </c>
      <c r="B1794" s="1" t="s">
        <v>773</v>
      </c>
      <c r="C1794" s="1" t="s">
        <v>989</v>
      </c>
      <c r="D1794" s="1" t="s">
        <v>2382</v>
      </c>
      <c r="E1794" s="1" t="str">
        <f t="shared" si="27"/>
        <v>W05</v>
      </c>
      <c r="F1794" s="1">
        <v>0</v>
      </c>
      <c r="G1794" s="1">
        <v>0</v>
      </c>
      <c r="H1794" s="1">
        <v>0</v>
      </c>
    </row>
    <row r="1795" spans="1:8">
      <c r="A1795" s="1" t="s">
        <v>772</v>
      </c>
      <c r="B1795" s="1" t="s">
        <v>773</v>
      </c>
      <c r="C1795" s="1" t="s">
        <v>989</v>
      </c>
      <c r="D1795" s="1" t="s">
        <v>2383</v>
      </c>
      <c r="E1795" s="1" t="str">
        <f t="shared" si="27"/>
        <v>W05</v>
      </c>
      <c r="F1795" s="1">
        <v>0</v>
      </c>
      <c r="G1795" s="1">
        <v>0</v>
      </c>
      <c r="H1795" s="1">
        <v>0</v>
      </c>
    </row>
    <row r="1796" spans="1:8">
      <c r="A1796" s="1" t="s">
        <v>772</v>
      </c>
      <c r="B1796" s="1" t="s">
        <v>773</v>
      </c>
      <c r="D1796" s="1" t="s">
        <v>2384</v>
      </c>
      <c r="E1796" s="1" t="str">
        <f t="shared" si="27"/>
        <v/>
      </c>
      <c r="F1796" s="1">
        <v>0</v>
      </c>
      <c r="G1796" s="1">
        <v>0</v>
      </c>
      <c r="H1796" s="1">
        <v>0</v>
      </c>
    </row>
    <row r="1797" spans="1:8">
      <c r="A1797" s="1" t="s">
        <v>772</v>
      </c>
      <c r="B1797" s="1" t="s">
        <v>773</v>
      </c>
      <c r="C1797" s="1" t="s">
        <v>989</v>
      </c>
      <c r="D1797" s="1" t="s">
        <v>2385</v>
      </c>
      <c r="E1797" s="1" t="str">
        <f t="shared" ref="E1797:E1860" si="28">RIGHT(C1797,3)</f>
        <v>W05</v>
      </c>
      <c r="F1797" s="1">
        <v>0</v>
      </c>
      <c r="G1797" s="1">
        <v>0</v>
      </c>
      <c r="H1797" s="1">
        <v>0</v>
      </c>
    </row>
    <row r="1798" spans="1:8">
      <c r="A1798" s="1" t="s">
        <v>772</v>
      </c>
      <c r="B1798" s="1" t="s">
        <v>773</v>
      </c>
      <c r="C1798" s="1" t="s">
        <v>989</v>
      </c>
      <c r="D1798" s="1" t="s">
        <v>2386</v>
      </c>
      <c r="E1798" s="1" t="str">
        <f t="shared" si="28"/>
        <v>W05</v>
      </c>
      <c r="F1798" s="1">
        <v>0</v>
      </c>
      <c r="G1798" s="1">
        <v>0</v>
      </c>
      <c r="H1798" s="1">
        <v>0</v>
      </c>
    </row>
    <row r="1799" spans="1:8">
      <c r="A1799" s="1" t="s">
        <v>772</v>
      </c>
      <c r="B1799" s="1" t="s">
        <v>773</v>
      </c>
      <c r="C1799" s="1" t="s">
        <v>989</v>
      </c>
      <c r="D1799" s="1" t="s">
        <v>2387</v>
      </c>
      <c r="E1799" s="1" t="str">
        <f t="shared" si="28"/>
        <v>W05</v>
      </c>
      <c r="F1799" s="1">
        <v>0</v>
      </c>
      <c r="G1799" s="1">
        <v>0</v>
      </c>
      <c r="H1799" s="1">
        <v>0</v>
      </c>
    </row>
    <row r="1800" spans="1:8">
      <c r="A1800" s="1" t="s">
        <v>772</v>
      </c>
      <c r="B1800" s="1" t="s">
        <v>773</v>
      </c>
      <c r="C1800" s="1" t="s">
        <v>989</v>
      </c>
      <c r="D1800" s="1" t="s">
        <v>2388</v>
      </c>
      <c r="E1800" s="1" t="str">
        <f t="shared" si="28"/>
        <v>W05</v>
      </c>
      <c r="F1800" s="1">
        <v>0</v>
      </c>
      <c r="G1800" s="1">
        <v>0</v>
      </c>
      <c r="H1800" s="1">
        <v>0</v>
      </c>
    </row>
    <row r="1801" spans="1:8">
      <c r="A1801" s="1" t="s">
        <v>772</v>
      </c>
      <c r="B1801" s="1" t="s">
        <v>773</v>
      </c>
      <c r="C1801" s="1" t="s">
        <v>989</v>
      </c>
      <c r="D1801" s="1" t="s">
        <v>2389</v>
      </c>
      <c r="E1801" s="1" t="str">
        <f t="shared" si="28"/>
        <v>W05</v>
      </c>
      <c r="F1801" s="1">
        <v>0</v>
      </c>
      <c r="G1801" s="1">
        <v>0</v>
      </c>
      <c r="H1801" s="1">
        <v>0</v>
      </c>
    </row>
    <row r="1802" spans="1:8">
      <c r="A1802" s="1" t="s">
        <v>772</v>
      </c>
      <c r="B1802" s="1" t="s">
        <v>773</v>
      </c>
      <c r="C1802" s="1" t="s">
        <v>989</v>
      </c>
      <c r="D1802" s="1" t="s">
        <v>2390</v>
      </c>
      <c r="E1802" s="1" t="str">
        <f t="shared" si="28"/>
        <v>W05</v>
      </c>
      <c r="F1802" s="1">
        <v>0</v>
      </c>
      <c r="G1802" s="1">
        <v>0</v>
      </c>
      <c r="H1802" s="1">
        <v>0</v>
      </c>
    </row>
    <row r="1803" spans="1:8">
      <c r="A1803" s="1" t="s">
        <v>772</v>
      </c>
      <c r="B1803" s="1" t="s">
        <v>773</v>
      </c>
      <c r="C1803" s="1" t="s">
        <v>989</v>
      </c>
      <c r="D1803" s="1" t="s">
        <v>2391</v>
      </c>
      <c r="E1803" s="1" t="str">
        <f t="shared" si="28"/>
        <v>W05</v>
      </c>
      <c r="F1803" s="1">
        <v>0</v>
      </c>
      <c r="G1803" s="1">
        <v>0</v>
      </c>
      <c r="H1803" s="1">
        <v>0</v>
      </c>
    </row>
    <row r="1804" spans="1:8">
      <c r="A1804" s="1" t="s">
        <v>772</v>
      </c>
      <c r="B1804" s="1" t="s">
        <v>773</v>
      </c>
      <c r="C1804" s="1" t="s">
        <v>989</v>
      </c>
      <c r="D1804" s="1" t="s">
        <v>2392</v>
      </c>
      <c r="E1804" s="1" t="str">
        <f t="shared" si="28"/>
        <v>W05</v>
      </c>
      <c r="F1804" s="1">
        <v>0</v>
      </c>
      <c r="G1804" s="1">
        <v>0</v>
      </c>
      <c r="H1804" s="1">
        <v>0</v>
      </c>
    </row>
    <row r="1805" spans="1:8">
      <c r="A1805" s="1" t="s">
        <v>772</v>
      </c>
      <c r="B1805" s="1" t="s">
        <v>773</v>
      </c>
      <c r="C1805" s="1" t="s">
        <v>858</v>
      </c>
      <c r="D1805" s="1" t="s">
        <v>639</v>
      </c>
      <c r="E1805" s="1" t="str">
        <f t="shared" si="28"/>
        <v>W04</v>
      </c>
      <c r="F1805" s="1">
        <v>8.9600000000000009</v>
      </c>
      <c r="G1805" s="1">
        <v>7.17</v>
      </c>
      <c r="H1805" s="1">
        <v>7.17</v>
      </c>
    </row>
    <row r="1806" spans="1:8">
      <c r="A1806" s="1" t="s">
        <v>772</v>
      </c>
      <c r="B1806" s="1" t="s">
        <v>773</v>
      </c>
      <c r="C1806" s="1" t="s">
        <v>858</v>
      </c>
      <c r="D1806" s="1" t="s">
        <v>640</v>
      </c>
      <c r="E1806" s="1" t="str">
        <f t="shared" si="28"/>
        <v>W04</v>
      </c>
      <c r="F1806" s="1">
        <v>7.27</v>
      </c>
      <c r="G1806" s="1">
        <v>5.81</v>
      </c>
      <c r="H1806" s="1">
        <v>5.81</v>
      </c>
    </row>
    <row r="1807" spans="1:8">
      <c r="A1807" s="1" t="s">
        <v>772</v>
      </c>
      <c r="B1807" s="1" t="s">
        <v>773</v>
      </c>
      <c r="C1807" s="1" t="s">
        <v>774</v>
      </c>
      <c r="D1807" s="1" t="s">
        <v>626</v>
      </c>
      <c r="E1807" s="1" t="str">
        <f t="shared" si="28"/>
        <v>W01</v>
      </c>
      <c r="F1807" s="1">
        <v>8.0500000000000007</v>
      </c>
      <c r="G1807" s="1">
        <v>6.28</v>
      </c>
      <c r="H1807" s="1">
        <v>6.28</v>
      </c>
    </row>
    <row r="1808" spans="1:8">
      <c r="A1808" s="1" t="s">
        <v>772</v>
      </c>
      <c r="B1808" s="1" t="s">
        <v>773</v>
      </c>
      <c r="C1808" s="1" t="s">
        <v>774</v>
      </c>
      <c r="D1808" s="1" t="s">
        <v>631</v>
      </c>
      <c r="E1808" s="1" t="str">
        <f t="shared" si="28"/>
        <v>W01</v>
      </c>
      <c r="F1808" s="1">
        <v>11.31</v>
      </c>
      <c r="G1808" s="1">
        <v>8.94</v>
      </c>
      <c r="H1808" s="1">
        <v>8.94</v>
      </c>
    </row>
    <row r="1809" spans="1:8">
      <c r="A1809" s="1" t="s">
        <v>772</v>
      </c>
      <c r="B1809" s="1" t="s">
        <v>773</v>
      </c>
      <c r="C1809" s="1" t="s">
        <v>989</v>
      </c>
      <c r="D1809" s="1" t="s">
        <v>2393</v>
      </c>
      <c r="E1809" s="1" t="str">
        <f t="shared" si="28"/>
        <v>W05</v>
      </c>
      <c r="F1809" s="1">
        <v>0</v>
      </c>
      <c r="G1809" s="1">
        <v>0</v>
      </c>
      <c r="H1809" s="1">
        <v>0</v>
      </c>
    </row>
    <row r="1810" spans="1:8">
      <c r="A1810" s="1" t="s">
        <v>772</v>
      </c>
      <c r="B1810" s="1" t="s">
        <v>773</v>
      </c>
      <c r="C1810" s="1" t="s">
        <v>989</v>
      </c>
      <c r="D1810" s="1" t="s">
        <v>2394</v>
      </c>
      <c r="E1810" s="1" t="str">
        <f t="shared" si="28"/>
        <v>W05</v>
      </c>
      <c r="F1810" s="1">
        <v>0</v>
      </c>
      <c r="G1810" s="1">
        <v>0</v>
      </c>
      <c r="H1810" s="1">
        <v>0</v>
      </c>
    </row>
    <row r="1811" spans="1:8">
      <c r="A1811" s="1" t="s">
        <v>772</v>
      </c>
      <c r="B1811" s="1" t="s">
        <v>773</v>
      </c>
      <c r="D1811" s="1" t="s">
        <v>2395</v>
      </c>
      <c r="E1811" s="1" t="str">
        <f t="shared" si="28"/>
        <v/>
      </c>
      <c r="F1811" s="1">
        <v>0</v>
      </c>
      <c r="G1811" s="1">
        <v>0</v>
      </c>
      <c r="H1811" s="1">
        <v>0</v>
      </c>
    </row>
    <row r="1812" spans="1:8">
      <c r="A1812" s="1" t="s">
        <v>772</v>
      </c>
      <c r="B1812" s="1" t="s">
        <v>773</v>
      </c>
      <c r="C1812" s="1" t="s">
        <v>989</v>
      </c>
      <c r="D1812" s="1" t="s">
        <v>2396</v>
      </c>
      <c r="E1812" s="1" t="str">
        <f t="shared" si="28"/>
        <v>W05</v>
      </c>
      <c r="F1812" s="1">
        <v>0</v>
      </c>
      <c r="G1812" s="1">
        <v>0</v>
      </c>
      <c r="H1812" s="1">
        <v>0</v>
      </c>
    </row>
    <row r="1813" spans="1:8">
      <c r="A1813" s="1" t="s">
        <v>772</v>
      </c>
      <c r="B1813" s="1" t="s">
        <v>773</v>
      </c>
      <c r="C1813" s="1" t="s">
        <v>848</v>
      </c>
      <c r="D1813" s="1" t="s">
        <v>2397</v>
      </c>
      <c r="E1813" s="1" t="str">
        <f t="shared" si="28"/>
        <v>W02</v>
      </c>
      <c r="F1813" s="1">
        <v>0</v>
      </c>
      <c r="G1813" s="1">
        <v>0</v>
      </c>
      <c r="H1813" s="1">
        <v>0</v>
      </c>
    </row>
    <row r="1814" spans="1:8">
      <c r="A1814" s="1" t="s">
        <v>772</v>
      </c>
      <c r="B1814" s="1" t="s">
        <v>773</v>
      </c>
      <c r="C1814" s="1" t="s">
        <v>848</v>
      </c>
      <c r="D1814" s="1" t="s">
        <v>2398</v>
      </c>
      <c r="E1814" s="1" t="str">
        <f t="shared" si="28"/>
        <v>W02</v>
      </c>
      <c r="F1814" s="1">
        <v>0</v>
      </c>
      <c r="G1814" s="1">
        <v>0</v>
      </c>
      <c r="H1814" s="1">
        <v>0</v>
      </c>
    </row>
    <row r="1815" spans="1:8">
      <c r="A1815" s="1" t="s">
        <v>772</v>
      </c>
      <c r="B1815" s="1" t="s">
        <v>773</v>
      </c>
      <c r="C1815" s="1" t="s">
        <v>848</v>
      </c>
      <c r="D1815" s="1" t="s">
        <v>2399</v>
      </c>
      <c r="E1815" s="1" t="str">
        <f t="shared" si="28"/>
        <v>W02</v>
      </c>
      <c r="F1815" s="1">
        <v>0</v>
      </c>
      <c r="G1815" s="1">
        <v>0</v>
      </c>
      <c r="H1815" s="1">
        <v>0</v>
      </c>
    </row>
    <row r="1816" spans="1:8">
      <c r="A1816" s="1" t="s">
        <v>772</v>
      </c>
      <c r="B1816" s="1" t="s">
        <v>773</v>
      </c>
      <c r="C1816" s="1" t="s">
        <v>774</v>
      </c>
      <c r="D1816" s="1" t="s">
        <v>2400</v>
      </c>
      <c r="E1816" s="1" t="str">
        <f t="shared" si="28"/>
        <v>W01</v>
      </c>
      <c r="F1816" s="1">
        <v>0</v>
      </c>
      <c r="G1816" s="1">
        <v>0</v>
      </c>
      <c r="H1816" s="1">
        <v>0</v>
      </c>
    </row>
    <row r="1817" spans="1:8">
      <c r="A1817" s="1" t="s">
        <v>772</v>
      </c>
      <c r="B1817" s="1" t="s">
        <v>773</v>
      </c>
      <c r="C1817" s="1" t="s">
        <v>848</v>
      </c>
      <c r="D1817" s="1" t="s">
        <v>2401</v>
      </c>
      <c r="E1817" s="1" t="str">
        <f t="shared" si="28"/>
        <v>W02</v>
      </c>
      <c r="F1817" s="1">
        <v>0</v>
      </c>
      <c r="G1817" s="1">
        <v>0</v>
      </c>
      <c r="H1817" s="1">
        <v>0</v>
      </c>
    </row>
    <row r="1818" spans="1:8">
      <c r="A1818" s="1" t="s">
        <v>772</v>
      </c>
      <c r="B1818" s="1" t="s">
        <v>773</v>
      </c>
      <c r="C1818" s="1" t="s">
        <v>848</v>
      </c>
      <c r="D1818" s="1" t="s">
        <v>2402</v>
      </c>
      <c r="E1818" s="1" t="str">
        <f t="shared" si="28"/>
        <v>W02</v>
      </c>
      <c r="F1818" s="1">
        <v>0</v>
      </c>
      <c r="G1818" s="1">
        <v>0</v>
      </c>
      <c r="H1818" s="1">
        <v>0</v>
      </c>
    </row>
    <row r="1819" spans="1:8">
      <c r="A1819" s="1" t="s">
        <v>772</v>
      </c>
      <c r="B1819" s="1" t="s">
        <v>773</v>
      </c>
      <c r="C1819" s="1" t="s">
        <v>989</v>
      </c>
      <c r="D1819" s="1" t="s">
        <v>2403</v>
      </c>
      <c r="E1819" s="1" t="str">
        <f t="shared" si="28"/>
        <v>W05</v>
      </c>
      <c r="F1819" s="1">
        <v>0</v>
      </c>
      <c r="G1819" s="1">
        <v>0</v>
      </c>
      <c r="H1819" s="1">
        <v>0</v>
      </c>
    </row>
    <row r="1820" spans="1:8">
      <c r="A1820" s="1" t="s">
        <v>772</v>
      </c>
      <c r="B1820" s="1" t="s">
        <v>773</v>
      </c>
      <c r="C1820" s="1" t="s">
        <v>989</v>
      </c>
      <c r="D1820" s="1" t="s">
        <v>2404</v>
      </c>
      <c r="E1820" s="1" t="str">
        <f t="shared" si="28"/>
        <v>W05</v>
      </c>
      <c r="F1820" s="1">
        <v>0</v>
      </c>
      <c r="G1820" s="1">
        <v>0</v>
      </c>
      <c r="H1820" s="1">
        <v>0</v>
      </c>
    </row>
    <row r="1821" spans="1:8">
      <c r="A1821" s="1" t="s">
        <v>772</v>
      </c>
      <c r="B1821" s="1" t="s">
        <v>773</v>
      </c>
      <c r="C1821" s="1" t="s">
        <v>989</v>
      </c>
      <c r="D1821" s="1" t="s">
        <v>2405</v>
      </c>
      <c r="E1821" s="1" t="str">
        <f t="shared" si="28"/>
        <v>W05</v>
      </c>
      <c r="F1821" s="1">
        <v>0</v>
      </c>
      <c r="G1821" s="1">
        <v>0</v>
      </c>
      <c r="H1821" s="1">
        <v>0</v>
      </c>
    </row>
    <row r="1822" spans="1:8">
      <c r="A1822" s="1" t="s">
        <v>772</v>
      </c>
      <c r="B1822" s="1" t="s">
        <v>773</v>
      </c>
      <c r="C1822" s="1" t="s">
        <v>989</v>
      </c>
      <c r="D1822" s="1" t="s">
        <v>2406</v>
      </c>
      <c r="E1822" s="1" t="str">
        <f t="shared" si="28"/>
        <v>W05</v>
      </c>
      <c r="F1822" s="1">
        <v>0</v>
      </c>
      <c r="G1822" s="1">
        <v>0</v>
      </c>
      <c r="H1822" s="1">
        <v>0</v>
      </c>
    </row>
    <row r="1823" spans="1:8">
      <c r="A1823" s="1" t="s">
        <v>772</v>
      </c>
      <c r="B1823" s="1" t="s">
        <v>773</v>
      </c>
      <c r="C1823" s="1" t="s">
        <v>989</v>
      </c>
      <c r="D1823" s="1" t="s">
        <v>2407</v>
      </c>
      <c r="E1823" s="1" t="str">
        <f t="shared" si="28"/>
        <v>W05</v>
      </c>
      <c r="F1823" s="1">
        <v>0</v>
      </c>
      <c r="G1823" s="1">
        <v>0</v>
      </c>
      <c r="H1823" s="1">
        <v>0</v>
      </c>
    </row>
    <row r="1824" spans="1:8">
      <c r="A1824" s="1" t="s">
        <v>772</v>
      </c>
      <c r="B1824" s="1" t="s">
        <v>773</v>
      </c>
      <c r="C1824" s="1" t="s">
        <v>989</v>
      </c>
      <c r="D1824" s="1" t="s">
        <v>2408</v>
      </c>
      <c r="E1824" s="1" t="str">
        <f t="shared" si="28"/>
        <v>W05</v>
      </c>
      <c r="F1824" s="1">
        <v>0.25</v>
      </c>
      <c r="G1824" s="1">
        <v>0.25</v>
      </c>
      <c r="H1824" s="1">
        <v>0.25</v>
      </c>
    </row>
    <row r="1825" spans="1:8">
      <c r="A1825" s="1" t="s">
        <v>772</v>
      </c>
      <c r="B1825" s="1" t="s">
        <v>773</v>
      </c>
      <c r="C1825" s="1" t="s">
        <v>989</v>
      </c>
      <c r="D1825" s="1" t="s">
        <v>2409</v>
      </c>
      <c r="E1825" s="1" t="str">
        <f t="shared" si="28"/>
        <v>W05</v>
      </c>
      <c r="F1825" s="1">
        <v>0</v>
      </c>
      <c r="G1825" s="1">
        <v>0</v>
      </c>
      <c r="H1825" s="1">
        <v>0</v>
      </c>
    </row>
    <row r="1826" spans="1:8">
      <c r="A1826" s="1" t="s">
        <v>772</v>
      </c>
      <c r="B1826" s="1" t="s">
        <v>773</v>
      </c>
      <c r="C1826" s="1" t="s">
        <v>989</v>
      </c>
      <c r="D1826" s="1" t="s">
        <v>2410</v>
      </c>
      <c r="E1826" s="1" t="str">
        <f t="shared" si="28"/>
        <v>W05</v>
      </c>
      <c r="F1826" s="1">
        <v>0</v>
      </c>
      <c r="G1826" s="1">
        <v>0</v>
      </c>
      <c r="H1826" s="1">
        <v>0</v>
      </c>
    </row>
    <row r="1827" spans="1:8">
      <c r="A1827" s="1" t="s">
        <v>772</v>
      </c>
      <c r="B1827" s="1" t="s">
        <v>773</v>
      </c>
      <c r="C1827" s="1" t="s">
        <v>989</v>
      </c>
      <c r="D1827" s="1" t="s">
        <v>2411</v>
      </c>
      <c r="E1827" s="1" t="str">
        <f t="shared" si="28"/>
        <v>W05</v>
      </c>
      <c r="F1827" s="1">
        <v>0</v>
      </c>
      <c r="G1827" s="1">
        <v>0</v>
      </c>
      <c r="H1827" s="1">
        <v>0</v>
      </c>
    </row>
    <row r="1828" spans="1:8">
      <c r="A1828" s="1" t="s">
        <v>772</v>
      </c>
      <c r="B1828" s="1" t="s">
        <v>773</v>
      </c>
      <c r="C1828" s="1" t="s">
        <v>989</v>
      </c>
      <c r="D1828" s="1" t="s">
        <v>2412</v>
      </c>
      <c r="E1828" s="1" t="str">
        <f t="shared" si="28"/>
        <v>W05</v>
      </c>
      <c r="F1828" s="1">
        <v>0</v>
      </c>
      <c r="G1828" s="1">
        <v>0</v>
      </c>
      <c r="H1828" s="1">
        <v>0</v>
      </c>
    </row>
    <row r="1829" spans="1:8">
      <c r="A1829" s="1" t="s">
        <v>772</v>
      </c>
      <c r="B1829" s="1" t="s">
        <v>773</v>
      </c>
      <c r="C1829" s="1" t="s">
        <v>989</v>
      </c>
      <c r="D1829" s="1" t="s">
        <v>2413</v>
      </c>
      <c r="E1829" s="1" t="str">
        <f t="shared" si="28"/>
        <v>W05</v>
      </c>
      <c r="F1829" s="1">
        <v>0</v>
      </c>
      <c r="G1829" s="1">
        <v>0</v>
      </c>
      <c r="H1829" s="1">
        <v>0</v>
      </c>
    </row>
    <row r="1830" spans="1:8">
      <c r="A1830" s="1" t="s">
        <v>772</v>
      </c>
      <c r="B1830" s="1" t="s">
        <v>773</v>
      </c>
      <c r="C1830" s="1" t="s">
        <v>989</v>
      </c>
      <c r="D1830" s="1" t="s">
        <v>2414</v>
      </c>
      <c r="E1830" s="1" t="str">
        <f t="shared" si="28"/>
        <v>W05</v>
      </c>
      <c r="F1830" s="1">
        <v>0</v>
      </c>
      <c r="G1830" s="1">
        <v>0</v>
      </c>
      <c r="H1830" s="1">
        <v>0</v>
      </c>
    </row>
    <row r="1831" spans="1:8">
      <c r="A1831" s="1" t="s">
        <v>772</v>
      </c>
      <c r="B1831" s="1" t="s">
        <v>773</v>
      </c>
      <c r="C1831" s="1" t="s">
        <v>989</v>
      </c>
      <c r="D1831" s="1" t="s">
        <v>2415</v>
      </c>
      <c r="E1831" s="1" t="str">
        <f t="shared" si="28"/>
        <v>W05</v>
      </c>
      <c r="F1831" s="1">
        <v>0</v>
      </c>
      <c r="G1831" s="1">
        <v>0</v>
      </c>
      <c r="H1831" s="1">
        <v>0</v>
      </c>
    </row>
    <row r="1832" spans="1:8">
      <c r="A1832" s="1" t="s">
        <v>772</v>
      </c>
      <c r="B1832" s="1" t="s">
        <v>773</v>
      </c>
      <c r="C1832" s="1" t="s">
        <v>989</v>
      </c>
      <c r="D1832" s="1" t="s">
        <v>2416</v>
      </c>
      <c r="E1832" s="1" t="str">
        <f t="shared" si="28"/>
        <v>W05</v>
      </c>
      <c r="F1832" s="1">
        <v>0</v>
      </c>
      <c r="G1832" s="1">
        <v>0</v>
      </c>
      <c r="H1832" s="1">
        <v>0</v>
      </c>
    </row>
    <row r="1833" spans="1:8">
      <c r="A1833" s="1" t="s">
        <v>772</v>
      </c>
      <c r="B1833" s="1" t="s">
        <v>773</v>
      </c>
      <c r="C1833" s="1" t="s">
        <v>989</v>
      </c>
      <c r="D1833" s="1" t="s">
        <v>2417</v>
      </c>
      <c r="E1833" s="1" t="str">
        <f t="shared" si="28"/>
        <v>W05</v>
      </c>
      <c r="F1833" s="1">
        <v>0</v>
      </c>
      <c r="G1833" s="1">
        <v>0</v>
      </c>
      <c r="H1833" s="1">
        <v>0</v>
      </c>
    </row>
    <row r="1834" spans="1:8">
      <c r="A1834" s="1" t="s">
        <v>772</v>
      </c>
      <c r="B1834" s="1" t="s">
        <v>773</v>
      </c>
      <c r="C1834" s="1" t="s">
        <v>989</v>
      </c>
      <c r="D1834" s="1" t="s">
        <v>2418</v>
      </c>
      <c r="E1834" s="1" t="str">
        <f t="shared" si="28"/>
        <v>W05</v>
      </c>
      <c r="F1834" s="1">
        <v>0</v>
      </c>
      <c r="G1834" s="1">
        <v>0</v>
      </c>
      <c r="H1834" s="1">
        <v>0</v>
      </c>
    </row>
    <row r="1835" spans="1:8">
      <c r="A1835" s="1" t="s">
        <v>772</v>
      </c>
      <c r="B1835" s="1" t="s">
        <v>773</v>
      </c>
      <c r="C1835" s="1" t="s">
        <v>904</v>
      </c>
      <c r="D1835" s="1" t="s">
        <v>2419</v>
      </c>
      <c r="E1835" s="1" t="str">
        <f t="shared" si="28"/>
        <v>W03</v>
      </c>
      <c r="F1835" s="1">
        <v>7</v>
      </c>
      <c r="G1835" s="1">
        <v>5.73</v>
      </c>
      <c r="H1835" s="1">
        <v>5.73</v>
      </c>
    </row>
    <row r="1836" spans="1:8">
      <c r="A1836" s="1" t="s">
        <v>772</v>
      </c>
      <c r="B1836" s="1" t="s">
        <v>773</v>
      </c>
      <c r="C1836" s="1" t="s">
        <v>904</v>
      </c>
      <c r="D1836" s="1" t="s">
        <v>2420</v>
      </c>
      <c r="E1836" s="1" t="str">
        <f t="shared" si="28"/>
        <v>W03</v>
      </c>
      <c r="F1836" s="1">
        <v>6.58</v>
      </c>
      <c r="G1836" s="1">
        <v>5.38</v>
      </c>
      <c r="H1836" s="1">
        <v>5.38</v>
      </c>
    </row>
    <row r="1837" spans="1:8">
      <c r="A1837" s="1" t="s">
        <v>772</v>
      </c>
      <c r="B1837" s="1" t="s">
        <v>773</v>
      </c>
      <c r="C1837" s="1" t="s">
        <v>904</v>
      </c>
      <c r="D1837" s="1" t="s">
        <v>2421</v>
      </c>
      <c r="E1837" s="1" t="str">
        <f t="shared" si="28"/>
        <v>W03</v>
      </c>
      <c r="F1837" s="1">
        <v>8.2200000000000006</v>
      </c>
      <c r="G1837" s="1">
        <v>6.2</v>
      </c>
      <c r="H1837" s="1">
        <v>6.2</v>
      </c>
    </row>
    <row r="1838" spans="1:8">
      <c r="A1838" s="1" t="s">
        <v>772</v>
      </c>
      <c r="B1838" s="1" t="s">
        <v>773</v>
      </c>
      <c r="C1838" s="1" t="s">
        <v>904</v>
      </c>
      <c r="D1838" s="1" t="s">
        <v>2422</v>
      </c>
      <c r="E1838" s="1" t="str">
        <f t="shared" si="28"/>
        <v>W03</v>
      </c>
      <c r="F1838" s="1">
        <v>2.65</v>
      </c>
      <c r="G1838" s="1">
        <v>2</v>
      </c>
      <c r="H1838" s="1">
        <v>2</v>
      </c>
    </row>
    <row r="1839" spans="1:8">
      <c r="A1839" s="1" t="s">
        <v>772</v>
      </c>
      <c r="B1839" s="1" t="s">
        <v>773</v>
      </c>
      <c r="C1839" s="1" t="s">
        <v>989</v>
      </c>
      <c r="D1839" s="1" t="s">
        <v>2423</v>
      </c>
      <c r="E1839" s="1" t="str">
        <f t="shared" si="28"/>
        <v>W05</v>
      </c>
      <c r="F1839" s="1">
        <v>0</v>
      </c>
      <c r="G1839" s="1">
        <v>0</v>
      </c>
      <c r="H1839" s="1">
        <v>0</v>
      </c>
    </row>
    <row r="1840" spans="1:8">
      <c r="A1840" s="1" t="s">
        <v>772</v>
      </c>
      <c r="B1840" s="1" t="s">
        <v>773</v>
      </c>
      <c r="C1840" s="1" t="s">
        <v>989</v>
      </c>
      <c r="D1840" s="1" t="s">
        <v>2424</v>
      </c>
      <c r="E1840" s="1" t="str">
        <f t="shared" si="28"/>
        <v>W05</v>
      </c>
      <c r="F1840" s="1">
        <v>0</v>
      </c>
      <c r="G1840" s="1">
        <v>0</v>
      </c>
      <c r="H1840" s="1">
        <v>0</v>
      </c>
    </row>
    <row r="1841" spans="1:8">
      <c r="A1841" s="1" t="s">
        <v>772</v>
      </c>
      <c r="B1841" s="1" t="s">
        <v>773</v>
      </c>
      <c r="C1841" s="1" t="s">
        <v>989</v>
      </c>
      <c r="D1841" s="1" t="s">
        <v>2425</v>
      </c>
      <c r="E1841" s="1" t="str">
        <f t="shared" si="28"/>
        <v>W05</v>
      </c>
      <c r="F1841" s="1">
        <v>0</v>
      </c>
      <c r="G1841" s="1">
        <v>0</v>
      </c>
      <c r="H1841" s="1">
        <v>0</v>
      </c>
    </row>
    <row r="1842" spans="1:8">
      <c r="A1842" s="1" t="s">
        <v>772</v>
      </c>
      <c r="B1842" s="1" t="s">
        <v>773</v>
      </c>
      <c r="C1842" s="1" t="s">
        <v>989</v>
      </c>
      <c r="D1842" s="1" t="s">
        <v>2426</v>
      </c>
      <c r="E1842" s="1" t="str">
        <f t="shared" si="28"/>
        <v>W05</v>
      </c>
      <c r="F1842" s="1">
        <v>0</v>
      </c>
      <c r="G1842" s="1">
        <v>0</v>
      </c>
      <c r="H1842" s="1">
        <v>0</v>
      </c>
    </row>
    <row r="1843" spans="1:8">
      <c r="A1843" s="1" t="s">
        <v>772</v>
      </c>
      <c r="B1843" s="1" t="s">
        <v>773</v>
      </c>
      <c r="C1843" s="1" t="s">
        <v>989</v>
      </c>
      <c r="D1843" s="1" t="s">
        <v>2427</v>
      </c>
      <c r="E1843" s="1" t="str">
        <f t="shared" si="28"/>
        <v>W05</v>
      </c>
      <c r="F1843" s="1">
        <v>0</v>
      </c>
      <c r="G1843" s="1">
        <v>0</v>
      </c>
      <c r="H1843" s="1">
        <v>0</v>
      </c>
    </row>
    <row r="1844" spans="1:8">
      <c r="A1844" s="1" t="s">
        <v>772</v>
      </c>
      <c r="B1844" s="1" t="s">
        <v>1083</v>
      </c>
      <c r="C1844" s="1" t="s">
        <v>858</v>
      </c>
      <c r="D1844" s="1" t="s">
        <v>2428</v>
      </c>
      <c r="E1844" s="1" t="str">
        <f t="shared" si="28"/>
        <v>W04</v>
      </c>
      <c r="F1844" s="1">
        <v>7.15</v>
      </c>
      <c r="G1844" s="1">
        <v>5.7</v>
      </c>
      <c r="H1844" s="1">
        <v>5.7</v>
      </c>
    </row>
    <row r="1845" spans="1:8">
      <c r="A1845" s="1" t="s">
        <v>772</v>
      </c>
      <c r="B1845" s="1" t="s">
        <v>773</v>
      </c>
      <c r="C1845" s="1" t="s">
        <v>858</v>
      </c>
      <c r="D1845" s="1" t="s">
        <v>2429</v>
      </c>
      <c r="E1845" s="1" t="str">
        <f t="shared" si="28"/>
        <v>W04</v>
      </c>
      <c r="F1845" s="1">
        <v>4.28</v>
      </c>
      <c r="G1845" s="1">
        <v>3.83</v>
      </c>
      <c r="H1845" s="1">
        <v>3.83</v>
      </c>
    </row>
    <row r="1846" spans="1:8">
      <c r="A1846" s="1" t="s">
        <v>772</v>
      </c>
      <c r="B1846" s="1" t="s">
        <v>773</v>
      </c>
      <c r="C1846" s="1" t="s">
        <v>989</v>
      </c>
      <c r="D1846" s="1" t="s">
        <v>2430</v>
      </c>
      <c r="E1846" s="1" t="str">
        <f t="shared" si="28"/>
        <v>W05</v>
      </c>
      <c r="F1846" s="1">
        <v>0</v>
      </c>
      <c r="G1846" s="1">
        <v>0</v>
      </c>
      <c r="H1846" s="1">
        <v>0</v>
      </c>
    </row>
    <row r="1847" spans="1:8">
      <c r="A1847" s="1" t="s">
        <v>772</v>
      </c>
      <c r="B1847" s="1" t="s">
        <v>773</v>
      </c>
      <c r="C1847" s="1" t="s">
        <v>989</v>
      </c>
      <c r="D1847" s="1" t="s">
        <v>2431</v>
      </c>
      <c r="E1847" s="1" t="str">
        <f t="shared" si="28"/>
        <v>W05</v>
      </c>
      <c r="F1847" s="1">
        <v>0</v>
      </c>
      <c r="G1847" s="1">
        <v>0</v>
      </c>
      <c r="H1847" s="1">
        <v>0</v>
      </c>
    </row>
    <row r="1848" spans="1:8">
      <c r="A1848" s="1" t="s">
        <v>772</v>
      </c>
      <c r="B1848" s="1" t="s">
        <v>773</v>
      </c>
      <c r="C1848" s="1" t="s">
        <v>989</v>
      </c>
      <c r="D1848" s="1" t="s">
        <v>2432</v>
      </c>
      <c r="E1848" s="1" t="str">
        <f t="shared" si="28"/>
        <v>W05</v>
      </c>
      <c r="F1848" s="1">
        <v>0</v>
      </c>
      <c r="G1848" s="1">
        <v>0</v>
      </c>
      <c r="H1848" s="1">
        <v>0</v>
      </c>
    </row>
    <row r="1849" spans="1:8">
      <c r="A1849" s="1" t="s">
        <v>772</v>
      </c>
      <c r="B1849" s="1" t="s">
        <v>773</v>
      </c>
      <c r="C1849" s="1" t="s">
        <v>989</v>
      </c>
      <c r="D1849" s="1" t="s">
        <v>2433</v>
      </c>
      <c r="E1849" s="1" t="str">
        <f t="shared" si="28"/>
        <v>W05</v>
      </c>
      <c r="F1849" s="1">
        <v>0</v>
      </c>
      <c r="G1849" s="1">
        <v>0</v>
      </c>
      <c r="H1849" s="1">
        <v>0</v>
      </c>
    </row>
    <row r="1850" spans="1:8">
      <c r="A1850" s="1" t="s">
        <v>772</v>
      </c>
      <c r="B1850" s="1" t="s">
        <v>773</v>
      </c>
      <c r="C1850" s="1" t="s">
        <v>989</v>
      </c>
      <c r="D1850" s="1" t="s">
        <v>2434</v>
      </c>
      <c r="E1850" s="1" t="str">
        <f t="shared" si="28"/>
        <v>W05</v>
      </c>
      <c r="F1850" s="1">
        <v>0</v>
      </c>
      <c r="G1850" s="1">
        <v>0</v>
      </c>
      <c r="H1850" s="1">
        <v>0</v>
      </c>
    </row>
    <row r="1851" spans="1:8">
      <c r="A1851" s="1" t="s">
        <v>772</v>
      </c>
      <c r="B1851" s="1" t="s">
        <v>773</v>
      </c>
      <c r="C1851" s="1" t="s">
        <v>989</v>
      </c>
      <c r="D1851" s="1" t="s">
        <v>2435</v>
      </c>
      <c r="E1851" s="1" t="str">
        <f t="shared" si="28"/>
        <v>W05</v>
      </c>
      <c r="F1851" s="1">
        <v>0</v>
      </c>
      <c r="G1851" s="1">
        <v>0</v>
      </c>
      <c r="H1851" s="1">
        <v>0</v>
      </c>
    </row>
    <row r="1852" spans="1:8">
      <c r="A1852" s="1" t="s">
        <v>772</v>
      </c>
      <c r="B1852" s="1" t="s">
        <v>773</v>
      </c>
      <c r="C1852" s="1" t="s">
        <v>989</v>
      </c>
      <c r="D1852" s="1" t="s">
        <v>2436</v>
      </c>
      <c r="E1852" s="1" t="str">
        <f t="shared" si="28"/>
        <v>W05</v>
      </c>
      <c r="F1852" s="1">
        <v>0</v>
      </c>
      <c r="G1852" s="1">
        <v>0</v>
      </c>
      <c r="H1852" s="1">
        <v>0</v>
      </c>
    </row>
    <row r="1853" spans="1:8">
      <c r="A1853" s="1" t="s">
        <v>772</v>
      </c>
      <c r="B1853" s="1" t="s">
        <v>773</v>
      </c>
      <c r="C1853" s="1" t="s">
        <v>989</v>
      </c>
      <c r="D1853" s="1" t="s">
        <v>2437</v>
      </c>
      <c r="E1853" s="1" t="str">
        <f t="shared" si="28"/>
        <v>W05</v>
      </c>
      <c r="F1853" s="1">
        <v>0</v>
      </c>
      <c r="G1853" s="1">
        <v>0</v>
      </c>
      <c r="H1853" s="1">
        <v>0</v>
      </c>
    </row>
    <row r="1854" spans="1:8">
      <c r="A1854" s="1" t="s">
        <v>772</v>
      </c>
      <c r="B1854" s="1" t="s">
        <v>773</v>
      </c>
      <c r="C1854" s="1" t="s">
        <v>904</v>
      </c>
      <c r="D1854" s="1" t="s">
        <v>2438</v>
      </c>
      <c r="E1854" s="1" t="str">
        <f t="shared" si="28"/>
        <v>W03</v>
      </c>
      <c r="F1854" s="1">
        <v>7.87</v>
      </c>
      <c r="G1854" s="1">
        <v>6.51</v>
      </c>
      <c r="H1854" s="1">
        <v>6.51</v>
      </c>
    </row>
    <row r="1855" spans="1:8">
      <c r="A1855" s="1" t="s">
        <v>772</v>
      </c>
      <c r="B1855" s="1" t="s">
        <v>773</v>
      </c>
      <c r="C1855" s="1" t="s">
        <v>904</v>
      </c>
      <c r="D1855" s="1" t="s">
        <v>2439</v>
      </c>
      <c r="E1855" s="1" t="str">
        <f t="shared" si="28"/>
        <v>W03</v>
      </c>
      <c r="F1855" s="1">
        <v>4.8899999999999997</v>
      </c>
      <c r="G1855" s="1">
        <v>4.07</v>
      </c>
      <c r="H1855" s="1">
        <v>4.07</v>
      </c>
    </row>
    <row r="1856" spans="1:8">
      <c r="A1856" s="1" t="s">
        <v>772</v>
      </c>
      <c r="B1856" s="1" t="s">
        <v>773</v>
      </c>
      <c r="C1856" s="1" t="s">
        <v>989</v>
      </c>
      <c r="D1856" s="1" t="s">
        <v>2440</v>
      </c>
      <c r="E1856" s="1" t="str">
        <f t="shared" si="28"/>
        <v>W05</v>
      </c>
      <c r="F1856" s="1">
        <v>0</v>
      </c>
      <c r="G1856" s="1">
        <v>0</v>
      </c>
      <c r="H1856" s="1">
        <v>0</v>
      </c>
    </row>
    <row r="1857" spans="1:8">
      <c r="A1857" s="1" t="s">
        <v>772</v>
      </c>
      <c r="B1857" s="1" t="s">
        <v>773</v>
      </c>
      <c r="C1857" s="1" t="s">
        <v>989</v>
      </c>
      <c r="D1857" s="1" t="s">
        <v>2441</v>
      </c>
      <c r="E1857" s="1" t="str">
        <f t="shared" si="28"/>
        <v>W05</v>
      </c>
      <c r="F1857" s="1">
        <v>0</v>
      </c>
      <c r="G1857" s="1">
        <v>0</v>
      </c>
      <c r="H1857" s="1">
        <v>0</v>
      </c>
    </row>
    <row r="1858" spans="1:8">
      <c r="A1858" s="1" t="s">
        <v>772</v>
      </c>
      <c r="B1858" s="1" t="s">
        <v>773</v>
      </c>
      <c r="C1858" s="1" t="s">
        <v>989</v>
      </c>
      <c r="D1858" s="1" t="s">
        <v>2442</v>
      </c>
      <c r="E1858" s="1" t="str">
        <f t="shared" si="28"/>
        <v>W05</v>
      </c>
      <c r="F1858" s="1">
        <v>0</v>
      </c>
      <c r="G1858" s="1">
        <v>0</v>
      </c>
      <c r="H1858" s="1">
        <v>0</v>
      </c>
    </row>
    <row r="1859" spans="1:8">
      <c r="A1859" s="1" t="s">
        <v>772</v>
      </c>
      <c r="B1859" s="1" t="s">
        <v>773</v>
      </c>
      <c r="C1859" s="1" t="s">
        <v>989</v>
      </c>
      <c r="D1859" s="1" t="s">
        <v>2443</v>
      </c>
      <c r="E1859" s="1" t="str">
        <f t="shared" si="28"/>
        <v>W05</v>
      </c>
      <c r="F1859" s="1">
        <v>0</v>
      </c>
      <c r="G1859" s="1">
        <v>0</v>
      </c>
      <c r="H1859" s="1">
        <v>0</v>
      </c>
    </row>
    <row r="1860" spans="1:8">
      <c r="A1860" s="1" t="s">
        <v>772</v>
      </c>
      <c r="B1860" s="1" t="s">
        <v>773</v>
      </c>
      <c r="C1860" s="1" t="s">
        <v>989</v>
      </c>
      <c r="D1860" s="1" t="s">
        <v>2444</v>
      </c>
      <c r="E1860" s="1" t="str">
        <f t="shared" si="28"/>
        <v>W05</v>
      </c>
      <c r="F1860" s="1">
        <v>0</v>
      </c>
      <c r="G1860" s="1">
        <v>0</v>
      </c>
      <c r="H1860" s="1">
        <v>0</v>
      </c>
    </row>
    <row r="1861" spans="1:8">
      <c r="A1861" s="1" t="s">
        <v>772</v>
      </c>
      <c r="B1861" s="1" t="s">
        <v>773</v>
      </c>
      <c r="C1861" s="1" t="s">
        <v>989</v>
      </c>
      <c r="D1861" s="1" t="s">
        <v>2445</v>
      </c>
      <c r="E1861" s="1" t="str">
        <f t="shared" ref="E1861:E1924" si="29">RIGHT(C1861,3)</f>
        <v>W05</v>
      </c>
      <c r="F1861" s="1">
        <v>0</v>
      </c>
      <c r="G1861" s="1">
        <v>0</v>
      </c>
      <c r="H1861" s="1">
        <v>0</v>
      </c>
    </row>
    <row r="1862" spans="1:8">
      <c r="A1862" s="1" t="s">
        <v>772</v>
      </c>
      <c r="B1862" s="1" t="s">
        <v>773</v>
      </c>
      <c r="C1862" s="1" t="s">
        <v>989</v>
      </c>
      <c r="D1862" s="1" t="s">
        <v>2446</v>
      </c>
      <c r="E1862" s="1" t="str">
        <f t="shared" si="29"/>
        <v>W05</v>
      </c>
      <c r="F1862" s="1">
        <v>0</v>
      </c>
      <c r="G1862" s="1">
        <v>0</v>
      </c>
      <c r="H1862" s="1">
        <v>0</v>
      </c>
    </row>
    <row r="1863" spans="1:8">
      <c r="A1863" s="1" t="s">
        <v>772</v>
      </c>
      <c r="B1863" s="1" t="s">
        <v>773</v>
      </c>
      <c r="C1863" s="1" t="s">
        <v>989</v>
      </c>
      <c r="D1863" s="1" t="s">
        <v>2447</v>
      </c>
      <c r="E1863" s="1" t="str">
        <f t="shared" si="29"/>
        <v>W05</v>
      </c>
      <c r="F1863" s="1">
        <v>0</v>
      </c>
      <c r="G1863" s="1">
        <v>0</v>
      </c>
      <c r="H1863" s="1">
        <v>0</v>
      </c>
    </row>
    <row r="1864" spans="1:8">
      <c r="A1864" s="1" t="s">
        <v>772</v>
      </c>
      <c r="B1864" s="1" t="s">
        <v>773</v>
      </c>
      <c r="C1864" s="1" t="s">
        <v>848</v>
      </c>
      <c r="D1864" s="1" t="s">
        <v>651</v>
      </c>
      <c r="E1864" s="1" t="str">
        <f t="shared" si="29"/>
        <v>W02</v>
      </c>
      <c r="F1864" s="1">
        <v>8.18</v>
      </c>
      <c r="G1864" s="1">
        <v>6.39</v>
      </c>
      <c r="H1864" s="1">
        <v>6.39</v>
      </c>
    </row>
    <row r="1865" spans="1:8">
      <c r="A1865" s="1" t="s">
        <v>772</v>
      </c>
      <c r="B1865" s="1" t="s">
        <v>773</v>
      </c>
      <c r="C1865" s="1" t="s">
        <v>848</v>
      </c>
      <c r="D1865" s="1" t="s">
        <v>644</v>
      </c>
      <c r="E1865" s="1" t="str">
        <f t="shared" si="29"/>
        <v>W02</v>
      </c>
      <c r="F1865" s="1">
        <v>8.7799999999999994</v>
      </c>
      <c r="G1865" s="1">
        <v>6.85</v>
      </c>
      <c r="H1865" s="1">
        <v>6.85</v>
      </c>
    </row>
    <row r="1866" spans="1:8">
      <c r="A1866" s="1" t="s">
        <v>772</v>
      </c>
      <c r="B1866" s="1" t="s">
        <v>773</v>
      </c>
      <c r="C1866" s="1" t="s">
        <v>989</v>
      </c>
      <c r="D1866" s="1" t="s">
        <v>2448</v>
      </c>
      <c r="E1866" s="1" t="str">
        <f t="shared" si="29"/>
        <v>W05</v>
      </c>
      <c r="F1866" s="1">
        <v>0</v>
      </c>
      <c r="G1866" s="1">
        <v>0</v>
      </c>
      <c r="H1866" s="1">
        <v>0</v>
      </c>
    </row>
    <row r="1867" spans="1:8">
      <c r="A1867" s="1" t="s">
        <v>772</v>
      </c>
      <c r="B1867" s="1" t="s">
        <v>773</v>
      </c>
      <c r="C1867" s="1" t="s">
        <v>989</v>
      </c>
      <c r="D1867" s="1" t="s">
        <v>2449</v>
      </c>
      <c r="E1867" s="1" t="str">
        <f t="shared" si="29"/>
        <v>W05</v>
      </c>
      <c r="F1867" s="1">
        <v>0</v>
      </c>
      <c r="G1867" s="1">
        <v>0</v>
      </c>
      <c r="H1867" s="1">
        <v>0</v>
      </c>
    </row>
    <row r="1868" spans="1:8">
      <c r="A1868" s="1" t="s">
        <v>772</v>
      </c>
      <c r="B1868" s="1" t="s">
        <v>773</v>
      </c>
      <c r="C1868" s="1" t="s">
        <v>989</v>
      </c>
      <c r="D1868" s="1" t="s">
        <v>2450</v>
      </c>
      <c r="E1868" s="1" t="str">
        <f t="shared" si="29"/>
        <v>W05</v>
      </c>
      <c r="F1868" s="1">
        <v>0</v>
      </c>
      <c r="G1868" s="1">
        <v>0</v>
      </c>
      <c r="H1868" s="1">
        <v>0</v>
      </c>
    </row>
    <row r="1869" spans="1:8">
      <c r="A1869" s="1" t="s">
        <v>772</v>
      </c>
      <c r="B1869" s="1" t="s">
        <v>773</v>
      </c>
      <c r="C1869" s="1" t="s">
        <v>989</v>
      </c>
      <c r="D1869" s="1" t="s">
        <v>2451</v>
      </c>
      <c r="E1869" s="1" t="str">
        <f t="shared" si="29"/>
        <v>W05</v>
      </c>
      <c r="F1869" s="1">
        <v>0</v>
      </c>
      <c r="G1869" s="1">
        <v>0</v>
      </c>
      <c r="H1869" s="1">
        <v>0</v>
      </c>
    </row>
    <row r="1870" spans="1:8">
      <c r="A1870" s="1" t="s">
        <v>772</v>
      </c>
      <c r="B1870" s="1" t="s">
        <v>773</v>
      </c>
      <c r="C1870" s="1" t="s">
        <v>989</v>
      </c>
      <c r="D1870" s="1" t="s">
        <v>2452</v>
      </c>
      <c r="E1870" s="1" t="str">
        <f t="shared" si="29"/>
        <v>W05</v>
      </c>
      <c r="F1870" s="1">
        <v>1.3</v>
      </c>
      <c r="G1870" s="1">
        <v>1.3</v>
      </c>
      <c r="H1870" s="1">
        <v>1.3</v>
      </c>
    </row>
    <row r="1871" spans="1:8">
      <c r="A1871" s="1" t="s">
        <v>772</v>
      </c>
      <c r="B1871" s="1" t="s">
        <v>773</v>
      </c>
      <c r="C1871" s="1" t="s">
        <v>989</v>
      </c>
      <c r="D1871" s="1" t="s">
        <v>2453</v>
      </c>
      <c r="E1871" s="1" t="str">
        <f t="shared" si="29"/>
        <v>W05</v>
      </c>
      <c r="F1871" s="1">
        <v>0</v>
      </c>
      <c r="G1871" s="1">
        <v>0</v>
      </c>
      <c r="H1871" s="1">
        <v>0</v>
      </c>
    </row>
    <row r="1872" spans="1:8">
      <c r="A1872" s="1" t="s">
        <v>772</v>
      </c>
      <c r="B1872" s="1" t="s">
        <v>773</v>
      </c>
      <c r="C1872" s="1" t="s">
        <v>989</v>
      </c>
      <c r="D1872" s="1" t="s">
        <v>2454</v>
      </c>
      <c r="E1872" s="1" t="str">
        <f t="shared" si="29"/>
        <v>W05</v>
      </c>
      <c r="F1872" s="1">
        <v>0</v>
      </c>
      <c r="G1872" s="1">
        <v>0</v>
      </c>
      <c r="H1872" s="1">
        <v>0</v>
      </c>
    </row>
    <row r="1873" spans="1:8">
      <c r="A1873" s="1" t="s">
        <v>772</v>
      </c>
      <c r="B1873" s="1" t="s">
        <v>773</v>
      </c>
      <c r="C1873" s="1" t="s">
        <v>989</v>
      </c>
      <c r="D1873" s="1" t="s">
        <v>2455</v>
      </c>
      <c r="E1873" s="1" t="str">
        <f t="shared" si="29"/>
        <v>W05</v>
      </c>
      <c r="F1873" s="1">
        <v>0</v>
      </c>
      <c r="G1873" s="1">
        <v>0</v>
      </c>
      <c r="H1873" s="1">
        <v>0</v>
      </c>
    </row>
    <row r="1874" spans="1:8">
      <c r="A1874" s="1" t="s">
        <v>772</v>
      </c>
      <c r="B1874" s="1" t="s">
        <v>773</v>
      </c>
      <c r="C1874" s="1" t="s">
        <v>989</v>
      </c>
      <c r="D1874" s="1" t="s">
        <v>2456</v>
      </c>
      <c r="E1874" s="1" t="str">
        <f t="shared" si="29"/>
        <v>W05</v>
      </c>
      <c r="F1874" s="1">
        <v>0</v>
      </c>
      <c r="G1874" s="1">
        <v>0</v>
      </c>
      <c r="H1874" s="1">
        <v>0</v>
      </c>
    </row>
    <row r="1875" spans="1:8">
      <c r="A1875" s="1" t="s">
        <v>772</v>
      </c>
      <c r="B1875" s="1" t="s">
        <v>773</v>
      </c>
      <c r="C1875" s="1" t="s">
        <v>989</v>
      </c>
      <c r="D1875" s="1" t="s">
        <v>2457</v>
      </c>
      <c r="E1875" s="1" t="str">
        <f t="shared" si="29"/>
        <v>W05</v>
      </c>
      <c r="F1875" s="1">
        <v>0</v>
      </c>
      <c r="G1875" s="1">
        <v>0</v>
      </c>
      <c r="H1875" s="1">
        <v>0</v>
      </c>
    </row>
    <row r="1876" spans="1:8">
      <c r="A1876" s="1" t="s">
        <v>772</v>
      </c>
      <c r="B1876" s="1" t="s">
        <v>773</v>
      </c>
      <c r="C1876" s="1" t="s">
        <v>989</v>
      </c>
      <c r="D1876" s="1" t="s">
        <v>2458</v>
      </c>
      <c r="E1876" s="1" t="str">
        <f t="shared" si="29"/>
        <v>W05</v>
      </c>
      <c r="F1876" s="1">
        <v>0</v>
      </c>
      <c r="G1876" s="1">
        <v>0</v>
      </c>
      <c r="H1876" s="1">
        <v>0</v>
      </c>
    </row>
    <row r="1877" spans="1:8">
      <c r="A1877" s="1" t="s">
        <v>772</v>
      </c>
      <c r="B1877" s="1" t="s">
        <v>773</v>
      </c>
      <c r="C1877" s="1" t="s">
        <v>989</v>
      </c>
      <c r="D1877" s="1" t="s">
        <v>2459</v>
      </c>
      <c r="E1877" s="1" t="str">
        <f t="shared" si="29"/>
        <v>W05</v>
      </c>
      <c r="F1877" s="1">
        <v>0</v>
      </c>
      <c r="G1877" s="1">
        <v>0</v>
      </c>
      <c r="H1877" s="1">
        <v>0</v>
      </c>
    </row>
    <row r="1878" spans="1:8">
      <c r="A1878" s="1" t="s">
        <v>772</v>
      </c>
      <c r="B1878" s="1" t="s">
        <v>773</v>
      </c>
      <c r="C1878" s="1" t="s">
        <v>1010</v>
      </c>
      <c r="D1878" s="1" t="s">
        <v>2460</v>
      </c>
      <c r="E1878" s="1" t="str">
        <f t="shared" si="29"/>
        <v>W07</v>
      </c>
      <c r="F1878" s="1">
        <v>0</v>
      </c>
      <c r="G1878" s="1">
        <v>0</v>
      </c>
      <c r="H1878" s="1">
        <v>0</v>
      </c>
    </row>
    <row r="1879" spans="1:8">
      <c r="A1879" s="1" t="s">
        <v>772</v>
      </c>
      <c r="B1879" s="1" t="s">
        <v>773</v>
      </c>
      <c r="C1879" s="1" t="s">
        <v>1002</v>
      </c>
      <c r="D1879" s="1" t="s">
        <v>2461</v>
      </c>
      <c r="E1879" s="1" t="str">
        <f t="shared" si="29"/>
        <v>W06</v>
      </c>
      <c r="F1879" s="1">
        <v>0</v>
      </c>
      <c r="G1879" s="1">
        <v>0</v>
      </c>
      <c r="H1879" s="1">
        <v>0</v>
      </c>
    </row>
    <row r="1880" spans="1:8">
      <c r="A1880" s="1" t="s">
        <v>772</v>
      </c>
      <c r="B1880" s="1" t="s">
        <v>773</v>
      </c>
      <c r="C1880" s="1" t="s">
        <v>1002</v>
      </c>
      <c r="D1880" s="1" t="s">
        <v>2462</v>
      </c>
      <c r="E1880" s="1" t="str">
        <f t="shared" si="29"/>
        <v>W06</v>
      </c>
      <c r="F1880" s="1">
        <v>0</v>
      </c>
      <c r="G1880" s="1">
        <v>0</v>
      </c>
      <c r="H1880" s="1">
        <v>0</v>
      </c>
    </row>
    <row r="1881" spans="1:8">
      <c r="A1881" s="1" t="s">
        <v>772</v>
      </c>
      <c r="B1881" s="1" t="s">
        <v>773</v>
      </c>
      <c r="C1881" s="1" t="s">
        <v>1010</v>
      </c>
      <c r="D1881" s="1" t="s">
        <v>2463</v>
      </c>
      <c r="E1881" s="1" t="str">
        <f t="shared" si="29"/>
        <v>W07</v>
      </c>
      <c r="F1881" s="1">
        <v>0</v>
      </c>
      <c r="G1881" s="1">
        <v>0</v>
      </c>
      <c r="H1881" s="1">
        <v>0</v>
      </c>
    </row>
    <row r="1882" spans="1:8">
      <c r="A1882" s="1" t="s">
        <v>772</v>
      </c>
      <c r="B1882" s="1" t="s">
        <v>773</v>
      </c>
      <c r="C1882" s="1" t="s">
        <v>1010</v>
      </c>
      <c r="D1882" s="1" t="s">
        <v>2464</v>
      </c>
      <c r="E1882" s="1" t="str">
        <f t="shared" si="29"/>
        <v>W07</v>
      </c>
      <c r="F1882" s="1">
        <v>0</v>
      </c>
      <c r="G1882" s="1">
        <v>0</v>
      </c>
      <c r="H1882" s="1">
        <v>0</v>
      </c>
    </row>
    <row r="1883" spans="1:8">
      <c r="A1883" s="1" t="s">
        <v>772</v>
      </c>
      <c r="B1883" s="1" t="s">
        <v>773</v>
      </c>
      <c r="C1883" s="1" t="s">
        <v>989</v>
      </c>
      <c r="D1883" s="1" t="s">
        <v>2465</v>
      </c>
      <c r="E1883" s="1" t="str">
        <f t="shared" si="29"/>
        <v>W05</v>
      </c>
      <c r="F1883" s="1">
        <v>0</v>
      </c>
      <c r="G1883" s="1">
        <v>0</v>
      </c>
      <c r="H1883" s="1">
        <v>0</v>
      </c>
    </row>
    <row r="1884" spans="1:8">
      <c r="A1884" s="1" t="s">
        <v>772</v>
      </c>
      <c r="B1884" s="1" t="s">
        <v>773</v>
      </c>
      <c r="C1884" s="1" t="s">
        <v>989</v>
      </c>
      <c r="D1884" s="1" t="s">
        <v>2466</v>
      </c>
      <c r="E1884" s="1" t="str">
        <f t="shared" si="29"/>
        <v>W05</v>
      </c>
      <c r="F1884" s="1">
        <v>0</v>
      </c>
      <c r="G1884" s="1">
        <v>0</v>
      </c>
      <c r="H1884" s="1">
        <v>0</v>
      </c>
    </row>
    <row r="1885" spans="1:8">
      <c r="A1885" s="1" t="s">
        <v>772</v>
      </c>
      <c r="B1885" s="1" t="s">
        <v>773</v>
      </c>
      <c r="C1885" s="1" t="s">
        <v>989</v>
      </c>
      <c r="D1885" s="1" t="s">
        <v>2467</v>
      </c>
      <c r="E1885" s="1" t="str">
        <f t="shared" si="29"/>
        <v>W05</v>
      </c>
      <c r="F1885" s="1">
        <v>0</v>
      </c>
      <c r="G1885" s="1">
        <v>0</v>
      </c>
      <c r="H1885" s="1">
        <v>0</v>
      </c>
    </row>
    <row r="1886" spans="1:8">
      <c r="A1886" s="1" t="s">
        <v>772</v>
      </c>
      <c r="B1886" s="1" t="s">
        <v>773</v>
      </c>
      <c r="C1886" s="1" t="s">
        <v>989</v>
      </c>
      <c r="D1886" s="1" t="s">
        <v>2468</v>
      </c>
      <c r="E1886" s="1" t="str">
        <f t="shared" si="29"/>
        <v>W05</v>
      </c>
      <c r="F1886" s="1">
        <v>0</v>
      </c>
      <c r="G1886" s="1">
        <v>0</v>
      </c>
      <c r="H1886" s="1">
        <v>0</v>
      </c>
    </row>
    <row r="1887" spans="1:8">
      <c r="A1887" s="1" t="s">
        <v>772</v>
      </c>
      <c r="B1887" s="1" t="s">
        <v>773</v>
      </c>
      <c r="C1887" s="1" t="s">
        <v>774</v>
      </c>
      <c r="D1887" s="1" t="s">
        <v>654</v>
      </c>
      <c r="E1887" s="1" t="str">
        <f t="shared" si="29"/>
        <v>W01</v>
      </c>
      <c r="F1887" s="1">
        <v>5.17</v>
      </c>
      <c r="G1887" s="1">
        <v>4.2</v>
      </c>
      <c r="H1887" s="1">
        <v>4.2</v>
      </c>
    </row>
    <row r="1888" spans="1:8">
      <c r="A1888" s="1" t="s">
        <v>772</v>
      </c>
      <c r="B1888" s="1" t="s">
        <v>773</v>
      </c>
      <c r="C1888" s="1" t="s">
        <v>774</v>
      </c>
      <c r="D1888" s="1" t="s">
        <v>658</v>
      </c>
      <c r="E1888" s="1" t="str">
        <f t="shared" si="29"/>
        <v>W01</v>
      </c>
      <c r="F1888" s="1">
        <v>9.4</v>
      </c>
      <c r="G1888" s="1">
        <v>7.48</v>
      </c>
      <c r="H1888" s="1">
        <v>7.48</v>
      </c>
    </row>
    <row r="1889" spans="1:8">
      <c r="A1889" s="1" t="s">
        <v>772</v>
      </c>
      <c r="B1889" s="1" t="s">
        <v>773</v>
      </c>
      <c r="C1889" s="1" t="s">
        <v>774</v>
      </c>
      <c r="D1889" s="1" t="s">
        <v>652</v>
      </c>
      <c r="E1889" s="1" t="str">
        <f t="shared" si="29"/>
        <v>W01</v>
      </c>
      <c r="F1889" s="1">
        <v>6.23</v>
      </c>
      <c r="G1889" s="1">
        <v>5</v>
      </c>
      <c r="H1889" s="1">
        <v>5</v>
      </c>
    </row>
    <row r="1890" spans="1:8">
      <c r="A1890" s="1" t="s">
        <v>772</v>
      </c>
      <c r="B1890" s="1" t="s">
        <v>773</v>
      </c>
      <c r="C1890" s="1" t="s">
        <v>858</v>
      </c>
      <c r="D1890" s="1" t="s">
        <v>656</v>
      </c>
      <c r="E1890" s="1" t="str">
        <f t="shared" si="29"/>
        <v>W04</v>
      </c>
      <c r="F1890" s="1">
        <v>5.8</v>
      </c>
      <c r="G1890" s="1">
        <v>4.58</v>
      </c>
      <c r="H1890" s="1">
        <v>4.58</v>
      </c>
    </row>
    <row r="1891" spans="1:8">
      <c r="A1891" s="1" t="s">
        <v>772</v>
      </c>
      <c r="B1891" s="1" t="s">
        <v>773</v>
      </c>
      <c r="C1891" s="1" t="s">
        <v>858</v>
      </c>
      <c r="D1891" s="1" t="s">
        <v>663</v>
      </c>
      <c r="E1891" s="1" t="str">
        <f t="shared" si="29"/>
        <v>W04</v>
      </c>
      <c r="F1891" s="1">
        <v>10.4</v>
      </c>
      <c r="G1891" s="1">
        <v>8.35</v>
      </c>
      <c r="H1891" s="1">
        <v>8.35</v>
      </c>
    </row>
    <row r="1892" spans="1:8">
      <c r="A1892" s="1" t="s">
        <v>772</v>
      </c>
      <c r="B1892" s="1" t="s">
        <v>773</v>
      </c>
      <c r="C1892" s="1" t="s">
        <v>989</v>
      </c>
      <c r="D1892" s="1" t="s">
        <v>2469</v>
      </c>
      <c r="E1892" s="1" t="str">
        <f t="shared" si="29"/>
        <v>W05</v>
      </c>
      <c r="F1892" s="1">
        <v>0</v>
      </c>
      <c r="G1892" s="1">
        <v>0</v>
      </c>
      <c r="H1892" s="1">
        <v>0</v>
      </c>
    </row>
    <row r="1893" spans="1:8">
      <c r="A1893" s="1" t="s">
        <v>772</v>
      </c>
      <c r="B1893" s="1" t="s">
        <v>773</v>
      </c>
      <c r="C1893" s="1" t="s">
        <v>989</v>
      </c>
      <c r="D1893" s="1" t="s">
        <v>2470</v>
      </c>
      <c r="E1893" s="1" t="str">
        <f t="shared" si="29"/>
        <v>W05</v>
      </c>
      <c r="F1893" s="1">
        <v>0</v>
      </c>
      <c r="G1893" s="1">
        <v>0</v>
      </c>
      <c r="H1893" s="1">
        <v>0</v>
      </c>
    </row>
    <row r="1894" spans="1:8">
      <c r="A1894" s="1" t="s">
        <v>772</v>
      </c>
      <c r="B1894" s="1" t="s">
        <v>773</v>
      </c>
      <c r="C1894" s="1" t="s">
        <v>989</v>
      </c>
      <c r="D1894" s="1" t="s">
        <v>2471</v>
      </c>
      <c r="E1894" s="1" t="str">
        <f t="shared" si="29"/>
        <v>W05</v>
      </c>
      <c r="F1894" s="1">
        <v>0</v>
      </c>
      <c r="G1894" s="1">
        <v>0</v>
      </c>
      <c r="H1894" s="1">
        <v>0</v>
      </c>
    </row>
    <row r="1895" spans="1:8">
      <c r="A1895" s="1" t="s">
        <v>772</v>
      </c>
      <c r="B1895" s="1" t="s">
        <v>773</v>
      </c>
      <c r="C1895" s="1" t="s">
        <v>1002</v>
      </c>
      <c r="D1895" s="1" t="s">
        <v>659</v>
      </c>
      <c r="E1895" s="1" t="str">
        <f t="shared" si="29"/>
        <v>W06</v>
      </c>
      <c r="F1895" s="1">
        <v>7.58</v>
      </c>
      <c r="G1895" s="1">
        <v>6.13</v>
      </c>
      <c r="H1895" s="1">
        <v>6.13</v>
      </c>
    </row>
    <row r="1896" spans="1:8">
      <c r="A1896" s="1" t="s">
        <v>772</v>
      </c>
      <c r="B1896" s="1" t="s">
        <v>773</v>
      </c>
      <c r="C1896" s="1" t="s">
        <v>1002</v>
      </c>
      <c r="D1896" s="1" t="s">
        <v>657</v>
      </c>
      <c r="E1896" s="1" t="str">
        <f t="shared" si="29"/>
        <v>W06</v>
      </c>
      <c r="F1896" s="1">
        <v>10</v>
      </c>
      <c r="G1896" s="1">
        <v>7.87</v>
      </c>
      <c r="H1896" s="1">
        <v>7.87</v>
      </c>
    </row>
    <row r="1897" spans="1:8">
      <c r="A1897" s="1" t="s">
        <v>772</v>
      </c>
      <c r="B1897" s="1" t="s">
        <v>773</v>
      </c>
      <c r="C1897" s="1" t="s">
        <v>989</v>
      </c>
      <c r="D1897" s="1" t="s">
        <v>2472</v>
      </c>
      <c r="E1897" s="1" t="str">
        <f t="shared" si="29"/>
        <v>W05</v>
      </c>
      <c r="F1897" s="1">
        <v>0</v>
      </c>
      <c r="G1897" s="1">
        <v>0</v>
      </c>
      <c r="H1897" s="1">
        <v>0</v>
      </c>
    </row>
    <row r="1898" spans="1:8">
      <c r="A1898" s="1" t="s">
        <v>772</v>
      </c>
      <c r="B1898" s="1" t="s">
        <v>773</v>
      </c>
      <c r="C1898" s="1" t="s">
        <v>989</v>
      </c>
      <c r="D1898" s="1" t="s">
        <v>2473</v>
      </c>
      <c r="E1898" s="1" t="str">
        <f t="shared" si="29"/>
        <v>W05</v>
      </c>
      <c r="F1898" s="1">
        <v>0</v>
      </c>
      <c r="G1898" s="1">
        <v>0</v>
      </c>
      <c r="H1898" s="1">
        <v>0</v>
      </c>
    </row>
    <row r="1899" spans="1:8">
      <c r="A1899" s="1" t="s">
        <v>772</v>
      </c>
      <c r="B1899" s="1" t="s">
        <v>773</v>
      </c>
      <c r="C1899" s="1" t="s">
        <v>989</v>
      </c>
      <c r="D1899" s="1" t="s">
        <v>2474</v>
      </c>
      <c r="E1899" s="1" t="str">
        <f t="shared" si="29"/>
        <v>W05</v>
      </c>
      <c r="F1899" s="1">
        <v>0</v>
      </c>
      <c r="G1899" s="1">
        <v>0</v>
      </c>
      <c r="H1899" s="1">
        <v>0</v>
      </c>
    </row>
    <row r="1900" spans="1:8">
      <c r="A1900" s="1" t="s">
        <v>772</v>
      </c>
      <c r="B1900" s="1" t="s">
        <v>773</v>
      </c>
      <c r="C1900" s="1" t="s">
        <v>989</v>
      </c>
      <c r="D1900" s="1" t="s">
        <v>2475</v>
      </c>
      <c r="E1900" s="1" t="str">
        <f t="shared" si="29"/>
        <v>W05</v>
      </c>
      <c r="F1900" s="1">
        <v>0</v>
      </c>
      <c r="G1900" s="1">
        <v>0</v>
      </c>
      <c r="H1900" s="1">
        <v>0</v>
      </c>
    </row>
    <row r="1901" spans="1:8">
      <c r="A1901" s="1" t="s">
        <v>772</v>
      </c>
      <c r="B1901" s="1" t="s">
        <v>773</v>
      </c>
      <c r="C1901" s="1" t="s">
        <v>904</v>
      </c>
      <c r="D1901" s="1" t="s">
        <v>2476</v>
      </c>
      <c r="E1901" s="1" t="str">
        <f t="shared" si="29"/>
        <v>W03</v>
      </c>
      <c r="F1901" s="1">
        <v>1.03</v>
      </c>
      <c r="G1901" s="1">
        <v>0.78</v>
      </c>
      <c r="H1901" s="1">
        <v>0.78</v>
      </c>
    </row>
    <row r="1902" spans="1:8">
      <c r="A1902" s="1" t="s">
        <v>772</v>
      </c>
      <c r="B1902" s="1" t="s">
        <v>917</v>
      </c>
      <c r="C1902" s="1" t="s">
        <v>858</v>
      </c>
      <c r="D1902" s="1" t="s">
        <v>2477</v>
      </c>
      <c r="E1902" s="1" t="str">
        <f t="shared" si="29"/>
        <v>W04</v>
      </c>
      <c r="F1902" s="1">
        <v>0</v>
      </c>
      <c r="G1902" s="1">
        <v>0</v>
      </c>
      <c r="H1902" s="1">
        <v>0</v>
      </c>
    </row>
    <row r="1903" spans="1:8">
      <c r="A1903" s="1" t="s">
        <v>772</v>
      </c>
      <c r="B1903" s="1" t="s">
        <v>917</v>
      </c>
      <c r="C1903" s="1" t="s">
        <v>858</v>
      </c>
      <c r="D1903" s="1" t="s">
        <v>2478</v>
      </c>
      <c r="E1903" s="1" t="str">
        <f t="shared" si="29"/>
        <v>W04</v>
      </c>
      <c r="F1903" s="1">
        <v>0</v>
      </c>
      <c r="G1903" s="1">
        <v>0</v>
      </c>
      <c r="H1903" s="1">
        <v>0</v>
      </c>
    </row>
    <row r="1904" spans="1:8">
      <c r="A1904" s="1" t="s">
        <v>772</v>
      </c>
      <c r="B1904" s="1" t="s">
        <v>917</v>
      </c>
      <c r="C1904" s="1" t="s">
        <v>858</v>
      </c>
      <c r="D1904" s="1" t="s">
        <v>2479</v>
      </c>
      <c r="E1904" s="1" t="str">
        <f t="shared" si="29"/>
        <v>W04</v>
      </c>
      <c r="F1904" s="1">
        <v>0</v>
      </c>
      <c r="G1904" s="1">
        <v>0</v>
      </c>
      <c r="H1904" s="1">
        <v>0</v>
      </c>
    </row>
    <row r="1905" spans="1:8">
      <c r="A1905" s="1" t="s">
        <v>772</v>
      </c>
      <c r="B1905" s="1" t="s">
        <v>917</v>
      </c>
      <c r="C1905" s="1" t="s">
        <v>858</v>
      </c>
      <c r="D1905" s="1" t="s">
        <v>2480</v>
      </c>
      <c r="E1905" s="1" t="str">
        <f t="shared" si="29"/>
        <v>W04</v>
      </c>
      <c r="F1905" s="1">
        <v>0</v>
      </c>
      <c r="G1905" s="1">
        <v>0</v>
      </c>
      <c r="H1905" s="1">
        <v>0</v>
      </c>
    </row>
    <row r="1906" spans="1:8">
      <c r="A1906" s="1" t="s">
        <v>772</v>
      </c>
      <c r="B1906" s="1" t="s">
        <v>917</v>
      </c>
      <c r="C1906" s="1" t="s">
        <v>858</v>
      </c>
      <c r="D1906" s="1" t="s">
        <v>2481</v>
      </c>
      <c r="E1906" s="1" t="str">
        <f t="shared" si="29"/>
        <v>W04</v>
      </c>
      <c r="F1906" s="1">
        <v>0</v>
      </c>
      <c r="G1906" s="1">
        <v>0</v>
      </c>
      <c r="H1906" s="1">
        <v>0</v>
      </c>
    </row>
    <row r="1907" spans="1:8">
      <c r="A1907" s="1" t="s">
        <v>772</v>
      </c>
      <c r="B1907" s="1" t="s">
        <v>773</v>
      </c>
      <c r="C1907" s="1" t="s">
        <v>989</v>
      </c>
      <c r="D1907" s="1" t="s">
        <v>2482</v>
      </c>
      <c r="E1907" s="1" t="str">
        <f t="shared" si="29"/>
        <v>W05</v>
      </c>
      <c r="F1907" s="1">
        <v>0</v>
      </c>
      <c r="G1907" s="1">
        <v>0</v>
      </c>
      <c r="H1907" s="1">
        <v>0</v>
      </c>
    </row>
    <row r="1908" spans="1:8">
      <c r="A1908" s="1" t="s">
        <v>772</v>
      </c>
      <c r="B1908" s="1" t="s">
        <v>773</v>
      </c>
      <c r="C1908" s="1" t="s">
        <v>989</v>
      </c>
      <c r="D1908" s="1" t="s">
        <v>2483</v>
      </c>
      <c r="E1908" s="1" t="str">
        <f t="shared" si="29"/>
        <v>W05</v>
      </c>
      <c r="F1908" s="1">
        <v>0</v>
      </c>
      <c r="G1908" s="1">
        <v>0</v>
      </c>
      <c r="H1908" s="1">
        <v>0</v>
      </c>
    </row>
    <row r="1909" spans="1:8">
      <c r="A1909" s="1" t="s">
        <v>772</v>
      </c>
      <c r="B1909" s="1" t="s">
        <v>773</v>
      </c>
      <c r="C1909" s="1" t="s">
        <v>989</v>
      </c>
      <c r="D1909" s="1" t="s">
        <v>2484</v>
      </c>
      <c r="E1909" s="1" t="str">
        <f t="shared" si="29"/>
        <v>W05</v>
      </c>
      <c r="F1909" s="1">
        <v>0</v>
      </c>
      <c r="G1909" s="1">
        <v>0</v>
      </c>
      <c r="H1909" s="1">
        <v>0</v>
      </c>
    </row>
    <row r="1910" spans="1:8">
      <c r="A1910" s="1" t="s">
        <v>772</v>
      </c>
      <c r="B1910" s="1" t="s">
        <v>773</v>
      </c>
      <c r="C1910" s="1" t="s">
        <v>989</v>
      </c>
      <c r="D1910" s="1" t="s">
        <v>2485</v>
      </c>
      <c r="E1910" s="1" t="str">
        <f t="shared" si="29"/>
        <v>W05</v>
      </c>
      <c r="F1910" s="1">
        <v>0</v>
      </c>
      <c r="G1910" s="1">
        <v>0</v>
      </c>
      <c r="H1910" s="1">
        <v>0</v>
      </c>
    </row>
    <row r="1911" spans="1:8">
      <c r="A1911" s="1" t="s">
        <v>772</v>
      </c>
      <c r="B1911" s="1" t="s">
        <v>773</v>
      </c>
      <c r="C1911" s="1" t="s">
        <v>989</v>
      </c>
      <c r="D1911" s="1" t="s">
        <v>2486</v>
      </c>
      <c r="E1911" s="1" t="str">
        <f t="shared" si="29"/>
        <v>W05</v>
      </c>
      <c r="F1911" s="1">
        <v>0</v>
      </c>
      <c r="G1911" s="1">
        <v>0</v>
      </c>
      <c r="H1911" s="1">
        <v>0</v>
      </c>
    </row>
    <row r="1912" spans="1:8">
      <c r="A1912" s="1" t="s">
        <v>772</v>
      </c>
      <c r="B1912" s="1" t="s">
        <v>773</v>
      </c>
      <c r="C1912" s="1" t="s">
        <v>989</v>
      </c>
      <c r="D1912" s="1" t="s">
        <v>2487</v>
      </c>
      <c r="E1912" s="1" t="str">
        <f t="shared" si="29"/>
        <v>W05</v>
      </c>
      <c r="F1912" s="1">
        <v>0</v>
      </c>
      <c r="G1912" s="1">
        <v>0</v>
      </c>
      <c r="H1912" s="1">
        <v>0</v>
      </c>
    </row>
    <row r="1913" spans="1:8">
      <c r="A1913" s="1" t="s">
        <v>772</v>
      </c>
      <c r="B1913" s="1" t="s">
        <v>773</v>
      </c>
      <c r="C1913" s="1" t="s">
        <v>848</v>
      </c>
      <c r="D1913" s="1" t="s">
        <v>2488</v>
      </c>
      <c r="E1913" s="1" t="str">
        <f t="shared" si="29"/>
        <v>W02</v>
      </c>
      <c r="F1913" s="1">
        <v>8.11</v>
      </c>
      <c r="G1913" s="1">
        <v>6.55</v>
      </c>
      <c r="H1913" s="1">
        <v>6.55</v>
      </c>
    </row>
    <row r="1914" spans="1:8">
      <c r="A1914" s="1" t="s">
        <v>772</v>
      </c>
      <c r="B1914" s="1" t="s">
        <v>773</v>
      </c>
      <c r="C1914" s="1" t="s">
        <v>848</v>
      </c>
      <c r="D1914" s="1" t="s">
        <v>2489</v>
      </c>
      <c r="E1914" s="1" t="str">
        <f t="shared" si="29"/>
        <v>W02</v>
      </c>
      <c r="F1914" s="1">
        <v>5.0999999999999996</v>
      </c>
      <c r="G1914" s="1">
        <v>4.12</v>
      </c>
      <c r="H1914" s="1">
        <v>4.12</v>
      </c>
    </row>
    <row r="1915" spans="1:8">
      <c r="A1915" s="1" t="s">
        <v>772</v>
      </c>
      <c r="B1915" s="1" t="s">
        <v>773</v>
      </c>
      <c r="C1915" s="1" t="s">
        <v>848</v>
      </c>
      <c r="D1915" s="1" t="s">
        <v>2490</v>
      </c>
      <c r="E1915" s="1" t="str">
        <f t="shared" si="29"/>
        <v>W02</v>
      </c>
      <c r="F1915" s="1">
        <v>0</v>
      </c>
      <c r="G1915" s="1">
        <v>0</v>
      </c>
      <c r="H1915" s="1">
        <v>0</v>
      </c>
    </row>
    <row r="1916" spans="1:8">
      <c r="A1916" s="1" t="s">
        <v>772</v>
      </c>
      <c r="B1916" s="1" t="s">
        <v>773</v>
      </c>
      <c r="C1916" s="1" t="s">
        <v>1010</v>
      </c>
      <c r="D1916" s="1" t="s">
        <v>2491</v>
      </c>
      <c r="E1916" s="1" t="str">
        <f t="shared" si="29"/>
        <v>W07</v>
      </c>
      <c r="F1916" s="1">
        <v>0</v>
      </c>
      <c r="G1916" s="1">
        <v>0</v>
      </c>
      <c r="H1916" s="1">
        <v>0</v>
      </c>
    </row>
    <row r="1917" spans="1:8">
      <c r="A1917" s="1" t="s">
        <v>772</v>
      </c>
      <c r="B1917" s="1" t="s">
        <v>773</v>
      </c>
      <c r="C1917" s="1" t="s">
        <v>848</v>
      </c>
      <c r="D1917" s="1" t="s">
        <v>2492</v>
      </c>
      <c r="E1917" s="1" t="str">
        <f t="shared" si="29"/>
        <v>W02</v>
      </c>
      <c r="F1917" s="1">
        <v>0</v>
      </c>
      <c r="G1917" s="1">
        <v>0</v>
      </c>
      <c r="H1917" s="1">
        <v>0</v>
      </c>
    </row>
    <row r="1918" spans="1:8">
      <c r="A1918" s="1" t="s">
        <v>772</v>
      </c>
      <c r="B1918" s="1" t="s">
        <v>773</v>
      </c>
      <c r="C1918" s="1" t="s">
        <v>774</v>
      </c>
      <c r="D1918" s="1" t="s">
        <v>2493</v>
      </c>
      <c r="E1918" s="1" t="str">
        <f t="shared" si="29"/>
        <v>W01</v>
      </c>
      <c r="F1918" s="1">
        <v>7.55</v>
      </c>
      <c r="G1918" s="1">
        <v>5.56</v>
      </c>
      <c r="H1918" s="1">
        <v>5.56</v>
      </c>
    </row>
    <row r="1919" spans="1:8">
      <c r="A1919" s="1" t="s">
        <v>772</v>
      </c>
      <c r="B1919" s="1" t="s">
        <v>773</v>
      </c>
      <c r="C1919" s="1" t="s">
        <v>989</v>
      </c>
      <c r="D1919" s="1" t="s">
        <v>2494</v>
      </c>
      <c r="E1919" s="1" t="str">
        <f t="shared" si="29"/>
        <v>W05</v>
      </c>
      <c r="F1919" s="1">
        <v>0</v>
      </c>
      <c r="G1919" s="1">
        <v>0</v>
      </c>
      <c r="H1919" s="1">
        <v>0</v>
      </c>
    </row>
    <row r="1920" spans="1:8">
      <c r="A1920" s="1" t="s">
        <v>772</v>
      </c>
      <c r="B1920" s="1" t="s">
        <v>773</v>
      </c>
      <c r="C1920" s="1" t="s">
        <v>989</v>
      </c>
      <c r="D1920" s="1" t="s">
        <v>2495</v>
      </c>
      <c r="E1920" s="1" t="str">
        <f t="shared" si="29"/>
        <v>W05</v>
      </c>
      <c r="F1920" s="1">
        <v>0</v>
      </c>
      <c r="G1920" s="1">
        <v>0</v>
      </c>
      <c r="H1920" s="1">
        <v>0</v>
      </c>
    </row>
    <row r="1921" spans="1:8">
      <c r="A1921" s="1" t="s">
        <v>772</v>
      </c>
      <c r="B1921" s="1" t="s">
        <v>773</v>
      </c>
      <c r="C1921" s="1" t="s">
        <v>989</v>
      </c>
      <c r="D1921" s="1" t="s">
        <v>2496</v>
      </c>
      <c r="E1921" s="1" t="str">
        <f t="shared" si="29"/>
        <v>W05</v>
      </c>
      <c r="F1921" s="1">
        <v>0</v>
      </c>
      <c r="G1921" s="1">
        <v>0</v>
      </c>
      <c r="H1921" s="1">
        <v>0</v>
      </c>
    </row>
    <row r="1922" spans="1:8">
      <c r="A1922" s="1" t="s">
        <v>772</v>
      </c>
      <c r="B1922" s="1" t="s">
        <v>773</v>
      </c>
      <c r="C1922" s="1" t="s">
        <v>989</v>
      </c>
      <c r="D1922" s="1" t="s">
        <v>2497</v>
      </c>
      <c r="E1922" s="1" t="str">
        <f t="shared" si="29"/>
        <v>W05</v>
      </c>
      <c r="F1922" s="1">
        <v>0</v>
      </c>
      <c r="G1922" s="1">
        <v>0</v>
      </c>
      <c r="H1922" s="1">
        <v>0</v>
      </c>
    </row>
    <row r="1923" spans="1:8">
      <c r="A1923" s="1" t="s">
        <v>772</v>
      </c>
      <c r="B1923" s="1" t="s">
        <v>773</v>
      </c>
      <c r="C1923" s="1" t="s">
        <v>774</v>
      </c>
      <c r="D1923" s="1" t="s">
        <v>2498</v>
      </c>
      <c r="E1923" s="1" t="str">
        <f t="shared" si="29"/>
        <v>W01</v>
      </c>
      <c r="F1923" s="1">
        <v>5.16</v>
      </c>
      <c r="G1923" s="1">
        <v>3.92</v>
      </c>
      <c r="H1923" s="1">
        <v>3.92</v>
      </c>
    </row>
    <row r="1924" spans="1:8">
      <c r="A1924" s="1" t="s">
        <v>772</v>
      </c>
      <c r="B1924" s="1" t="s">
        <v>773</v>
      </c>
      <c r="C1924" s="1" t="s">
        <v>774</v>
      </c>
      <c r="D1924" s="1" t="s">
        <v>2499</v>
      </c>
      <c r="E1924" s="1" t="str">
        <f t="shared" si="29"/>
        <v>W01</v>
      </c>
      <c r="F1924" s="1">
        <v>6.97</v>
      </c>
      <c r="G1924" s="1">
        <v>5.3</v>
      </c>
      <c r="H1924" s="1">
        <v>5.3</v>
      </c>
    </row>
    <row r="1925" spans="1:8">
      <c r="A1925" s="1" t="s">
        <v>772</v>
      </c>
      <c r="B1925" s="1" t="s">
        <v>773</v>
      </c>
      <c r="C1925" s="1" t="s">
        <v>848</v>
      </c>
      <c r="D1925" s="1" t="s">
        <v>2500</v>
      </c>
      <c r="E1925" s="1" t="str">
        <f t="shared" ref="E1925:E1956" si="30">RIGHT(C1925,3)</f>
        <v>W02</v>
      </c>
      <c r="F1925" s="1">
        <v>5.9</v>
      </c>
      <c r="G1925" s="1">
        <v>4.54</v>
      </c>
      <c r="H1925" s="1">
        <v>4.54</v>
      </c>
    </row>
    <row r="1926" spans="1:8">
      <c r="A1926" s="1" t="s">
        <v>772</v>
      </c>
      <c r="B1926" s="1" t="s">
        <v>773</v>
      </c>
      <c r="C1926" s="1" t="s">
        <v>848</v>
      </c>
      <c r="D1926" s="1" t="s">
        <v>2501</v>
      </c>
      <c r="E1926" s="1" t="str">
        <f t="shared" si="30"/>
        <v>W02</v>
      </c>
      <c r="F1926" s="1">
        <v>6.04</v>
      </c>
      <c r="G1926" s="1">
        <v>4.6399999999999997</v>
      </c>
      <c r="H1926" s="1">
        <v>4.6399999999999997</v>
      </c>
    </row>
    <row r="1927" spans="1:8">
      <c r="A1927" s="1" t="s">
        <v>772</v>
      </c>
      <c r="B1927" s="1" t="s">
        <v>773</v>
      </c>
      <c r="C1927" s="1" t="s">
        <v>848</v>
      </c>
      <c r="D1927" s="1" t="s">
        <v>2502</v>
      </c>
      <c r="E1927" s="1" t="str">
        <f t="shared" si="30"/>
        <v>W02</v>
      </c>
      <c r="F1927" s="1">
        <v>7.78</v>
      </c>
      <c r="G1927" s="1">
        <v>6.28</v>
      </c>
      <c r="H1927" s="1">
        <v>6.28</v>
      </c>
    </row>
    <row r="1928" spans="1:8">
      <c r="A1928" s="1" t="s">
        <v>772</v>
      </c>
      <c r="B1928" s="1" t="s">
        <v>773</v>
      </c>
      <c r="C1928" s="1" t="s">
        <v>989</v>
      </c>
      <c r="D1928" s="1" t="s">
        <v>2503</v>
      </c>
      <c r="E1928" s="1" t="str">
        <f t="shared" si="30"/>
        <v>W05</v>
      </c>
      <c r="F1928" s="1">
        <v>0</v>
      </c>
      <c r="G1928" s="1">
        <v>0</v>
      </c>
      <c r="H1928" s="1">
        <v>0</v>
      </c>
    </row>
    <row r="1929" spans="1:8">
      <c r="A1929" s="1" t="s">
        <v>772</v>
      </c>
      <c r="B1929" s="1" t="s">
        <v>773</v>
      </c>
      <c r="C1929" s="1" t="s">
        <v>989</v>
      </c>
      <c r="D1929" s="1" t="s">
        <v>2504</v>
      </c>
      <c r="E1929" s="1" t="str">
        <f t="shared" si="30"/>
        <v>W05</v>
      </c>
      <c r="F1929" s="1">
        <v>0</v>
      </c>
      <c r="G1929" s="1">
        <v>0</v>
      </c>
      <c r="H1929" s="1">
        <v>0</v>
      </c>
    </row>
    <row r="1930" spans="1:8">
      <c r="A1930" s="1" t="s">
        <v>772</v>
      </c>
      <c r="B1930" s="1" t="s">
        <v>773</v>
      </c>
      <c r="C1930" s="1" t="s">
        <v>989</v>
      </c>
      <c r="D1930" s="1" t="s">
        <v>2505</v>
      </c>
      <c r="E1930" s="1" t="str">
        <f t="shared" si="30"/>
        <v>W05</v>
      </c>
      <c r="F1930" s="1">
        <v>0</v>
      </c>
      <c r="G1930" s="1">
        <v>0</v>
      </c>
      <c r="H1930" s="1">
        <v>0</v>
      </c>
    </row>
    <row r="1931" spans="1:8">
      <c r="A1931" s="1" t="s">
        <v>772</v>
      </c>
      <c r="B1931" s="1" t="s">
        <v>773</v>
      </c>
      <c r="C1931" s="1" t="s">
        <v>989</v>
      </c>
      <c r="D1931" s="1" t="s">
        <v>2506</v>
      </c>
      <c r="E1931" s="1" t="str">
        <f t="shared" si="30"/>
        <v>W05</v>
      </c>
      <c r="F1931" s="1">
        <v>0</v>
      </c>
      <c r="G1931" s="1">
        <v>0</v>
      </c>
      <c r="H1931" s="1">
        <v>0</v>
      </c>
    </row>
    <row r="1932" spans="1:8">
      <c r="A1932" s="1" t="s">
        <v>772</v>
      </c>
      <c r="B1932" s="1" t="s">
        <v>773</v>
      </c>
      <c r="C1932" s="1" t="s">
        <v>989</v>
      </c>
      <c r="D1932" s="1" t="s">
        <v>2507</v>
      </c>
      <c r="E1932" s="1" t="str">
        <f t="shared" si="30"/>
        <v>W05</v>
      </c>
      <c r="F1932" s="1">
        <v>0</v>
      </c>
      <c r="G1932" s="1">
        <v>0</v>
      </c>
      <c r="H1932" s="1">
        <v>0</v>
      </c>
    </row>
    <row r="1933" spans="1:8">
      <c r="A1933" s="1" t="s">
        <v>772</v>
      </c>
      <c r="B1933" s="1" t="s">
        <v>773</v>
      </c>
      <c r="C1933" s="1" t="s">
        <v>989</v>
      </c>
      <c r="D1933" s="1" t="s">
        <v>2508</v>
      </c>
      <c r="E1933" s="1" t="str">
        <f t="shared" si="30"/>
        <v>W05</v>
      </c>
      <c r="F1933" s="1">
        <v>0</v>
      </c>
      <c r="G1933" s="1">
        <v>0</v>
      </c>
      <c r="H1933" s="1">
        <v>0</v>
      </c>
    </row>
    <row r="1934" spans="1:8">
      <c r="A1934" s="1" t="s">
        <v>772</v>
      </c>
      <c r="B1934" s="1" t="s">
        <v>773</v>
      </c>
      <c r="C1934" s="1" t="s">
        <v>989</v>
      </c>
      <c r="D1934" s="1" t="s">
        <v>2509</v>
      </c>
      <c r="E1934" s="1" t="str">
        <f t="shared" si="30"/>
        <v>W05</v>
      </c>
      <c r="F1934" s="1">
        <v>0</v>
      </c>
      <c r="G1934" s="1">
        <v>0</v>
      </c>
      <c r="H1934" s="1">
        <v>0</v>
      </c>
    </row>
    <row r="1935" spans="1:8">
      <c r="A1935" s="1" t="s">
        <v>772</v>
      </c>
      <c r="B1935" s="1" t="s">
        <v>773</v>
      </c>
      <c r="C1935" s="1" t="s">
        <v>989</v>
      </c>
      <c r="D1935" s="1" t="s">
        <v>2510</v>
      </c>
      <c r="E1935" s="1" t="str">
        <f t="shared" si="30"/>
        <v>W05</v>
      </c>
      <c r="F1935" s="1">
        <v>0</v>
      </c>
      <c r="G1935" s="1">
        <v>0</v>
      </c>
      <c r="H1935" s="1">
        <v>0</v>
      </c>
    </row>
    <row r="1936" spans="1:8">
      <c r="A1936" s="1" t="s">
        <v>772</v>
      </c>
      <c r="B1936" s="1" t="s">
        <v>773</v>
      </c>
      <c r="C1936" s="1" t="s">
        <v>989</v>
      </c>
      <c r="D1936" s="1" t="s">
        <v>2511</v>
      </c>
      <c r="E1936" s="1" t="str">
        <f t="shared" si="30"/>
        <v>W05</v>
      </c>
      <c r="F1936" s="1">
        <v>0</v>
      </c>
      <c r="G1936" s="1">
        <v>0</v>
      </c>
      <c r="H1936" s="1">
        <v>0</v>
      </c>
    </row>
    <row r="1937" spans="1:8">
      <c r="A1937" s="1" t="s">
        <v>772</v>
      </c>
      <c r="B1937" s="1" t="s">
        <v>773</v>
      </c>
      <c r="C1937" s="1" t="s">
        <v>989</v>
      </c>
      <c r="D1937" s="1" t="s">
        <v>2512</v>
      </c>
      <c r="E1937" s="1" t="str">
        <f t="shared" si="30"/>
        <v>W05</v>
      </c>
      <c r="F1937" s="1">
        <v>0</v>
      </c>
      <c r="G1937" s="1">
        <v>0</v>
      </c>
      <c r="H1937" s="1">
        <v>0</v>
      </c>
    </row>
    <row r="1938" spans="1:8">
      <c r="A1938" s="1" t="s">
        <v>772</v>
      </c>
      <c r="B1938" s="1" t="s">
        <v>773</v>
      </c>
      <c r="C1938" s="1" t="s">
        <v>989</v>
      </c>
      <c r="D1938" s="1" t="s">
        <v>2513</v>
      </c>
      <c r="E1938" s="1" t="str">
        <f t="shared" si="30"/>
        <v>W05</v>
      </c>
      <c r="F1938" s="1">
        <v>0</v>
      </c>
      <c r="G1938" s="1">
        <v>0</v>
      </c>
      <c r="H1938" s="1">
        <v>0</v>
      </c>
    </row>
    <row r="1939" spans="1:8">
      <c r="A1939" s="1" t="s">
        <v>772</v>
      </c>
      <c r="B1939" s="1" t="s">
        <v>773</v>
      </c>
      <c r="C1939" s="1" t="s">
        <v>989</v>
      </c>
      <c r="D1939" s="1" t="s">
        <v>2514</v>
      </c>
      <c r="E1939" s="1" t="str">
        <f t="shared" si="30"/>
        <v>W05</v>
      </c>
      <c r="F1939" s="1">
        <v>0</v>
      </c>
      <c r="G1939" s="1">
        <v>0</v>
      </c>
      <c r="H1939" s="1">
        <v>0</v>
      </c>
    </row>
    <row r="1940" spans="1:8">
      <c r="A1940" s="1" t="s">
        <v>772</v>
      </c>
      <c r="B1940" s="1" t="s">
        <v>773</v>
      </c>
      <c r="C1940" s="1" t="s">
        <v>989</v>
      </c>
      <c r="D1940" s="1" t="s">
        <v>2515</v>
      </c>
      <c r="E1940" s="1" t="str">
        <f t="shared" si="30"/>
        <v>W05</v>
      </c>
      <c r="F1940" s="1">
        <v>0</v>
      </c>
      <c r="G1940" s="1">
        <v>0</v>
      </c>
      <c r="H1940" s="1">
        <v>0</v>
      </c>
    </row>
    <row r="1941" spans="1:8">
      <c r="A1941" s="1" t="s">
        <v>772</v>
      </c>
      <c r="B1941" s="1" t="s">
        <v>773</v>
      </c>
      <c r="C1941" s="1" t="s">
        <v>989</v>
      </c>
      <c r="D1941" s="1" t="s">
        <v>2516</v>
      </c>
      <c r="E1941" s="1" t="str">
        <f t="shared" si="30"/>
        <v>W05</v>
      </c>
      <c r="F1941" s="1">
        <v>0</v>
      </c>
      <c r="G1941" s="1">
        <v>0</v>
      </c>
      <c r="H1941" s="1">
        <v>0</v>
      </c>
    </row>
    <row r="1942" spans="1:8">
      <c r="A1942" s="1" t="s">
        <v>772</v>
      </c>
      <c r="B1942" s="1" t="s">
        <v>773</v>
      </c>
      <c r="C1942" s="1" t="s">
        <v>989</v>
      </c>
      <c r="D1942" s="1" t="s">
        <v>2517</v>
      </c>
      <c r="E1942" s="1" t="str">
        <f t="shared" si="30"/>
        <v>W05</v>
      </c>
      <c r="F1942" s="1">
        <v>0</v>
      </c>
      <c r="G1942" s="1">
        <v>0</v>
      </c>
      <c r="H1942" s="1">
        <v>0</v>
      </c>
    </row>
    <row r="1943" spans="1:8">
      <c r="A1943" s="1" t="s">
        <v>772</v>
      </c>
      <c r="B1943" s="1" t="s">
        <v>773</v>
      </c>
      <c r="C1943" s="1" t="s">
        <v>989</v>
      </c>
      <c r="D1943" s="1" t="s">
        <v>2518</v>
      </c>
      <c r="E1943" s="1" t="str">
        <f t="shared" si="30"/>
        <v>W05</v>
      </c>
      <c r="F1943" s="1">
        <v>0</v>
      </c>
      <c r="G1943" s="1">
        <v>0</v>
      </c>
      <c r="H1943" s="1">
        <v>0</v>
      </c>
    </row>
    <row r="1944" spans="1:8">
      <c r="A1944" s="1" t="s">
        <v>772</v>
      </c>
      <c r="B1944" s="1" t="s">
        <v>773</v>
      </c>
      <c r="C1944" s="1" t="s">
        <v>1010</v>
      </c>
      <c r="D1944" s="1" t="s">
        <v>669</v>
      </c>
      <c r="E1944" s="1" t="str">
        <f t="shared" si="30"/>
        <v>W07</v>
      </c>
      <c r="F1944" s="1">
        <v>8.6</v>
      </c>
      <c r="G1944" s="1">
        <v>6.9</v>
      </c>
      <c r="H1944" s="1">
        <v>6.9</v>
      </c>
    </row>
    <row r="1945" spans="1:8">
      <c r="A1945" s="1" t="s">
        <v>772</v>
      </c>
      <c r="B1945" s="1" t="s">
        <v>773</v>
      </c>
      <c r="C1945" s="1" t="s">
        <v>1010</v>
      </c>
      <c r="D1945" s="1" t="s">
        <v>665</v>
      </c>
      <c r="E1945" s="1" t="str">
        <f t="shared" si="30"/>
        <v>W07</v>
      </c>
      <c r="F1945" s="1">
        <v>10</v>
      </c>
      <c r="G1945" s="1">
        <v>7.9</v>
      </c>
      <c r="H1945" s="1">
        <v>7.9</v>
      </c>
    </row>
    <row r="1946" spans="1:8">
      <c r="A1946" s="1" t="s">
        <v>772</v>
      </c>
      <c r="B1946" s="1" t="s">
        <v>773</v>
      </c>
      <c r="C1946" s="1" t="s">
        <v>989</v>
      </c>
      <c r="D1946" s="1" t="s">
        <v>2519</v>
      </c>
      <c r="E1946" s="1" t="str">
        <f t="shared" si="30"/>
        <v>W05</v>
      </c>
      <c r="F1946" s="1">
        <v>0</v>
      </c>
      <c r="G1946" s="1">
        <v>0</v>
      </c>
      <c r="H1946" s="1">
        <v>0</v>
      </c>
    </row>
    <row r="1947" spans="1:8">
      <c r="A1947" s="1" t="s">
        <v>772</v>
      </c>
      <c r="B1947" s="1" t="s">
        <v>773</v>
      </c>
      <c r="C1947" s="1" t="s">
        <v>989</v>
      </c>
      <c r="D1947" s="1" t="s">
        <v>2520</v>
      </c>
      <c r="E1947" s="1" t="str">
        <f t="shared" si="30"/>
        <v>W05</v>
      </c>
      <c r="F1947" s="1">
        <v>0</v>
      </c>
      <c r="G1947" s="1">
        <v>0</v>
      </c>
      <c r="H1947" s="1">
        <v>0</v>
      </c>
    </row>
    <row r="1948" spans="1:8">
      <c r="A1948" s="1" t="s">
        <v>772</v>
      </c>
      <c r="B1948" s="1" t="s">
        <v>773</v>
      </c>
      <c r="C1948" s="1" t="s">
        <v>989</v>
      </c>
      <c r="D1948" s="1" t="s">
        <v>2521</v>
      </c>
      <c r="E1948" s="1" t="str">
        <f t="shared" si="30"/>
        <v>W05</v>
      </c>
      <c r="F1948" s="1">
        <v>0</v>
      </c>
      <c r="G1948" s="1">
        <v>0</v>
      </c>
      <c r="H1948" s="1">
        <v>0</v>
      </c>
    </row>
    <row r="1949" spans="1:8">
      <c r="A1949" s="1" t="s">
        <v>772</v>
      </c>
      <c r="B1949" s="1" t="s">
        <v>773</v>
      </c>
      <c r="C1949" s="1" t="s">
        <v>989</v>
      </c>
      <c r="D1949" s="1" t="s">
        <v>2522</v>
      </c>
      <c r="E1949" s="1" t="str">
        <f t="shared" si="30"/>
        <v>W05</v>
      </c>
      <c r="F1949" s="1">
        <v>0</v>
      </c>
      <c r="G1949" s="1">
        <v>0</v>
      </c>
      <c r="H1949" s="1">
        <v>0</v>
      </c>
    </row>
    <row r="1950" spans="1:8">
      <c r="A1950" s="1" t="s">
        <v>772</v>
      </c>
      <c r="B1950" s="1" t="s">
        <v>773</v>
      </c>
      <c r="C1950" s="1" t="s">
        <v>989</v>
      </c>
      <c r="D1950" s="1" t="s">
        <v>2523</v>
      </c>
      <c r="E1950" s="1" t="str">
        <f t="shared" si="30"/>
        <v>W05</v>
      </c>
      <c r="F1950" s="1">
        <v>0</v>
      </c>
      <c r="G1950" s="1">
        <v>0</v>
      </c>
      <c r="H1950" s="1">
        <v>0</v>
      </c>
    </row>
    <row r="1951" spans="1:8">
      <c r="A1951" s="1" t="s">
        <v>772</v>
      </c>
      <c r="B1951" s="1" t="s">
        <v>773</v>
      </c>
      <c r="C1951" s="1" t="s">
        <v>989</v>
      </c>
      <c r="D1951" s="1" t="s">
        <v>2524</v>
      </c>
      <c r="E1951" s="1" t="str">
        <f t="shared" si="30"/>
        <v>W05</v>
      </c>
      <c r="F1951" s="1">
        <v>0</v>
      </c>
      <c r="G1951" s="1">
        <v>0</v>
      </c>
      <c r="H1951" s="1">
        <v>0</v>
      </c>
    </row>
    <row r="1952" spans="1:8">
      <c r="A1952" s="1" t="s">
        <v>772</v>
      </c>
      <c r="B1952" s="1" t="s">
        <v>773</v>
      </c>
      <c r="C1952" s="1" t="s">
        <v>858</v>
      </c>
      <c r="D1952" s="1" t="s">
        <v>2525</v>
      </c>
      <c r="E1952" s="1" t="str">
        <f t="shared" si="30"/>
        <v>W04</v>
      </c>
      <c r="F1952" s="1">
        <v>0</v>
      </c>
      <c r="G1952" s="1">
        <v>0</v>
      </c>
      <c r="H1952" s="1">
        <v>0</v>
      </c>
    </row>
    <row r="1953" spans="1:8">
      <c r="A1953" s="1" t="s">
        <v>772</v>
      </c>
      <c r="B1953" s="1" t="s">
        <v>773</v>
      </c>
      <c r="C1953" s="1" t="s">
        <v>858</v>
      </c>
      <c r="D1953" s="1" t="s">
        <v>2526</v>
      </c>
      <c r="E1953" s="1" t="str">
        <f t="shared" si="30"/>
        <v>W04</v>
      </c>
      <c r="F1953" s="1">
        <v>0</v>
      </c>
      <c r="G1953" s="1">
        <v>0</v>
      </c>
      <c r="H1953" s="1">
        <v>0</v>
      </c>
    </row>
    <row r="1954" spans="1:8">
      <c r="A1954" s="1" t="s">
        <v>772</v>
      </c>
      <c r="B1954" s="1" t="s">
        <v>773</v>
      </c>
      <c r="C1954" s="1" t="s">
        <v>858</v>
      </c>
      <c r="D1954" s="1" t="s">
        <v>2527</v>
      </c>
      <c r="E1954" s="1" t="str">
        <f t="shared" si="30"/>
        <v>W04</v>
      </c>
      <c r="F1954" s="1">
        <v>0</v>
      </c>
      <c r="G1954" s="1">
        <v>0</v>
      </c>
      <c r="H1954" s="1">
        <v>0</v>
      </c>
    </row>
    <row r="1955" spans="1:8">
      <c r="A1955" s="1" t="s">
        <v>772</v>
      </c>
      <c r="B1955" s="1" t="s">
        <v>773</v>
      </c>
      <c r="C1955" s="1" t="s">
        <v>1002</v>
      </c>
      <c r="D1955" s="1" t="s">
        <v>677</v>
      </c>
      <c r="E1955" s="1" t="str">
        <f t="shared" si="30"/>
        <v>W06</v>
      </c>
      <c r="F1955" s="1">
        <v>0</v>
      </c>
      <c r="G1955" s="1">
        <v>0</v>
      </c>
      <c r="H1955" s="1">
        <v>0</v>
      </c>
    </row>
    <row r="1956" spans="1:8">
      <c r="A1956" s="1" t="s">
        <v>772</v>
      </c>
      <c r="B1956" s="1" t="s">
        <v>773</v>
      </c>
      <c r="C1956" s="1" t="s">
        <v>1002</v>
      </c>
      <c r="D1956" s="1" t="s">
        <v>675</v>
      </c>
      <c r="E1956" s="1" t="str">
        <f t="shared" si="30"/>
        <v>W06</v>
      </c>
      <c r="F1956" s="1">
        <v>0</v>
      </c>
      <c r="G1956" s="1">
        <v>0</v>
      </c>
      <c r="H1956" s="1">
        <v>0</v>
      </c>
    </row>
    <row r="1957" spans="1:8">
      <c r="D1957" s="1" t="s">
        <v>2610</v>
      </c>
      <c r="E1957" s="1" t="s">
        <v>118</v>
      </c>
      <c r="F1957" s="1"/>
    </row>
    <row r="1958" spans="1:8">
      <c r="D1958" s="1" t="s">
        <v>694</v>
      </c>
      <c r="E1958" s="259" t="s">
        <v>105</v>
      </c>
    </row>
    <row r="1959" spans="1:8">
      <c r="D1959" s="1" t="s">
        <v>691</v>
      </c>
      <c r="E1959" s="259" t="s">
        <v>105</v>
      </c>
    </row>
    <row r="1960" spans="1:8">
      <c r="D1960" s="1" t="s">
        <v>334</v>
      </c>
      <c r="E1960" s="259" t="s">
        <v>109</v>
      </c>
    </row>
    <row r="1961" spans="1:8">
      <c r="D1961" s="1" t="s">
        <v>2608</v>
      </c>
      <c r="E1961" s="259" t="s">
        <v>109</v>
      </c>
    </row>
    <row r="1962" spans="1:8">
      <c r="D1962" s="1" t="s">
        <v>2609</v>
      </c>
      <c r="E1962" s="259" t="s">
        <v>109</v>
      </c>
    </row>
    <row r="1963" spans="1:8">
      <c r="D1963" s="1" t="s">
        <v>2421</v>
      </c>
      <c r="E1963" s="259" t="s">
        <v>109</v>
      </c>
    </row>
    <row r="1964" spans="1:8">
      <c r="D1964" s="1" t="s">
        <v>163</v>
      </c>
      <c r="E1964" s="260" t="s">
        <v>111</v>
      </c>
    </row>
    <row r="1965" spans="1:8">
      <c r="D1965" s="1" t="s">
        <v>2614</v>
      </c>
      <c r="E1965" s="261" t="s">
        <v>118</v>
      </c>
    </row>
    <row r="1966" spans="1:8">
      <c r="D1966" s="1" t="s">
        <v>373</v>
      </c>
      <c r="E1966" s="260" t="s">
        <v>111</v>
      </c>
    </row>
    <row r="1967" spans="1:8">
      <c r="D1967" s="1" t="s">
        <v>366</v>
      </c>
      <c r="E1967" s="260" t="s">
        <v>111</v>
      </c>
    </row>
    <row r="1968" spans="1:8">
      <c r="D1968" s="1" t="s">
        <v>2612</v>
      </c>
      <c r="E1968" s="260" t="s">
        <v>111</v>
      </c>
    </row>
    <row r="1969" spans="4:5">
      <c r="D1969" s="1" t="s">
        <v>2611</v>
      </c>
      <c r="E1969" s="260" t="s">
        <v>111</v>
      </c>
    </row>
    <row r="1970" spans="4:5">
      <c r="D1970" s="1" t="s">
        <v>674</v>
      </c>
      <c r="E1970" s="1" t="s">
        <v>113</v>
      </c>
    </row>
    <row r="1971" spans="4:5">
      <c r="D1971" s="1" t="s">
        <v>2621</v>
      </c>
      <c r="E1971" s="1" t="s">
        <v>109</v>
      </c>
    </row>
    <row r="1972" spans="4:5">
      <c r="D1972" s="1" t="s">
        <v>687</v>
      </c>
      <c r="E1972" s="1" t="s">
        <v>111</v>
      </c>
    </row>
    <row r="1973" spans="4:5">
      <c r="D1973" s="1" t="s">
        <v>671</v>
      </c>
      <c r="E1973" s="259" t="s">
        <v>105</v>
      </c>
    </row>
    <row r="1974" spans="4:5" ht="14.4">
      <c r="D1974" s="318" t="s">
        <v>670</v>
      </c>
      <c r="E1974" s="259" t="s">
        <v>105</v>
      </c>
    </row>
    <row r="1975" spans="4:5">
      <c r="D1975" s="1" t="s">
        <v>2654</v>
      </c>
      <c r="E1975" s="1" t="s">
        <v>109</v>
      </c>
    </row>
    <row r="1976" spans="4:5">
      <c r="D1976" s="1" t="s">
        <v>2668</v>
      </c>
      <c r="E1976" s="259" t="s">
        <v>105</v>
      </c>
    </row>
    <row r="1977" spans="4:5">
      <c r="D1977" s="1" t="s">
        <v>2669</v>
      </c>
      <c r="E1977" s="259" t="s">
        <v>105</v>
      </c>
    </row>
    <row r="1978" spans="4:5">
      <c r="D1978" s="1" t="s">
        <v>706</v>
      </c>
      <c r="E1978" s="1" t="s">
        <v>107</v>
      </c>
    </row>
    <row r="1979" spans="4:5" ht="14.4">
      <c r="D1979" s="386" t="s">
        <v>701</v>
      </c>
      <c r="E1979" s="1" t="s">
        <v>111</v>
      </c>
    </row>
    <row r="1980" spans="4:5" ht="14.4">
      <c r="D1980" s="386" t="s">
        <v>705</v>
      </c>
      <c r="E1980" s="1" t="s">
        <v>111</v>
      </c>
    </row>
    <row r="1981" spans="4:5" ht="14.4">
      <c r="D1981" s="65" t="s">
        <v>684</v>
      </c>
      <c r="E1981" s="1" t="s">
        <v>111</v>
      </c>
    </row>
    <row r="1982" spans="4:5">
      <c r="D1982" s="1" t="s">
        <v>708</v>
      </c>
      <c r="E1982" s="259" t="s">
        <v>109</v>
      </c>
    </row>
    <row r="1983" spans="4:5">
      <c r="D1983" s="1" t="s">
        <v>680</v>
      </c>
      <c r="E1983" s="1" t="s">
        <v>111</v>
      </c>
    </row>
    <row r="1984" spans="4:5" ht="14.4">
      <c r="D1984" s="65" t="s">
        <v>2691</v>
      </c>
      <c r="E1984" s="1" t="s">
        <v>105</v>
      </c>
    </row>
    <row r="1985" spans="4:5">
      <c r="D1985" s="1" t="s">
        <v>2647</v>
      </c>
      <c r="E1985" s="1" t="s">
        <v>109</v>
      </c>
    </row>
    <row r="1986" spans="4:5" ht="14.4">
      <c r="D1986" s="65" t="s">
        <v>2692</v>
      </c>
      <c r="E1986" s="1" t="s">
        <v>105</v>
      </c>
    </row>
    <row r="1987" spans="4:5" ht="14.4">
      <c r="D1987" s="404" t="s">
        <v>710</v>
      </c>
      <c r="E1987" s="1" t="s">
        <v>109</v>
      </c>
    </row>
    <row r="1988" spans="4:5" ht="14.4">
      <c r="D1988" s="408" t="s">
        <v>704</v>
      </c>
      <c r="E1988" s="1" t="s">
        <v>107</v>
      </c>
    </row>
    <row r="1989" spans="4:5">
      <c r="D1989" s="1" t="s">
        <v>2646</v>
      </c>
      <c r="E1989" s="1" t="s">
        <v>109</v>
      </c>
    </row>
    <row r="1990" spans="4:5">
      <c r="D1990" s="1" t="s">
        <v>2734</v>
      </c>
      <c r="E1990" s="1" t="s">
        <v>107</v>
      </c>
    </row>
    <row r="1991" spans="4:5">
      <c r="D1991" s="1" t="s">
        <v>2713</v>
      </c>
      <c r="E1991" s="1" t="s">
        <v>107</v>
      </c>
    </row>
    <row r="1992" spans="4:5">
      <c r="D1992" s="1" t="s">
        <v>2737</v>
      </c>
      <c r="E1992" s="1" t="s">
        <v>105</v>
      </c>
    </row>
    <row r="1993" spans="4:5">
      <c r="D1993" s="1" t="s">
        <v>696</v>
      </c>
      <c r="E1993" s="1" t="s">
        <v>116</v>
      </c>
    </row>
  </sheetData>
  <autoFilter ref="A1:AD1956" xr:uid="{00000000-0001-0000-0400-000000000000}"/>
  <pageMargins left="0.75" right="0.75" top="1" bottom="1" header="0.51180555555555596" footer="0.51180555555555596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I29" sqref="I29"/>
    </sheetView>
  </sheetViews>
  <sheetFormatPr defaultColWidth="9.109375" defaultRowHeight="14.4"/>
  <cols>
    <col min="1" max="1" width="16.88671875" customWidth="1"/>
    <col min="3" max="3" width="9.5546875"/>
  </cols>
  <sheetData>
    <row r="1" spans="1:10">
      <c r="J1" t="s">
        <v>2528</v>
      </c>
    </row>
    <row r="2" spans="1:10">
      <c r="G2">
        <v>7.19</v>
      </c>
      <c r="I2" t="s">
        <v>2529</v>
      </c>
      <c r="J2">
        <v>1820</v>
      </c>
    </row>
    <row r="3" spans="1:10">
      <c r="A3" t="s">
        <v>2530</v>
      </c>
      <c r="B3">
        <v>1247.8900000000001</v>
      </c>
      <c r="G3">
        <v>11.55</v>
      </c>
      <c r="I3" t="s">
        <v>2531</v>
      </c>
      <c r="J3">
        <v>391.08</v>
      </c>
    </row>
    <row r="4" spans="1:10">
      <c r="A4" t="s">
        <v>2532</v>
      </c>
      <c r="B4">
        <v>300</v>
      </c>
      <c r="G4">
        <v>5.63</v>
      </c>
      <c r="I4" t="s">
        <v>2533</v>
      </c>
      <c r="J4">
        <f>J2-J3</f>
        <v>1428.92</v>
      </c>
    </row>
    <row r="5" spans="1:10">
      <c r="A5" t="s">
        <v>2534</v>
      </c>
      <c r="B5">
        <v>513</v>
      </c>
      <c r="G5">
        <v>14.23</v>
      </c>
    </row>
    <row r="6" spans="1:10">
      <c r="A6" t="s">
        <v>2535</v>
      </c>
      <c r="B6">
        <v>92</v>
      </c>
      <c r="E6">
        <v>856</v>
      </c>
      <c r="G6">
        <v>4.54</v>
      </c>
    </row>
    <row r="7" spans="1:10">
      <c r="B7">
        <f>B3+B4-B5-B6</f>
        <v>942.8900000000001</v>
      </c>
      <c r="E7">
        <f>B7-E6</f>
        <v>86.8900000000001</v>
      </c>
      <c r="G7">
        <v>3.78</v>
      </c>
    </row>
    <row r="8" spans="1:10">
      <c r="C8">
        <f>B7/4</f>
        <v>235.72250000000003</v>
      </c>
      <c r="G8">
        <v>10.1</v>
      </c>
    </row>
    <row r="9" spans="1:10">
      <c r="E9">
        <f>E7-G9</f>
        <v>29.870000000000097</v>
      </c>
      <c r="G9">
        <f>SUM(G2:G8)</f>
        <v>57.02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Summary</vt:lpstr>
      <vt:lpstr>Data Lokasi</vt:lpstr>
      <vt:lpstr>Prioritas</vt:lpstr>
      <vt:lpstr>Singkong</vt:lpstr>
      <vt:lpstr>Resume</vt:lpstr>
      <vt:lpstr>Input Real Tanam&amp;Petik Nanas</vt:lpstr>
      <vt:lpstr>Input Drop Bibit</vt:lpstr>
      <vt:lpstr>Kroscek</vt:lpstr>
      <vt:lpstr>Input Petik Bibit</vt:lpstr>
      <vt:lpstr>Reason</vt:lpstr>
      <vt:lpstr>Jenis Bibit</vt:lpstr>
      <vt:lpstr>Sts Ags'22</vt:lpstr>
      <vt:lpstr>Sheet1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YusufPermadi</dc:creator>
  <cp:lastModifiedBy>M. Dimas Aulia Pranata</cp:lastModifiedBy>
  <cp:lastPrinted>2024-06-18T03:21:15Z</cp:lastPrinted>
  <dcterms:created xsi:type="dcterms:W3CDTF">2020-04-11T05:25:00Z</dcterms:created>
  <dcterms:modified xsi:type="dcterms:W3CDTF">2026-10-13T08:18:29Z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1033-10.1.0.5614</vt:lpwstr>
  </property>
  <property fmtid="{D5CDD505-2E9C-101B-9397-08002B2CF9AE}" pid="3" name="ICV">
    <vt:lpwstr>9CA607C626954286ACAE133461127477</vt:lpwstr>
  </property>
  <property fmtid="{D5CDD505-2E9C-101B-9397-08002B2CF9AE}" pid="4" name="KSOReadingLayout">
    <vt:bool>true</vt:bool>
  </property>
</Properties>
</file>